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F8C341B1-BF8E-41F2-BDC7-3260352B3800}" xr6:coauthVersionLast="47" xr6:coauthVersionMax="47" xr10:uidLastSave="{00000000-0000-0000-0000-000000000000}"/>
  <bookViews>
    <workbookView xWindow="-120" yWindow="-120" windowWidth="29040" windowHeight="17640" xr2:uid="{00000000-000D-0000-FFFF-FFFF00000000}"/>
  </bookViews>
  <sheets>
    <sheet name="Initial Setup" sheetId="10" r:id="rId1"/>
    <sheet name="Gameplay" sheetId="15" r:id="rId2"/>
    <sheet name="Event Tracker" sheetId="14" r:id="rId3"/>
    <sheet name="Override" sheetId="27" state="hidden" r:id="rId4"/>
    <sheet name="Game Properties" sheetId="1" r:id="rId5"/>
    <sheet name="Environmental Performance" sheetId="6" state="hidden" r:id="rId6"/>
    <sheet name="Reliability" sheetId="7" state="hidden" r:id="rId7"/>
    <sheet name="Utility Revenue" sheetId="8" state="hidden" r:id="rId8"/>
    <sheet name="Game Assumptions" sheetId="11" state="hidden" r:id="rId9"/>
    <sheet name="Resource Mix and Demand" sheetId="2" state="hidden" r:id="rId10"/>
    <sheet name="Graphs" sheetId="26" state="hidden" r:id="rId11"/>
    <sheet name="Dispatch" sheetId="9" state="hidden" r:id="rId12"/>
    <sheet name="Policy Page" sheetId="13" state="hidden" r:id="rId13"/>
    <sheet name="Popup Descriptions" sheetId="28" state="hidden" r:id="rId14"/>
    <sheet name="Customer Bills" sheetId="5" state="hidden" r:id="rId15"/>
    <sheet name="Export" sheetId="29" state="hidden" r:id="rId16"/>
    <sheet name="Questions" sheetId="12" state="hidden" r:id="rId17"/>
  </sheets>
  <definedNames>
    <definedName name="Actual_Load">'Game Assumptions'!$B$156:$L$156</definedName>
    <definedName name="Additions_Text">'Popup Descriptions'!$A$30</definedName>
    <definedName name="Advance_Button">'Game Properties'!$D$4</definedName>
    <definedName name="BatteriesBuildable">OFFSET('Game Properties'!$X$2,0,0,COUNT('Game Properties'!$X:$X),1)</definedName>
    <definedName name="Bill_Sign">'Popup Descriptions'!$B$22</definedName>
    <definedName name="Bill_Text">'Popup Descriptions'!$A$22</definedName>
    <definedName name="BillSummary_Sign">'Popup Descriptions'!$B$94</definedName>
    <definedName name="BillSummary_Text">'Popup Descriptions'!$A$94</definedName>
    <definedName name="BizModelSelected">'Event Tracker'!$B$20:$B$24</definedName>
    <definedName name="BuildTitle">'Game Properties'!$V$2</definedName>
    <definedName name="BusinessModel">'Initial Setup'!$B$3</definedName>
    <definedName name="BusinessModels">'Game Properties'!$A$2:$A$6</definedName>
    <definedName name="CarbonPricing_Text">'Popup Descriptions'!$B$13</definedName>
    <definedName name="CO2_Sign">'Popup Descriptions'!$B$24</definedName>
    <definedName name="CO2_Text">'Popup Descriptions'!$A$24</definedName>
    <definedName name="CO2Summary_Sign">'Popup Descriptions'!$B$96</definedName>
    <definedName name="CO2Summary_Text">'Popup Descriptions'!$A$96</definedName>
    <definedName name="Coal_additions">'Popup Descriptions'!$A$32</definedName>
    <definedName name="Coal_Buildable">OFFSET('Game Properties'!$N$2,0,0,COUNT('Game Properties'!$N:$N),1)</definedName>
    <definedName name="CoalRetirements_Text">'Popup Descriptions'!$A$58</definedName>
    <definedName name="CTBuildable">OFFSET('Game Properties'!$W$2,0,0,COUNT('Game Properties'!$W:$W),1)</definedName>
    <definedName name="Current_Round">'Event Tracker'!$P$1</definedName>
    <definedName name="Decoupling_Text">'Popup Descriptions'!$B$4</definedName>
    <definedName name="DecouplingIncentive_Text">'Popup Descriptions'!$B$5</definedName>
    <definedName name="DemandCharges_Text">'Popup Descriptions'!$B$6</definedName>
    <definedName name="Distributed_Solar_Buildable">OFFSET('Game Properties'!$U$2,0,0,COUNT('Game Properties'!$U:$U),1)</definedName>
    <definedName name="DistributedPV_additions">'Popup Descriptions'!$A$46</definedName>
    <definedName name="DistributedPV_Limit">'Game Properties'!$AD$4</definedName>
    <definedName name="DistributedPVFlex_Text">'Popup Descriptions'!$A$66</definedName>
    <definedName name="DistributionBuildable">OFFSET('Game Properties'!$AB$2,0,0,COUNT('Game Properties'!$AB:$AB),1)</definedName>
    <definedName name="DRBuildable">OFFSET('Game Properties'!$Z$2,0,0,COUNT('Game Properties'!$Z:$Z),1)</definedName>
    <definedName name="EE_additions">'Popup Descriptions'!$A$44</definedName>
    <definedName name="EE_Buildable">OFFSET('Game Properties'!$T$2,0,0,COUNT('Game Properties'!$T:$T),1)</definedName>
    <definedName name="EE_Limit">'Game Properties'!$AD$5</definedName>
    <definedName name="ElecMix_Text">'Popup Descriptions'!$A$48</definedName>
    <definedName name="ElecMixNewRound_Text">'Popup Descriptions'!$A$50</definedName>
    <definedName name="EPS_Sign">'Popup Descriptions'!$B$26</definedName>
    <definedName name="EPS_Text">'Popup Descriptions'!$A$26</definedName>
    <definedName name="EPSSummary_Sign">'Popup Descriptions'!$B$98</definedName>
    <definedName name="EPSSummary_Text">'Popup Descriptions'!$A$98</definedName>
    <definedName name="Events">'Game Properties'!$C$2:$C$6</definedName>
    <definedName name="ExportData">Export!$A$1:$I$5</definedName>
    <definedName name="FlexIntro_Text">'Popup Descriptions'!$A$62</definedName>
    <definedName name="HeatWave_Text">'Popup Descriptions'!$B$15</definedName>
    <definedName name="Hydro_Buildable">OFFSET('Game Properties'!$S$2,0,0,COUNT('Game Properties'!$S:$S),1)</definedName>
    <definedName name="MaxBatteries">'Game Properties'!$I$12</definedName>
    <definedName name="MaxBattery_Text">'Popup Descriptions'!$A$85</definedName>
    <definedName name="MaxCoal">'Game Properties'!$I$3</definedName>
    <definedName name="MaxCoal_Text">'Popup Descriptions'!$A$74</definedName>
    <definedName name="MaxCT">'Game Properties'!$I$11</definedName>
    <definedName name="MaxCT_Text">'Popup Descriptions'!$A$84</definedName>
    <definedName name="MaxDistributedPV_Text">'Popup Descriptions'!$A$81</definedName>
    <definedName name="MaxDistribution">'Game Properties'!$I$16</definedName>
    <definedName name="MaxDistribution_Text">'Popup Descriptions'!$A$89</definedName>
    <definedName name="MaxDR">'Game Properties'!$I$14</definedName>
    <definedName name="MaxDR_Text">'Popup Descriptions'!$A$87</definedName>
    <definedName name="MaxDRBuildable">Gameplay!$I$14</definedName>
    <definedName name="MaxEE">'Game Properties'!$I$9</definedName>
    <definedName name="MaxEE_Text">'Popup Descriptions'!$A$80</definedName>
    <definedName name="MaxHydro">'Game Properties'!$I$8</definedName>
    <definedName name="MaxNatGas">'Game Properties'!$I$4</definedName>
    <definedName name="MaxNatGas_Text">'Popup Descriptions'!$A$75</definedName>
    <definedName name="MaxNuclear">'Game Properties'!$I$5</definedName>
    <definedName name="MaxNuclear_Text">'Popup Descriptions'!$A$76</definedName>
    <definedName name="MaxPumpedHydro">'Game Properties'!$I$13</definedName>
    <definedName name="MaxPumpedHydro_Text">'Popup Descriptions'!$A$86</definedName>
    <definedName name="MaxSolar">'Game Properties'!$I$6</definedName>
    <definedName name="MaxSolarDistributed">'Game Properties'!$I$10</definedName>
    <definedName name="MaxTransmission">'Game Properties'!$I$15</definedName>
    <definedName name="MaxTransmission_Text">'Popup Descriptions'!$A$88</definedName>
    <definedName name="MaxUtilityPV_Text">'Popup Descriptions'!$A$77</definedName>
    <definedName name="MaxWind">'Game Properties'!$I$7</definedName>
    <definedName name="MaxWind_Text">'Popup Descriptions'!$A$78</definedName>
    <definedName name="NatGas_Additions">'Popup Descriptions'!$A$34</definedName>
    <definedName name="NatGasPriceSpike_Text">'Popup Descriptions'!$B$14</definedName>
    <definedName name="Natural_Gas_Buildable">OFFSET('Game Properties'!$O$2,0,0,COUNT('Game Properties'!$O:$O),1)</definedName>
    <definedName name="Nuclear_Additions">'Popup Descriptions'!$A$36</definedName>
    <definedName name="Nuclear_Buildable">OFFSET('Game Properties'!$P$2,0,0,COUNT('Game Properties'!$P:$P),1)</definedName>
    <definedName name="NuclearRetirements_Text">'Popup Descriptions'!$A$60</definedName>
    <definedName name="Override_AddedCapacity">'Event Tracker'!$C$106:$L$118</definedName>
    <definedName name="Override_AddedCapacity_Value">Override!$B$7:$B$19</definedName>
    <definedName name="Override_InstalledCapacity">'Event Tracker'!$C$121:$L$133</definedName>
    <definedName name="Override_InstalledCapacity_Value">Override!$B$22:$B$34</definedName>
    <definedName name="Override_Load">'Event Tracker'!$C$150:$L$151</definedName>
    <definedName name="Override_Load_Value">Override!$B$46:$B$47</definedName>
    <definedName name="Override_RetiringCapacity">'Event Tracker'!$C$136:$L$143</definedName>
    <definedName name="Override_RetiringCapacity_Value">Override!$B$37:$B$43</definedName>
    <definedName name="Override_Revenue">'Event Tracker'!$C$146:$L$147</definedName>
    <definedName name="Override_Revenue_Value">Override!$B$2:$B$3</definedName>
    <definedName name="Performance_Text">'Popup Descriptions'!$A$20</definedName>
    <definedName name="PIM_ESM_Text">'Popup Descriptions'!$A$8</definedName>
    <definedName name="PIM_Text">'Popup Descriptions'!$B$8</definedName>
    <definedName name="Policies">'Game Properties'!$B$2:$B$11</definedName>
    <definedName name="Pre_Event_Actual_Load">'Resource Mix and Demand'!$B$67:$L$67</definedName>
    <definedName name="PumpedHydroBuildable">OFFSET('Game Properties'!$Y$2,0,0,COUNT('Game Properties'!$Y:$Y),1)</definedName>
    <definedName name="Reliability_Sign">'Popup Descriptions'!$B$28</definedName>
    <definedName name="Reliability_Text">'Popup Descriptions'!$A$28</definedName>
    <definedName name="ReliabilityRequirements_Text">'Popup Descriptions'!$A$70</definedName>
    <definedName name="ReliabilitySummary_Sign">'Popup Descriptions'!$B$100</definedName>
    <definedName name="ReliabilitySummary_Text">'Popup Descriptions'!$A$100</definedName>
    <definedName name="Renewables_Generation">Graphs!$B$105</definedName>
    <definedName name="Renewables_Requirement">Graphs!$B$106</definedName>
    <definedName name="Reserve_Margin_Error">Graphs!$C$97:$L$97</definedName>
    <definedName name="RetirementsIntro_Text">'Popup Descriptions'!$A$56</definedName>
    <definedName name="Round_Completion">'Event Tracker'!$B$17:$L$17</definedName>
    <definedName name="RPS_Text">'Popup Descriptions'!$B$3</definedName>
    <definedName name="Solar_Buildable">OFFSET('Game Properties'!$Q$2,0,0,COUNT('Game Properties'!$Q:$Q),1)</definedName>
    <definedName name="solver_adj" localSheetId="7" hidden="1">'Game Assumptions'!$B$2</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'Utility Revenue'!$B$156</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-100000000</definedName>
    <definedName name="solver_ver" localSheetId="7" hidden="1">3</definedName>
    <definedName name="Summary_Title">'Popup Descriptions'!$A$18</definedName>
    <definedName name="Team_Name">'Initial Setup'!$B$2</definedName>
    <definedName name="TotalRevenue">'Utility Revenue'!$C$116:$L$116</definedName>
    <definedName name="ToU_Text">'Popup Descriptions'!$B$7</definedName>
    <definedName name="TransmissionBuildable">OFFSET('Game Properties'!$AA$2,0,0,COUNT('Game Properties'!$AA:$AA),1)</definedName>
    <definedName name="UserForm_CapacityGen">'Event Tracker'!$C$77:$L$84</definedName>
    <definedName name="UserForm_Events">'Event Tracker'!$C$62:$L$64</definedName>
    <definedName name="UserForm_Flexibility">'Event Tracker'!$C$97:$L$102</definedName>
    <definedName name="UserForm_Policies">'Event Tracker'!$C$52:$L$59</definedName>
    <definedName name="UtilityPV_additions">'Popup Descriptions'!$A$38</definedName>
    <definedName name="UtilityPV_Limit">'Game Properties'!$AD$2</definedName>
    <definedName name="UtilityPVFlex_Text">'Popup Descriptions'!$A$64</definedName>
    <definedName name="WBA_Text">'Popup Descriptions'!$B$9</definedName>
    <definedName name="Welcome_Text">'Popup Descriptions'!$A$54</definedName>
    <definedName name="wind_additions">'Popup Descriptions'!$A$40</definedName>
    <definedName name="Wind_Buildable">OFFSET('Game Properties'!$R$2,0,0,COUNT('Game Properties'!$R:$R),1)</definedName>
    <definedName name="Wind_Limit">'Game Properties'!$AD$3</definedName>
    <definedName name="WindFlex_Text">'Popup Descriptions'!$A$68</definedName>
    <definedName name="YesNo">'Game Properties'!$G$2:$G$3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4" l="1"/>
  <c r="B23" i="14"/>
  <c r="B22" i="14"/>
  <c r="B21" i="14"/>
  <c r="B20" i="14"/>
  <c r="H62" i="11" l="1"/>
  <c r="H60" i="11"/>
  <c r="H59" i="11"/>
  <c r="H58" i="11"/>
  <c r="L57" i="11"/>
  <c r="L56" i="11"/>
  <c r="B51" i="11"/>
  <c r="G38" i="11"/>
  <c r="G34" i="11"/>
  <c r="B24" i="11"/>
  <c r="B17" i="11"/>
  <c r="B100" i="26" l="1"/>
  <c r="C100" i="26" s="1"/>
  <c r="D100" i="26" s="1"/>
  <c r="E100" i="26" s="1"/>
  <c r="F100" i="26" s="1"/>
  <c r="G100" i="26" s="1"/>
  <c r="A83" i="26"/>
  <c r="A84" i="26" s="1"/>
  <c r="A85" i="26" s="1"/>
  <c r="A86" i="26" s="1"/>
  <c r="A87" i="26" s="1"/>
  <c r="A88" i="26" s="1"/>
  <c r="A89" i="26" s="1"/>
  <c r="A90" i="26" s="1"/>
  <c r="A91" i="26" s="1"/>
  <c r="A92" i="26" s="1"/>
  <c r="A93" i="26" s="1"/>
  <c r="A51" i="26"/>
  <c r="A52" i="26" s="1"/>
  <c r="A53" i="26" s="1"/>
  <c r="A54" i="26" s="1"/>
  <c r="A55" i="26" s="1"/>
  <c r="A56" i="26" s="1"/>
  <c r="A57" i="26" s="1"/>
  <c r="A58" i="26" s="1"/>
  <c r="A59" i="26" s="1"/>
  <c r="A60" i="26" s="1"/>
  <c r="A61" i="26" s="1"/>
  <c r="A34" i="26"/>
  <c r="A35" i="26" s="1"/>
  <c r="A36" i="26" s="1"/>
  <c r="A37" i="26" s="1"/>
  <c r="A38" i="26" s="1"/>
  <c r="A39" i="26" s="1"/>
  <c r="A40" i="26" s="1"/>
  <c r="A41" i="26" s="1"/>
  <c r="A42" i="26" s="1"/>
  <c r="A43" i="26" s="1"/>
  <c r="A44" i="26" s="1"/>
  <c r="A18" i="26"/>
  <c r="A19" i="26" s="1"/>
  <c r="A20" i="26" s="1"/>
  <c r="A21" i="26" s="1"/>
  <c r="A22" i="26" s="1"/>
  <c r="A23" i="26" s="1"/>
  <c r="A24" i="26" s="1"/>
  <c r="A25" i="26" s="1"/>
  <c r="A26" i="26" s="1"/>
  <c r="A27" i="26" s="1"/>
  <c r="A28" i="26" s="1"/>
  <c r="A3" i="26"/>
  <c r="A4" i="26" s="1"/>
  <c r="A5" i="26" s="1"/>
  <c r="A6" i="26" s="1"/>
  <c r="A7" i="26" s="1"/>
  <c r="A8" i="26" s="1"/>
  <c r="A9" i="26" s="1"/>
  <c r="A10" i="26" s="1"/>
  <c r="A11" i="26" s="1"/>
  <c r="A12" i="26" s="1"/>
  <c r="A13" i="26" s="1"/>
  <c r="AE2" i="1"/>
  <c r="AE3" i="1" s="1"/>
  <c r="AE4" i="1" s="1"/>
  <c r="AE5" i="1" s="1"/>
  <c r="AE6" i="1" s="1"/>
  <c r="G102" i="26" l="1"/>
  <c r="G101" i="26"/>
  <c r="B130" i="8"/>
  <c r="B3" i="29" l="1"/>
  <c r="B4" i="29"/>
  <c r="B5" i="29"/>
  <c r="B2" i="29"/>
  <c r="A3" i="29"/>
  <c r="A4" i="29"/>
  <c r="A5" i="29"/>
  <c r="A2" i="29"/>
  <c r="B109" i="7" l="1"/>
  <c r="B97" i="26" s="1"/>
  <c r="J88" i="14" l="1"/>
  <c r="H94" i="14"/>
  <c r="E93" i="14"/>
  <c r="J92" i="14"/>
  <c r="K91" i="14"/>
  <c r="D90" i="14"/>
  <c r="F88" i="14"/>
  <c r="C89" i="14"/>
  <c r="K94" i="14"/>
  <c r="G94" i="14"/>
  <c r="L93" i="14"/>
  <c r="H93" i="14"/>
  <c r="D93" i="14"/>
  <c r="I92" i="14"/>
  <c r="G91" i="14"/>
  <c r="I89" i="14"/>
  <c r="K87" i="14"/>
  <c r="D94" i="14"/>
  <c r="J94" i="14"/>
  <c r="K93" i="14"/>
  <c r="G93" i="14"/>
  <c r="F92" i="14"/>
  <c r="E89" i="14"/>
  <c r="G87" i="14"/>
  <c r="L94" i="14"/>
  <c r="I93" i="14"/>
  <c r="C88" i="14"/>
  <c r="F94" i="14"/>
  <c r="L92" i="14"/>
  <c r="L90" i="14"/>
  <c r="C87" i="14"/>
  <c r="I94" i="14"/>
  <c r="E94" i="14"/>
  <c r="J93" i="14"/>
  <c r="F93" i="14"/>
  <c r="K92" i="14"/>
  <c r="E92" i="14"/>
  <c r="H90" i="14"/>
  <c r="D87" i="14"/>
  <c r="J91" i="14"/>
  <c r="F91" i="14"/>
  <c r="K90" i="14"/>
  <c r="G90" i="14"/>
  <c r="L89" i="14"/>
  <c r="H89" i="14"/>
  <c r="D89" i="14"/>
  <c r="I88" i="14"/>
  <c r="E88" i="14"/>
  <c r="J87" i="14"/>
  <c r="F87" i="14"/>
  <c r="H92" i="14"/>
  <c r="D92" i="14"/>
  <c r="I91" i="14"/>
  <c r="E91" i="14"/>
  <c r="J90" i="14"/>
  <c r="F90" i="14"/>
  <c r="K89" i="14"/>
  <c r="G89" i="14"/>
  <c r="L88" i="14"/>
  <c r="H88" i="14"/>
  <c r="D88" i="14"/>
  <c r="I87" i="14"/>
  <c r="E87" i="14"/>
  <c r="G92" i="14"/>
  <c r="L91" i="14"/>
  <c r="H91" i="14"/>
  <c r="D91" i="14"/>
  <c r="I90" i="14"/>
  <c r="E90" i="14"/>
  <c r="J89" i="14"/>
  <c r="F89" i="14"/>
  <c r="K88" i="14"/>
  <c r="G88" i="14"/>
  <c r="L87" i="14"/>
  <c r="H87" i="14"/>
  <c r="B108" i="8"/>
  <c r="B12" i="5" s="1"/>
  <c r="B8" i="28"/>
  <c r="A8" i="28"/>
  <c r="A62" i="28"/>
  <c r="C65" i="26" l="1"/>
  <c r="D19" i="2"/>
  <c r="E19" i="2"/>
  <c r="F19" i="2"/>
  <c r="G19" i="2"/>
  <c r="H19" i="2"/>
  <c r="I19" i="2"/>
  <c r="J19" i="2"/>
  <c r="K19" i="2"/>
  <c r="L19" i="2"/>
  <c r="C19" i="2"/>
  <c r="D38" i="7"/>
  <c r="E38" i="7"/>
  <c r="F38" i="7"/>
  <c r="G38" i="7"/>
  <c r="H38" i="7"/>
  <c r="I38" i="7"/>
  <c r="J38" i="7"/>
  <c r="K38" i="7"/>
  <c r="L38" i="7"/>
  <c r="C38" i="7"/>
  <c r="B38" i="7"/>
  <c r="L36" i="8"/>
  <c r="K36" i="8"/>
  <c r="J36" i="8"/>
  <c r="I36" i="8"/>
  <c r="H36" i="8"/>
  <c r="G36" i="8"/>
  <c r="F36" i="8"/>
  <c r="E36" i="8"/>
  <c r="D36" i="8"/>
  <c r="C36" i="8"/>
  <c r="B36" i="8"/>
  <c r="C207" i="11" l="1"/>
  <c r="D13" i="7" l="1"/>
  <c r="E13" i="7"/>
  <c r="F13" i="7"/>
  <c r="G13" i="7"/>
  <c r="H13" i="7"/>
  <c r="I13" i="7"/>
  <c r="J13" i="7"/>
  <c r="K13" i="7"/>
  <c r="L13" i="7"/>
  <c r="C13" i="7"/>
  <c r="C10" i="5"/>
  <c r="D10" i="5"/>
  <c r="E10" i="5"/>
  <c r="F10" i="5"/>
  <c r="G10" i="5"/>
  <c r="H10" i="5"/>
  <c r="I10" i="5"/>
  <c r="J10" i="5"/>
  <c r="K10" i="5"/>
  <c r="L10" i="5"/>
  <c r="B10" i="5"/>
  <c r="B60" i="8"/>
  <c r="D12" i="2" l="1"/>
  <c r="E12" i="2"/>
  <c r="F12" i="2"/>
  <c r="G12" i="2"/>
  <c r="H12" i="2"/>
  <c r="I12" i="2"/>
  <c r="J12" i="2"/>
  <c r="K12" i="2"/>
  <c r="L12" i="2"/>
  <c r="D13" i="2"/>
  <c r="E13" i="2"/>
  <c r="F13" i="2"/>
  <c r="G13" i="2"/>
  <c r="H13" i="2"/>
  <c r="I13" i="2"/>
  <c r="J13" i="2"/>
  <c r="K13" i="2"/>
  <c r="L13" i="2"/>
  <c r="D14" i="2"/>
  <c r="E14" i="2"/>
  <c r="F14" i="2"/>
  <c r="G14" i="2"/>
  <c r="H14" i="2"/>
  <c r="I14" i="2"/>
  <c r="J14" i="2"/>
  <c r="K14" i="2"/>
  <c r="L14" i="2"/>
  <c r="D15" i="2"/>
  <c r="E15" i="2"/>
  <c r="F15" i="2"/>
  <c r="G15" i="2"/>
  <c r="H15" i="2"/>
  <c r="I15" i="2"/>
  <c r="J15" i="2"/>
  <c r="K15" i="2"/>
  <c r="L15" i="2"/>
  <c r="D16" i="2"/>
  <c r="E16" i="2"/>
  <c r="F16" i="2"/>
  <c r="G16" i="2"/>
  <c r="H16" i="2"/>
  <c r="I16" i="2"/>
  <c r="J16" i="2"/>
  <c r="K16" i="2"/>
  <c r="L16" i="2"/>
  <c r="D17" i="2"/>
  <c r="E17" i="2"/>
  <c r="F17" i="2"/>
  <c r="G17" i="2"/>
  <c r="H17" i="2"/>
  <c r="I17" i="2"/>
  <c r="J17" i="2"/>
  <c r="K17" i="2"/>
  <c r="L17" i="2"/>
  <c r="D18" i="2"/>
  <c r="E18" i="2"/>
  <c r="F18" i="2"/>
  <c r="G18" i="2"/>
  <c r="H18" i="2"/>
  <c r="I18" i="2"/>
  <c r="J18" i="2"/>
  <c r="K18" i="2"/>
  <c r="L18" i="2"/>
  <c r="C13" i="2"/>
  <c r="C14" i="2"/>
  <c r="C15" i="2"/>
  <c r="C16" i="2"/>
  <c r="C17" i="2"/>
  <c r="C18" i="2"/>
  <c r="C12" i="2"/>
  <c r="D9" i="7"/>
  <c r="E9" i="7"/>
  <c r="F9" i="7"/>
  <c r="G9" i="7"/>
  <c r="H9" i="7"/>
  <c r="I9" i="7"/>
  <c r="J9" i="7"/>
  <c r="K9" i="7"/>
  <c r="L9" i="7"/>
  <c r="D10" i="7"/>
  <c r="E10" i="7"/>
  <c r="F10" i="7"/>
  <c r="G10" i="7"/>
  <c r="H10" i="7"/>
  <c r="I10" i="7"/>
  <c r="J10" i="7"/>
  <c r="K10" i="7"/>
  <c r="L10" i="7"/>
  <c r="D11" i="7"/>
  <c r="E11" i="7"/>
  <c r="F11" i="7"/>
  <c r="G11" i="7"/>
  <c r="H11" i="7"/>
  <c r="I11" i="7"/>
  <c r="J11" i="7"/>
  <c r="K11" i="7"/>
  <c r="L11" i="7"/>
  <c r="D12" i="7"/>
  <c r="E12" i="7"/>
  <c r="F12" i="7"/>
  <c r="G12" i="7"/>
  <c r="H12" i="7"/>
  <c r="I12" i="7"/>
  <c r="J12" i="7"/>
  <c r="K12" i="7"/>
  <c r="L12" i="7"/>
  <c r="C10" i="7"/>
  <c r="C11" i="7"/>
  <c r="C12" i="7"/>
  <c r="C9" i="7"/>
  <c r="D32" i="14"/>
  <c r="E32" i="14"/>
  <c r="F32" i="14"/>
  <c r="G32" i="14"/>
  <c r="H32" i="14"/>
  <c r="I32" i="14"/>
  <c r="J32" i="14"/>
  <c r="K32" i="14"/>
  <c r="L32" i="14"/>
  <c r="D33" i="14"/>
  <c r="E33" i="14"/>
  <c r="F33" i="14"/>
  <c r="G33" i="14"/>
  <c r="H33" i="14"/>
  <c r="I33" i="14"/>
  <c r="J33" i="14"/>
  <c r="K33" i="14"/>
  <c r="L33" i="14"/>
  <c r="D34" i="14"/>
  <c r="E34" i="14"/>
  <c r="F34" i="14"/>
  <c r="G34" i="14"/>
  <c r="H34" i="14"/>
  <c r="I34" i="14"/>
  <c r="J34" i="14"/>
  <c r="K34" i="14"/>
  <c r="L34" i="14"/>
  <c r="D35" i="14"/>
  <c r="E35" i="14"/>
  <c r="F35" i="14"/>
  <c r="G35" i="14"/>
  <c r="H35" i="14"/>
  <c r="I35" i="14"/>
  <c r="J35" i="14"/>
  <c r="K35" i="14"/>
  <c r="L35" i="14"/>
  <c r="D36" i="14"/>
  <c r="E36" i="14"/>
  <c r="F36" i="14"/>
  <c r="G36" i="14"/>
  <c r="H36" i="14"/>
  <c r="I36" i="14"/>
  <c r="J36" i="14"/>
  <c r="K36" i="14"/>
  <c r="L36" i="14"/>
  <c r="D37" i="14"/>
  <c r="E37" i="14"/>
  <c r="F37" i="14"/>
  <c r="G37" i="14"/>
  <c r="H37" i="14"/>
  <c r="I37" i="14"/>
  <c r="J37" i="14"/>
  <c r="K37" i="14"/>
  <c r="L37" i="14"/>
  <c r="D38" i="14"/>
  <c r="E38" i="14"/>
  <c r="F38" i="14"/>
  <c r="G38" i="14"/>
  <c r="H38" i="14"/>
  <c r="I38" i="14"/>
  <c r="J38" i="14"/>
  <c r="K38" i="14"/>
  <c r="L38" i="14"/>
  <c r="D39" i="14"/>
  <c r="E39" i="14"/>
  <c r="F39" i="14"/>
  <c r="G39" i="14"/>
  <c r="H39" i="14"/>
  <c r="I39" i="14"/>
  <c r="J39" i="14"/>
  <c r="K39" i="14"/>
  <c r="L39" i="14"/>
  <c r="C33" i="14"/>
  <c r="C34" i="14"/>
  <c r="C35" i="14"/>
  <c r="C36" i="14"/>
  <c r="C37" i="14"/>
  <c r="C38" i="14"/>
  <c r="C39" i="14"/>
  <c r="C32" i="14"/>
  <c r="C123" i="8" l="1"/>
  <c r="D123" i="8"/>
  <c r="E123" i="8"/>
  <c r="F123" i="8"/>
  <c r="G123" i="8"/>
  <c r="H123" i="8"/>
  <c r="I123" i="8"/>
  <c r="J123" i="8"/>
  <c r="K123" i="8"/>
  <c r="L123" i="8"/>
  <c r="B123" i="8"/>
  <c r="C9" i="8"/>
  <c r="D9" i="8"/>
  <c r="E9" i="8"/>
  <c r="F9" i="8"/>
  <c r="G9" i="8"/>
  <c r="H9" i="8"/>
  <c r="I9" i="8"/>
  <c r="J9" i="8"/>
  <c r="K9" i="8"/>
  <c r="L9" i="8"/>
  <c r="C10" i="8"/>
  <c r="D10" i="8"/>
  <c r="E10" i="8"/>
  <c r="F10" i="8"/>
  <c r="G10" i="8"/>
  <c r="H10" i="8"/>
  <c r="I10" i="8"/>
  <c r="J10" i="8"/>
  <c r="K10" i="8"/>
  <c r="L10" i="8"/>
  <c r="C11" i="8"/>
  <c r="D11" i="8"/>
  <c r="E11" i="8"/>
  <c r="F11" i="8"/>
  <c r="G11" i="8"/>
  <c r="H11" i="8"/>
  <c r="I11" i="8"/>
  <c r="J11" i="8"/>
  <c r="K11" i="8"/>
  <c r="L11" i="8"/>
  <c r="B11" i="8"/>
  <c r="B10" i="8"/>
  <c r="C122" i="8" l="1"/>
  <c r="D122" i="8"/>
  <c r="K122" i="8"/>
  <c r="J121" i="8"/>
  <c r="G122" i="8"/>
  <c r="F121" i="8"/>
  <c r="H122" i="8"/>
  <c r="B122" i="8"/>
  <c r="L122" i="8"/>
  <c r="C121" i="8"/>
  <c r="I121" i="8"/>
  <c r="E121" i="8"/>
  <c r="J122" i="8"/>
  <c r="F122" i="8"/>
  <c r="L121" i="8"/>
  <c r="H121" i="8"/>
  <c r="D121" i="8"/>
  <c r="I122" i="8"/>
  <c r="E122" i="8"/>
  <c r="K121" i="8"/>
  <c r="G121" i="8"/>
  <c r="B187" i="11" l="1"/>
  <c r="B186" i="11"/>
  <c r="C174" i="11" l="1"/>
  <c r="C173" i="11"/>
  <c r="C177" i="11"/>
  <c r="C176" i="11"/>
  <c r="C171" i="11"/>
  <c r="B9" i="7" l="1"/>
  <c r="B11" i="7"/>
  <c r="B134" i="8" s="1"/>
  <c r="C134" i="8" s="1"/>
  <c r="D134" i="8" s="1"/>
  <c r="E134" i="8" s="1"/>
  <c r="F134" i="8" s="1"/>
  <c r="G134" i="8" s="1"/>
  <c r="H134" i="8" s="1"/>
  <c r="I134" i="8" s="1"/>
  <c r="J134" i="8" s="1"/>
  <c r="K134" i="8" s="1"/>
  <c r="L134" i="8" s="1"/>
  <c r="B13" i="7"/>
  <c r="D42" i="14"/>
  <c r="E42" i="14"/>
  <c r="F42" i="14"/>
  <c r="G42" i="14"/>
  <c r="H42" i="14"/>
  <c r="I42" i="14"/>
  <c r="J42" i="14"/>
  <c r="K42" i="14"/>
  <c r="L42" i="14"/>
  <c r="D43" i="14"/>
  <c r="E43" i="14"/>
  <c r="F43" i="14"/>
  <c r="G43" i="14"/>
  <c r="H43" i="14"/>
  <c r="I43" i="14"/>
  <c r="J43" i="14"/>
  <c r="K43" i="14"/>
  <c r="L43" i="14"/>
  <c r="D44" i="14"/>
  <c r="E44" i="14"/>
  <c r="F44" i="14"/>
  <c r="G44" i="14"/>
  <c r="H44" i="14"/>
  <c r="I44" i="14"/>
  <c r="J44" i="14"/>
  <c r="K44" i="14"/>
  <c r="L44" i="14"/>
  <c r="D45" i="14"/>
  <c r="E45" i="14"/>
  <c r="F45" i="14"/>
  <c r="G45" i="14"/>
  <c r="H45" i="14"/>
  <c r="I45" i="14"/>
  <c r="J45" i="14"/>
  <c r="K45" i="14"/>
  <c r="L45" i="14"/>
  <c r="D46" i="14"/>
  <c r="E46" i="14"/>
  <c r="F46" i="14"/>
  <c r="G46" i="14"/>
  <c r="H46" i="14"/>
  <c r="I46" i="14"/>
  <c r="J46" i="14"/>
  <c r="K46" i="14"/>
  <c r="L46" i="14"/>
  <c r="D47" i="14"/>
  <c r="E47" i="14"/>
  <c r="F47" i="14"/>
  <c r="G47" i="14"/>
  <c r="H47" i="14"/>
  <c r="I47" i="14"/>
  <c r="J47" i="14"/>
  <c r="K47" i="14"/>
  <c r="L47" i="14"/>
  <c r="D48" i="14"/>
  <c r="E48" i="14"/>
  <c r="F48" i="14"/>
  <c r="G48" i="14"/>
  <c r="H48" i="14"/>
  <c r="I48" i="14"/>
  <c r="J48" i="14"/>
  <c r="K48" i="14"/>
  <c r="L48" i="14"/>
  <c r="D49" i="14"/>
  <c r="E49" i="14"/>
  <c r="F49" i="14"/>
  <c r="G49" i="14"/>
  <c r="H49" i="14"/>
  <c r="I49" i="14"/>
  <c r="J49" i="14"/>
  <c r="K49" i="14"/>
  <c r="L49" i="14"/>
  <c r="C43" i="14"/>
  <c r="C44" i="14"/>
  <c r="C45" i="14"/>
  <c r="C46" i="14"/>
  <c r="C47" i="14"/>
  <c r="C48" i="14"/>
  <c r="C49" i="14"/>
  <c r="C42" i="14"/>
  <c r="V2" i="1" l="1"/>
  <c r="B90" i="14" l="1"/>
  <c r="C94" i="14"/>
  <c r="B93" i="14"/>
  <c r="B89" i="14"/>
  <c r="C93" i="14"/>
  <c r="B92" i="14"/>
  <c r="C92" i="14"/>
  <c r="C90" i="14"/>
  <c r="C91" i="14"/>
  <c r="B94" i="14"/>
  <c r="B91" i="14"/>
  <c r="B182" i="11"/>
  <c r="E24" i="26"/>
  <c r="E25" i="26"/>
  <c r="E26" i="26"/>
  <c r="E27" i="26"/>
  <c r="E28" i="26"/>
  <c r="E9" i="26"/>
  <c r="E10" i="26"/>
  <c r="E11" i="26"/>
  <c r="E12" i="26"/>
  <c r="E13" i="26"/>
  <c r="E57" i="26"/>
  <c r="E58" i="26"/>
  <c r="E59" i="26"/>
  <c r="E60" i="26"/>
  <c r="E61" i="26"/>
  <c r="B173" i="11"/>
  <c r="B174" i="11"/>
  <c r="B171" i="11"/>
  <c r="B181" i="11" l="1"/>
  <c r="J10" i="15"/>
  <c r="B12" i="7" l="1"/>
  <c r="B10" i="7"/>
  <c r="C175" i="11" l="1"/>
  <c r="C172" i="11"/>
  <c r="C170" i="11"/>
  <c r="B121" i="8" l="1"/>
  <c r="C101" i="8"/>
  <c r="D101" i="8"/>
  <c r="E101" i="8"/>
  <c r="F101" i="8"/>
  <c r="G101" i="8"/>
  <c r="H101" i="8"/>
  <c r="I101" i="8"/>
  <c r="J101" i="8"/>
  <c r="K101" i="8"/>
  <c r="L101" i="8"/>
  <c r="B101" i="8"/>
  <c r="C155" i="11"/>
  <c r="C65" i="2" s="1"/>
  <c r="L65" i="2"/>
  <c r="B65" i="2"/>
  <c r="D155" i="11" l="1"/>
  <c r="E155" i="11" s="1"/>
  <c r="F155" i="11" s="1"/>
  <c r="C12" i="14"/>
  <c r="C13" i="14"/>
  <c r="B14" i="14"/>
  <c r="B21" i="9" s="1"/>
  <c r="B30" i="9" s="1"/>
  <c r="B13" i="14"/>
  <c r="B12" i="14"/>
  <c r="D12" i="14"/>
  <c r="E12" i="14"/>
  <c r="F12" i="14"/>
  <c r="G12" i="14"/>
  <c r="H12" i="14"/>
  <c r="I12" i="14"/>
  <c r="J12" i="14"/>
  <c r="K12" i="14"/>
  <c r="L12" i="14"/>
  <c r="D13" i="14"/>
  <c r="E13" i="14"/>
  <c r="F13" i="14"/>
  <c r="G13" i="14"/>
  <c r="H13" i="14"/>
  <c r="I13" i="14"/>
  <c r="J13" i="14"/>
  <c r="K13" i="14"/>
  <c r="L13" i="14"/>
  <c r="B25" i="8"/>
  <c r="B22" i="8"/>
  <c r="B18" i="8"/>
  <c r="C14" i="14" l="1"/>
  <c r="C21" i="9" s="1"/>
  <c r="C30" i="9" s="1"/>
  <c r="D65" i="2"/>
  <c r="E65" i="2"/>
  <c r="F65" i="2"/>
  <c r="F70" i="2" s="1"/>
  <c r="G155" i="11"/>
  <c r="D156" i="11"/>
  <c r="E156" i="11"/>
  <c r="F156" i="11"/>
  <c r="L156" i="11"/>
  <c r="C156" i="11"/>
  <c r="D14" i="14" l="1"/>
  <c r="E14" i="14" s="1"/>
  <c r="F14" i="14" s="1"/>
  <c r="G14" i="14" s="1"/>
  <c r="H14" i="14" s="1"/>
  <c r="I14" i="14" s="1"/>
  <c r="J14" i="14" s="1"/>
  <c r="K14" i="14" s="1"/>
  <c r="L14" i="14" s="1"/>
  <c r="H155" i="11"/>
  <c r="G65" i="2"/>
  <c r="G156" i="11"/>
  <c r="B9" i="8"/>
  <c r="G21" i="9" l="1"/>
  <c r="G30" i="9" s="1"/>
  <c r="H21" i="9"/>
  <c r="H30" i="9" s="1"/>
  <c r="E21" i="9"/>
  <c r="E30" i="9" s="1"/>
  <c r="J21" i="9"/>
  <c r="J30" i="9" s="1"/>
  <c r="F21" i="9"/>
  <c r="F30" i="9" s="1"/>
  <c r="D21" i="9"/>
  <c r="D30" i="9" s="1"/>
  <c r="I21" i="9"/>
  <c r="I30" i="9" s="1"/>
  <c r="K21" i="9"/>
  <c r="K30" i="9" s="1"/>
  <c r="L21" i="9"/>
  <c r="L30" i="9" s="1"/>
  <c r="I155" i="11"/>
  <c r="H65" i="2"/>
  <c r="H156" i="11"/>
  <c r="C2" i="7"/>
  <c r="D2" i="7" s="1"/>
  <c r="E2" i="7" s="1"/>
  <c r="F2" i="7" s="1"/>
  <c r="G2" i="7" s="1"/>
  <c r="H2" i="7" s="1"/>
  <c r="I2" i="7" s="1"/>
  <c r="J2" i="7" s="1"/>
  <c r="K2" i="7" s="1"/>
  <c r="L2" i="7" s="1"/>
  <c r="C3" i="7"/>
  <c r="D3" i="7" s="1"/>
  <c r="E3" i="7" s="1"/>
  <c r="F3" i="7" s="1"/>
  <c r="G3" i="7" s="1"/>
  <c r="H3" i="7" s="1"/>
  <c r="I3" i="7" s="1"/>
  <c r="J3" i="7" s="1"/>
  <c r="K3" i="7" s="1"/>
  <c r="L3" i="7" s="1"/>
  <c r="C4" i="7"/>
  <c r="D4" i="7" s="1"/>
  <c r="E4" i="7" s="1"/>
  <c r="F4" i="7" s="1"/>
  <c r="G4" i="7" s="1"/>
  <c r="H4" i="7" s="1"/>
  <c r="I4" i="7" s="1"/>
  <c r="J4" i="7" s="1"/>
  <c r="K4" i="7" s="1"/>
  <c r="L4" i="7" s="1"/>
  <c r="C5" i="7"/>
  <c r="D5" i="7" s="1"/>
  <c r="E5" i="7" s="1"/>
  <c r="F5" i="7" s="1"/>
  <c r="G5" i="7" s="1"/>
  <c r="H5" i="7" s="1"/>
  <c r="I5" i="7" s="1"/>
  <c r="J5" i="7" s="1"/>
  <c r="K5" i="7" s="1"/>
  <c r="L5" i="7" s="1"/>
  <c r="J155" i="11" l="1"/>
  <c r="I65" i="2"/>
  <c r="I156" i="11"/>
  <c r="J11" i="9"/>
  <c r="E16" i="9"/>
  <c r="I16" i="9"/>
  <c r="C16" i="9"/>
  <c r="G16" i="9"/>
  <c r="K16" i="9"/>
  <c r="F12" i="9"/>
  <c r="J12" i="9"/>
  <c r="C11" i="9"/>
  <c r="D11" i="9"/>
  <c r="E11" i="9"/>
  <c r="G11" i="9"/>
  <c r="H11" i="9"/>
  <c r="I11" i="9"/>
  <c r="K11" i="9"/>
  <c r="L11" i="9"/>
  <c r="C12" i="9"/>
  <c r="D12" i="9"/>
  <c r="E12" i="9"/>
  <c r="G12" i="9"/>
  <c r="H12" i="9"/>
  <c r="K12" i="9"/>
  <c r="L12" i="9"/>
  <c r="C13" i="9"/>
  <c r="D13" i="9"/>
  <c r="E13" i="9"/>
  <c r="F13" i="9"/>
  <c r="G13" i="9"/>
  <c r="H13" i="9"/>
  <c r="I13" i="9"/>
  <c r="J13" i="9"/>
  <c r="K13" i="9"/>
  <c r="L13" i="9"/>
  <c r="D16" i="9"/>
  <c r="F16" i="9"/>
  <c r="H16" i="9"/>
  <c r="J16" i="9"/>
  <c r="L16" i="9"/>
  <c r="B12" i="9"/>
  <c r="B13" i="9"/>
  <c r="B16" i="9"/>
  <c r="B11" i="9"/>
  <c r="K155" i="11" l="1"/>
  <c r="J65" i="2"/>
  <c r="J156" i="11"/>
  <c r="F11" i="9"/>
  <c r="I12" i="9"/>
  <c r="C29" i="9"/>
  <c r="D24" i="9"/>
  <c r="E26" i="9"/>
  <c r="F27" i="9"/>
  <c r="H26" i="9"/>
  <c r="I26" i="9"/>
  <c r="J24" i="9"/>
  <c r="K26" i="9"/>
  <c r="L24" i="9"/>
  <c r="K65" i="2" l="1"/>
  <c r="K156" i="11"/>
  <c r="B26" i="9"/>
  <c r="B29" i="9"/>
  <c r="B25" i="9"/>
  <c r="F26" i="9"/>
  <c r="C24" i="9"/>
  <c r="C27" i="9"/>
  <c r="C26" i="9"/>
  <c r="G24" i="9"/>
  <c r="G29" i="9"/>
  <c r="G27" i="9"/>
  <c r="G28" i="9"/>
  <c r="C25" i="9"/>
  <c r="K27" i="9"/>
  <c r="K25" i="9"/>
  <c r="K28" i="9"/>
  <c r="K24" i="9"/>
  <c r="D29" i="9"/>
  <c r="C28" i="9"/>
  <c r="K29" i="9"/>
  <c r="G26" i="9"/>
  <c r="G25" i="9"/>
  <c r="L29" i="9"/>
  <c r="J27" i="9"/>
  <c r="L26" i="9"/>
  <c r="D25" i="9"/>
  <c r="H24" i="9"/>
  <c r="D28" i="9"/>
  <c r="H27" i="9"/>
  <c r="L25" i="9"/>
  <c r="L28" i="9"/>
  <c r="H28" i="9"/>
  <c r="L27" i="9"/>
  <c r="D26" i="9"/>
  <c r="H25" i="9"/>
  <c r="H29" i="9"/>
  <c r="D27" i="9"/>
  <c r="F29" i="9"/>
  <c r="B28" i="9"/>
  <c r="J26" i="9"/>
  <c r="F25" i="9"/>
  <c r="B24" i="9"/>
  <c r="J29" i="9"/>
  <c r="F28" i="9"/>
  <c r="B27" i="9"/>
  <c r="J25" i="9"/>
  <c r="F24" i="9"/>
  <c r="J28" i="9"/>
  <c r="I27" i="9"/>
  <c r="E27" i="9"/>
  <c r="I28" i="9"/>
  <c r="E28" i="9"/>
  <c r="I24" i="9"/>
  <c r="E24" i="9"/>
  <c r="I29" i="9"/>
  <c r="E29" i="9"/>
  <c r="I25" i="9"/>
  <c r="E25" i="9"/>
  <c r="B29" i="14" l="1"/>
  <c r="B27" i="14" l="1"/>
  <c r="B28" i="14"/>
  <c r="B68" i="2"/>
  <c r="C68" i="2"/>
  <c r="D68" i="2"/>
  <c r="E68" i="2"/>
  <c r="F68" i="2"/>
  <c r="G68" i="2"/>
  <c r="H68" i="2"/>
  <c r="I68" i="2"/>
  <c r="J68" i="2"/>
  <c r="K68" i="2"/>
  <c r="L68" i="2"/>
  <c r="B156" i="11" l="1"/>
  <c r="C34" i="8" l="1"/>
  <c r="B137" i="8"/>
  <c r="C137" i="8" l="1"/>
  <c r="D137" i="8" s="1"/>
  <c r="E137" i="8" s="1"/>
  <c r="F137" i="8" s="1"/>
  <c r="G137" i="8" s="1"/>
  <c r="H137" i="8" s="1"/>
  <c r="I137" i="8" s="1"/>
  <c r="J137" i="8" s="1"/>
  <c r="K137" i="8" s="1"/>
  <c r="L137" i="8" s="1"/>
  <c r="C62" i="7"/>
  <c r="D62" i="7"/>
  <c r="E62" i="7"/>
  <c r="F62" i="7"/>
  <c r="G62" i="7"/>
  <c r="H62" i="7"/>
  <c r="I62" i="7"/>
  <c r="J62" i="7"/>
  <c r="K62" i="7"/>
  <c r="L62" i="7"/>
  <c r="B62" i="7"/>
  <c r="B23" i="8" l="1"/>
  <c r="B135" i="8"/>
  <c r="C135" i="8" s="1"/>
  <c r="D135" i="8" s="1"/>
  <c r="E135" i="8" s="1"/>
  <c r="F135" i="8" s="1"/>
  <c r="G135" i="8" s="1"/>
  <c r="H135" i="8" s="1"/>
  <c r="I135" i="8" s="1"/>
  <c r="J135" i="8" s="1"/>
  <c r="K135" i="8" s="1"/>
  <c r="L135" i="8" s="1"/>
  <c r="B129" i="8"/>
  <c r="B127" i="8"/>
  <c r="B126" i="8"/>
  <c r="B125" i="8"/>
  <c r="B132" i="8"/>
  <c r="C132" i="8" s="1"/>
  <c r="D132" i="8" s="1"/>
  <c r="E132" i="8" s="1"/>
  <c r="F132" i="8" s="1"/>
  <c r="G132" i="8" s="1"/>
  <c r="H132" i="8" s="1"/>
  <c r="I132" i="8" s="1"/>
  <c r="J132" i="8" s="1"/>
  <c r="K132" i="8" s="1"/>
  <c r="L132" i="8" s="1"/>
  <c r="B2" i="8"/>
  <c r="B16" i="8" l="1"/>
  <c r="B128" i="8"/>
  <c r="C23" i="8"/>
  <c r="D23" i="8" s="1"/>
  <c r="E23" i="8" s="1"/>
  <c r="F23" i="8" s="1"/>
  <c r="G23" i="8" s="1"/>
  <c r="H23" i="8" s="1"/>
  <c r="I23" i="8" s="1"/>
  <c r="J23" i="8" s="1"/>
  <c r="K23" i="8" s="1"/>
  <c r="L23" i="8" s="1"/>
  <c r="B14" i="8"/>
  <c r="B20" i="8"/>
  <c r="B49" i="10"/>
  <c r="B50" i="10" s="1"/>
  <c r="B51" i="10" s="1"/>
  <c r="B52" i="10" s="1"/>
  <c r="B53" i="10" s="1"/>
  <c r="B54" i="10" s="1"/>
  <c r="B55" i="10" s="1"/>
  <c r="B56" i="10" s="1"/>
  <c r="B57" i="10" s="1"/>
  <c r="B58" i="10" s="1"/>
  <c r="B59" i="10" s="1"/>
  <c r="B21" i="8"/>
  <c r="B133" i="8"/>
  <c r="C133" i="8" s="1"/>
  <c r="D133" i="8" s="1"/>
  <c r="E133" i="8" s="1"/>
  <c r="F133" i="8" s="1"/>
  <c r="G133" i="8" s="1"/>
  <c r="H133" i="8" s="1"/>
  <c r="I133" i="8" s="1"/>
  <c r="J133" i="8" s="1"/>
  <c r="K133" i="8" s="1"/>
  <c r="L133" i="8" s="1"/>
  <c r="B15" i="8"/>
  <c r="B13" i="8"/>
  <c r="C49" i="10"/>
  <c r="C50" i="10" s="1"/>
  <c r="C51" i="10" s="1"/>
  <c r="C52" i="10" s="1"/>
  <c r="C53" i="10" s="1"/>
  <c r="C54" i="10" s="1"/>
  <c r="C55" i="10" s="1"/>
  <c r="C56" i="10" s="1"/>
  <c r="C57" i="10" s="1"/>
  <c r="C58" i="10" s="1"/>
  <c r="C59" i="10" s="1"/>
  <c r="B17" i="8"/>
  <c r="D33" i="9"/>
  <c r="E33" i="9"/>
  <c r="B33" i="9"/>
  <c r="C33" i="9"/>
  <c r="A1" i="15"/>
  <c r="B37" i="9" l="1"/>
  <c r="E37" i="9"/>
  <c r="D37" i="9"/>
  <c r="F33" i="9"/>
  <c r="C37" i="9"/>
  <c r="P1" i="14" a="1"/>
  <c r="P1" i="14" s="1"/>
  <c r="B23" i="2"/>
  <c r="B24" i="2"/>
  <c r="B25" i="2"/>
  <c r="B26" i="2"/>
  <c r="B27" i="2"/>
  <c r="B28" i="2"/>
  <c r="B29" i="2"/>
  <c r="B22" i="2"/>
  <c r="C93" i="11"/>
  <c r="D93" i="11"/>
  <c r="E93" i="11"/>
  <c r="F93" i="11"/>
  <c r="B93" i="11"/>
  <c r="I5" i="29" l="1"/>
  <c r="I4" i="29"/>
  <c r="I3" i="29"/>
  <c r="I2" i="29"/>
  <c r="C9" i="14"/>
  <c r="D9" i="14" s="1"/>
  <c r="A48" i="28"/>
  <c r="A50" i="28"/>
  <c r="C101" i="26"/>
  <c r="F101" i="26"/>
  <c r="D101" i="26"/>
  <c r="B101" i="26"/>
  <c r="E101" i="26"/>
  <c r="B86" i="7"/>
  <c r="C102" i="26"/>
  <c r="B102" i="26"/>
  <c r="E102" i="26"/>
  <c r="D102" i="26"/>
  <c r="F102" i="26"/>
  <c r="A60" i="28"/>
  <c r="A58" i="28"/>
  <c r="A56" i="28"/>
  <c r="A54" i="28"/>
  <c r="A20" i="28"/>
  <c r="A30" i="28"/>
  <c r="A18" i="28"/>
  <c r="C8" i="14"/>
  <c r="C2" i="14"/>
  <c r="D2" i="14" s="1"/>
  <c r="E2" i="14" s="1"/>
  <c r="F2" i="14" s="1"/>
  <c r="G2" i="14" s="1"/>
  <c r="H2" i="14" s="1"/>
  <c r="I2" i="14" s="1"/>
  <c r="J2" i="14" s="1"/>
  <c r="K2" i="14" s="1"/>
  <c r="L2" i="14" s="1"/>
  <c r="C3" i="14"/>
  <c r="D3" i="14" s="1"/>
  <c r="E3" i="14" s="1"/>
  <c r="F3" i="14" s="1"/>
  <c r="G3" i="14" s="1"/>
  <c r="H3" i="14" s="1"/>
  <c r="I3" i="14" s="1"/>
  <c r="J3" i="14" s="1"/>
  <c r="K3" i="14" s="1"/>
  <c r="L3" i="14" s="1"/>
  <c r="A2" i="15"/>
  <c r="J17" i="15"/>
  <c r="J18" i="15"/>
  <c r="F37" i="9"/>
  <c r="B4" i="14"/>
  <c r="B5" i="14"/>
  <c r="C5" i="14" s="1"/>
  <c r="B6" i="14"/>
  <c r="C6" i="14" s="1"/>
  <c r="B7" i="14"/>
  <c r="B16" i="7" s="1"/>
  <c r="E1" i="27"/>
  <c r="B59" i="7"/>
  <c r="B24" i="7"/>
  <c r="B83" i="7" s="1"/>
  <c r="B58" i="7"/>
  <c r="B25" i="7"/>
  <c r="O1" i="6"/>
  <c r="O1" i="26"/>
  <c r="O1" i="2"/>
  <c r="E2" i="1"/>
  <c r="D4" i="1" s="1"/>
  <c r="G33" i="9"/>
  <c r="G93" i="11"/>
  <c r="B38" i="2"/>
  <c r="B53" i="2" s="1"/>
  <c r="B70" i="7" s="1"/>
  <c r="B36" i="2"/>
  <c r="B51" i="2" s="1"/>
  <c r="B68" i="7" s="1"/>
  <c r="B41" i="2"/>
  <c r="B56" i="2" s="1"/>
  <c r="B73" i="7" s="1"/>
  <c r="B37" i="2"/>
  <c r="B52" i="2" s="1"/>
  <c r="B69" i="7" s="1"/>
  <c r="B40" i="2"/>
  <c r="N1" i="9"/>
  <c r="B39" i="2"/>
  <c r="B43" i="2"/>
  <c r="B42" i="2"/>
  <c r="B57" i="2" s="1"/>
  <c r="B77" i="7" s="1"/>
  <c r="C90" i="11"/>
  <c r="D90" i="11"/>
  <c r="E90" i="11"/>
  <c r="F90" i="11"/>
  <c r="C91" i="11"/>
  <c r="D91" i="11"/>
  <c r="E91" i="11"/>
  <c r="F91" i="11"/>
  <c r="C92" i="11"/>
  <c r="D92" i="11"/>
  <c r="E92" i="11"/>
  <c r="F92" i="11"/>
  <c r="B91" i="11"/>
  <c r="B92" i="11"/>
  <c r="B90" i="11"/>
  <c r="E9" i="14" l="1"/>
  <c r="C21" i="8"/>
  <c r="C20" i="8"/>
  <c r="B83" i="8"/>
  <c r="B73" i="8"/>
  <c r="B84" i="8"/>
  <c r="B76" i="8"/>
  <c r="B72" i="8"/>
  <c r="B78" i="8"/>
  <c r="B80" i="8"/>
  <c r="B75" i="8"/>
  <c r="B71" i="8"/>
  <c r="B74" i="8"/>
  <c r="B68" i="8"/>
  <c r="B69" i="8"/>
  <c r="B67" i="8"/>
  <c r="B81" i="8"/>
  <c r="B79" i="8"/>
  <c r="C7" i="14"/>
  <c r="C106" i="7" s="1"/>
  <c r="D5" i="14"/>
  <c r="C72" i="2"/>
  <c r="C25" i="8"/>
  <c r="C22" i="8"/>
  <c r="G37" i="9"/>
  <c r="D6" i="14"/>
  <c r="B19" i="8"/>
  <c r="B77" i="8" s="1"/>
  <c r="B114" i="8"/>
  <c r="C4" i="14"/>
  <c r="H33" i="9"/>
  <c r="O1" i="5"/>
  <c r="O1" i="7"/>
  <c r="B1" i="8"/>
  <c r="G91" i="11"/>
  <c r="G90" i="11"/>
  <c r="G92" i="11"/>
  <c r="F9" i="14" l="1"/>
  <c r="D20" i="8"/>
  <c r="D21" i="8"/>
  <c r="D7" i="14"/>
  <c r="C16" i="7"/>
  <c r="C67" i="8"/>
  <c r="C69" i="8"/>
  <c r="C80" i="8"/>
  <c r="C83" i="8"/>
  <c r="C81" i="8"/>
  <c r="C79" i="8"/>
  <c r="C68" i="8"/>
  <c r="C78" i="8"/>
  <c r="E5" i="14"/>
  <c r="D72" i="2"/>
  <c r="H37" i="9"/>
  <c r="D8" i="14"/>
  <c r="E6" i="14"/>
  <c r="D4" i="14"/>
  <c r="C56" i="8"/>
  <c r="B56" i="8"/>
  <c r="C51" i="7"/>
  <c r="C65" i="7"/>
  <c r="C115" i="8" s="1"/>
  <c r="C50" i="7"/>
  <c r="I33" i="9"/>
  <c r="G9" i="14" l="1"/>
  <c r="E21" i="8"/>
  <c r="E20" i="8"/>
  <c r="D16" i="7"/>
  <c r="D106" i="7"/>
  <c r="E7" i="14"/>
  <c r="D67" i="8"/>
  <c r="D69" i="8"/>
  <c r="D68" i="8"/>
  <c r="D81" i="8"/>
  <c r="F5" i="14"/>
  <c r="E72" i="2"/>
  <c r="I37" i="9"/>
  <c r="D56" i="8"/>
  <c r="E8" i="14"/>
  <c r="F6" i="14"/>
  <c r="E4" i="14"/>
  <c r="B51" i="7"/>
  <c r="B65" i="7"/>
  <c r="B50" i="7"/>
  <c r="J33" i="9"/>
  <c r="F34" i="8"/>
  <c r="B117" i="11"/>
  <c r="C231" i="9"/>
  <c r="D231" i="9"/>
  <c r="E231" i="9"/>
  <c r="F231" i="9"/>
  <c r="B231" i="9"/>
  <c r="B111" i="11"/>
  <c r="B24" i="8" l="1"/>
  <c r="C24" i="8" s="1"/>
  <c r="D24" i="8" s="1"/>
  <c r="E24" i="8" s="1"/>
  <c r="F24" i="8" s="1"/>
  <c r="B136" i="8"/>
  <c r="C136" i="8" s="1"/>
  <c r="D136" i="8" s="1"/>
  <c r="E136" i="8" s="1"/>
  <c r="F136" i="8" s="1"/>
  <c r="G136" i="8" s="1"/>
  <c r="H136" i="8" s="1"/>
  <c r="I136" i="8" s="1"/>
  <c r="J136" i="8" s="1"/>
  <c r="K136" i="8" s="1"/>
  <c r="L136" i="8" s="1"/>
  <c r="H9" i="14"/>
  <c r="F20" i="8"/>
  <c r="F21" i="8"/>
  <c r="E16" i="7"/>
  <c r="E106" i="7"/>
  <c r="F7" i="14"/>
  <c r="E68" i="8"/>
  <c r="E81" i="8"/>
  <c r="E67" i="8"/>
  <c r="E69" i="8"/>
  <c r="G5" i="14"/>
  <c r="F72" i="2"/>
  <c r="B115" i="8"/>
  <c r="J37" i="9"/>
  <c r="J46" i="9" s="1"/>
  <c r="D236" i="9"/>
  <c r="F236" i="9"/>
  <c r="B236" i="9"/>
  <c r="C236" i="9"/>
  <c r="E236" i="9"/>
  <c r="G6" i="14"/>
  <c r="E56" i="8"/>
  <c r="F8" i="14"/>
  <c r="F4" i="14"/>
  <c r="C95" i="8"/>
  <c r="D51" i="7"/>
  <c r="D50" i="7"/>
  <c r="D65" i="7"/>
  <c r="D115" i="8" s="1"/>
  <c r="K33" i="9"/>
  <c r="B34" i="8"/>
  <c r="I34" i="8"/>
  <c r="E34" i="8"/>
  <c r="L34" i="8"/>
  <c r="L146" i="8" s="1"/>
  <c r="H34" i="8"/>
  <c r="D34" i="8"/>
  <c r="K34" i="8"/>
  <c r="K92" i="8" s="1"/>
  <c r="G34" i="8"/>
  <c r="C92" i="8"/>
  <c r="J34" i="8"/>
  <c r="J92" i="8" s="1"/>
  <c r="F92" i="8"/>
  <c r="F146" i="8"/>
  <c r="B47" i="7"/>
  <c r="B35" i="7"/>
  <c r="C35" i="7" s="1"/>
  <c r="B28" i="7"/>
  <c r="B29" i="7"/>
  <c r="B30" i="7"/>
  <c r="C30" i="7" s="1"/>
  <c r="D30" i="7" s="1"/>
  <c r="E30" i="7" s="1"/>
  <c r="F30" i="7" s="1"/>
  <c r="G30" i="7" s="1"/>
  <c r="H30" i="7" s="1"/>
  <c r="I30" i="7" s="1"/>
  <c r="J30" i="7" s="1"/>
  <c r="K30" i="7" s="1"/>
  <c r="L30" i="7" s="1"/>
  <c r="B31" i="7"/>
  <c r="C31" i="7" s="1"/>
  <c r="D31" i="7" s="1"/>
  <c r="E31" i="7" s="1"/>
  <c r="F31" i="7" s="1"/>
  <c r="G31" i="7" s="1"/>
  <c r="H31" i="7" s="1"/>
  <c r="I31" i="7" s="1"/>
  <c r="J31" i="7" s="1"/>
  <c r="K31" i="7" s="1"/>
  <c r="L31" i="7" s="1"/>
  <c r="B36" i="9"/>
  <c r="B38" i="9"/>
  <c r="B39" i="9"/>
  <c r="B40" i="9"/>
  <c r="B41" i="9"/>
  <c r="B42" i="9"/>
  <c r="B51" i="9" s="1"/>
  <c r="C46" i="9"/>
  <c r="D46" i="9"/>
  <c r="E46" i="9"/>
  <c r="F46" i="9"/>
  <c r="G46" i="9"/>
  <c r="H46" i="9"/>
  <c r="I46" i="9"/>
  <c r="C36" i="9"/>
  <c r="D36" i="9"/>
  <c r="E36" i="9"/>
  <c r="F36" i="9"/>
  <c r="G36" i="9"/>
  <c r="H36" i="9"/>
  <c r="I36" i="9"/>
  <c r="J36" i="9"/>
  <c r="K36" i="9"/>
  <c r="L36" i="9"/>
  <c r="C38" i="9"/>
  <c r="D38" i="9"/>
  <c r="E38" i="9"/>
  <c r="F38" i="9"/>
  <c r="G38" i="9"/>
  <c r="H38" i="9"/>
  <c r="I38" i="9"/>
  <c r="J38" i="9"/>
  <c r="K38" i="9"/>
  <c r="L38" i="9"/>
  <c r="C39" i="9"/>
  <c r="D39" i="9"/>
  <c r="E39" i="9"/>
  <c r="F39" i="9"/>
  <c r="G39" i="9"/>
  <c r="H39" i="9"/>
  <c r="I39" i="9"/>
  <c r="J39" i="9"/>
  <c r="K39" i="9"/>
  <c r="L39" i="9"/>
  <c r="C40" i="9"/>
  <c r="D40" i="9"/>
  <c r="E40" i="9"/>
  <c r="F40" i="9"/>
  <c r="G40" i="9"/>
  <c r="H40" i="9"/>
  <c r="I40" i="9"/>
  <c r="J40" i="9"/>
  <c r="K40" i="9"/>
  <c r="L40" i="9"/>
  <c r="C41" i="9"/>
  <c r="D41" i="9"/>
  <c r="E41" i="9"/>
  <c r="F41" i="9"/>
  <c r="G41" i="9"/>
  <c r="H41" i="9"/>
  <c r="I41" i="9"/>
  <c r="J41" i="9"/>
  <c r="K41" i="9"/>
  <c r="L41" i="9"/>
  <c r="C42" i="9"/>
  <c r="C51" i="9" s="1"/>
  <c r="D42" i="9"/>
  <c r="D51" i="9" s="1"/>
  <c r="E42" i="9"/>
  <c r="E51" i="9" s="1"/>
  <c r="F42" i="9"/>
  <c r="F51" i="9" s="1"/>
  <c r="G42" i="9"/>
  <c r="G51" i="9" s="1"/>
  <c r="H42" i="9"/>
  <c r="H51" i="9" s="1"/>
  <c r="I42" i="9"/>
  <c r="I51" i="9" s="1"/>
  <c r="J42" i="9"/>
  <c r="J51" i="9" s="1"/>
  <c r="K42" i="9"/>
  <c r="K51" i="9" s="1"/>
  <c r="L42" i="9"/>
  <c r="L51" i="9" s="1"/>
  <c r="C100" i="8"/>
  <c r="C6" i="5" s="1"/>
  <c r="D100" i="8"/>
  <c r="D6" i="5" s="1"/>
  <c r="E100" i="8"/>
  <c r="E6" i="5" s="1"/>
  <c r="F100" i="8"/>
  <c r="F6" i="5" s="1"/>
  <c r="G100" i="8"/>
  <c r="G6" i="5" s="1"/>
  <c r="H100" i="8"/>
  <c r="H6" i="5" s="1"/>
  <c r="I100" i="8"/>
  <c r="I6" i="5" s="1"/>
  <c r="J100" i="8"/>
  <c r="J6" i="5" s="1"/>
  <c r="K100" i="8"/>
  <c r="K6" i="5" s="1"/>
  <c r="L100" i="8"/>
  <c r="L6" i="5" s="1"/>
  <c r="C60" i="8"/>
  <c r="D60" i="8" s="1"/>
  <c r="E60" i="8" s="1"/>
  <c r="F60" i="8" s="1"/>
  <c r="G60" i="8" s="1"/>
  <c r="H60" i="8" s="1"/>
  <c r="I60" i="8" s="1"/>
  <c r="J60" i="8" s="1"/>
  <c r="K60" i="8" s="1"/>
  <c r="L60" i="8" s="1"/>
  <c r="I9" i="14" l="1"/>
  <c r="G24" i="8"/>
  <c r="G20" i="8"/>
  <c r="G21" i="8"/>
  <c r="F16" i="7"/>
  <c r="F106" i="7"/>
  <c r="G7" i="14"/>
  <c r="C82" i="8"/>
  <c r="B82" i="8"/>
  <c r="F81" i="8"/>
  <c r="F68" i="8"/>
  <c r="F69" i="8"/>
  <c r="F67" i="8"/>
  <c r="H5" i="14"/>
  <c r="G72" i="2"/>
  <c r="K37" i="9"/>
  <c r="K46" i="9" s="1"/>
  <c r="G8" i="14"/>
  <c r="H6" i="14"/>
  <c r="F56" i="8"/>
  <c r="G4" i="14"/>
  <c r="B51" i="8"/>
  <c r="B57" i="8"/>
  <c r="B47" i="8"/>
  <c r="B48" i="8"/>
  <c r="B53" i="8"/>
  <c r="B50" i="8"/>
  <c r="B54" i="8"/>
  <c r="B49" i="8"/>
  <c r="B131" i="8"/>
  <c r="B95" i="8"/>
  <c r="E51" i="7"/>
  <c r="E50" i="7"/>
  <c r="E65" i="7"/>
  <c r="E115" i="8" s="1"/>
  <c r="B46" i="8"/>
  <c r="B55" i="8"/>
  <c r="B58" i="8"/>
  <c r="G231" i="9"/>
  <c r="G236" i="9" s="1"/>
  <c r="E92" i="8"/>
  <c r="G146" i="8"/>
  <c r="D146" i="8"/>
  <c r="I92" i="8"/>
  <c r="H92" i="8"/>
  <c r="B146" i="8"/>
  <c r="C29" i="7"/>
  <c r="K50" i="9"/>
  <c r="J45" i="9"/>
  <c r="F45" i="9"/>
  <c r="H45" i="9"/>
  <c r="D45" i="9"/>
  <c r="K48" i="9"/>
  <c r="K49" i="9"/>
  <c r="K45" i="9"/>
  <c r="G45" i="9"/>
  <c r="C45" i="9"/>
  <c r="I45" i="9"/>
  <c r="E45" i="9"/>
  <c r="L33" i="9"/>
  <c r="C146" i="8"/>
  <c r="H146" i="8"/>
  <c r="B92" i="8"/>
  <c r="D92" i="8"/>
  <c r="I146" i="8"/>
  <c r="G50" i="9"/>
  <c r="C50" i="9"/>
  <c r="I49" i="9"/>
  <c r="E49" i="9"/>
  <c r="G48" i="9"/>
  <c r="C48" i="9"/>
  <c r="I47" i="9"/>
  <c r="E47" i="9"/>
  <c r="H50" i="9"/>
  <c r="D50" i="9"/>
  <c r="J49" i="9"/>
  <c r="F49" i="9"/>
  <c r="H48" i="9"/>
  <c r="D48" i="9"/>
  <c r="J47" i="9"/>
  <c r="F47" i="9"/>
  <c r="J50" i="9"/>
  <c r="F50" i="9"/>
  <c r="H49" i="9"/>
  <c r="D49" i="9"/>
  <c r="J48" i="9"/>
  <c r="F48" i="9"/>
  <c r="H47" i="9"/>
  <c r="D47" i="9"/>
  <c r="I50" i="9"/>
  <c r="E50" i="9"/>
  <c r="G49" i="9"/>
  <c r="C49" i="9"/>
  <c r="I48" i="9"/>
  <c r="E48" i="9"/>
  <c r="K47" i="9"/>
  <c r="G47" i="9"/>
  <c r="C47" i="9"/>
  <c r="E42" i="8"/>
  <c r="D94" i="8"/>
  <c r="E94" i="8"/>
  <c r="I94" i="8"/>
  <c r="L94" i="8"/>
  <c r="B94" i="8"/>
  <c r="F71" i="2"/>
  <c r="J70" i="2"/>
  <c r="J71" i="2" s="1"/>
  <c r="H94" i="8"/>
  <c r="L92" i="8"/>
  <c r="E146" i="8"/>
  <c r="G92" i="8"/>
  <c r="J146" i="8"/>
  <c r="B49" i="9"/>
  <c r="K146" i="8"/>
  <c r="B46" i="9"/>
  <c r="B45" i="9"/>
  <c r="B42" i="8"/>
  <c r="B43" i="8"/>
  <c r="D44" i="8"/>
  <c r="C42" i="8"/>
  <c r="B44" i="8"/>
  <c r="D42" i="8"/>
  <c r="B50" i="9"/>
  <c r="B48" i="9"/>
  <c r="B47" i="9"/>
  <c r="B41" i="7"/>
  <c r="C41" i="7" s="1"/>
  <c r="D41" i="7" s="1"/>
  <c r="E41" i="7" s="1"/>
  <c r="F41" i="7" s="1"/>
  <c r="G41" i="7" s="1"/>
  <c r="H41" i="7" s="1"/>
  <c r="I41" i="7" s="1"/>
  <c r="D35" i="7"/>
  <c r="C28" i="7"/>
  <c r="B70" i="2"/>
  <c r="B71" i="2" s="1"/>
  <c r="E70" i="2"/>
  <c r="E71" i="2" s="1"/>
  <c r="I70" i="2"/>
  <c r="I71" i="2" s="1"/>
  <c r="C94" i="8"/>
  <c r="J94" i="8"/>
  <c r="F94" i="8"/>
  <c r="L70" i="2"/>
  <c r="L71" i="2" s="1"/>
  <c r="H70" i="2"/>
  <c r="H71" i="2" s="1"/>
  <c r="D70" i="2"/>
  <c r="D71" i="2" s="1"/>
  <c r="G94" i="8"/>
  <c r="K70" i="2"/>
  <c r="K71" i="2" s="1"/>
  <c r="G70" i="2"/>
  <c r="G71" i="2" s="1"/>
  <c r="C70" i="2"/>
  <c r="C71" i="2" s="1"/>
  <c r="K94" i="8"/>
  <c r="J9" i="14" l="1"/>
  <c r="J41" i="7"/>
  <c r="K41" i="7" s="1"/>
  <c r="L41" i="7" s="1"/>
  <c r="I16" i="1"/>
  <c r="A89" i="28" s="1"/>
  <c r="I15" i="1"/>
  <c r="A88" i="28" s="1"/>
  <c r="H21" i="8"/>
  <c r="H20" i="8"/>
  <c r="H24" i="8"/>
  <c r="G16" i="7"/>
  <c r="G106" i="7"/>
  <c r="H7" i="14"/>
  <c r="G67" i="8"/>
  <c r="G69" i="8"/>
  <c r="G81" i="8"/>
  <c r="G68" i="8"/>
  <c r="I5" i="14"/>
  <c r="H72" i="2"/>
  <c r="L37" i="9"/>
  <c r="L46" i="9" s="1"/>
  <c r="I6" i="14"/>
  <c r="H8" i="14"/>
  <c r="G56" i="8"/>
  <c r="H4" i="14"/>
  <c r="H231" i="9"/>
  <c r="H236" i="9" s="1"/>
  <c r="F51" i="7"/>
  <c r="F65" i="7"/>
  <c r="F115" i="8" s="1"/>
  <c r="F50" i="7"/>
  <c r="B52" i="8"/>
  <c r="B62" i="8" s="1"/>
  <c r="B97" i="8"/>
  <c r="D29" i="7"/>
  <c r="B2" i="9"/>
  <c r="B3" i="9"/>
  <c r="B4" i="9"/>
  <c r="L45" i="9"/>
  <c r="L47" i="9"/>
  <c r="L49" i="9"/>
  <c r="L48" i="9"/>
  <c r="L50" i="9"/>
  <c r="G54" i="9"/>
  <c r="C59" i="9"/>
  <c r="I58" i="9"/>
  <c r="F55" i="9"/>
  <c r="F57" i="9"/>
  <c r="H54" i="9"/>
  <c r="F54" i="9"/>
  <c r="F58" i="9"/>
  <c r="F56" i="9"/>
  <c r="F59" i="9"/>
  <c r="F60" i="9"/>
  <c r="D58" i="9"/>
  <c r="J54" i="9"/>
  <c r="D55" i="9"/>
  <c r="J57" i="9"/>
  <c r="J55" i="9"/>
  <c r="J56" i="9"/>
  <c r="D54" i="9"/>
  <c r="D59" i="9"/>
  <c r="E59" i="9"/>
  <c r="H58" i="9"/>
  <c r="D60" i="9"/>
  <c r="J60" i="9"/>
  <c r="J58" i="9"/>
  <c r="D57" i="9"/>
  <c r="D56" i="9"/>
  <c r="J59" i="9"/>
  <c r="K54" i="9"/>
  <c r="C60" i="9"/>
  <c r="I59" i="9"/>
  <c r="H57" i="9"/>
  <c r="E60" i="9"/>
  <c r="C54" i="9"/>
  <c r="I56" i="9"/>
  <c r="I54" i="9"/>
  <c r="C58" i="9"/>
  <c r="C55" i="9"/>
  <c r="H60" i="9"/>
  <c r="H55" i="9"/>
  <c r="I60" i="9"/>
  <c r="C57" i="9"/>
  <c r="E55" i="9"/>
  <c r="C56" i="9"/>
  <c r="I55" i="9"/>
  <c r="H59" i="9"/>
  <c r="E54" i="9"/>
  <c r="E56" i="9"/>
  <c r="H56" i="9"/>
  <c r="I57" i="9"/>
  <c r="E58" i="9"/>
  <c r="K58" i="9"/>
  <c r="K57" i="9"/>
  <c r="G59" i="9"/>
  <c r="K56" i="9"/>
  <c r="E57" i="9"/>
  <c r="K55" i="9"/>
  <c r="G55" i="9"/>
  <c r="G58" i="9"/>
  <c r="K59" i="9"/>
  <c r="K60" i="9"/>
  <c r="G57" i="9"/>
  <c r="G56" i="9"/>
  <c r="G60" i="9"/>
  <c r="C44" i="8"/>
  <c r="E44" i="8"/>
  <c r="F44" i="8"/>
  <c r="F43" i="8"/>
  <c r="E43" i="8"/>
  <c r="D43" i="8"/>
  <c r="G43" i="8"/>
  <c r="G44" i="8"/>
  <c r="C43" i="8"/>
  <c r="B7" i="9"/>
  <c r="B60" i="9"/>
  <c r="B57" i="9"/>
  <c r="B58" i="9"/>
  <c r="B33" i="8"/>
  <c r="B56" i="9"/>
  <c r="B54" i="9"/>
  <c r="B55" i="9"/>
  <c r="B59" i="9"/>
  <c r="E35" i="7"/>
  <c r="D28" i="7"/>
  <c r="B100" i="8"/>
  <c r="B6" i="5" s="1"/>
  <c r="K9" i="14" l="1"/>
  <c r="I21" i="8"/>
  <c r="I24" i="8"/>
  <c r="I20" i="8"/>
  <c r="H16" i="7"/>
  <c r="H106" i="7"/>
  <c r="I7" i="14"/>
  <c r="J4" i="15"/>
  <c r="H67" i="8"/>
  <c r="H69" i="8"/>
  <c r="H81" i="8"/>
  <c r="H68" i="8"/>
  <c r="J5" i="14"/>
  <c r="I72" i="2"/>
  <c r="B63" i="9"/>
  <c r="E68" i="9"/>
  <c r="E65" i="9"/>
  <c r="E67" i="9"/>
  <c r="E69" i="9"/>
  <c r="E66" i="9"/>
  <c r="E64" i="9"/>
  <c r="E63" i="9"/>
  <c r="H65" i="9"/>
  <c r="H67" i="9"/>
  <c r="H69" i="9"/>
  <c r="H64" i="9"/>
  <c r="H66" i="9"/>
  <c r="H68" i="9"/>
  <c r="H63" i="9"/>
  <c r="C65" i="9"/>
  <c r="C67" i="9"/>
  <c r="C64" i="9"/>
  <c r="C66" i="9"/>
  <c r="C68" i="9"/>
  <c r="C63" i="9"/>
  <c r="C69" i="9"/>
  <c r="J64" i="9"/>
  <c r="J66" i="9"/>
  <c r="J68" i="9"/>
  <c r="J63" i="9"/>
  <c r="J65" i="9"/>
  <c r="J67" i="9"/>
  <c r="J69" i="9"/>
  <c r="D65" i="9"/>
  <c r="D67" i="9"/>
  <c r="D69" i="9"/>
  <c r="D64" i="9"/>
  <c r="D66" i="9"/>
  <c r="D68" i="9"/>
  <c r="D63" i="9"/>
  <c r="K65" i="9"/>
  <c r="K64" i="9"/>
  <c r="K66" i="9"/>
  <c r="K68" i="9"/>
  <c r="K63" i="9"/>
  <c r="K69" i="9"/>
  <c r="K67" i="9"/>
  <c r="G69" i="9"/>
  <c r="G64" i="9"/>
  <c r="G66" i="9"/>
  <c r="G68" i="9"/>
  <c r="G63" i="9"/>
  <c r="G67" i="9"/>
  <c r="G65" i="9"/>
  <c r="I63" i="9"/>
  <c r="I65" i="9"/>
  <c r="I67" i="9"/>
  <c r="I69" i="9"/>
  <c r="I64" i="9"/>
  <c r="I68" i="9"/>
  <c r="I66" i="9"/>
  <c r="F64" i="9"/>
  <c r="F66" i="9"/>
  <c r="F68" i="9"/>
  <c r="F63" i="9"/>
  <c r="F65" i="9"/>
  <c r="F67" i="9"/>
  <c r="F69" i="9"/>
  <c r="H56" i="8"/>
  <c r="I8" i="14"/>
  <c r="J6" i="14"/>
  <c r="I4" i="14"/>
  <c r="B61" i="8"/>
  <c r="B103" i="8" s="1"/>
  <c r="I231" i="9"/>
  <c r="I236" i="9" s="1"/>
  <c r="B19" i="7"/>
  <c r="C19" i="7" s="1"/>
  <c r="B20" i="7"/>
  <c r="C20" i="7" s="1"/>
  <c r="B21" i="7"/>
  <c r="B22" i="7"/>
  <c r="C22" i="7" s="1"/>
  <c r="E95" i="8"/>
  <c r="D95" i="8"/>
  <c r="E29" i="7"/>
  <c r="B68" i="9"/>
  <c r="C44" i="7"/>
  <c r="C47" i="7" s="1"/>
  <c r="L59" i="9"/>
  <c r="L55" i="9"/>
  <c r="L58" i="9"/>
  <c r="L60" i="9"/>
  <c r="L56" i="9"/>
  <c r="L54" i="9"/>
  <c r="L57" i="9"/>
  <c r="F42" i="8"/>
  <c r="B91" i="8"/>
  <c r="B145" i="8"/>
  <c r="B65" i="9"/>
  <c r="B67" i="9"/>
  <c r="B69" i="9"/>
  <c r="B64" i="9"/>
  <c r="B66" i="9"/>
  <c r="C33" i="8"/>
  <c r="F35" i="7"/>
  <c r="E28" i="7"/>
  <c r="L9" i="14" l="1"/>
  <c r="J24" i="8"/>
  <c r="J21" i="8"/>
  <c r="J20" i="8"/>
  <c r="I16" i="7"/>
  <c r="I106" i="7"/>
  <c r="J7" i="14"/>
  <c r="I68" i="8"/>
  <c r="I67" i="8"/>
  <c r="I69" i="8"/>
  <c r="I81" i="8"/>
  <c r="D19" i="7"/>
  <c r="E19" i="7" s="1"/>
  <c r="F19" i="7" s="1"/>
  <c r="G19" i="7" s="1"/>
  <c r="H19" i="7" s="1"/>
  <c r="I19" i="7" s="1"/>
  <c r="J19" i="7" s="1"/>
  <c r="K19" i="7" s="1"/>
  <c r="L19" i="7" s="1"/>
  <c r="C30" i="2"/>
  <c r="C44" i="2" s="1"/>
  <c r="C59" i="2" s="1"/>
  <c r="D22" i="7"/>
  <c r="C33" i="2"/>
  <c r="C31" i="2"/>
  <c r="C45" i="2" s="1"/>
  <c r="C60" i="2" s="1"/>
  <c r="D20" i="7"/>
  <c r="E20" i="7" s="1"/>
  <c r="F20" i="7" s="1"/>
  <c r="G20" i="7" s="1"/>
  <c r="H20" i="7" s="1"/>
  <c r="I20" i="7" s="1"/>
  <c r="J20" i="7" s="1"/>
  <c r="K20" i="7" s="1"/>
  <c r="L20" i="7" s="1"/>
  <c r="B32" i="2"/>
  <c r="B46" i="2" s="1"/>
  <c r="B61" i="2" s="1"/>
  <c r="C21" i="7"/>
  <c r="B84" i="7"/>
  <c r="B6" i="7" s="1"/>
  <c r="C6" i="7" s="1"/>
  <c r="D6" i="7" s="1"/>
  <c r="E6" i="7" s="1"/>
  <c r="F6" i="7" s="1"/>
  <c r="G6" i="7" s="1"/>
  <c r="H6" i="7" s="1"/>
  <c r="I6" i="7" s="1"/>
  <c r="J6" i="7" s="1"/>
  <c r="K6" i="7" s="1"/>
  <c r="L6" i="7" s="1"/>
  <c r="B79" i="7"/>
  <c r="K5" i="14"/>
  <c r="J72" i="2"/>
  <c r="L65" i="9"/>
  <c r="L67" i="9"/>
  <c r="L69" i="9"/>
  <c r="L64" i="9"/>
  <c r="L66" i="9"/>
  <c r="L68" i="9"/>
  <c r="L63" i="9"/>
  <c r="J8" i="14"/>
  <c r="K6" i="14"/>
  <c r="I56" i="8"/>
  <c r="B31" i="2"/>
  <c r="B45" i="2" s="1"/>
  <c r="B60" i="2" s="1"/>
  <c r="B30" i="2"/>
  <c r="B44" i="2" s="1"/>
  <c r="C79" i="7"/>
  <c r="B33" i="2"/>
  <c r="B47" i="2" s="1"/>
  <c r="B76" i="7"/>
  <c r="J4" i="14"/>
  <c r="B9" i="5"/>
  <c r="B11" i="5" s="1"/>
  <c r="G51" i="7"/>
  <c r="G65" i="7"/>
  <c r="G115" i="8" s="1"/>
  <c r="G50" i="7"/>
  <c r="J231" i="9"/>
  <c r="J236" i="9" s="1"/>
  <c r="H44" i="8"/>
  <c r="H43" i="8"/>
  <c r="B75" i="7"/>
  <c r="B29" i="8"/>
  <c r="B74" i="7"/>
  <c r="B54" i="7"/>
  <c r="I44" i="8"/>
  <c r="I43" i="8"/>
  <c r="F95" i="8"/>
  <c r="H152" i="9"/>
  <c r="E152" i="9"/>
  <c r="K153" i="9"/>
  <c r="G153" i="9"/>
  <c r="F153" i="9"/>
  <c r="B152" i="9"/>
  <c r="B161" i="9"/>
  <c r="C152" i="9"/>
  <c r="I153" i="9"/>
  <c r="I152" i="9"/>
  <c r="D152" i="9"/>
  <c r="J152" i="9"/>
  <c r="B160" i="9"/>
  <c r="B151" i="9"/>
  <c r="E153" i="9"/>
  <c r="F152" i="9"/>
  <c r="B150" i="9"/>
  <c r="B159" i="9"/>
  <c r="D153" i="9"/>
  <c r="B162" i="9"/>
  <c r="B153" i="9"/>
  <c r="G152" i="9"/>
  <c r="J153" i="9"/>
  <c r="C153" i="9"/>
  <c r="H153" i="9"/>
  <c r="K152" i="9"/>
  <c r="B92" i="9"/>
  <c r="B101" i="9"/>
  <c r="B89" i="9"/>
  <c r="B98" i="9"/>
  <c r="K92" i="9"/>
  <c r="G92" i="9"/>
  <c r="D92" i="9"/>
  <c r="F92" i="9"/>
  <c r="B91" i="9"/>
  <c r="B100" i="9"/>
  <c r="C91" i="9"/>
  <c r="B90" i="9"/>
  <c r="B99" i="9"/>
  <c r="I92" i="9"/>
  <c r="I91" i="9"/>
  <c r="D91" i="9"/>
  <c r="J91" i="9"/>
  <c r="G91" i="9"/>
  <c r="J92" i="9"/>
  <c r="C92" i="9"/>
  <c r="H92" i="9"/>
  <c r="K91" i="9"/>
  <c r="E92" i="9"/>
  <c r="F91" i="9"/>
  <c r="H91" i="9"/>
  <c r="E91" i="9"/>
  <c r="F29" i="7"/>
  <c r="A218" i="9"/>
  <c r="C218" i="9" s="1"/>
  <c r="E218" i="9" s="1"/>
  <c r="A207" i="9"/>
  <c r="C207" i="9" s="1"/>
  <c r="E207" i="9" s="1"/>
  <c r="A213" i="9"/>
  <c r="C213" i="9" s="1"/>
  <c r="E213" i="9" s="1"/>
  <c r="A209" i="9"/>
  <c r="C209" i="9" s="1"/>
  <c r="E209" i="9" s="1"/>
  <c r="A214" i="9"/>
  <c r="C214" i="9" s="1"/>
  <c r="E214" i="9" s="1"/>
  <c r="A210" i="9"/>
  <c r="C210" i="9" s="1"/>
  <c r="E210" i="9" s="1"/>
  <c r="G42" i="8"/>
  <c r="C91" i="8"/>
  <c r="C145" i="8"/>
  <c r="D33" i="8"/>
  <c r="D44" i="7"/>
  <c r="D47" i="7" s="1"/>
  <c r="A205" i="9"/>
  <c r="C205" i="9" s="1"/>
  <c r="E205" i="9" s="1"/>
  <c r="A206" i="9"/>
  <c r="G35" i="7"/>
  <c r="F28" i="7"/>
  <c r="B55" i="2" l="1"/>
  <c r="B54" i="2"/>
  <c r="K20" i="8"/>
  <c r="K24" i="8"/>
  <c r="K21" i="8"/>
  <c r="E22" i="7"/>
  <c r="F22" i="7" s="1"/>
  <c r="G22" i="7" s="1"/>
  <c r="H22" i="7" s="1"/>
  <c r="I22" i="7" s="1"/>
  <c r="J16" i="7"/>
  <c r="J106" i="7"/>
  <c r="K7" i="14"/>
  <c r="J81" i="8"/>
  <c r="J67" i="8"/>
  <c r="J68" i="8"/>
  <c r="J69" i="8"/>
  <c r="C32" i="2"/>
  <c r="C46" i="2" s="1"/>
  <c r="C61" i="2" s="1"/>
  <c r="D21" i="7"/>
  <c r="E21" i="7" s="1"/>
  <c r="F21" i="7" s="1"/>
  <c r="G21" i="7" s="1"/>
  <c r="H21" i="7" s="1"/>
  <c r="I21" i="7" s="1"/>
  <c r="J21" i="7" s="1"/>
  <c r="K21" i="7" s="1"/>
  <c r="L21" i="7" s="1"/>
  <c r="L5" i="14"/>
  <c r="L72" i="2" s="1"/>
  <c r="K72" i="2"/>
  <c r="C47" i="2"/>
  <c r="C84" i="7"/>
  <c r="B59" i="2"/>
  <c r="B62" i="2"/>
  <c r="C75" i="7"/>
  <c r="K8" i="14"/>
  <c r="J56" i="8"/>
  <c r="L6" i="14"/>
  <c r="D75" i="7"/>
  <c r="D74" i="7"/>
  <c r="C74" i="7"/>
  <c r="C54" i="7"/>
  <c r="C76" i="7"/>
  <c r="K4" i="14"/>
  <c r="B14" i="9"/>
  <c r="B15" i="9"/>
  <c r="I51" i="7"/>
  <c r="I50" i="7"/>
  <c r="I65" i="7"/>
  <c r="I115" i="8" s="1"/>
  <c r="B141" i="8"/>
  <c r="B87" i="8"/>
  <c r="K231" i="9"/>
  <c r="K236" i="9" s="1"/>
  <c r="H51" i="7"/>
  <c r="H50" i="7"/>
  <c r="H65" i="7"/>
  <c r="H115" i="8" s="1"/>
  <c r="G95" i="8"/>
  <c r="A217" i="9"/>
  <c r="C217" i="9" s="1"/>
  <c r="E217" i="9" s="1"/>
  <c r="L152" i="9"/>
  <c r="L153" i="9"/>
  <c r="L92" i="9"/>
  <c r="A212" i="9"/>
  <c r="C212" i="9" s="1"/>
  <c r="E212" i="9" s="1"/>
  <c r="A215" i="9"/>
  <c r="C215" i="9" s="1"/>
  <c r="E215" i="9" s="1"/>
  <c r="L91" i="9"/>
  <c r="A208" i="9"/>
  <c r="C208" i="9" s="1"/>
  <c r="E208" i="9" s="1"/>
  <c r="G29" i="7"/>
  <c r="A216" i="9"/>
  <c r="C216" i="9" s="1"/>
  <c r="E216" i="9" s="1"/>
  <c r="A211" i="9"/>
  <c r="C211" i="9" s="1"/>
  <c r="E211" i="9" s="1"/>
  <c r="H42" i="8"/>
  <c r="D91" i="8"/>
  <c r="D145" i="8"/>
  <c r="C206" i="9"/>
  <c r="E206" i="9" s="1"/>
  <c r="E33" i="8"/>
  <c r="E44" i="7"/>
  <c r="E47" i="7" s="1"/>
  <c r="H35" i="7"/>
  <c r="G28" i="7"/>
  <c r="J22" i="7" l="1"/>
  <c r="K22" i="7" s="1"/>
  <c r="L22" i="7" s="1"/>
  <c r="I14" i="1"/>
  <c r="L24" i="8"/>
  <c r="L20" i="8"/>
  <c r="L21" i="8"/>
  <c r="L7" i="14"/>
  <c r="L106" i="7" s="1"/>
  <c r="K106" i="7"/>
  <c r="K16" i="7"/>
  <c r="K67" i="8"/>
  <c r="K69" i="8"/>
  <c r="K81" i="8"/>
  <c r="K68" i="8"/>
  <c r="D84" i="7"/>
  <c r="D79" i="7"/>
  <c r="C15" i="9"/>
  <c r="C88" i="9" s="1"/>
  <c r="C14" i="9"/>
  <c r="C148" i="9" s="1"/>
  <c r="C90" i="9"/>
  <c r="C151" i="9"/>
  <c r="C150" i="9"/>
  <c r="C89" i="9"/>
  <c r="K56" i="8"/>
  <c r="L8" i="14"/>
  <c r="D30" i="2"/>
  <c r="D44" i="2" s="1"/>
  <c r="D59" i="2" s="1"/>
  <c r="E30" i="2"/>
  <c r="E44" i="2" s="1"/>
  <c r="E59" i="2" s="1"/>
  <c r="D31" i="2"/>
  <c r="D45" i="2" s="1"/>
  <c r="D60" i="2" s="1"/>
  <c r="D33" i="2"/>
  <c r="D47" i="2" s="1"/>
  <c r="D54" i="7"/>
  <c r="D32" i="2"/>
  <c r="D46" i="2" s="1"/>
  <c r="D61" i="2" s="1"/>
  <c r="B5" i="9"/>
  <c r="B96" i="9" s="1"/>
  <c r="B71" i="7"/>
  <c r="D76" i="7"/>
  <c r="L4" i="14"/>
  <c r="B149" i="9"/>
  <c r="B88" i="9"/>
  <c r="B148" i="9"/>
  <c r="B87" i="9"/>
  <c r="L231" i="9"/>
  <c r="L233" i="9" s="1"/>
  <c r="J44" i="8"/>
  <c r="J43" i="8"/>
  <c r="H29" i="7"/>
  <c r="I42" i="8"/>
  <c r="E91" i="8"/>
  <c r="E145" i="8"/>
  <c r="F33" i="8"/>
  <c r="F44" i="7"/>
  <c r="F47" i="7" s="1"/>
  <c r="H28" i="7"/>
  <c r="I35" i="7"/>
  <c r="A87" i="28" l="1"/>
  <c r="Z3" i="1"/>
  <c r="E92" i="26"/>
  <c r="E89" i="26"/>
  <c r="E93" i="26"/>
  <c r="E87" i="26"/>
  <c r="E85" i="26"/>
  <c r="E88" i="26"/>
  <c r="E84" i="26"/>
  <c r="L16" i="7"/>
  <c r="E91" i="26"/>
  <c r="E90" i="26"/>
  <c r="E86" i="26"/>
  <c r="E83" i="26"/>
  <c r="L68" i="8"/>
  <c r="L67" i="8"/>
  <c r="L69" i="8"/>
  <c r="L81" i="8"/>
  <c r="E84" i="7"/>
  <c r="E79" i="7"/>
  <c r="C149" i="9"/>
  <c r="C87" i="9"/>
  <c r="D14" i="9"/>
  <c r="D15" i="9"/>
  <c r="D88" i="9" s="1"/>
  <c r="E75" i="7"/>
  <c r="E31" i="2"/>
  <c r="E45" i="2" s="1"/>
  <c r="E60" i="2" s="1"/>
  <c r="D90" i="9"/>
  <c r="D151" i="9"/>
  <c r="D150" i="9"/>
  <c r="D89" i="9"/>
  <c r="L236" i="9"/>
  <c r="B157" i="9"/>
  <c r="L56" i="8"/>
  <c r="E74" i="7"/>
  <c r="F79" i="7"/>
  <c r="E33" i="2"/>
  <c r="E47" i="2" s="1"/>
  <c r="E54" i="7"/>
  <c r="E32" i="2"/>
  <c r="E46" i="2" s="1"/>
  <c r="E61" i="2" s="1"/>
  <c r="F31" i="2"/>
  <c r="F45" i="2" s="1"/>
  <c r="F60" i="2" s="1"/>
  <c r="F75" i="7"/>
  <c r="E76" i="7"/>
  <c r="J51" i="7"/>
  <c r="J50" i="7"/>
  <c r="J65" i="7"/>
  <c r="J115" i="8" s="1"/>
  <c r="I95" i="8"/>
  <c r="H95" i="8"/>
  <c r="L44" i="8"/>
  <c r="L43" i="8"/>
  <c r="K44" i="8"/>
  <c r="K43" i="8"/>
  <c r="I29" i="7"/>
  <c r="J42" i="8"/>
  <c r="F91" i="8"/>
  <c r="F145" i="8"/>
  <c r="G33" i="8"/>
  <c r="G44" i="7"/>
  <c r="G47" i="7" s="1"/>
  <c r="I28" i="7"/>
  <c r="J35" i="7"/>
  <c r="F84" i="7" l="1"/>
  <c r="E15" i="9"/>
  <c r="E88" i="9" s="1"/>
  <c r="D148" i="9"/>
  <c r="D87" i="9"/>
  <c r="E14" i="9"/>
  <c r="E148" i="9" s="1"/>
  <c r="D149" i="9"/>
  <c r="E90" i="9"/>
  <c r="E151" i="9"/>
  <c r="E150" i="9"/>
  <c r="E89" i="9"/>
  <c r="F30" i="2"/>
  <c r="F44" i="2" s="1"/>
  <c r="F59" i="2" s="1"/>
  <c r="F74" i="7"/>
  <c r="F33" i="2"/>
  <c r="F47" i="2" s="1"/>
  <c r="F54" i="7"/>
  <c r="F32" i="2"/>
  <c r="F46" i="2" s="1"/>
  <c r="F61" i="2" s="1"/>
  <c r="G31" i="2"/>
  <c r="G45" i="2" s="1"/>
  <c r="G60" i="2" s="1"/>
  <c r="G75" i="7"/>
  <c r="G30" i="2"/>
  <c r="G44" i="2" s="1"/>
  <c r="G59" i="2" s="1"/>
  <c r="G74" i="7"/>
  <c r="G32" i="2"/>
  <c r="G46" i="2" s="1"/>
  <c r="G61" i="2" s="1"/>
  <c r="F76" i="7"/>
  <c r="K51" i="7"/>
  <c r="K65" i="7"/>
  <c r="K115" i="8" s="1"/>
  <c r="K50" i="7"/>
  <c r="L51" i="7"/>
  <c r="L95" i="8"/>
  <c r="L50" i="7"/>
  <c r="L65" i="7"/>
  <c r="L115" i="8" s="1"/>
  <c r="J29" i="7"/>
  <c r="K42" i="8"/>
  <c r="G91" i="8"/>
  <c r="G145" i="8"/>
  <c r="H33" i="8"/>
  <c r="H44" i="7"/>
  <c r="H47" i="7" s="1"/>
  <c r="K35" i="7"/>
  <c r="J28" i="7"/>
  <c r="G84" i="7" l="1"/>
  <c r="G79" i="7"/>
  <c r="E149" i="9"/>
  <c r="E87" i="9"/>
  <c r="F15" i="9"/>
  <c r="F88" i="9" s="1"/>
  <c r="F14" i="9"/>
  <c r="F87" i="9" s="1"/>
  <c r="F151" i="9"/>
  <c r="F90" i="9"/>
  <c r="F89" i="9"/>
  <c r="F150" i="9"/>
  <c r="G33" i="2"/>
  <c r="G47" i="2" s="1"/>
  <c r="I12" i="1"/>
  <c r="A85" i="28" s="1"/>
  <c r="H31" i="2"/>
  <c r="H45" i="2" s="1"/>
  <c r="H60" i="2" s="1"/>
  <c r="H75" i="7"/>
  <c r="I11" i="1"/>
  <c r="A84" i="28" s="1"/>
  <c r="H30" i="2"/>
  <c r="H44" i="2" s="1"/>
  <c r="H59" i="2" s="1"/>
  <c r="H74" i="7"/>
  <c r="G54" i="7"/>
  <c r="G15" i="9" s="1"/>
  <c r="G76" i="7"/>
  <c r="J95" i="8"/>
  <c r="K29" i="7"/>
  <c r="L42" i="8"/>
  <c r="H91" i="8"/>
  <c r="H145" i="8"/>
  <c r="I33" i="8"/>
  <c r="I44" i="7"/>
  <c r="I47" i="7" s="1"/>
  <c r="L35" i="7"/>
  <c r="K28" i="7"/>
  <c r="AA3" i="1" l="1"/>
  <c r="AA4" i="1" s="1"/>
  <c r="AA5" i="1" s="1"/>
  <c r="AA6" i="1" s="1"/>
  <c r="AA7" i="1" s="1"/>
  <c r="AA8" i="1" s="1"/>
  <c r="AA9" i="1" s="1"/>
  <c r="AA10" i="1" s="1"/>
  <c r="AA11" i="1" s="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B3" i="1"/>
  <c r="AB4" i="1" s="1"/>
  <c r="AB5" i="1" s="1"/>
  <c r="AB6" i="1" s="1"/>
  <c r="AB7" i="1" s="1"/>
  <c r="AB8" i="1" s="1"/>
  <c r="AB9" i="1" s="1"/>
  <c r="AB10" i="1" s="1"/>
  <c r="AB11" i="1" s="1"/>
  <c r="AB12" i="1" s="1"/>
  <c r="AB13" i="1" s="1"/>
  <c r="AB14" i="1" s="1"/>
  <c r="AB15" i="1" s="1"/>
  <c r="AB16" i="1" s="1"/>
  <c r="AB17" i="1" s="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H84" i="7"/>
  <c r="H79" i="7"/>
  <c r="W3" i="1"/>
  <c r="W4" i="1" s="1"/>
  <c r="W5" i="1" s="1"/>
  <c r="W6" i="1" s="1"/>
  <c r="W7" i="1" s="1"/>
  <c r="W8" i="1" s="1"/>
  <c r="W9" i="1" s="1"/>
  <c r="W10" i="1" s="1"/>
  <c r="W11" i="1" s="1"/>
  <c r="W12" i="1" s="1"/>
  <c r="W13" i="1" s="1"/>
  <c r="W14" i="1" s="1"/>
  <c r="W15" i="1" s="1"/>
  <c r="W16" i="1" s="1"/>
  <c r="W17" i="1" s="1"/>
  <c r="W18" i="1" s="1"/>
  <c r="W19" i="1" s="1"/>
  <c r="W20" i="1" s="1"/>
  <c r="W21" i="1" s="1"/>
  <c r="W22" i="1" s="1"/>
  <c r="W23" i="1" s="1"/>
  <c r="W24" i="1" s="1"/>
  <c r="W25" i="1" s="1"/>
  <c r="W26" i="1" s="1"/>
  <c r="W27" i="1" s="1"/>
  <c r="W28" i="1" s="1"/>
  <c r="W29" i="1" s="1"/>
  <c r="W30" i="1" s="1"/>
  <c r="W31" i="1" s="1"/>
  <c r="W32" i="1" s="1"/>
  <c r="W33" i="1" s="1"/>
  <c r="W34" i="1" s="1"/>
  <c r="W35" i="1" s="1"/>
  <c r="W36" i="1" s="1"/>
  <c r="W37" i="1" s="1"/>
  <c r="W38" i="1" s="1"/>
  <c r="W39" i="1" s="1"/>
  <c r="W40" i="1" s="1"/>
  <c r="W41" i="1" s="1"/>
  <c r="W42" i="1" s="1"/>
  <c r="X3" i="1"/>
  <c r="X4" i="1" s="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F149" i="9"/>
  <c r="F148" i="9"/>
  <c r="G14" i="9"/>
  <c r="G148" i="9" s="1"/>
  <c r="G151" i="9"/>
  <c r="G90" i="9"/>
  <c r="G89" i="9"/>
  <c r="G150" i="9"/>
  <c r="H33" i="2"/>
  <c r="H47" i="2" s="1"/>
  <c r="H54" i="7"/>
  <c r="H32" i="2"/>
  <c r="H46" i="2" s="1"/>
  <c r="H61" i="2" s="1"/>
  <c r="I31" i="2"/>
  <c r="I45" i="2" s="1"/>
  <c r="I60" i="2" s="1"/>
  <c r="I75" i="7"/>
  <c r="I30" i="2"/>
  <c r="I44" i="2" s="1"/>
  <c r="I59" i="2" s="1"/>
  <c r="I74" i="7"/>
  <c r="H76" i="7"/>
  <c r="K95" i="8"/>
  <c r="G88" i="9"/>
  <c r="G149" i="9"/>
  <c r="L29" i="7"/>
  <c r="I91" i="8"/>
  <c r="I145" i="8"/>
  <c r="J33" i="8"/>
  <c r="J44" i="7"/>
  <c r="J47" i="7" s="1"/>
  <c r="L28" i="7"/>
  <c r="I84" i="7" l="1"/>
  <c r="I79" i="7"/>
  <c r="G87" i="9"/>
  <c r="H15" i="9"/>
  <c r="H149" i="9" s="1"/>
  <c r="H14" i="9"/>
  <c r="H87" i="9" s="1"/>
  <c r="H151" i="9"/>
  <c r="H90" i="9"/>
  <c r="H89" i="9"/>
  <c r="H150" i="9"/>
  <c r="I33" i="2"/>
  <c r="I47" i="2" s="1"/>
  <c r="I13" i="1"/>
  <c r="A86" i="28" s="1"/>
  <c r="I32" i="2"/>
  <c r="I46" i="2" s="1"/>
  <c r="I61" i="2" s="1"/>
  <c r="J31" i="2"/>
  <c r="J45" i="2" s="1"/>
  <c r="J60" i="2" s="1"/>
  <c r="J75" i="7"/>
  <c r="J30" i="2"/>
  <c r="J44" i="2" s="1"/>
  <c r="J59" i="2" s="1"/>
  <c r="J74" i="7"/>
  <c r="I54" i="7"/>
  <c r="J32" i="2"/>
  <c r="J46" i="2" s="1"/>
  <c r="J61" i="2" s="1"/>
  <c r="I76" i="7"/>
  <c r="J91" i="8"/>
  <c r="J145" i="8"/>
  <c r="K33" i="8"/>
  <c r="K44" i="7"/>
  <c r="K47" i="7" s="1"/>
  <c r="Z4" i="1" l="1"/>
  <c r="Z5" i="1" s="1"/>
  <c r="Z6" i="1" s="1"/>
  <c r="Z7" i="1" s="1"/>
  <c r="Z8" i="1" s="1"/>
  <c r="Z9" i="1" s="1"/>
  <c r="Z10" i="1" s="1"/>
  <c r="Z11" i="1" s="1"/>
  <c r="Z12" i="1" s="1"/>
  <c r="Z13" i="1" s="1"/>
  <c r="Z14" i="1" s="1"/>
  <c r="Z15" i="1" s="1"/>
  <c r="Z16" i="1" s="1"/>
  <c r="Z17" i="1" s="1"/>
  <c r="Z18" i="1" s="1"/>
  <c r="Z19" i="1" s="1"/>
  <c r="Z20" i="1" s="1"/>
  <c r="Z21" i="1" s="1"/>
  <c r="Z22" i="1" s="1"/>
  <c r="Z23" i="1" s="1"/>
  <c r="Z24" i="1" s="1"/>
  <c r="Z25" i="1" s="1"/>
  <c r="Z26" i="1" s="1"/>
  <c r="Z27" i="1" s="1"/>
  <c r="Z28" i="1" s="1"/>
  <c r="Z29" i="1" s="1"/>
  <c r="Z30" i="1" s="1"/>
  <c r="Z31" i="1" s="1"/>
  <c r="Z32" i="1" s="1"/>
  <c r="Z33" i="1" s="1"/>
  <c r="Z34" i="1" s="1"/>
  <c r="Z35" i="1" s="1"/>
  <c r="Z36" i="1" s="1"/>
  <c r="Z37" i="1" s="1"/>
  <c r="Z38" i="1" s="1"/>
  <c r="Z39" i="1" s="1"/>
  <c r="Z40" i="1" s="1"/>
  <c r="Z41" i="1" s="1"/>
  <c r="Z42" i="1" s="1"/>
  <c r="J84" i="7"/>
  <c r="J79" i="7"/>
  <c r="Y3" i="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H88" i="9"/>
  <c r="H148" i="9"/>
  <c r="I15" i="9"/>
  <c r="I149" i="9" s="1"/>
  <c r="I14" i="9"/>
  <c r="I148" i="9" s="1"/>
  <c r="I151" i="9"/>
  <c r="I90" i="9"/>
  <c r="I150" i="9"/>
  <c r="I89" i="9"/>
  <c r="J54" i="7"/>
  <c r="J33" i="2"/>
  <c r="J47" i="2" s="1"/>
  <c r="K31" i="2"/>
  <c r="K45" i="2" s="1"/>
  <c r="K60" i="2" s="1"/>
  <c r="K75" i="7"/>
  <c r="K30" i="2"/>
  <c r="K44" i="2" s="1"/>
  <c r="K59" i="2" s="1"/>
  <c r="K74" i="7"/>
  <c r="J76" i="7"/>
  <c r="K91" i="8"/>
  <c r="K145" i="8"/>
  <c r="L33" i="8"/>
  <c r="L44" i="7"/>
  <c r="L47" i="7" s="1"/>
  <c r="K84" i="7" l="1"/>
  <c r="K79" i="7"/>
  <c r="I87" i="9"/>
  <c r="J15" i="9"/>
  <c r="J149" i="9" s="1"/>
  <c r="I88" i="9"/>
  <c r="J14" i="9"/>
  <c r="J148" i="9" s="1"/>
  <c r="J151" i="9"/>
  <c r="J90" i="9"/>
  <c r="J89" i="9"/>
  <c r="J150" i="9"/>
  <c r="K33" i="2"/>
  <c r="K47" i="2" s="1"/>
  <c r="K54" i="7"/>
  <c r="K32" i="2"/>
  <c r="K46" i="2" s="1"/>
  <c r="K61" i="2" s="1"/>
  <c r="L31" i="2"/>
  <c r="L45" i="2" s="1"/>
  <c r="L60" i="2" s="1"/>
  <c r="L75" i="7"/>
  <c r="L30" i="2"/>
  <c r="L44" i="2" s="1"/>
  <c r="L59" i="2" s="1"/>
  <c r="L74" i="7"/>
  <c r="K76" i="7"/>
  <c r="C60" i="26"/>
  <c r="D60" i="26" s="1"/>
  <c r="C61" i="26"/>
  <c r="D61" i="26" s="1"/>
  <c r="L91" i="8"/>
  <c r="L145" i="8"/>
  <c r="L84" i="7" l="1"/>
  <c r="L79" i="7"/>
  <c r="J88" i="9"/>
  <c r="J87" i="9"/>
  <c r="K14" i="9"/>
  <c r="K15" i="9"/>
  <c r="K149" i="9" s="1"/>
  <c r="K151" i="9"/>
  <c r="K90" i="9"/>
  <c r="K150" i="9"/>
  <c r="K89" i="9"/>
  <c r="L33" i="2"/>
  <c r="L47" i="2" s="1"/>
  <c r="L54" i="7"/>
  <c r="L32" i="2"/>
  <c r="L46" i="2" s="1"/>
  <c r="L61" i="2" s="1"/>
  <c r="C58" i="26"/>
  <c r="L76" i="7"/>
  <c r="K148" i="9" l="1"/>
  <c r="K87" i="9"/>
  <c r="K88" i="9"/>
  <c r="L15" i="9"/>
  <c r="L88" i="9" s="1"/>
  <c r="L14" i="9"/>
  <c r="L148" i="9" s="1"/>
  <c r="L151" i="9"/>
  <c r="L90" i="9"/>
  <c r="L150" i="9"/>
  <c r="L89" i="9"/>
  <c r="C59" i="26"/>
  <c r="D59" i="26" s="1"/>
  <c r="L149" i="9" l="1"/>
  <c r="L87" i="9"/>
  <c r="D58" i="26"/>
  <c r="C90" i="26" l="1"/>
  <c r="C91" i="26" l="1"/>
  <c r="D90" i="26" s="1"/>
  <c r="C92" i="26" l="1"/>
  <c r="D91" i="26" s="1"/>
  <c r="C93" i="26" l="1"/>
  <c r="D93" i="26" s="1"/>
  <c r="D92" i="26"/>
  <c r="C26" i="26" l="1"/>
  <c r="C25" i="26"/>
  <c r="D25" i="26" l="1"/>
  <c r="C28" i="26" l="1"/>
  <c r="C27" i="26"/>
  <c r="D28" i="26" l="1"/>
  <c r="D27" i="26"/>
  <c r="D26" i="26"/>
  <c r="C12" i="26" l="1"/>
  <c r="C13" i="26" l="1"/>
  <c r="D13" i="26" s="1"/>
  <c r="D12" i="26" l="1"/>
  <c r="C43" i="26"/>
  <c r="D43" i="26" s="1"/>
  <c r="C44" i="26"/>
  <c r="D44" i="26" s="1"/>
  <c r="C42" i="26" l="1"/>
  <c r="D42" i="26" s="1"/>
  <c r="C41" i="26"/>
  <c r="D41" i="26" s="1"/>
  <c r="C10" i="26"/>
  <c r="D10" i="26" s="1"/>
  <c r="C11" i="26"/>
  <c r="D11" i="26" s="1"/>
  <c r="C55" i="8"/>
  <c r="C54" i="8"/>
  <c r="C58" i="8"/>
  <c r="C57" i="8" l="1"/>
  <c r="C53" i="8"/>
  <c r="B233" i="9" l="1"/>
  <c r="C114" i="8" l="1"/>
  <c r="D114" i="8" l="1"/>
  <c r="E114" i="8" l="1"/>
  <c r="F114" i="8" l="1"/>
  <c r="L114" i="8" l="1"/>
  <c r="K114" i="8"/>
  <c r="J114" i="8"/>
  <c r="I114" i="8"/>
  <c r="H114" i="8"/>
  <c r="G114" i="8"/>
  <c r="B23" i="7" l="1"/>
  <c r="B85" i="7" l="1"/>
  <c r="B95" i="7" s="1"/>
  <c r="C23" i="7"/>
  <c r="D23" i="7" s="1"/>
  <c r="E23" i="7" s="1"/>
  <c r="F23" i="7" s="1"/>
  <c r="G23" i="7" s="1"/>
  <c r="H23" i="7" s="1"/>
  <c r="I23" i="7" s="1"/>
  <c r="J23" i="7" s="1"/>
  <c r="K23" i="7" s="1"/>
  <c r="L23" i="7" s="1"/>
  <c r="B55" i="7"/>
  <c r="B161" i="11" l="1"/>
  <c r="G98" i="7" s="1"/>
  <c r="D5" i="29"/>
  <c r="B92" i="7"/>
  <c r="B58" i="2"/>
  <c r="C51" i="26"/>
  <c r="B98" i="7"/>
  <c r="C85" i="7"/>
  <c r="C55" i="7"/>
  <c r="B69" i="2" l="1"/>
  <c r="B144" i="9" s="1"/>
  <c r="B66" i="2"/>
  <c r="B83" i="9" s="1"/>
  <c r="D85" i="7"/>
  <c r="D55" i="7"/>
  <c r="B99" i="7"/>
  <c r="E51" i="26"/>
  <c r="B78" i="7"/>
  <c r="E56" i="26"/>
  <c r="C98" i="7"/>
  <c r="B72" i="7"/>
  <c r="B6" i="9"/>
  <c r="B17" i="9" l="1"/>
  <c r="B8" i="9"/>
  <c r="B97" i="9"/>
  <c r="B158" i="9"/>
  <c r="E52" i="26"/>
  <c r="B80" i="7"/>
  <c r="C103" i="7" s="1"/>
  <c r="D98" i="7"/>
  <c r="D99" i="7" s="1"/>
  <c r="E85" i="7"/>
  <c r="E55" i="7"/>
  <c r="C99" i="7"/>
  <c r="B86" i="9" l="1"/>
  <c r="B104" i="9" s="1"/>
  <c r="B147" i="9"/>
  <c r="B165" i="9" s="1"/>
  <c r="B72" i="9"/>
  <c r="B73" i="9" s="1"/>
  <c r="B74" i="9" s="1"/>
  <c r="B75" i="9" s="1"/>
  <c r="B76" i="9" s="1"/>
  <c r="B77" i="9" s="1"/>
  <c r="B78" i="9" s="1"/>
  <c r="B156" i="9"/>
  <c r="B95" i="9"/>
  <c r="C109" i="7"/>
  <c r="C97" i="26" s="1"/>
  <c r="C150" i="11"/>
  <c r="C8" i="2" s="1"/>
  <c r="C28" i="2" s="1"/>
  <c r="C149" i="11"/>
  <c r="C7" i="2" s="1"/>
  <c r="C145" i="11"/>
  <c r="C3" i="2" s="1"/>
  <c r="C146" i="11"/>
  <c r="C4" i="2" s="1"/>
  <c r="C148" i="11"/>
  <c r="C6" i="2" s="1"/>
  <c r="C151" i="11"/>
  <c r="C9" i="2" s="1"/>
  <c r="C147" i="11"/>
  <c r="C5" i="2" s="1"/>
  <c r="C128" i="8" s="1"/>
  <c r="C144" i="11"/>
  <c r="C2" i="2" s="1"/>
  <c r="F85" i="7"/>
  <c r="F55" i="7"/>
  <c r="B89" i="7"/>
  <c r="C83" i="26" s="1"/>
  <c r="E53" i="26"/>
  <c r="E98" i="7"/>
  <c r="E99" i="7" s="1"/>
  <c r="C18" i="8" l="1"/>
  <c r="C76" i="8" s="1"/>
  <c r="C130" i="8"/>
  <c r="C17" i="8"/>
  <c r="C75" i="8" s="1"/>
  <c r="C129" i="8"/>
  <c r="C13" i="8"/>
  <c r="C125" i="8"/>
  <c r="C15" i="8"/>
  <c r="C73" i="8" s="1"/>
  <c r="C127" i="8"/>
  <c r="C14" i="8"/>
  <c r="C72" i="8" s="1"/>
  <c r="C126" i="8"/>
  <c r="B174" i="9"/>
  <c r="B183" i="9" s="1"/>
  <c r="B187" i="9" s="1"/>
  <c r="B196" i="9" s="1"/>
  <c r="B111" i="9"/>
  <c r="B120" i="9" s="1"/>
  <c r="B127" i="9" s="1"/>
  <c r="B136" i="9" s="1"/>
  <c r="B113" i="9"/>
  <c r="B122" i="9" s="1"/>
  <c r="B126" i="9" s="1"/>
  <c r="B110" i="9"/>
  <c r="B119" i="9" s="1"/>
  <c r="B130" i="9" s="1"/>
  <c r="B139" i="9" s="1"/>
  <c r="B109" i="9"/>
  <c r="B118" i="9" s="1"/>
  <c r="B129" i="9" s="1"/>
  <c r="B138" i="9" s="1"/>
  <c r="B112" i="9"/>
  <c r="B121" i="9" s="1"/>
  <c r="B125" i="9" s="1"/>
  <c r="B134" i="9" s="1"/>
  <c r="B168" i="9"/>
  <c r="B177" i="9" s="1"/>
  <c r="B192" i="9" s="1"/>
  <c r="B201" i="9" s="1"/>
  <c r="B169" i="9"/>
  <c r="B178" i="9" s="1"/>
  <c r="B189" i="9" s="1"/>
  <c r="B198" i="9" s="1"/>
  <c r="B173" i="9"/>
  <c r="B182" i="9" s="1"/>
  <c r="B186" i="9" s="1"/>
  <c r="B170" i="9"/>
  <c r="B179" i="9" s="1"/>
  <c r="B190" i="9" s="1"/>
  <c r="B199" i="9" s="1"/>
  <c r="B171" i="9"/>
  <c r="B180" i="9" s="1"/>
  <c r="B191" i="9" s="1"/>
  <c r="B200" i="9" s="1"/>
  <c r="B172" i="9"/>
  <c r="B181" i="9" s="1"/>
  <c r="B188" i="9" s="1"/>
  <c r="B197" i="9" s="1"/>
  <c r="B107" i="9"/>
  <c r="B116" i="9" s="1"/>
  <c r="B131" i="9" s="1"/>
  <c r="B140" i="9" s="1"/>
  <c r="B108" i="9"/>
  <c r="B117" i="9" s="1"/>
  <c r="B128" i="9" s="1"/>
  <c r="B137" i="9" s="1"/>
  <c r="C16" i="8"/>
  <c r="C74" i="8" s="1"/>
  <c r="C27" i="2"/>
  <c r="C23" i="2"/>
  <c r="C22" i="2"/>
  <c r="C24" i="2"/>
  <c r="C25" i="2"/>
  <c r="C26" i="2"/>
  <c r="C55" i="2" s="1"/>
  <c r="C29" i="2"/>
  <c r="C138" i="8"/>
  <c r="C26" i="8"/>
  <c r="C84" i="8" s="1"/>
  <c r="C19" i="8"/>
  <c r="C131" i="8"/>
  <c r="E54" i="26"/>
  <c r="F98" i="7"/>
  <c r="G85" i="7"/>
  <c r="G55" i="7"/>
  <c r="B2" i="6" l="1"/>
  <c r="B3" i="6" s="1"/>
  <c r="D4" i="29" s="1"/>
  <c r="B195" i="9"/>
  <c r="B246" i="9"/>
  <c r="B240" i="9"/>
  <c r="B244" i="9"/>
  <c r="B232" i="9"/>
  <c r="B234" i="9" s="1"/>
  <c r="B235" i="9" s="1"/>
  <c r="B148" i="8" s="1"/>
  <c r="B241" i="9"/>
  <c r="B30" i="8"/>
  <c r="B142" i="8" s="1"/>
  <c r="C77" i="8"/>
  <c r="C97" i="8" s="1"/>
  <c r="C71" i="8"/>
  <c r="C24" i="7"/>
  <c r="C83" i="7" s="1"/>
  <c r="C42" i="2"/>
  <c r="C57" i="2" s="1"/>
  <c r="C77" i="7" s="1"/>
  <c r="C37" i="2"/>
  <c r="C52" i="2" s="1"/>
  <c r="C3" i="9" s="1"/>
  <c r="C69" i="7"/>
  <c r="C40" i="2"/>
  <c r="C72" i="7"/>
  <c r="C6" i="9"/>
  <c r="C70" i="7"/>
  <c r="C38" i="2"/>
  <c r="C53" i="2" s="1"/>
  <c r="C4" i="9" s="1"/>
  <c r="C39" i="2"/>
  <c r="C71" i="7"/>
  <c r="C54" i="2"/>
  <c r="C5" i="9" s="1"/>
  <c r="C58" i="7"/>
  <c r="C73" i="7"/>
  <c r="C41" i="2"/>
  <c r="C56" i="2" s="1"/>
  <c r="C7" i="9" s="1"/>
  <c r="C52" i="8"/>
  <c r="C62" i="8" s="1"/>
  <c r="C68" i="7"/>
  <c r="C36" i="2"/>
  <c r="C51" i="2" s="1"/>
  <c r="C2" i="9" s="1"/>
  <c r="C29" i="8"/>
  <c r="C51" i="8"/>
  <c r="C50" i="8"/>
  <c r="C49" i="8"/>
  <c r="C25" i="7"/>
  <c r="C86" i="7"/>
  <c r="C59" i="7"/>
  <c r="C43" i="2"/>
  <c r="C58" i="2"/>
  <c r="C78" i="7" s="1"/>
  <c r="C59" i="8"/>
  <c r="C47" i="8"/>
  <c r="C46" i="8"/>
  <c r="C48" i="8"/>
  <c r="G99" i="7"/>
  <c r="E55" i="26"/>
  <c r="H85" i="7"/>
  <c r="H55" i="7"/>
  <c r="F99" i="7"/>
  <c r="B135" i="9"/>
  <c r="B245" i="9"/>
  <c r="B6" i="6" l="1"/>
  <c r="B160" i="11"/>
  <c r="G6" i="6" s="1"/>
  <c r="E23" i="26" s="1"/>
  <c r="C18" i="26"/>
  <c r="B31" i="8"/>
  <c r="B37" i="8" s="1"/>
  <c r="B105" i="8" s="1"/>
  <c r="B88" i="8"/>
  <c r="C161" i="9"/>
  <c r="C100" i="9"/>
  <c r="C98" i="9"/>
  <c r="C159" i="9"/>
  <c r="C157" i="9"/>
  <c r="C96" i="9"/>
  <c r="C99" i="9"/>
  <c r="C160" i="9"/>
  <c r="C95" i="7"/>
  <c r="E5" i="29" s="1"/>
  <c r="C92" i="7"/>
  <c r="C61" i="8"/>
  <c r="C103" i="8" s="1"/>
  <c r="C62" i="2"/>
  <c r="C66" i="2" s="1"/>
  <c r="C101" i="9"/>
  <c r="C162" i="9"/>
  <c r="C87" i="8"/>
  <c r="C141" i="8"/>
  <c r="C158" i="9"/>
  <c r="C97" i="9"/>
  <c r="E18" i="26"/>
  <c r="I85" i="7"/>
  <c r="I55" i="7"/>
  <c r="C6" i="6" l="1"/>
  <c r="C7" i="6" s="1"/>
  <c r="B143" i="8"/>
  <c r="B149" i="8" s="1"/>
  <c r="B106" i="8" s="1"/>
  <c r="B107" i="8" s="1"/>
  <c r="B89" i="8"/>
  <c r="B93" i="8" s="1"/>
  <c r="B96" i="8" s="1"/>
  <c r="B38" i="8"/>
  <c r="C69" i="2"/>
  <c r="C144" i="9" s="1"/>
  <c r="C83" i="9"/>
  <c r="C9" i="5"/>
  <c r="C11" i="5" s="1"/>
  <c r="C52" i="26"/>
  <c r="C100" i="7"/>
  <c r="J85" i="7"/>
  <c r="J55" i="7"/>
  <c r="E19" i="26" l="1"/>
  <c r="D6" i="6"/>
  <c r="C8" i="9"/>
  <c r="C17" i="9"/>
  <c r="C89" i="7"/>
  <c r="C84" i="26" s="1"/>
  <c r="C80" i="7"/>
  <c r="D103" i="7" s="1"/>
  <c r="D51" i="26"/>
  <c r="D7" i="6"/>
  <c r="B102" i="8"/>
  <c r="B116" i="8" s="1"/>
  <c r="B3" i="5"/>
  <c r="K85" i="7"/>
  <c r="K55" i="7"/>
  <c r="B4" i="5"/>
  <c r="B5" i="5"/>
  <c r="E20" i="26"/>
  <c r="E6" i="6"/>
  <c r="C147" i="9" l="1"/>
  <c r="C165" i="9" s="1"/>
  <c r="C86" i="9"/>
  <c r="C104" i="9" s="1"/>
  <c r="C95" i="9"/>
  <c r="C156" i="9"/>
  <c r="C72" i="9"/>
  <c r="C73" i="9" s="1"/>
  <c r="C74" i="9" s="1"/>
  <c r="C75" i="9" s="1"/>
  <c r="C76" i="9" s="1"/>
  <c r="C77" i="9" s="1"/>
  <c r="C78" i="9" s="1"/>
  <c r="D109" i="7"/>
  <c r="D97" i="26" s="1"/>
  <c r="B150" i="8"/>
  <c r="B151" i="8" s="1"/>
  <c r="D144" i="11"/>
  <c r="D2" i="2" s="1"/>
  <c r="D148" i="11"/>
  <c r="D6" i="2" s="1"/>
  <c r="D147" i="11"/>
  <c r="D5" i="2" s="1"/>
  <c r="D151" i="11"/>
  <c r="D9" i="2" s="1"/>
  <c r="D138" i="8" s="1"/>
  <c r="D145" i="11"/>
  <c r="D3" i="2" s="1"/>
  <c r="D149" i="11"/>
  <c r="D7" i="2" s="1"/>
  <c r="D146" i="11"/>
  <c r="D4" i="2" s="1"/>
  <c r="D150" i="11"/>
  <c r="D8" i="2" s="1"/>
  <c r="D131" i="8" s="1"/>
  <c r="D83" i="26"/>
  <c r="E7" i="6"/>
  <c r="L85" i="7"/>
  <c r="L55" i="7"/>
  <c r="B7" i="5"/>
  <c r="E21" i="26"/>
  <c r="F6" i="6"/>
  <c r="D14" i="8" l="1"/>
  <c r="D72" i="8" s="1"/>
  <c r="D126" i="8"/>
  <c r="D15" i="8"/>
  <c r="D73" i="8" s="1"/>
  <c r="D127" i="8"/>
  <c r="D16" i="8"/>
  <c r="D74" i="8" s="1"/>
  <c r="D128" i="8"/>
  <c r="D13" i="8"/>
  <c r="D125" i="8"/>
  <c r="D18" i="8"/>
  <c r="D76" i="8" s="1"/>
  <c r="D130" i="8"/>
  <c r="D17" i="8"/>
  <c r="D75" i="8" s="1"/>
  <c r="D129" i="8"/>
  <c r="C34" i="26"/>
  <c r="D3" i="29"/>
  <c r="C174" i="9"/>
  <c r="C183" i="9" s="1"/>
  <c r="C187" i="9" s="1"/>
  <c r="C196" i="9" s="1"/>
  <c r="C168" i="9"/>
  <c r="C177" i="9" s="1"/>
  <c r="C192" i="9" s="1"/>
  <c r="C201" i="9" s="1"/>
  <c r="C172" i="9"/>
  <c r="C181" i="9" s="1"/>
  <c r="C188" i="9" s="1"/>
  <c r="C246" i="9" s="1"/>
  <c r="C173" i="9"/>
  <c r="C182" i="9" s="1"/>
  <c r="C186" i="9" s="1"/>
  <c r="C195" i="9" s="1"/>
  <c r="C169" i="9"/>
  <c r="C178" i="9" s="1"/>
  <c r="C189" i="9" s="1"/>
  <c r="C198" i="9" s="1"/>
  <c r="C171" i="9"/>
  <c r="C180" i="9" s="1"/>
  <c r="C191" i="9" s="1"/>
  <c r="C200" i="9" s="1"/>
  <c r="C170" i="9"/>
  <c r="C179" i="9" s="1"/>
  <c r="C190" i="9" s="1"/>
  <c r="C199" i="9" s="1"/>
  <c r="C112" i="9"/>
  <c r="C121" i="9" s="1"/>
  <c r="C125" i="9" s="1"/>
  <c r="C134" i="9" s="1"/>
  <c r="C113" i="9"/>
  <c r="C122" i="9" s="1"/>
  <c r="C126" i="9" s="1"/>
  <c r="C135" i="9" s="1"/>
  <c r="C111" i="9"/>
  <c r="C120" i="9" s="1"/>
  <c r="C127" i="9" s="1"/>
  <c r="C136" i="9" s="1"/>
  <c r="C110" i="9"/>
  <c r="C119" i="9" s="1"/>
  <c r="C130" i="9" s="1"/>
  <c r="C139" i="9" s="1"/>
  <c r="C107" i="9"/>
  <c r="C116" i="9" s="1"/>
  <c r="C131" i="9" s="1"/>
  <c r="C140" i="9" s="1"/>
  <c r="C109" i="9"/>
  <c r="C118" i="9" s="1"/>
  <c r="C129" i="9" s="1"/>
  <c r="C138" i="9" s="1"/>
  <c r="C108" i="9"/>
  <c r="C117" i="9" s="1"/>
  <c r="C128" i="9" s="1"/>
  <c r="C137" i="9" s="1"/>
  <c r="B13" i="5"/>
  <c r="B17" i="5"/>
  <c r="D26" i="2"/>
  <c r="D55" i="2" s="1"/>
  <c r="D29" i="2"/>
  <c r="D27" i="2"/>
  <c r="D22" i="2"/>
  <c r="D25" i="2"/>
  <c r="D24" i="2"/>
  <c r="D19" i="8"/>
  <c r="D28" i="2"/>
  <c r="D23" i="2"/>
  <c r="G7" i="6"/>
  <c r="E22" i="26"/>
  <c r="F7" i="6"/>
  <c r="C244" i="9" l="1"/>
  <c r="C197" i="9"/>
  <c r="C232" i="9"/>
  <c r="C30" i="8"/>
  <c r="C142" i="8" s="1"/>
  <c r="C2" i="6"/>
  <c r="C3" i="6" s="1"/>
  <c r="E4" i="29" s="1"/>
  <c r="C3" i="26"/>
  <c r="D2" i="29"/>
  <c r="C240" i="9"/>
  <c r="C241" i="9"/>
  <c r="C245" i="9"/>
  <c r="D77" i="8"/>
  <c r="B237" i="9"/>
  <c r="C233" i="9" s="1"/>
  <c r="D24" i="7"/>
  <c r="D83" i="7" s="1"/>
  <c r="D42" i="2"/>
  <c r="D57" i="2" s="1"/>
  <c r="D77" i="7" s="1"/>
  <c r="D49" i="8"/>
  <c r="D72" i="7"/>
  <c r="D40" i="2"/>
  <c r="D6" i="9"/>
  <c r="D37" i="2"/>
  <c r="D52" i="2" s="1"/>
  <c r="D3" i="9" s="1"/>
  <c r="D69" i="7"/>
  <c r="D52" i="8"/>
  <c r="D70" i="7"/>
  <c r="D38" i="2"/>
  <c r="D53" i="2" s="1"/>
  <c r="D4" i="9" s="1"/>
  <c r="D68" i="7"/>
  <c r="D36" i="2"/>
  <c r="D51" i="2" s="1"/>
  <c r="D2" i="9" s="1"/>
  <c r="D29" i="8"/>
  <c r="D41" i="2"/>
  <c r="D56" i="2" s="1"/>
  <c r="D7" i="9" s="1"/>
  <c r="D73" i="7"/>
  <c r="D71" i="7"/>
  <c r="D54" i="2"/>
  <c r="D5" i="9" s="1"/>
  <c r="D39" i="2"/>
  <c r="D58" i="7"/>
  <c r="D51" i="8"/>
  <c r="D50" i="8"/>
  <c r="D47" i="8"/>
  <c r="D48" i="8"/>
  <c r="D43" i="2"/>
  <c r="D86" i="7"/>
  <c r="D59" i="7"/>
  <c r="D25" i="7"/>
  <c r="D58" i="2"/>
  <c r="E3" i="26"/>
  <c r="B18" i="5"/>
  <c r="B162" i="11"/>
  <c r="G17" i="5" s="1"/>
  <c r="C31" i="8" l="1"/>
  <c r="C38" i="8" s="1"/>
  <c r="C88" i="8"/>
  <c r="C234" i="9"/>
  <c r="C235" i="9" s="1"/>
  <c r="C148" i="8" s="1"/>
  <c r="D78" i="7"/>
  <c r="D233" i="9"/>
  <c r="C8" i="6"/>
  <c r="C19" i="26"/>
  <c r="D87" i="8"/>
  <c r="D141" i="8"/>
  <c r="D162" i="9"/>
  <c r="D101" i="9"/>
  <c r="D95" i="7"/>
  <c r="F5" i="29" s="1"/>
  <c r="D92" i="7"/>
  <c r="D96" i="9"/>
  <c r="D157" i="9"/>
  <c r="D100" i="9"/>
  <c r="D161" i="9"/>
  <c r="D160" i="9"/>
  <c r="D99" i="9"/>
  <c r="D97" i="9"/>
  <c r="D158" i="9"/>
  <c r="D62" i="2"/>
  <c r="D66" i="2" s="1"/>
  <c r="D98" i="9"/>
  <c r="D159" i="9"/>
  <c r="E8" i="26"/>
  <c r="C17" i="5"/>
  <c r="C143" i="8" l="1"/>
  <c r="C149" i="8" s="1"/>
  <c r="C106" i="8" s="1"/>
  <c r="C37" i="8"/>
  <c r="C105" i="8" s="1"/>
  <c r="C89" i="8"/>
  <c r="C93" i="8" s="1"/>
  <c r="C96" i="8" s="1"/>
  <c r="C5" i="5" s="1"/>
  <c r="E233" i="9"/>
  <c r="F233" i="9" s="1"/>
  <c r="G233" i="9" s="1"/>
  <c r="H233" i="9" s="1"/>
  <c r="I233" i="9" s="1"/>
  <c r="J233" i="9" s="1"/>
  <c r="K233" i="9" s="1"/>
  <c r="D18" i="26"/>
  <c r="D100" i="7"/>
  <c r="C53" i="26"/>
  <c r="D69" i="2"/>
  <c r="D144" i="9" s="1"/>
  <c r="D80" i="7"/>
  <c r="E103" i="7" s="1"/>
  <c r="D83" i="9"/>
  <c r="D17" i="5"/>
  <c r="E4" i="26"/>
  <c r="C18" i="5"/>
  <c r="J16" i="15" l="1"/>
  <c r="C107" i="8"/>
  <c r="C109" i="8" s="1"/>
  <c r="D17" i="9"/>
  <c r="D8" i="9"/>
  <c r="E109" i="7"/>
  <c r="E97" i="26" s="1"/>
  <c r="C102" i="8"/>
  <c r="C4" i="5"/>
  <c r="C3" i="5"/>
  <c r="B106" i="26"/>
  <c r="E147" i="11"/>
  <c r="E5" i="2" s="1"/>
  <c r="E151" i="11"/>
  <c r="E9" i="2" s="1"/>
  <c r="E138" i="8" s="1"/>
  <c r="E146" i="11"/>
  <c r="E4" i="2" s="1"/>
  <c r="E144" i="11"/>
  <c r="E2" i="2" s="1"/>
  <c r="E148" i="11"/>
  <c r="E6" i="2" s="1"/>
  <c r="E145" i="11"/>
  <c r="E3" i="2" s="1"/>
  <c r="E149" i="11"/>
  <c r="E7" i="2" s="1"/>
  <c r="E150" i="11"/>
  <c r="E8" i="2" s="1"/>
  <c r="E131" i="8" s="1"/>
  <c r="D52" i="26"/>
  <c r="E5" i="26"/>
  <c r="E17" i="5"/>
  <c r="D89" i="7"/>
  <c r="C85" i="26" s="1"/>
  <c r="D18" i="5"/>
  <c r="E15" i="8" l="1"/>
  <c r="E73" i="8" s="1"/>
  <c r="E127" i="8"/>
  <c r="E14" i="8"/>
  <c r="E72" i="8" s="1"/>
  <c r="E126" i="8"/>
  <c r="E18" i="8"/>
  <c r="E76" i="8" s="1"/>
  <c r="E130" i="8"/>
  <c r="E17" i="8"/>
  <c r="E75" i="8" s="1"/>
  <c r="E129" i="8"/>
  <c r="E16" i="8"/>
  <c r="E74" i="8" s="1"/>
  <c r="E128" i="8"/>
  <c r="E13" i="8"/>
  <c r="E125" i="8"/>
  <c r="C111" i="8"/>
  <c r="D95" i="9"/>
  <c r="D156" i="9"/>
  <c r="D72" i="9"/>
  <c r="D73" i="9" s="1"/>
  <c r="D74" i="9" s="1"/>
  <c r="D75" i="9" s="1"/>
  <c r="D76" i="9" s="1"/>
  <c r="D77" i="9" s="1"/>
  <c r="D78" i="9" s="1"/>
  <c r="D86" i="9"/>
  <c r="D104" i="9" s="1"/>
  <c r="D147" i="9"/>
  <c r="D165" i="9" s="1"/>
  <c r="C7" i="5"/>
  <c r="D84" i="26"/>
  <c r="E6" i="26"/>
  <c r="E18" i="5"/>
  <c r="F17" i="5"/>
  <c r="E29" i="2"/>
  <c r="E23" i="2"/>
  <c r="E24" i="2"/>
  <c r="E25" i="2"/>
  <c r="E19" i="8"/>
  <c r="E28" i="2"/>
  <c r="E26" i="2"/>
  <c r="E55" i="2" s="1"/>
  <c r="E27" i="2"/>
  <c r="E22" i="2"/>
  <c r="D174" i="9" l="1"/>
  <c r="D183" i="9" s="1"/>
  <c r="D187" i="9" s="1"/>
  <c r="D196" i="9" s="1"/>
  <c r="D168" i="9"/>
  <c r="D177" i="9" s="1"/>
  <c r="D192" i="9" s="1"/>
  <c r="D201" i="9" s="1"/>
  <c r="D169" i="9"/>
  <c r="D178" i="9" s="1"/>
  <c r="D189" i="9" s="1"/>
  <c r="D198" i="9" s="1"/>
  <c r="D173" i="9"/>
  <c r="D182" i="9" s="1"/>
  <c r="D186" i="9" s="1"/>
  <c r="D244" i="9" s="1"/>
  <c r="D170" i="9"/>
  <c r="D179" i="9" s="1"/>
  <c r="D190" i="9" s="1"/>
  <c r="D199" i="9" s="1"/>
  <c r="D171" i="9"/>
  <c r="D180" i="9" s="1"/>
  <c r="D191" i="9" s="1"/>
  <c r="D200" i="9" s="1"/>
  <c r="D172" i="9"/>
  <c r="D181" i="9" s="1"/>
  <c r="D188" i="9" s="1"/>
  <c r="D109" i="9"/>
  <c r="D118" i="9" s="1"/>
  <c r="D129" i="9" s="1"/>
  <c r="D138" i="9" s="1"/>
  <c r="D108" i="9"/>
  <c r="D117" i="9" s="1"/>
  <c r="D128" i="9" s="1"/>
  <c r="D137" i="9" s="1"/>
  <c r="D107" i="9"/>
  <c r="D116" i="9" s="1"/>
  <c r="D131" i="9" s="1"/>
  <c r="D140" i="9" s="1"/>
  <c r="D113" i="9"/>
  <c r="D122" i="9" s="1"/>
  <c r="D126" i="9" s="1"/>
  <c r="D245" i="9" s="1"/>
  <c r="D112" i="9"/>
  <c r="D121" i="9" s="1"/>
  <c r="D125" i="9" s="1"/>
  <c r="D134" i="9" s="1"/>
  <c r="D111" i="9"/>
  <c r="D120" i="9" s="1"/>
  <c r="D127" i="9" s="1"/>
  <c r="D136" i="9" s="1"/>
  <c r="D110" i="9"/>
  <c r="D119" i="9" s="1"/>
  <c r="D130" i="9" s="1"/>
  <c r="D139" i="9" s="1"/>
  <c r="C110" i="8"/>
  <c r="C108" i="8" s="1"/>
  <c r="C12" i="5" s="1"/>
  <c r="C19" i="5"/>
  <c r="D22" i="8" s="1"/>
  <c r="D80" i="8" s="1"/>
  <c r="G18" i="5"/>
  <c r="E77" i="8"/>
  <c r="D78" i="8"/>
  <c r="D82" i="8"/>
  <c r="F18" i="5"/>
  <c r="E7" i="26"/>
  <c r="E50" i="8"/>
  <c r="E24" i="7"/>
  <c r="E83" i="7" s="1"/>
  <c r="E42" i="2"/>
  <c r="E57" i="2" s="1"/>
  <c r="E77" i="7" s="1"/>
  <c r="E49" i="8"/>
  <c r="E47" i="8"/>
  <c r="E36" i="2"/>
  <c r="E51" i="2" s="1"/>
  <c r="E2" i="9" s="1"/>
  <c r="E68" i="7"/>
  <c r="E29" i="8"/>
  <c r="E51" i="8"/>
  <c r="E52" i="8"/>
  <c r="E48" i="8"/>
  <c r="E25" i="7"/>
  <c r="E43" i="2"/>
  <c r="E86" i="7"/>
  <c r="E59" i="7"/>
  <c r="E58" i="2"/>
  <c r="E78" i="7" s="1"/>
  <c r="E73" i="7"/>
  <c r="E41" i="2"/>
  <c r="E56" i="2" s="1"/>
  <c r="E7" i="9" s="1"/>
  <c r="E58" i="7"/>
  <c r="E72" i="7"/>
  <c r="E40" i="2"/>
  <c r="E6" i="9"/>
  <c r="E71" i="7"/>
  <c r="E54" i="2"/>
  <c r="E5" i="9" s="1"/>
  <c r="E39" i="2"/>
  <c r="E70" i="7"/>
  <c r="E38" i="2"/>
  <c r="E53" i="2" s="1"/>
  <c r="E4" i="9" s="1"/>
  <c r="E69" i="7"/>
  <c r="E37" i="2"/>
  <c r="E52" i="2" s="1"/>
  <c r="E3" i="9" s="1"/>
  <c r="D2" i="6" l="1"/>
  <c r="D3" i="6" s="1"/>
  <c r="F4" i="29" s="1"/>
  <c r="D195" i="9"/>
  <c r="D240" i="9"/>
  <c r="D241" i="9"/>
  <c r="D197" i="9"/>
  <c r="D135" i="9"/>
  <c r="D246" i="9"/>
  <c r="D31" i="8" s="1"/>
  <c r="D30" i="8"/>
  <c r="D88" i="8" s="1"/>
  <c r="D232" i="9"/>
  <c r="D234" i="9" s="1"/>
  <c r="D235" i="9" s="1"/>
  <c r="D148" i="8" s="1"/>
  <c r="D25" i="8"/>
  <c r="D83" i="8" s="1"/>
  <c r="D26" i="8"/>
  <c r="D84" i="8" s="1"/>
  <c r="D71" i="8"/>
  <c r="D79" i="8"/>
  <c r="D53" i="8"/>
  <c r="D46" i="8"/>
  <c r="D55" i="8"/>
  <c r="D57" i="8"/>
  <c r="D54" i="8"/>
  <c r="E97" i="9"/>
  <c r="E158" i="9"/>
  <c r="E96" i="9"/>
  <c r="E157" i="9"/>
  <c r="E159" i="9"/>
  <c r="E98" i="9"/>
  <c r="E95" i="7"/>
  <c r="G5" i="29" s="1"/>
  <c r="E92" i="7"/>
  <c r="E160" i="9"/>
  <c r="E99" i="9"/>
  <c r="E162" i="9"/>
  <c r="E101" i="9"/>
  <c r="E62" i="2"/>
  <c r="E69" i="2" s="1"/>
  <c r="E161" i="9"/>
  <c r="E100" i="9"/>
  <c r="E141" i="8"/>
  <c r="E87" i="8"/>
  <c r="D8" i="6" l="1"/>
  <c r="C20" i="26"/>
  <c r="D19" i="26" s="1"/>
  <c r="D142" i="8"/>
  <c r="D37" i="8"/>
  <c r="D105" i="8" s="1"/>
  <c r="D59" i="8"/>
  <c r="D58" i="8"/>
  <c r="D62" i="8" s="1"/>
  <c r="D97" i="8"/>
  <c r="D38" i="8"/>
  <c r="D143" i="8"/>
  <c r="E100" i="7"/>
  <c r="C54" i="26"/>
  <c r="D89" i="8"/>
  <c r="D93" i="8" s="1"/>
  <c r="D96" i="8" s="1"/>
  <c r="D5" i="5" s="1"/>
  <c r="E66" i="2"/>
  <c r="E83" i="9" s="1"/>
  <c r="E89" i="7"/>
  <c r="C86" i="26" s="1"/>
  <c r="E144" i="9"/>
  <c r="E17" i="9" l="1"/>
  <c r="E8" i="9"/>
  <c r="D61" i="8"/>
  <c r="D103" i="8" s="1"/>
  <c r="D149" i="8"/>
  <c r="D106" i="8" s="1"/>
  <c r="D107" i="8" s="1"/>
  <c r="D85" i="26"/>
  <c r="D53" i="26"/>
  <c r="D3" i="5"/>
  <c r="E80" i="7"/>
  <c r="F103" i="7" s="1"/>
  <c r="D4" i="5"/>
  <c r="D102" i="8"/>
  <c r="E72" i="9" l="1"/>
  <c r="E73" i="9" s="1"/>
  <c r="E74" i="9" s="1"/>
  <c r="E75" i="9" s="1"/>
  <c r="E76" i="9" s="1"/>
  <c r="E77" i="9" s="1"/>
  <c r="E78" i="9" s="1"/>
  <c r="E95" i="9"/>
  <c r="E156" i="9"/>
  <c r="E147" i="9"/>
  <c r="E165" i="9" s="1"/>
  <c r="E86" i="9"/>
  <c r="E104" i="9" s="1"/>
  <c r="D9" i="5"/>
  <c r="D11" i="5" s="1"/>
  <c r="F109" i="7"/>
  <c r="F97" i="26" s="1"/>
  <c r="D111" i="8"/>
  <c r="D109" i="8"/>
  <c r="F146" i="11"/>
  <c r="F4" i="2" s="1"/>
  <c r="F150" i="11"/>
  <c r="F145" i="11"/>
  <c r="F3" i="2" s="1"/>
  <c r="F147" i="11"/>
  <c r="F5" i="2" s="1"/>
  <c r="F151" i="11"/>
  <c r="F144" i="11"/>
  <c r="F2" i="2" s="1"/>
  <c r="F148" i="11"/>
  <c r="F6" i="2" s="1"/>
  <c r="F149" i="11"/>
  <c r="F7" i="2" s="1"/>
  <c r="D7" i="5"/>
  <c r="F17" i="8" l="1"/>
  <c r="F75" i="8" s="1"/>
  <c r="F129" i="8"/>
  <c r="F13" i="8"/>
  <c r="F125" i="8"/>
  <c r="F14" i="8"/>
  <c r="F72" i="8" s="1"/>
  <c r="F126" i="8"/>
  <c r="F15" i="8"/>
  <c r="F73" i="8" s="1"/>
  <c r="F127" i="8"/>
  <c r="F18" i="8"/>
  <c r="F76" i="8" s="1"/>
  <c r="F130" i="8"/>
  <c r="F16" i="8"/>
  <c r="F128" i="8"/>
  <c r="E173" i="9"/>
  <c r="E182" i="9" s="1"/>
  <c r="E186" i="9" s="1"/>
  <c r="E244" i="9" s="1"/>
  <c r="E172" i="9"/>
  <c r="E181" i="9" s="1"/>
  <c r="E188" i="9" s="1"/>
  <c r="E197" i="9" s="1"/>
  <c r="E174" i="9"/>
  <c r="E183" i="9" s="1"/>
  <c r="E187" i="9" s="1"/>
  <c r="E171" i="9"/>
  <c r="E180" i="9" s="1"/>
  <c r="E191" i="9" s="1"/>
  <c r="E200" i="9" s="1"/>
  <c r="E168" i="9"/>
  <c r="E177" i="9" s="1"/>
  <c r="E192" i="9" s="1"/>
  <c r="E201" i="9" s="1"/>
  <c r="E169" i="9"/>
  <c r="E178" i="9" s="1"/>
  <c r="E189" i="9" s="1"/>
  <c r="E198" i="9" s="1"/>
  <c r="E170" i="9"/>
  <c r="E179" i="9" s="1"/>
  <c r="E190" i="9" s="1"/>
  <c r="E199" i="9" s="1"/>
  <c r="E110" i="9"/>
  <c r="E119" i="9" s="1"/>
  <c r="E130" i="9" s="1"/>
  <c r="E139" i="9" s="1"/>
  <c r="E107" i="9"/>
  <c r="E116" i="9" s="1"/>
  <c r="E131" i="9" s="1"/>
  <c r="E140" i="9" s="1"/>
  <c r="E108" i="9"/>
  <c r="E117" i="9" s="1"/>
  <c r="E128" i="9" s="1"/>
  <c r="E137" i="9" s="1"/>
  <c r="E113" i="9"/>
  <c r="E122" i="9" s="1"/>
  <c r="E126" i="9" s="1"/>
  <c r="E245" i="9" s="1"/>
  <c r="E112" i="9"/>
  <c r="E121" i="9" s="1"/>
  <c r="E125" i="9" s="1"/>
  <c r="E134" i="9" s="1"/>
  <c r="E109" i="9"/>
  <c r="E118" i="9" s="1"/>
  <c r="E129" i="9" s="1"/>
  <c r="E138" i="9" s="1"/>
  <c r="E111" i="9"/>
  <c r="E120" i="9" s="1"/>
  <c r="E127" i="9" s="1"/>
  <c r="E136" i="9" s="1"/>
  <c r="D110" i="8"/>
  <c r="D108" i="8" s="1"/>
  <c r="D12" i="5" s="1"/>
  <c r="D19" i="5"/>
  <c r="E25" i="8" s="1"/>
  <c r="F8" i="2"/>
  <c r="F131" i="8" s="1"/>
  <c r="F9" i="2"/>
  <c r="F138" i="8" s="1"/>
  <c r="F27" i="2"/>
  <c r="F24" i="2"/>
  <c r="F38" i="2" s="1"/>
  <c r="F53" i="2" s="1"/>
  <c r="F4" i="9" s="1"/>
  <c r="F25" i="2"/>
  <c r="F23" i="2"/>
  <c r="F37" i="2" s="1"/>
  <c r="F52" i="2" s="1"/>
  <c r="F3" i="9" s="1"/>
  <c r="F26" i="2"/>
  <c r="F55" i="2" s="1"/>
  <c r="F22" i="2"/>
  <c r="E195" i="9" l="1"/>
  <c r="E246" i="9"/>
  <c r="E31" i="8" s="1"/>
  <c r="E143" i="8" s="1"/>
  <c r="E232" i="9"/>
  <c r="E234" i="9" s="1"/>
  <c r="E235" i="9" s="1"/>
  <c r="E148" i="8" s="1"/>
  <c r="E30" i="8"/>
  <c r="E142" i="8" s="1"/>
  <c r="E241" i="9"/>
  <c r="E135" i="9"/>
  <c r="E2" i="6"/>
  <c r="E3" i="6" s="1"/>
  <c r="G4" i="29" s="1"/>
  <c r="E240" i="9"/>
  <c r="E196" i="9"/>
  <c r="F68" i="7"/>
  <c r="F49" i="8"/>
  <c r="F74" i="8"/>
  <c r="F50" i="8"/>
  <c r="F47" i="8"/>
  <c r="F29" i="2"/>
  <c r="E22" i="8"/>
  <c r="E80" i="8" s="1"/>
  <c r="E83" i="8"/>
  <c r="E82" i="8"/>
  <c r="E78" i="8"/>
  <c r="E26" i="8"/>
  <c r="E84" i="8" s="1"/>
  <c r="F41" i="2"/>
  <c r="F56" i="2" s="1"/>
  <c r="F7" i="9" s="1"/>
  <c r="F98" i="9" s="1"/>
  <c r="F39" i="2"/>
  <c r="F40" i="2"/>
  <c r="F28" i="2"/>
  <c r="F24" i="7" s="1"/>
  <c r="F83" i="7" s="1"/>
  <c r="F92" i="7" s="1"/>
  <c r="F51" i="8"/>
  <c r="F73" i="7"/>
  <c r="F70" i="7"/>
  <c r="F48" i="8"/>
  <c r="F71" i="7"/>
  <c r="F54" i="2"/>
  <c r="F5" i="9" s="1"/>
  <c r="F157" i="9" s="1"/>
  <c r="F69" i="7"/>
  <c r="F72" i="7"/>
  <c r="F6" i="9"/>
  <c r="F158" i="9" s="1"/>
  <c r="F58" i="7"/>
  <c r="F36" i="2"/>
  <c r="F51" i="2" s="1"/>
  <c r="F2" i="9" s="1"/>
  <c r="F161" i="9" s="1"/>
  <c r="F101" i="9"/>
  <c r="F162" i="9"/>
  <c r="F160" i="9"/>
  <c r="F99" i="9"/>
  <c r="C21" i="26" l="1"/>
  <c r="D20" i="26" s="1"/>
  <c r="E8" i="6"/>
  <c r="E88" i="8"/>
  <c r="E79" i="8"/>
  <c r="E38" i="8"/>
  <c r="E71" i="8"/>
  <c r="E37" i="8"/>
  <c r="E105" i="8" s="1"/>
  <c r="E149" i="8"/>
  <c r="E106" i="8" s="1"/>
  <c r="F59" i="7"/>
  <c r="F58" i="2"/>
  <c r="F43" i="2"/>
  <c r="F25" i="7"/>
  <c r="F86" i="7"/>
  <c r="F95" i="7" s="1"/>
  <c r="H5" i="29" s="1"/>
  <c r="F159" i="9"/>
  <c r="E57" i="8"/>
  <c r="E46" i="8"/>
  <c r="E58" i="8"/>
  <c r="E59" i="8"/>
  <c r="E55" i="8"/>
  <c r="E53" i="8"/>
  <c r="E54" i="8"/>
  <c r="E89" i="8"/>
  <c r="F29" i="8"/>
  <c r="F87" i="8" s="1"/>
  <c r="F42" i="2"/>
  <c r="F57" i="2" s="1"/>
  <c r="F77" i="7" s="1"/>
  <c r="F96" i="9"/>
  <c r="F97" i="9"/>
  <c r="F100" i="9"/>
  <c r="F78" i="7" l="1"/>
  <c r="F80" i="7" s="1"/>
  <c r="G103" i="7" s="1"/>
  <c r="E107" i="8"/>
  <c r="E62" i="8"/>
  <c r="E97" i="8"/>
  <c r="E93" i="8"/>
  <c r="E96" i="8" s="1"/>
  <c r="E5" i="5" s="1"/>
  <c r="E61" i="8"/>
  <c r="F100" i="7"/>
  <c r="C55" i="26"/>
  <c r="F62" i="2"/>
  <c r="F66" i="2" s="1"/>
  <c r="F83" i="9" s="1"/>
  <c r="F141" i="8"/>
  <c r="G109" i="7" l="1"/>
  <c r="G97" i="26" s="1"/>
  <c r="E111" i="8"/>
  <c r="E109" i="8"/>
  <c r="E4" i="5"/>
  <c r="E3" i="5"/>
  <c r="E102" i="8"/>
  <c r="E9" i="5"/>
  <c r="E11" i="5" s="1"/>
  <c r="E103" i="8"/>
  <c r="D54" i="26"/>
  <c r="F69" i="2"/>
  <c r="F144" i="9" s="1"/>
  <c r="G145" i="11"/>
  <c r="G3" i="2" s="1"/>
  <c r="G149" i="11"/>
  <c r="G7" i="2" s="1"/>
  <c r="G146" i="11"/>
  <c r="G4" i="2" s="1"/>
  <c r="G150" i="11"/>
  <c r="G8" i="2" s="1"/>
  <c r="G147" i="11"/>
  <c r="G5" i="2" s="1"/>
  <c r="G151" i="11"/>
  <c r="G9" i="2" s="1"/>
  <c r="G138" i="8" s="1"/>
  <c r="G144" i="11"/>
  <c r="G2" i="2" s="1"/>
  <c r="G148" i="11"/>
  <c r="G6" i="2" s="1"/>
  <c r="F89" i="7"/>
  <c r="C87" i="26" s="1"/>
  <c r="G16" i="8" l="1"/>
  <c r="G74" i="8" s="1"/>
  <c r="G128" i="8"/>
  <c r="G14" i="8"/>
  <c r="G72" i="8" s="1"/>
  <c r="G126" i="8"/>
  <c r="G18" i="8"/>
  <c r="G76" i="8" s="1"/>
  <c r="G130" i="8"/>
  <c r="G17" i="8"/>
  <c r="G75" i="8" s="1"/>
  <c r="G129" i="8"/>
  <c r="A44" i="28"/>
  <c r="G131" i="8"/>
  <c r="G13" i="8"/>
  <c r="G125" i="8"/>
  <c r="G15" i="8"/>
  <c r="G73" i="8" s="1"/>
  <c r="G127" i="8"/>
  <c r="F17" i="9"/>
  <c r="F8" i="9"/>
  <c r="A70" i="28"/>
  <c r="J7" i="15"/>
  <c r="A32" i="28"/>
  <c r="A36" i="28"/>
  <c r="A42" i="28"/>
  <c r="A34" i="28"/>
  <c r="A40" i="28"/>
  <c r="A38" i="28"/>
  <c r="A46" i="28"/>
  <c r="E7" i="5"/>
  <c r="E110" i="8" s="1"/>
  <c r="D86" i="26"/>
  <c r="G27" i="2"/>
  <c r="G28" i="2"/>
  <c r="G29" i="2"/>
  <c r="G23" i="2"/>
  <c r="G26" i="2"/>
  <c r="G22" i="2"/>
  <c r="G24" i="2"/>
  <c r="G25" i="2"/>
  <c r="A64" i="28" s="1"/>
  <c r="A66" i="28" l="1"/>
  <c r="B70" i="26"/>
  <c r="A68" i="28"/>
  <c r="G55" i="2"/>
  <c r="G6" i="9" s="1"/>
  <c r="F156" i="9"/>
  <c r="F72" i="9"/>
  <c r="F73" i="9" s="1"/>
  <c r="F74" i="9" s="1"/>
  <c r="F75" i="9" s="1"/>
  <c r="F76" i="9" s="1"/>
  <c r="F77" i="9" s="1"/>
  <c r="F78" i="9" s="1"/>
  <c r="F95" i="9"/>
  <c r="F86" i="9"/>
  <c r="F104" i="9" s="1"/>
  <c r="F147" i="9"/>
  <c r="F165" i="9" s="1"/>
  <c r="E19" i="5"/>
  <c r="F25" i="8" s="1"/>
  <c r="E108" i="8"/>
  <c r="E12" i="5" s="1"/>
  <c r="G48" i="8"/>
  <c r="G47" i="8"/>
  <c r="G49" i="8"/>
  <c r="G68" i="7"/>
  <c r="G36" i="2"/>
  <c r="G51" i="2" s="1"/>
  <c r="G2" i="9" s="1"/>
  <c r="G29" i="8"/>
  <c r="G58" i="7"/>
  <c r="G40" i="2"/>
  <c r="G72" i="7"/>
  <c r="G25" i="7"/>
  <c r="G86" i="7"/>
  <c r="G59" i="7"/>
  <c r="G43" i="2"/>
  <c r="G58" i="2"/>
  <c r="G78" i="7" s="1"/>
  <c r="G41" i="2"/>
  <c r="G56" i="2" s="1"/>
  <c r="G7" i="9" s="1"/>
  <c r="G73" i="7"/>
  <c r="G50" i="8"/>
  <c r="G24" i="7"/>
  <c r="G83" i="7" s="1"/>
  <c r="G42" i="2"/>
  <c r="G57" i="2" s="1"/>
  <c r="G77" i="7" s="1"/>
  <c r="G54" i="2"/>
  <c r="G5" i="9" s="1"/>
  <c r="G39" i="2"/>
  <c r="G71" i="7"/>
  <c r="G38" i="2"/>
  <c r="G53" i="2" s="1"/>
  <c r="G4" i="9" s="1"/>
  <c r="G70" i="7"/>
  <c r="G37" i="2"/>
  <c r="G52" i="2" s="1"/>
  <c r="G3" i="9" s="1"/>
  <c r="G69" i="7"/>
  <c r="G51" i="8"/>
  <c r="F173" i="9" l="1"/>
  <c r="F182" i="9" s="1"/>
  <c r="F186" i="9" s="1"/>
  <c r="F244" i="9" s="1"/>
  <c r="F168" i="9"/>
  <c r="F177" i="9" s="1"/>
  <c r="F192" i="9" s="1"/>
  <c r="F201" i="9" s="1"/>
  <c r="F171" i="9"/>
  <c r="F180" i="9" s="1"/>
  <c r="F191" i="9" s="1"/>
  <c r="F200" i="9" s="1"/>
  <c r="F172" i="9"/>
  <c r="F181" i="9" s="1"/>
  <c r="F188" i="9" s="1"/>
  <c r="F197" i="9" s="1"/>
  <c r="F170" i="9"/>
  <c r="F179" i="9" s="1"/>
  <c r="F190" i="9" s="1"/>
  <c r="F199" i="9" s="1"/>
  <c r="F174" i="9"/>
  <c r="F183" i="9" s="1"/>
  <c r="F187" i="9" s="1"/>
  <c r="F196" i="9" s="1"/>
  <c r="F111" i="9"/>
  <c r="F120" i="9" s="1"/>
  <c r="F127" i="9" s="1"/>
  <c r="F136" i="9" s="1"/>
  <c r="F107" i="9"/>
  <c r="F116" i="9" s="1"/>
  <c r="F131" i="9" s="1"/>
  <c r="F140" i="9" s="1"/>
  <c r="F108" i="9"/>
  <c r="F117" i="9" s="1"/>
  <c r="F128" i="9" s="1"/>
  <c r="F137" i="9" s="1"/>
  <c r="F112" i="9"/>
  <c r="F121" i="9" s="1"/>
  <c r="F125" i="9" s="1"/>
  <c r="F134" i="9" s="1"/>
  <c r="F113" i="9"/>
  <c r="F122" i="9" s="1"/>
  <c r="F126" i="9" s="1"/>
  <c r="F110" i="9"/>
  <c r="F119" i="9" s="1"/>
  <c r="F130" i="9" s="1"/>
  <c r="F139" i="9" s="1"/>
  <c r="F109" i="9"/>
  <c r="F118" i="9" s="1"/>
  <c r="F129" i="9" s="1"/>
  <c r="F138" i="9" s="1"/>
  <c r="F169" i="9"/>
  <c r="F178" i="9" s="1"/>
  <c r="F189" i="9" s="1"/>
  <c r="F198" i="9" s="1"/>
  <c r="F82" i="8"/>
  <c r="F22" i="8"/>
  <c r="F80" i="8" s="1"/>
  <c r="F26" i="8"/>
  <c r="F84" i="8" s="1"/>
  <c r="G160" i="9"/>
  <c r="G99" i="9"/>
  <c r="G62" i="2"/>
  <c r="G66" i="2" s="1"/>
  <c r="G161" i="9"/>
  <c r="G100" i="9"/>
  <c r="G95" i="7"/>
  <c r="G92" i="7"/>
  <c r="G96" i="9"/>
  <c r="G157" i="9"/>
  <c r="G97" i="9"/>
  <c r="G158" i="9"/>
  <c r="G101" i="9"/>
  <c r="G162" i="9"/>
  <c r="G98" i="9"/>
  <c r="G159" i="9"/>
  <c r="G141" i="8"/>
  <c r="G87" i="8"/>
  <c r="F195" i="9" l="1"/>
  <c r="F246" i="9"/>
  <c r="F241" i="9"/>
  <c r="F2" i="6"/>
  <c r="F3" i="6" s="1"/>
  <c r="H4" i="29" s="1"/>
  <c r="F232" i="9"/>
  <c r="F234" i="9" s="1"/>
  <c r="F235" i="9" s="1"/>
  <c r="F148" i="8" s="1"/>
  <c r="F240" i="9"/>
  <c r="F30" i="8"/>
  <c r="F142" i="8" s="1"/>
  <c r="F135" i="9"/>
  <c r="F245" i="9"/>
  <c r="F55" i="8"/>
  <c r="F71" i="8"/>
  <c r="F54" i="8"/>
  <c r="F79" i="8"/>
  <c r="F53" i="8"/>
  <c r="F78" i="8"/>
  <c r="F58" i="8"/>
  <c r="F83" i="8"/>
  <c r="F46" i="8"/>
  <c r="F57" i="8"/>
  <c r="F59" i="8"/>
  <c r="C56" i="26"/>
  <c r="G69" i="2"/>
  <c r="G144" i="9" s="1"/>
  <c r="G83" i="9"/>
  <c r="G89" i="7"/>
  <c r="C88" i="26" s="1"/>
  <c r="G100" i="7"/>
  <c r="C22" i="26" l="1"/>
  <c r="D21" i="26" s="1"/>
  <c r="F31" i="8"/>
  <c r="F143" i="8" s="1"/>
  <c r="F149" i="8" s="1"/>
  <c r="F106" i="8" s="1"/>
  <c r="F8" i="6"/>
  <c r="F88" i="8"/>
  <c r="G8" i="9"/>
  <c r="G17" i="9"/>
  <c r="B100" i="28"/>
  <c r="A100" i="28"/>
  <c r="B102" i="28"/>
  <c r="A28" i="28"/>
  <c r="B28" i="28"/>
  <c r="D55" i="26"/>
  <c r="D87" i="26"/>
  <c r="G80" i="7"/>
  <c r="H103" i="7" s="1"/>
  <c r="F89" i="8" l="1"/>
  <c r="G86" i="9"/>
  <c r="G104" i="9" s="1"/>
  <c r="G147" i="9"/>
  <c r="G165" i="9" s="1"/>
  <c r="G95" i="9"/>
  <c r="G72" i="9"/>
  <c r="G73" i="9" s="1"/>
  <c r="G74" i="9" s="1"/>
  <c r="G75" i="9" s="1"/>
  <c r="G76" i="9" s="1"/>
  <c r="G77" i="9" s="1"/>
  <c r="G78" i="9" s="1"/>
  <c r="G156" i="9"/>
  <c r="H109" i="7"/>
  <c r="H97" i="26" s="1"/>
  <c r="H144" i="11"/>
  <c r="H2" i="2" s="1"/>
  <c r="H148" i="11"/>
  <c r="H6" i="2" s="1"/>
  <c r="H151" i="11"/>
  <c r="H145" i="11"/>
  <c r="H3" i="2" s="1"/>
  <c r="H149" i="11"/>
  <c r="H7" i="2" s="1"/>
  <c r="H146" i="11"/>
  <c r="H4" i="2" s="1"/>
  <c r="H150" i="11"/>
  <c r="H8" i="2" s="1"/>
  <c r="H131" i="8" s="1"/>
  <c r="H147" i="11"/>
  <c r="H5" i="2" s="1"/>
  <c r="H18" i="8" l="1"/>
  <c r="H76" i="8" s="1"/>
  <c r="H130" i="8"/>
  <c r="H16" i="8"/>
  <c r="H74" i="8" s="1"/>
  <c r="H128" i="8"/>
  <c r="H14" i="8"/>
  <c r="H72" i="8" s="1"/>
  <c r="H126" i="8"/>
  <c r="H13" i="8"/>
  <c r="H125" i="8"/>
  <c r="H15" i="8"/>
  <c r="H73" i="8" s="1"/>
  <c r="H127" i="8"/>
  <c r="H17" i="8"/>
  <c r="H75" i="8" s="1"/>
  <c r="H129" i="8"/>
  <c r="G171" i="9"/>
  <c r="G180" i="9" s="1"/>
  <c r="G191" i="9" s="1"/>
  <c r="G200" i="9" s="1"/>
  <c r="G174" i="9"/>
  <c r="G183" i="9" s="1"/>
  <c r="G187" i="9" s="1"/>
  <c r="G196" i="9" s="1"/>
  <c r="G172" i="9"/>
  <c r="G181" i="9" s="1"/>
  <c r="G188" i="9" s="1"/>
  <c r="G246" i="9" s="1"/>
  <c r="G173" i="9"/>
  <c r="G182" i="9" s="1"/>
  <c r="G186" i="9" s="1"/>
  <c r="G195" i="9" s="1"/>
  <c r="G170" i="9"/>
  <c r="G179" i="9" s="1"/>
  <c r="G190" i="9" s="1"/>
  <c r="G199" i="9" s="1"/>
  <c r="G169" i="9"/>
  <c r="G178" i="9" s="1"/>
  <c r="G189" i="9" s="1"/>
  <c r="G198" i="9" s="1"/>
  <c r="G107" i="9"/>
  <c r="G116" i="9" s="1"/>
  <c r="G131" i="9" s="1"/>
  <c r="G140" i="9" s="1"/>
  <c r="G113" i="9"/>
  <c r="G122" i="9" s="1"/>
  <c r="G126" i="9" s="1"/>
  <c r="G245" i="9" s="1"/>
  <c r="G109" i="9"/>
  <c r="G118" i="9" s="1"/>
  <c r="G129" i="9" s="1"/>
  <c r="G138" i="9" s="1"/>
  <c r="G110" i="9"/>
  <c r="G119" i="9" s="1"/>
  <c r="G130" i="9" s="1"/>
  <c r="G139" i="9" s="1"/>
  <c r="G108" i="9"/>
  <c r="G117" i="9" s="1"/>
  <c r="G128" i="9" s="1"/>
  <c r="G137" i="9" s="1"/>
  <c r="G112" i="9"/>
  <c r="G121" i="9" s="1"/>
  <c r="G125" i="9" s="1"/>
  <c r="G134" i="9" s="1"/>
  <c r="G111" i="9"/>
  <c r="G120" i="9" s="1"/>
  <c r="G127" i="9" s="1"/>
  <c r="G136" i="9" s="1"/>
  <c r="G168" i="9"/>
  <c r="G177" i="9" s="1"/>
  <c r="G192" i="9" s="1"/>
  <c r="B67" i="26"/>
  <c r="B66" i="26"/>
  <c r="H24" i="2"/>
  <c r="H38" i="2" s="1"/>
  <c r="H53" i="2" s="1"/>
  <c r="H4" i="9" s="1"/>
  <c r="H27" i="2"/>
  <c r="AD4" i="1" s="1"/>
  <c r="H25" i="2"/>
  <c r="AD2" i="1" s="1"/>
  <c r="H9" i="2"/>
  <c r="H138" i="8" s="1"/>
  <c r="H28" i="2"/>
  <c r="H42" i="2" s="1"/>
  <c r="H57" i="2" s="1"/>
  <c r="H23" i="2"/>
  <c r="H37" i="2" s="1"/>
  <c r="H52" i="2" s="1"/>
  <c r="H3" i="9" s="1"/>
  <c r="H26" i="2"/>
  <c r="H55" i="2" s="1"/>
  <c r="H22" i="2"/>
  <c r="B69" i="26" l="1"/>
  <c r="B72" i="26"/>
  <c r="B68" i="26"/>
  <c r="B71" i="26"/>
  <c r="G197" i="9"/>
  <c r="G135" i="9"/>
  <c r="G241" i="9"/>
  <c r="G244" i="9"/>
  <c r="G31" i="8" s="1"/>
  <c r="G89" i="8" s="1"/>
  <c r="G2" i="6"/>
  <c r="G3" i="6" s="1"/>
  <c r="C23" i="26" s="1"/>
  <c r="G232" i="9"/>
  <c r="G234" i="9" s="1"/>
  <c r="G235" i="9" s="1"/>
  <c r="G148" i="8" s="1"/>
  <c r="G30" i="8"/>
  <c r="G142" i="8" s="1"/>
  <c r="G240" i="9"/>
  <c r="B73" i="26"/>
  <c r="G201" i="9"/>
  <c r="H41" i="2"/>
  <c r="H56" i="2" s="1"/>
  <c r="H7" i="9" s="1"/>
  <c r="H159" i="9" s="1"/>
  <c r="H70" i="7"/>
  <c r="H73" i="7"/>
  <c r="H47" i="8"/>
  <c r="AD5" i="1"/>
  <c r="H77" i="7"/>
  <c r="H36" i="2"/>
  <c r="H51" i="2" s="1"/>
  <c r="H2" i="9" s="1"/>
  <c r="H161" i="9" s="1"/>
  <c r="H71" i="7"/>
  <c r="H39" i="2"/>
  <c r="H54" i="2"/>
  <c r="H5" i="9" s="1"/>
  <c r="H96" i="9" s="1"/>
  <c r="H50" i="8"/>
  <c r="H29" i="2"/>
  <c r="H86" i="7" s="1"/>
  <c r="H6" i="9"/>
  <c r="H158" i="9" s="1"/>
  <c r="AD3" i="1"/>
  <c r="H48" i="8"/>
  <c r="H49" i="8"/>
  <c r="H24" i="7"/>
  <c r="H83" i="7" s="1"/>
  <c r="H92" i="7" s="1"/>
  <c r="H58" i="7"/>
  <c r="H69" i="7"/>
  <c r="H40" i="2"/>
  <c r="H72" i="7"/>
  <c r="H68" i="7"/>
  <c r="H29" i="8"/>
  <c r="H87" i="8" s="1"/>
  <c r="H51" i="8"/>
  <c r="B206" i="9"/>
  <c r="B207" i="9" s="1"/>
  <c r="B208" i="9" s="1"/>
  <c r="B209" i="9" s="1"/>
  <c r="H162" i="9"/>
  <c r="H101" i="9"/>
  <c r="H160" i="9"/>
  <c r="H99" i="9"/>
  <c r="G8" i="6" l="1"/>
  <c r="J21" i="15"/>
  <c r="G88" i="8"/>
  <c r="H98" i="9"/>
  <c r="H100" i="9"/>
  <c r="H157" i="9"/>
  <c r="H58" i="2"/>
  <c r="H78" i="7" s="1"/>
  <c r="H25" i="7"/>
  <c r="H43" i="2"/>
  <c r="H62" i="2" s="1"/>
  <c r="H59" i="7"/>
  <c r="A24" i="28"/>
  <c r="A96" i="28"/>
  <c r="B96" i="28"/>
  <c r="G143" i="8"/>
  <c r="H97" i="9"/>
  <c r="B210" i="9"/>
  <c r="B211" i="9" s="1"/>
  <c r="B212" i="9" s="1"/>
  <c r="B213" i="9" s="1"/>
  <c r="B214" i="9" s="1"/>
  <c r="B215" i="9" s="1"/>
  <c r="B216" i="9" s="1"/>
  <c r="B217" i="9" s="1"/>
  <c r="B218" i="9" s="1"/>
  <c r="D22" i="26"/>
  <c r="H95" i="7"/>
  <c r="H141" i="8"/>
  <c r="G149" i="8" l="1"/>
  <c r="G106" i="8" s="1"/>
  <c r="H80" i="7"/>
  <c r="I103" i="7" s="1"/>
  <c r="H66" i="2"/>
  <c r="H83" i="9" s="1"/>
  <c r="C57" i="26"/>
  <c r="G15" i="15"/>
  <c r="H69" i="2"/>
  <c r="H144" i="9" s="1"/>
  <c r="H89" i="7"/>
  <c r="C89" i="26" s="1"/>
  <c r="H17" i="9" l="1"/>
  <c r="H8" i="9"/>
  <c r="I147" i="11"/>
  <c r="I5" i="2" s="1"/>
  <c r="I109" i="7"/>
  <c r="I97" i="26" s="1"/>
  <c r="I151" i="11"/>
  <c r="I9" i="2" s="1"/>
  <c r="I138" i="8" s="1"/>
  <c r="I146" i="11"/>
  <c r="I4" i="2" s="1"/>
  <c r="I149" i="11"/>
  <c r="I7" i="2" s="1"/>
  <c r="I145" i="11"/>
  <c r="I3" i="2" s="1"/>
  <c r="I150" i="11"/>
  <c r="I8" i="2" s="1"/>
  <c r="I131" i="8" s="1"/>
  <c r="I148" i="11"/>
  <c r="I6" i="2" s="1"/>
  <c r="I144" i="11"/>
  <c r="I2" i="2" s="1"/>
  <c r="D89" i="26"/>
  <c r="D88" i="26"/>
  <c r="D211" i="9"/>
  <c r="D215" i="9"/>
  <c r="D212" i="9"/>
  <c r="D217" i="9"/>
  <c r="D213" i="9"/>
  <c r="D209" i="9"/>
  <c r="D208" i="9"/>
  <c r="D214" i="9"/>
  <c r="D205" i="9"/>
  <c r="D216" i="9"/>
  <c r="D207" i="9"/>
  <c r="D210" i="9"/>
  <c r="D206" i="9"/>
  <c r="D218" i="9"/>
  <c r="D57" i="26"/>
  <c r="D56" i="26"/>
  <c r="I13" i="8" l="1"/>
  <c r="I125" i="8"/>
  <c r="I18" i="8"/>
  <c r="I76" i="8" s="1"/>
  <c r="I130" i="8"/>
  <c r="I16" i="8"/>
  <c r="I49" i="8" s="1"/>
  <c r="I128" i="8"/>
  <c r="I17" i="8"/>
  <c r="I129" i="8"/>
  <c r="I15" i="8"/>
  <c r="I73" i="8" s="1"/>
  <c r="I127" i="8"/>
  <c r="I14" i="8"/>
  <c r="I72" i="8" s="1"/>
  <c r="I126" i="8"/>
  <c r="H156" i="9"/>
  <c r="H95" i="9"/>
  <c r="H72" i="9"/>
  <c r="H73" i="9" s="1"/>
  <c r="H74" i="9" s="1"/>
  <c r="H75" i="9" s="1"/>
  <c r="H76" i="9" s="1"/>
  <c r="H77" i="9" s="1"/>
  <c r="H78" i="9" s="1"/>
  <c r="H147" i="9"/>
  <c r="H165" i="9" s="1"/>
  <c r="H86" i="9"/>
  <c r="H104" i="9" s="1"/>
  <c r="I26" i="2"/>
  <c r="I22" i="2"/>
  <c r="I68" i="7" s="1"/>
  <c r="I25" i="2"/>
  <c r="I6" i="1" s="1"/>
  <c r="A77" i="28" s="1"/>
  <c r="I29" i="2"/>
  <c r="I10" i="1" s="1"/>
  <c r="I24" i="2"/>
  <c r="I5" i="1" s="1"/>
  <c r="A76" i="28" s="1"/>
  <c r="I27" i="2"/>
  <c r="I8" i="1" s="1"/>
  <c r="A79" i="28" s="1"/>
  <c r="I23" i="2"/>
  <c r="I4" i="1" s="1"/>
  <c r="B222" i="9"/>
  <c r="I28" i="2"/>
  <c r="I9" i="1" s="1"/>
  <c r="A80" i="28" s="1"/>
  <c r="I7" i="1" l="1"/>
  <c r="A78" i="28" s="1"/>
  <c r="I55" i="2"/>
  <c r="I6" i="9" s="1"/>
  <c r="I97" i="9" s="1"/>
  <c r="H171" i="9"/>
  <c r="H180" i="9" s="1"/>
  <c r="H191" i="9" s="1"/>
  <c r="H200" i="9" s="1"/>
  <c r="H173" i="9"/>
  <c r="H182" i="9" s="1"/>
  <c r="H186" i="9" s="1"/>
  <c r="B221" i="9" s="1"/>
  <c r="H172" i="9"/>
  <c r="H181" i="9" s="1"/>
  <c r="H188" i="9" s="1"/>
  <c r="H197" i="9" s="1"/>
  <c r="H169" i="9"/>
  <c r="H178" i="9" s="1"/>
  <c r="H189" i="9" s="1"/>
  <c r="B224" i="9" s="1"/>
  <c r="H170" i="9"/>
  <c r="H179" i="9" s="1"/>
  <c r="H190" i="9" s="1"/>
  <c r="B225" i="9" s="1"/>
  <c r="H168" i="9"/>
  <c r="H177" i="9" s="1"/>
  <c r="H192" i="9" s="1"/>
  <c r="H112" i="9"/>
  <c r="H121" i="9" s="1"/>
  <c r="H125" i="9" s="1"/>
  <c r="H134" i="9" s="1"/>
  <c r="H174" i="9"/>
  <c r="H183" i="9" s="1"/>
  <c r="H187" i="9" s="1"/>
  <c r="H196" i="9" s="1"/>
  <c r="H111" i="9"/>
  <c r="H120" i="9" s="1"/>
  <c r="H127" i="9" s="1"/>
  <c r="H136" i="9" s="1"/>
  <c r="H108" i="9"/>
  <c r="H117" i="9" s="1"/>
  <c r="H128" i="9" s="1"/>
  <c r="H137" i="9" s="1"/>
  <c r="H107" i="9"/>
  <c r="H116" i="9" s="1"/>
  <c r="H131" i="9" s="1"/>
  <c r="H140" i="9" s="1"/>
  <c r="H109" i="9"/>
  <c r="H118" i="9" s="1"/>
  <c r="H129" i="9" s="1"/>
  <c r="H138" i="9" s="1"/>
  <c r="H113" i="9"/>
  <c r="H122" i="9" s="1"/>
  <c r="H126" i="9" s="1"/>
  <c r="H110" i="9"/>
  <c r="H119" i="9" s="1"/>
  <c r="H130" i="9" s="1"/>
  <c r="H139" i="9" s="1"/>
  <c r="I36" i="2"/>
  <c r="I51" i="2" s="1"/>
  <c r="I2" i="9" s="1"/>
  <c r="I161" i="9" s="1"/>
  <c r="I3" i="1"/>
  <c r="A74" i="28" s="1"/>
  <c r="I72" i="7"/>
  <c r="I40" i="2"/>
  <c r="I47" i="8"/>
  <c r="I74" i="8"/>
  <c r="Q3" i="1"/>
  <c r="Q4" i="1" s="1"/>
  <c r="Q5" i="1" s="1"/>
  <c r="Q6" i="1" s="1"/>
  <c r="Q7" i="1" s="1"/>
  <c r="Q8" i="1" s="1"/>
  <c r="Q9" i="1" s="1"/>
  <c r="Q10" i="1" s="1"/>
  <c r="Q11" i="1" s="1"/>
  <c r="Q12" i="1" s="1"/>
  <c r="Q13" i="1" s="1"/>
  <c r="Q14" i="1" s="1"/>
  <c r="Q15" i="1" s="1"/>
  <c r="Q16" i="1" s="1"/>
  <c r="Q17" i="1" s="1"/>
  <c r="Q18" i="1" s="1"/>
  <c r="Q19" i="1" s="1"/>
  <c r="Q20" i="1" s="1"/>
  <c r="Q21" i="1" s="1"/>
  <c r="Q22" i="1" s="1"/>
  <c r="Q23" i="1" s="1"/>
  <c r="Q24" i="1" s="1"/>
  <c r="Q25" i="1" s="1"/>
  <c r="Q26" i="1" s="1"/>
  <c r="Q27" i="1" s="1"/>
  <c r="Q28" i="1" s="1"/>
  <c r="Q29" i="1" s="1"/>
  <c r="Q30" i="1" s="1"/>
  <c r="Q31" i="1" s="1"/>
  <c r="Q32" i="1" s="1"/>
  <c r="Q33" i="1" s="1"/>
  <c r="Q34" i="1" s="1"/>
  <c r="Q35" i="1" s="1"/>
  <c r="Q36" i="1" s="1"/>
  <c r="Q37" i="1" s="1"/>
  <c r="Q38" i="1" s="1"/>
  <c r="Q39" i="1" s="1"/>
  <c r="Q40" i="1" s="1"/>
  <c r="Q41" i="1" s="1"/>
  <c r="Q42" i="1" s="1"/>
  <c r="I58" i="7"/>
  <c r="I39" i="2"/>
  <c r="I54" i="2"/>
  <c r="I5" i="9" s="1"/>
  <c r="I157" i="9" s="1"/>
  <c r="I71" i="7"/>
  <c r="I70" i="7"/>
  <c r="I48" i="8"/>
  <c r="I58" i="2"/>
  <c r="I78" i="7" s="1"/>
  <c r="I43" i="2"/>
  <c r="I25" i="7"/>
  <c r="O3" i="1"/>
  <c r="O4" i="1" s="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O140" i="1" s="1"/>
  <c r="O141" i="1" s="1"/>
  <c r="O142" i="1" s="1"/>
  <c r="O143" i="1" s="1"/>
  <c r="O144" i="1" s="1"/>
  <c r="O145" i="1" s="1"/>
  <c r="O146" i="1" s="1"/>
  <c r="O147" i="1" s="1"/>
  <c r="O148" i="1" s="1"/>
  <c r="O149" i="1" s="1"/>
  <c r="O150" i="1" s="1"/>
  <c r="O151" i="1" s="1"/>
  <c r="O152" i="1" s="1"/>
  <c r="O153" i="1" s="1"/>
  <c r="O154" i="1" s="1"/>
  <c r="O155" i="1" s="1"/>
  <c r="O156" i="1" s="1"/>
  <c r="O157" i="1" s="1"/>
  <c r="O158" i="1" s="1"/>
  <c r="O159" i="1" s="1"/>
  <c r="O160" i="1" s="1"/>
  <c r="O161" i="1" s="1"/>
  <c r="O162" i="1" s="1"/>
  <c r="O163" i="1" s="1"/>
  <c r="O164" i="1" s="1"/>
  <c r="O165" i="1" s="1"/>
  <c r="O166" i="1" s="1"/>
  <c r="O167" i="1" s="1"/>
  <c r="O168" i="1" s="1"/>
  <c r="O169" i="1" s="1"/>
  <c r="O170" i="1" s="1"/>
  <c r="O171" i="1" s="1"/>
  <c r="O172" i="1" s="1"/>
  <c r="O173" i="1" s="1"/>
  <c r="O174" i="1" s="1"/>
  <c r="O175" i="1" s="1"/>
  <c r="O176" i="1" s="1"/>
  <c r="O177" i="1" s="1"/>
  <c r="O178" i="1" s="1"/>
  <c r="O179" i="1" s="1"/>
  <c r="O180" i="1" s="1"/>
  <c r="O181" i="1" s="1"/>
  <c r="O182" i="1" s="1"/>
  <c r="O183" i="1" s="1"/>
  <c r="O184" i="1" s="1"/>
  <c r="O185" i="1" s="1"/>
  <c r="O186" i="1" s="1"/>
  <c r="O187" i="1" s="1"/>
  <c r="O188" i="1" s="1"/>
  <c r="O189" i="1" s="1"/>
  <c r="O190" i="1" s="1"/>
  <c r="O191" i="1" s="1"/>
  <c r="O192" i="1" s="1"/>
  <c r="O193" i="1" s="1"/>
  <c r="O194" i="1" s="1"/>
  <c r="O195" i="1" s="1"/>
  <c r="O196" i="1" s="1"/>
  <c r="O197" i="1" s="1"/>
  <c r="O198" i="1" s="1"/>
  <c r="O199" i="1" s="1"/>
  <c r="A75" i="28"/>
  <c r="P3" i="1"/>
  <c r="P4" i="1" s="1"/>
  <c r="P5" i="1" s="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U3" i="1"/>
  <c r="U4" i="1" s="1"/>
  <c r="U5" i="1" s="1"/>
  <c r="U6" i="1" s="1"/>
  <c r="U7" i="1" s="1"/>
  <c r="U8" i="1" s="1"/>
  <c r="U9" i="1" s="1"/>
  <c r="U10" i="1" s="1"/>
  <c r="U11" i="1" s="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U42" i="1" s="1"/>
  <c r="A81" i="28"/>
  <c r="I73" i="7"/>
  <c r="I86" i="7"/>
  <c r="I59" i="7"/>
  <c r="I38" i="2"/>
  <c r="I53" i="2" s="1"/>
  <c r="I4" i="9" s="1"/>
  <c r="I160" i="9" s="1"/>
  <c r="S3" i="1"/>
  <c r="S4" i="1" s="1"/>
  <c r="S5" i="1" s="1"/>
  <c r="S6" i="1" s="1"/>
  <c r="S7" i="1" s="1"/>
  <c r="S8" i="1" s="1"/>
  <c r="S9" i="1" s="1"/>
  <c r="S10" i="1" s="1"/>
  <c r="S11" i="1" s="1"/>
  <c r="S12" i="1" s="1"/>
  <c r="S13" i="1" s="1"/>
  <c r="S14" i="1" s="1"/>
  <c r="S15" i="1" s="1"/>
  <c r="S16" i="1" s="1"/>
  <c r="S17" i="1" s="1"/>
  <c r="S18" i="1" s="1"/>
  <c r="S19" i="1" s="1"/>
  <c r="S20" i="1" s="1"/>
  <c r="S21" i="1" s="1"/>
  <c r="S22" i="1" s="1"/>
  <c r="S23" i="1" s="1"/>
  <c r="S24" i="1" s="1"/>
  <c r="S25" i="1" s="1"/>
  <c r="S26" i="1" s="1"/>
  <c r="S27" i="1" s="1"/>
  <c r="S28" i="1" s="1"/>
  <c r="S29" i="1" s="1"/>
  <c r="S30" i="1" s="1"/>
  <c r="S31" i="1" s="1"/>
  <c r="S32" i="1" s="1"/>
  <c r="S33" i="1" s="1"/>
  <c r="S34" i="1" s="1"/>
  <c r="S35" i="1" s="1"/>
  <c r="S36" i="1" s="1"/>
  <c r="S37" i="1" s="1"/>
  <c r="S38" i="1" s="1"/>
  <c r="S39" i="1" s="1"/>
  <c r="S40" i="1" s="1"/>
  <c r="S41" i="1" s="1"/>
  <c r="S42" i="1" s="1"/>
  <c r="I41" i="2"/>
  <c r="I56" i="2" s="1"/>
  <c r="I7" i="9" s="1"/>
  <c r="I98" i="9" s="1"/>
  <c r="I51" i="8"/>
  <c r="I50" i="8"/>
  <c r="I75" i="8"/>
  <c r="I37" i="2"/>
  <c r="I52" i="2" s="1"/>
  <c r="I3" i="9" s="1"/>
  <c r="I162" i="9" s="1"/>
  <c r="I69" i="7"/>
  <c r="B223" i="9"/>
  <c r="I42" i="2"/>
  <c r="I57" i="2" s="1"/>
  <c r="I77" i="7" s="1"/>
  <c r="B226" i="9"/>
  <c r="B227" i="9"/>
  <c r="T3" i="1"/>
  <c r="T4" i="1" s="1"/>
  <c r="T5" i="1" s="1"/>
  <c r="T6" i="1" s="1"/>
  <c r="T7" i="1" s="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T35" i="1" s="1"/>
  <c r="T36" i="1" s="1"/>
  <c r="T37" i="1" s="1"/>
  <c r="T38" i="1" s="1"/>
  <c r="T39" i="1" s="1"/>
  <c r="T40" i="1" s="1"/>
  <c r="T41" i="1" s="1"/>
  <c r="T42" i="1" s="1"/>
  <c r="I29" i="8"/>
  <c r="I87" i="8" s="1"/>
  <c r="I24" i="7"/>
  <c r="I83" i="7" s="1"/>
  <c r="H199" i="9" l="1"/>
  <c r="R3" i="1"/>
  <c r="R4" i="1" s="1"/>
  <c r="R5" i="1" s="1"/>
  <c r="R6" i="1" s="1"/>
  <c r="R7" i="1" s="1"/>
  <c r="R8" i="1" s="1"/>
  <c r="R9" i="1" s="1"/>
  <c r="R10" i="1" s="1"/>
  <c r="R11" i="1" s="1"/>
  <c r="R12" i="1" s="1"/>
  <c r="R13" i="1" s="1"/>
  <c r="R14" i="1" s="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R42" i="1" s="1"/>
  <c r="H244" i="9"/>
  <c r="H195" i="9"/>
  <c r="H198" i="9"/>
  <c r="H232" i="9"/>
  <c r="H234" i="9" s="1"/>
  <c r="H235" i="9" s="1"/>
  <c r="H148" i="8" s="1"/>
  <c r="H2" i="6"/>
  <c r="H3" i="6" s="1"/>
  <c r="H246" i="9"/>
  <c r="H240" i="9"/>
  <c r="H30" i="8"/>
  <c r="H88" i="8" s="1"/>
  <c r="H201" i="9"/>
  <c r="H241" i="9"/>
  <c r="H245" i="9"/>
  <c r="H135" i="9"/>
  <c r="I100" i="9"/>
  <c r="N3" i="1"/>
  <c r="N4" i="1" s="1"/>
  <c r="N5" i="1" s="1"/>
  <c r="N6" i="1" s="1"/>
  <c r="N7" i="1" s="1"/>
  <c r="N8" i="1" s="1"/>
  <c r="N9" i="1" s="1"/>
  <c r="N10" i="1" s="1"/>
  <c r="N11" i="1" s="1"/>
  <c r="N12" i="1" s="1"/>
  <c r="N13" i="1" s="1"/>
  <c r="N14" i="1" s="1"/>
  <c r="N15" i="1" s="1"/>
  <c r="N16" i="1" s="1"/>
  <c r="N17" i="1" s="1"/>
  <c r="N18" i="1" s="1"/>
  <c r="N19" i="1" s="1"/>
  <c r="N20" i="1" s="1"/>
  <c r="N21" i="1" s="1"/>
  <c r="N22" i="1" s="1"/>
  <c r="N23" i="1" s="1"/>
  <c r="N24" i="1" s="1"/>
  <c r="N25" i="1" s="1"/>
  <c r="N26" i="1" s="1"/>
  <c r="N27" i="1" s="1"/>
  <c r="N28" i="1" s="1"/>
  <c r="N29" i="1" s="1"/>
  <c r="N30" i="1" s="1"/>
  <c r="N31" i="1" s="1"/>
  <c r="N32" i="1" s="1"/>
  <c r="N33" i="1" s="1"/>
  <c r="N34" i="1" s="1"/>
  <c r="N35" i="1" s="1"/>
  <c r="N36" i="1" s="1"/>
  <c r="N37" i="1" s="1"/>
  <c r="N38" i="1" s="1"/>
  <c r="N39" i="1" s="1"/>
  <c r="N40" i="1" s="1"/>
  <c r="N41" i="1" s="1"/>
  <c r="N42" i="1" s="1"/>
  <c r="I158" i="9"/>
  <c r="I96" i="9"/>
  <c r="I95" i="7"/>
  <c r="I99" i="9"/>
  <c r="I159" i="9"/>
  <c r="I101" i="9"/>
  <c r="I80" i="7"/>
  <c r="J103" i="7" s="1"/>
  <c r="D15" i="15"/>
  <c r="C24" i="26"/>
  <c r="B24" i="28" s="1"/>
  <c r="B105" i="26"/>
  <c r="J15" i="15"/>
  <c r="I62" i="2"/>
  <c r="I66" i="2" s="1"/>
  <c r="I83" i="9" s="1"/>
  <c r="I92" i="7"/>
  <c r="I141" i="8"/>
  <c r="I89" i="7"/>
  <c r="H31" i="8" l="1"/>
  <c r="H143" i="8" s="1"/>
  <c r="H142" i="8"/>
  <c r="J146" i="11"/>
  <c r="J4" i="2" s="1"/>
  <c r="J109" i="7"/>
  <c r="J97" i="26" s="1"/>
  <c r="J147" i="11"/>
  <c r="J5" i="2" s="1"/>
  <c r="J145" i="11"/>
  <c r="J3" i="2" s="1"/>
  <c r="J144" i="11"/>
  <c r="J2" i="2" s="1"/>
  <c r="J149" i="11"/>
  <c r="J7" i="2" s="1"/>
  <c r="J148" i="11"/>
  <c r="J6" i="2" s="1"/>
  <c r="J150" i="11"/>
  <c r="J8" i="2" s="1"/>
  <c r="J131" i="8" s="1"/>
  <c r="J151" i="11"/>
  <c r="J9" i="2" s="1"/>
  <c r="J138" i="8" s="1"/>
  <c r="D23" i="26"/>
  <c r="D24" i="26"/>
  <c r="I69" i="2"/>
  <c r="I144" i="9" s="1"/>
  <c r="J18" i="8" l="1"/>
  <c r="J76" i="8" s="1"/>
  <c r="J130" i="8"/>
  <c r="J15" i="8"/>
  <c r="J73" i="8" s="1"/>
  <c r="J127" i="8"/>
  <c r="J14" i="8"/>
  <c r="J47" i="8" s="1"/>
  <c r="J126" i="8"/>
  <c r="J13" i="8"/>
  <c r="J125" i="8"/>
  <c r="J17" i="8"/>
  <c r="J50" i="8" s="1"/>
  <c r="J129" i="8"/>
  <c r="J16" i="8"/>
  <c r="J49" i="8" s="1"/>
  <c r="J128" i="8"/>
  <c r="H149" i="8"/>
  <c r="H106" i="8" s="1"/>
  <c r="H89" i="8"/>
  <c r="I17" i="9"/>
  <c r="I8" i="9"/>
  <c r="J22" i="2"/>
  <c r="J36" i="2" s="1"/>
  <c r="J51" i="2" s="1"/>
  <c r="J2" i="9" s="1"/>
  <c r="J161" i="9" s="1"/>
  <c r="J24" i="2"/>
  <c r="J38" i="2" s="1"/>
  <c r="J53" i="2" s="1"/>
  <c r="J4" i="9" s="1"/>
  <c r="J160" i="9" s="1"/>
  <c r="J25" i="2"/>
  <c r="J39" i="2" s="1"/>
  <c r="J23" i="2"/>
  <c r="J69" i="7" s="1"/>
  <c r="J27" i="2"/>
  <c r="J73" i="7" s="1"/>
  <c r="J26" i="2"/>
  <c r="J29" i="2"/>
  <c r="J86" i="7" s="1"/>
  <c r="J28" i="2"/>
  <c r="J42" i="2" s="1"/>
  <c r="J57" i="2" s="1"/>
  <c r="J40" i="2" l="1"/>
  <c r="J55" i="2"/>
  <c r="J6" i="9" s="1"/>
  <c r="J97" i="9" s="1"/>
  <c r="I95" i="9"/>
  <c r="I156" i="9"/>
  <c r="I72" i="9"/>
  <c r="I73" i="9" s="1"/>
  <c r="I74" i="9" s="1"/>
  <c r="I75" i="9" s="1"/>
  <c r="I76" i="9" s="1"/>
  <c r="I77" i="9" s="1"/>
  <c r="I78" i="9" s="1"/>
  <c r="I147" i="9"/>
  <c r="I165" i="9" s="1"/>
  <c r="I86" i="9"/>
  <c r="I104" i="9" s="1"/>
  <c r="J68" i="7"/>
  <c r="J51" i="8"/>
  <c r="J48" i="8"/>
  <c r="J75" i="8"/>
  <c r="J77" i="7"/>
  <c r="J99" i="9"/>
  <c r="J70" i="7"/>
  <c r="J71" i="7"/>
  <c r="J54" i="2"/>
  <c r="J5" i="9" s="1"/>
  <c r="J96" i="9" s="1"/>
  <c r="J37" i="2"/>
  <c r="J52" i="2" s="1"/>
  <c r="J3" i="9" s="1"/>
  <c r="J101" i="9" s="1"/>
  <c r="J100" i="9"/>
  <c r="J41" i="2"/>
  <c r="J56" i="2" s="1"/>
  <c r="J7" i="9" s="1"/>
  <c r="J159" i="9" s="1"/>
  <c r="J74" i="8"/>
  <c r="J72" i="7"/>
  <c r="J58" i="7"/>
  <c r="J72" i="8"/>
  <c r="J58" i="2"/>
  <c r="J78" i="7" s="1"/>
  <c r="J25" i="7"/>
  <c r="J43" i="2"/>
  <c r="J59" i="7"/>
  <c r="J29" i="8"/>
  <c r="J87" i="8" s="1"/>
  <c r="J24" i="7"/>
  <c r="J83" i="7" s="1"/>
  <c r="J95" i="7" s="1"/>
  <c r="I173" i="9" l="1"/>
  <c r="I182" i="9" s="1"/>
  <c r="I186" i="9" s="1"/>
  <c r="I169" i="9"/>
  <c r="I178" i="9" s="1"/>
  <c r="I189" i="9" s="1"/>
  <c r="I168" i="9"/>
  <c r="I177" i="9" s="1"/>
  <c r="I192" i="9" s="1"/>
  <c r="I201" i="9" s="1"/>
  <c r="I170" i="9"/>
  <c r="I179" i="9" s="1"/>
  <c r="I190" i="9" s="1"/>
  <c r="I199" i="9" s="1"/>
  <c r="I172" i="9"/>
  <c r="I181" i="9" s="1"/>
  <c r="I188" i="9" s="1"/>
  <c r="I174" i="9"/>
  <c r="I183" i="9" s="1"/>
  <c r="I187" i="9" s="1"/>
  <c r="I196" i="9" s="1"/>
  <c r="I171" i="9"/>
  <c r="I180" i="9" s="1"/>
  <c r="I191" i="9" s="1"/>
  <c r="I200" i="9" s="1"/>
  <c r="I107" i="9"/>
  <c r="I116" i="9" s="1"/>
  <c r="I131" i="9" s="1"/>
  <c r="I140" i="9" s="1"/>
  <c r="I109" i="9"/>
  <c r="I118" i="9" s="1"/>
  <c r="I129" i="9" s="1"/>
  <c r="I138" i="9" s="1"/>
  <c r="I112" i="9"/>
  <c r="I121" i="9" s="1"/>
  <c r="I125" i="9" s="1"/>
  <c r="I134" i="9" s="1"/>
  <c r="I110" i="9"/>
  <c r="I119" i="9" s="1"/>
  <c r="I130" i="9" s="1"/>
  <c r="I139" i="9" s="1"/>
  <c r="I108" i="9"/>
  <c r="I117" i="9" s="1"/>
  <c r="I128" i="9" s="1"/>
  <c r="I137" i="9" s="1"/>
  <c r="I113" i="9"/>
  <c r="I111" i="9"/>
  <c r="I120" i="9" s="1"/>
  <c r="I127" i="9" s="1"/>
  <c r="I136" i="9" s="1"/>
  <c r="J157" i="9"/>
  <c r="J162" i="9"/>
  <c r="J98" i="9"/>
  <c r="J62" i="2"/>
  <c r="J69" i="2" s="1"/>
  <c r="J144" i="9" s="1"/>
  <c r="J158" i="9"/>
  <c r="J141" i="8"/>
  <c r="J92" i="7"/>
  <c r="J80" i="7"/>
  <c r="K103" i="7" s="1"/>
  <c r="J17" i="9" l="1"/>
  <c r="J8" i="9"/>
  <c r="I198" i="9"/>
  <c r="I232" i="9"/>
  <c r="I234" i="9" s="1"/>
  <c r="I235" i="9" s="1"/>
  <c r="I148" i="8" s="1"/>
  <c r="I122" i="9"/>
  <c r="I126" i="9" s="1"/>
  <c r="I241" i="9"/>
  <c r="I197" i="9"/>
  <c r="I246" i="9"/>
  <c r="I244" i="9"/>
  <c r="I2" i="6"/>
  <c r="I3" i="6" s="1"/>
  <c r="I240" i="9"/>
  <c r="I195" i="9"/>
  <c r="I30" i="8"/>
  <c r="K109" i="7"/>
  <c r="K97" i="26" s="1"/>
  <c r="J66" i="2"/>
  <c r="J83" i="9" s="1"/>
  <c r="K145" i="11"/>
  <c r="K3" i="2" s="1"/>
  <c r="K149" i="11"/>
  <c r="K7" i="2" s="1"/>
  <c r="K148" i="11"/>
  <c r="K6" i="2" s="1"/>
  <c r="K146" i="11"/>
  <c r="K4" i="2" s="1"/>
  <c r="K150" i="11"/>
  <c r="K8" i="2" s="1"/>
  <c r="K131" i="8" s="1"/>
  <c r="K144" i="11"/>
  <c r="K2" i="2" s="1"/>
  <c r="K147" i="11"/>
  <c r="K5" i="2" s="1"/>
  <c r="K151" i="11"/>
  <c r="K9" i="2" s="1"/>
  <c r="K138" i="8" s="1"/>
  <c r="J89" i="7"/>
  <c r="K15" i="8" l="1"/>
  <c r="K73" i="8" s="1"/>
  <c r="K127" i="8"/>
  <c r="K16" i="8"/>
  <c r="K74" i="8" s="1"/>
  <c r="K128" i="8"/>
  <c r="K17" i="8"/>
  <c r="K75" i="8" s="1"/>
  <c r="K129" i="8"/>
  <c r="K14" i="8"/>
  <c r="K72" i="8" s="1"/>
  <c r="K126" i="8"/>
  <c r="K13" i="8"/>
  <c r="K125" i="8"/>
  <c r="K18" i="8"/>
  <c r="K76" i="8" s="1"/>
  <c r="K130" i="8"/>
  <c r="J156" i="9"/>
  <c r="J72" i="9"/>
  <c r="J73" i="9" s="1"/>
  <c r="J74" i="9" s="1"/>
  <c r="J75" i="9" s="1"/>
  <c r="J76" i="9" s="1"/>
  <c r="J77" i="9" s="1"/>
  <c r="J78" i="9" s="1"/>
  <c r="J95" i="9"/>
  <c r="I88" i="8"/>
  <c r="I142" i="8"/>
  <c r="I245" i="9"/>
  <c r="I31" i="8" s="1"/>
  <c r="I135" i="9"/>
  <c r="J86" i="9"/>
  <c r="J104" i="9" s="1"/>
  <c r="J147" i="9"/>
  <c r="J165" i="9" s="1"/>
  <c r="C9" i="26"/>
  <c r="D9" i="26" s="1"/>
  <c r="K25" i="2"/>
  <c r="K28" i="2"/>
  <c r="K27" i="2"/>
  <c r="K23" i="2"/>
  <c r="K26" i="2"/>
  <c r="K55" i="2" s="1"/>
  <c r="K29" i="2"/>
  <c r="K22" i="2"/>
  <c r="K24" i="2"/>
  <c r="J113" i="9" l="1"/>
  <c r="J108" i="9"/>
  <c r="J117" i="9" s="1"/>
  <c r="J128" i="9" s="1"/>
  <c r="J137" i="9" s="1"/>
  <c r="J112" i="9"/>
  <c r="J121" i="9" s="1"/>
  <c r="J125" i="9" s="1"/>
  <c r="J134" i="9" s="1"/>
  <c r="J107" i="9"/>
  <c r="J116" i="9" s="1"/>
  <c r="J131" i="9" s="1"/>
  <c r="J140" i="9" s="1"/>
  <c r="J110" i="9"/>
  <c r="J119" i="9" s="1"/>
  <c r="J130" i="9" s="1"/>
  <c r="J139" i="9" s="1"/>
  <c r="J111" i="9"/>
  <c r="J120" i="9" s="1"/>
  <c r="J127" i="9" s="1"/>
  <c r="J136" i="9" s="1"/>
  <c r="I89" i="8"/>
  <c r="I143" i="8"/>
  <c r="I149" i="8" s="1"/>
  <c r="I106" i="8" s="1"/>
  <c r="J170" i="9"/>
  <c r="J179" i="9" s="1"/>
  <c r="J190" i="9" s="1"/>
  <c r="J199" i="9" s="1"/>
  <c r="J169" i="9"/>
  <c r="J178" i="9" s="1"/>
  <c r="J189" i="9" s="1"/>
  <c r="J168" i="9"/>
  <c r="J177" i="9" s="1"/>
  <c r="J192" i="9" s="1"/>
  <c r="J201" i="9" s="1"/>
  <c r="J172" i="9"/>
  <c r="J181" i="9" s="1"/>
  <c r="J188" i="9" s="1"/>
  <c r="J173" i="9"/>
  <c r="J182" i="9" s="1"/>
  <c r="J186" i="9" s="1"/>
  <c r="J171" i="9"/>
  <c r="J180" i="9" s="1"/>
  <c r="J191" i="9" s="1"/>
  <c r="J200" i="9" s="1"/>
  <c r="J174" i="9"/>
  <c r="J183" i="9" s="1"/>
  <c r="J187" i="9" s="1"/>
  <c r="J196" i="9" s="1"/>
  <c r="J109" i="9"/>
  <c r="J118" i="9" s="1"/>
  <c r="J129" i="9" s="1"/>
  <c r="J138" i="9" s="1"/>
  <c r="K50" i="8"/>
  <c r="K73" i="7"/>
  <c r="K41" i="2"/>
  <c r="K56" i="2" s="1"/>
  <c r="K7" i="9" s="1"/>
  <c r="K24" i="7"/>
  <c r="K83" i="7" s="1"/>
  <c r="K42" i="2"/>
  <c r="K57" i="2" s="1"/>
  <c r="K77" i="7" s="1"/>
  <c r="K49" i="8"/>
  <c r="K48" i="8"/>
  <c r="K86" i="7"/>
  <c r="K59" i="7"/>
  <c r="K25" i="7"/>
  <c r="K43" i="2"/>
  <c r="K58" i="2"/>
  <c r="K78" i="7" s="1"/>
  <c r="K68" i="7"/>
  <c r="K36" i="2"/>
  <c r="K51" i="2" s="1"/>
  <c r="K2" i="9" s="1"/>
  <c r="K29" i="8"/>
  <c r="K72" i="7"/>
  <c r="K40" i="2"/>
  <c r="K6" i="9"/>
  <c r="K69" i="7"/>
  <c r="K37" i="2"/>
  <c r="K52" i="2" s="1"/>
  <c r="K3" i="9" s="1"/>
  <c r="K51" i="8"/>
  <c r="K38" i="2"/>
  <c r="K53" i="2" s="1"/>
  <c r="K4" i="9" s="1"/>
  <c r="K70" i="7"/>
  <c r="K47" i="8"/>
  <c r="K58" i="7"/>
  <c r="K71" i="7"/>
  <c r="K39" i="2"/>
  <c r="K54" i="2"/>
  <c r="K5" i="9" s="1"/>
  <c r="J198" i="9" l="1"/>
  <c r="J232" i="9"/>
  <c r="J234" i="9" s="1"/>
  <c r="J235" i="9" s="1"/>
  <c r="J148" i="8" s="1"/>
  <c r="J195" i="9"/>
  <c r="J244" i="9"/>
  <c r="J2" i="6"/>
  <c r="J3" i="6" s="1"/>
  <c r="J30" i="8"/>
  <c r="J240" i="9"/>
  <c r="J197" i="9"/>
  <c r="J246" i="9"/>
  <c r="J122" i="9"/>
  <c r="J126" i="9" s="1"/>
  <c r="J241" i="9"/>
  <c r="K162" i="9"/>
  <c r="K101" i="9"/>
  <c r="K159" i="9"/>
  <c r="K98" i="9"/>
  <c r="K157" i="9"/>
  <c r="K96" i="9"/>
  <c r="K99" i="9"/>
  <c r="K160" i="9"/>
  <c r="K100" i="9"/>
  <c r="K161" i="9"/>
  <c r="K97" i="9"/>
  <c r="K158" i="9"/>
  <c r="K87" i="8"/>
  <c r="K141" i="8"/>
  <c r="K95" i="7"/>
  <c r="K92" i="7"/>
  <c r="K62" i="2"/>
  <c r="K66" i="2" s="1"/>
  <c r="J135" i="9" l="1"/>
  <c r="J245" i="9"/>
  <c r="J31" i="8" s="1"/>
  <c r="J88" i="8"/>
  <c r="J142" i="8"/>
  <c r="K69" i="2"/>
  <c r="K144" i="9" s="1"/>
  <c r="K83" i="9"/>
  <c r="K89" i="7"/>
  <c r="J89" i="8" l="1"/>
  <c r="J143" i="8"/>
  <c r="J149" i="8" s="1"/>
  <c r="J106" i="8" s="1"/>
  <c r="K8" i="9"/>
  <c r="K17" i="9"/>
  <c r="K80" i="7"/>
  <c r="L103" i="7" s="1"/>
  <c r="K72" i="9" l="1"/>
  <c r="K73" i="9" s="1"/>
  <c r="K74" i="9" s="1"/>
  <c r="K75" i="9" s="1"/>
  <c r="K76" i="9" s="1"/>
  <c r="K77" i="9" s="1"/>
  <c r="K78" i="9" s="1"/>
  <c r="K156" i="9"/>
  <c r="K95" i="9"/>
  <c r="K86" i="9"/>
  <c r="K104" i="9" s="1"/>
  <c r="K147" i="9"/>
  <c r="K165" i="9" s="1"/>
  <c r="L109" i="7"/>
  <c r="L97" i="26" s="1"/>
  <c r="L144" i="11"/>
  <c r="L2" i="2" s="1"/>
  <c r="L148" i="11"/>
  <c r="L6" i="2" s="1"/>
  <c r="L147" i="11"/>
  <c r="L5" i="2" s="1"/>
  <c r="L145" i="11"/>
  <c r="L3" i="2" s="1"/>
  <c r="L149" i="11"/>
  <c r="L7" i="2" s="1"/>
  <c r="L146" i="11"/>
  <c r="L4" i="2" s="1"/>
  <c r="L150" i="11"/>
  <c r="L8" i="2" s="1"/>
  <c r="L131" i="8" s="1"/>
  <c r="L151" i="11"/>
  <c r="L9" i="2" s="1"/>
  <c r="L138" i="8" s="1"/>
  <c r="L15" i="8" l="1"/>
  <c r="L73" i="8" s="1"/>
  <c r="L127" i="8"/>
  <c r="L18" i="8"/>
  <c r="L76" i="8" s="1"/>
  <c r="L130" i="8"/>
  <c r="L13" i="8"/>
  <c r="L125" i="8"/>
  <c r="L17" i="8"/>
  <c r="L75" i="8" s="1"/>
  <c r="L129" i="8"/>
  <c r="L14" i="8"/>
  <c r="L47" i="8" s="1"/>
  <c r="L126" i="8"/>
  <c r="L16" i="8"/>
  <c r="L74" i="8" s="1"/>
  <c r="L128" i="8"/>
  <c r="K107" i="9"/>
  <c r="K116" i="9" s="1"/>
  <c r="K131" i="9" s="1"/>
  <c r="K140" i="9" s="1"/>
  <c r="K110" i="9"/>
  <c r="K119" i="9" s="1"/>
  <c r="K130" i="9" s="1"/>
  <c r="K139" i="9" s="1"/>
  <c r="K112" i="9"/>
  <c r="K121" i="9" s="1"/>
  <c r="K125" i="9" s="1"/>
  <c r="K134" i="9" s="1"/>
  <c r="K109" i="9"/>
  <c r="K118" i="9" s="1"/>
  <c r="K129" i="9" s="1"/>
  <c r="K138" i="9" s="1"/>
  <c r="K113" i="9"/>
  <c r="K111" i="9"/>
  <c r="K120" i="9" s="1"/>
  <c r="K127" i="9" s="1"/>
  <c r="K136" i="9" s="1"/>
  <c r="K108" i="9"/>
  <c r="K117" i="9" s="1"/>
  <c r="K128" i="9" s="1"/>
  <c r="K137" i="9" s="1"/>
  <c r="K171" i="9"/>
  <c r="K180" i="9" s="1"/>
  <c r="K191" i="9" s="1"/>
  <c r="K200" i="9" s="1"/>
  <c r="K168" i="9"/>
  <c r="K177" i="9" s="1"/>
  <c r="K192" i="9" s="1"/>
  <c r="K201" i="9" s="1"/>
  <c r="K174" i="9"/>
  <c r="K183" i="9" s="1"/>
  <c r="K187" i="9" s="1"/>
  <c r="K196" i="9" s="1"/>
  <c r="K173" i="9"/>
  <c r="K182" i="9" s="1"/>
  <c r="K186" i="9" s="1"/>
  <c r="K169" i="9"/>
  <c r="K178" i="9" s="1"/>
  <c r="K189" i="9" s="1"/>
  <c r="K172" i="9"/>
  <c r="K181" i="9" s="1"/>
  <c r="K188" i="9" s="1"/>
  <c r="K170" i="9"/>
  <c r="K179" i="9" s="1"/>
  <c r="K190" i="9" s="1"/>
  <c r="K199" i="9" s="1"/>
  <c r="L27" i="2"/>
  <c r="L41" i="2" s="1"/>
  <c r="L56" i="2" s="1"/>
  <c r="L7" i="9" s="1"/>
  <c r="L159" i="9" s="1"/>
  <c r="L23" i="2"/>
  <c r="L37" i="2" s="1"/>
  <c r="L52" i="2" s="1"/>
  <c r="L3" i="9" s="1"/>
  <c r="L162" i="9" s="1"/>
  <c r="L25" i="2"/>
  <c r="L24" i="2"/>
  <c r="L26" i="2"/>
  <c r="L55" i="2" s="1"/>
  <c r="L29" i="2"/>
  <c r="L28" i="2"/>
  <c r="L22" i="2"/>
  <c r="L72" i="8" l="1"/>
  <c r="K198" i="9"/>
  <c r="K232" i="9"/>
  <c r="K234" i="9" s="1"/>
  <c r="K235" i="9" s="1"/>
  <c r="K148" i="8" s="1"/>
  <c r="K244" i="9"/>
  <c r="K195" i="9"/>
  <c r="K240" i="9"/>
  <c r="K2" i="6"/>
  <c r="K3" i="6" s="1"/>
  <c r="K30" i="8"/>
  <c r="K246" i="9"/>
  <c r="K197" i="9"/>
  <c r="K241" i="9"/>
  <c r="K122" i="9"/>
  <c r="K126" i="9" s="1"/>
  <c r="L98" i="9"/>
  <c r="L51" i="8"/>
  <c r="L73" i="7"/>
  <c r="L101" i="9"/>
  <c r="L69" i="7"/>
  <c r="L54" i="2"/>
  <c r="L5" i="9" s="1"/>
  <c r="L71" i="7"/>
  <c r="L39" i="2"/>
  <c r="L49" i="8"/>
  <c r="L24" i="7"/>
  <c r="L83" i="7" s="1"/>
  <c r="L42" i="2"/>
  <c r="L57" i="2" s="1"/>
  <c r="L77" i="7" s="1"/>
  <c r="L38" i="2"/>
  <c r="L53" i="2" s="1"/>
  <c r="L4" i="9" s="1"/>
  <c r="L70" i="7"/>
  <c r="L68" i="7"/>
  <c r="L29" i="8"/>
  <c r="L36" i="2"/>
  <c r="L50" i="8"/>
  <c r="L86" i="7"/>
  <c r="L59" i="7"/>
  <c r="L43" i="2"/>
  <c r="L25" i="7"/>
  <c r="L58" i="2"/>
  <c r="L78" i="7" s="1"/>
  <c r="L6" i="9"/>
  <c r="L40" i="2"/>
  <c r="L58" i="7"/>
  <c r="L72" i="7"/>
  <c r="L48" i="8"/>
  <c r="K135" i="9" l="1"/>
  <c r="K245" i="9"/>
  <c r="K31" i="8" s="1"/>
  <c r="K142" i="8"/>
  <c r="K88" i="8"/>
  <c r="L157" i="9"/>
  <c r="L96" i="9"/>
  <c r="L87" i="8"/>
  <c r="L141" i="8"/>
  <c r="L97" i="9"/>
  <c r="L158" i="9"/>
  <c r="L51" i="2"/>
  <c r="L2" i="9" s="1"/>
  <c r="L62" i="2"/>
  <c r="L160" i="9"/>
  <c r="L99" i="9"/>
  <c r="L95" i="7"/>
  <c r="L92" i="7"/>
  <c r="K143" i="8" l="1"/>
  <c r="K149" i="8" s="1"/>
  <c r="K106" i="8" s="1"/>
  <c r="K89" i="8"/>
  <c r="L66" i="2"/>
  <c r="L83" i="9" s="1"/>
  <c r="L69" i="2"/>
  <c r="L144" i="9" s="1"/>
  <c r="L161" i="9"/>
  <c r="L100" i="9"/>
  <c r="L17" i="9" l="1"/>
  <c r="L8" i="9"/>
  <c r="L89" i="7"/>
  <c r="L156" i="9" l="1"/>
  <c r="L95" i="9"/>
  <c r="L72" i="9"/>
  <c r="L73" i="9" s="1"/>
  <c r="L74" i="9" s="1"/>
  <c r="L75" i="9" s="1"/>
  <c r="L76" i="9" s="1"/>
  <c r="L77" i="9" s="1"/>
  <c r="L78" i="9" s="1"/>
  <c r="L86" i="9"/>
  <c r="L104" i="9" s="1"/>
  <c r="L147" i="9"/>
  <c r="L165" i="9" s="1"/>
  <c r="L80" i="7"/>
  <c r="L169" i="9" l="1"/>
  <c r="L178" i="9" s="1"/>
  <c r="L189" i="9" s="1"/>
  <c r="L198" i="9" s="1"/>
  <c r="L111" i="9"/>
  <c r="L120" i="9" s="1"/>
  <c r="L127" i="9" s="1"/>
  <c r="L136" i="9" s="1"/>
  <c r="L171" i="9"/>
  <c r="L180" i="9" s="1"/>
  <c r="L191" i="9" s="1"/>
  <c r="L200" i="9" s="1"/>
  <c r="L168" i="9"/>
  <c r="L177" i="9" s="1"/>
  <c r="L192" i="9" s="1"/>
  <c r="L201" i="9" s="1"/>
  <c r="L108" i="9"/>
  <c r="L117" i="9" s="1"/>
  <c r="L128" i="9" s="1"/>
  <c r="L137" i="9" s="1"/>
  <c r="L113" i="9"/>
  <c r="L122" i="9" s="1"/>
  <c r="L126" i="9" s="1"/>
  <c r="L112" i="9"/>
  <c r="L121" i="9" s="1"/>
  <c r="L125" i="9" s="1"/>
  <c r="L134" i="9" s="1"/>
  <c r="L172" i="9"/>
  <c r="L181" i="9" s="1"/>
  <c r="L188" i="9" s="1"/>
  <c r="L246" i="9" s="1"/>
  <c r="L173" i="9"/>
  <c r="L182" i="9" s="1"/>
  <c r="L186" i="9" s="1"/>
  <c r="L244" i="9" s="1"/>
  <c r="L170" i="9"/>
  <c r="L179" i="9" s="1"/>
  <c r="L190" i="9" s="1"/>
  <c r="L199" i="9" s="1"/>
  <c r="L109" i="9"/>
  <c r="L118" i="9" s="1"/>
  <c r="L129" i="9" s="1"/>
  <c r="L138" i="9" s="1"/>
  <c r="L174" i="9"/>
  <c r="L183" i="9" s="1"/>
  <c r="L187" i="9" s="1"/>
  <c r="L196" i="9" s="1"/>
  <c r="L110" i="9"/>
  <c r="L119" i="9" s="1"/>
  <c r="L130" i="9" s="1"/>
  <c r="L139" i="9" s="1"/>
  <c r="L107" i="9"/>
  <c r="L116" i="9" s="1"/>
  <c r="L131" i="9" s="1"/>
  <c r="L140" i="9" s="1"/>
  <c r="L197" i="9" l="1"/>
  <c r="L195" i="9"/>
  <c r="L241" i="9"/>
  <c r="L30" i="8"/>
  <c r="L88" i="8" s="1"/>
  <c r="L240" i="9"/>
  <c r="L232" i="9"/>
  <c r="L234" i="9" s="1"/>
  <c r="L235" i="9" s="1"/>
  <c r="L148" i="8" s="1"/>
  <c r="L2" i="6"/>
  <c r="L3" i="6" s="1"/>
  <c r="L135" i="9"/>
  <c r="L245" i="9"/>
  <c r="L31" i="8" s="1"/>
  <c r="L142" i="8" l="1"/>
  <c r="L143" i="8"/>
  <c r="L89" i="8"/>
  <c r="L149" i="8" l="1"/>
  <c r="L106" i="8" s="1"/>
  <c r="F19" i="8" l="1"/>
  <c r="G19" i="8" s="1"/>
  <c r="C40" i="26"/>
  <c r="D40" i="26" s="1"/>
  <c r="C112" i="8"/>
  <c r="C13" i="5"/>
  <c r="E2" i="29" s="1"/>
  <c r="E112" i="8"/>
  <c r="D112" i="8"/>
  <c r="E13" i="5"/>
  <c r="G2" i="29" s="1"/>
  <c r="D13" i="5"/>
  <c r="F2" i="29" s="1"/>
  <c r="C6" i="26" l="1"/>
  <c r="C5" i="26"/>
  <c r="C4" i="26"/>
  <c r="C116" i="8"/>
  <c r="C150" i="8" s="1"/>
  <c r="C151" i="8" s="1"/>
  <c r="E3" i="29" s="1"/>
  <c r="D116" i="8"/>
  <c r="D150" i="8" s="1"/>
  <c r="D151" i="8" s="1"/>
  <c r="F3" i="29" s="1"/>
  <c r="E116" i="8"/>
  <c r="E150" i="8" s="1"/>
  <c r="E151" i="8" s="1"/>
  <c r="G3" i="29" s="1"/>
  <c r="F38" i="8"/>
  <c r="F52" i="8"/>
  <c r="F61" i="8" s="1"/>
  <c r="F103" i="8" s="1"/>
  <c r="F77" i="8"/>
  <c r="F93" i="8" s="1"/>
  <c r="F96" i="8" s="1"/>
  <c r="F102" i="8" s="1"/>
  <c r="F37" i="8"/>
  <c r="F105" i="8" s="1"/>
  <c r="F107" i="8" s="1"/>
  <c r="H19" i="8"/>
  <c r="I19" i="8" s="1"/>
  <c r="G52" i="8"/>
  <c r="G77" i="8"/>
  <c r="C36" i="26" l="1"/>
  <c r="C37" i="26"/>
  <c r="D4" i="26"/>
  <c r="D3" i="26"/>
  <c r="D5" i="26"/>
  <c r="C35" i="26"/>
  <c r="F111" i="8"/>
  <c r="F9" i="5"/>
  <c r="F11" i="5" s="1"/>
  <c r="F62" i="8"/>
  <c r="F97" i="8"/>
  <c r="H52" i="8"/>
  <c r="F4" i="5"/>
  <c r="H77" i="8"/>
  <c r="F3" i="5"/>
  <c r="F5" i="5"/>
  <c r="I52" i="8"/>
  <c r="J19" i="8"/>
  <c r="I77" i="8"/>
  <c r="D35" i="26" l="1"/>
  <c r="D36" i="26"/>
  <c r="D34" i="26"/>
  <c r="F109" i="8"/>
  <c r="F7" i="5"/>
  <c r="F110" i="8" s="1"/>
  <c r="J77" i="8"/>
  <c r="J52" i="8"/>
  <c r="K19" i="8"/>
  <c r="F19" i="5" l="1"/>
  <c r="G25" i="8" s="1"/>
  <c r="F108" i="8"/>
  <c r="F12" i="5" s="1"/>
  <c r="L19" i="8"/>
  <c r="K77" i="8"/>
  <c r="K52" i="8"/>
  <c r="G26" i="8" l="1"/>
  <c r="G22" i="8"/>
  <c r="F13" i="5"/>
  <c r="H2" i="29" s="1"/>
  <c r="F112" i="8"/>
  <c r="L77" i="8"/>
  <c r="L52" i="8"/>
  <c r="C7" i="26" l="1"/>
  <c r="D6" i="26" s="1"/>
  <c r="G79" i="8"/>
  <c r="G54" i="8"/>
  <c r="G38" i="8"/>
  <c r="G71" i="8"/>
  <c r="G46" i="8"/>
  <c r="G37" i="8"/>
  <c r="G105" i="8" s="1"/>
  <c r="G107" i="8" s="1"/>
  <c r="G80" i="8"/>
  <c r="G55" i="8"/>
  <c r="G59" i="8"/>
  <c r="G84" i="8"/>
  <c r="G83" i="8"/>
  <c r="G58" i="8"/>
  <c r="G78" i="8"/>
  <c r="G53" i="8"/>
  <c r="G82" i="8"/>
  <c r="G57" i="8"/>
  <c r="F116" i="8"/>
  <c r="F150" i="8" s="1"/>
  <c r="F151" i="8" s="1"/>
  <c r="H3" i="29" s="1"/>
  <c r="C38" i="26" l="1"/>
  <c r="G109" i="8"/>
  <c r="G111" i="8"/>
  <c r="G93" i="8"/>
  <c r="G96" i="8" s="1"/>
  <c r="G102" i="8" s="1"/>
  <c r="G62" i="8"/>
  <c r="G61" i="8"/>
  <c r="G97" i="8"/>
  <c r="D37" i="26" l="1"/>
  <c r="G5" i="5"/>
  <c r="G4" i="5"/>
  <c r="G3" i="5"/>
  <c r="G103" i="8"/>
  <c r="G9" i="5"/>
  <c r="G11" i="5" s="1"/>
  <c r="G7" i="5" l="1"/>
  <c r="G19" i="5" l="1"/>
  <c r="H25" i="8" s="1"/>
  <c r="I25" i="8" s="1"/>
  <c r="J25" i="8" s="1"/>
  <c r="K25" i="8" s="1"/>
  <c r="L25" i="8" s="1"/>
  <c r="G110" i="8"/>
  <c r="G108" i="8" s="1"/>
  <c r="G12" i="5" s="1"/>
  <c r="H26" i="8"/>
  <c r="H22" i="8"/>
  <c r="G13" i="5" l="1"/>
  <c r="C8" i="26" s="1"/>
  <c r="B94" i="28" s="1"/>
  <c r="G112" i="8"/>
  <c r="G116" i="8" s="1"/>
  <c r="G150" i="8" s="1"/>
  <c r="G151" i="8" s="1"/>
  <c r="H84" i="8"/>
  <c r="H59" i="8"/>
  <c r="I26" i="8"/>
  <c r="I22" i="8"/>
  <c r="H80" i="8"/>
  <c r="H55" i="8"/>
  <c r="H78" i="8"/>
  <c r="H53" i="8"/>
  <c r="H46" i="8"/>
  <c r="H71" i="8"/>
  <c r="H37" i="8"/>
  <c r="H105" i="8" s="1"/>
  <c r="H107" i="8" s="1"/>
  <c r="H79" i="8"/>
  <c r="H54" i="8"/>
  <c r="H38" i="8"/>
  <c r="H83" i="8"/>
  <c r="H58" i="8"/>
  <c r="H82" i="8"/>
  <c r="H57" i="8"/>
  <c r="D4" i="15" l="1"/>
  <c r="D8" i="26"/>
  <c r="D7" i="26"/>
  <c r="B22" i="28"/>
  <c r="C39" i="26"/>
  <c r="D39" i="26" s="1"/>
  <c r="A94" i="28"/>
  <c r="A22" i="28"/>
  <c r="H111" i="8"/>
  <c r="H109" i="8"/>
  <c r="I78" i="8"/>
  <c r="I53" i="8"/>
  <c r="I80" i="8"/>
  <c r="I55" i="8"/>
  <c r="J22" i="8"/>
  <c r="I83" i="8"/>
  <c r="I58" i="8"/>
  <c r="H97" i="8"/>
  <c r="H93" i="8"/>
  <c r="H96" i="8" s="1"/>
  <c r="H102" i="8" s="1"/>
  <c r="I59" i="8"/>
  <c r="J26" i="8"/>
  <c r="I84" i="8"/>
  <c r="I79" i="8"/>
  <c r="I54" i="8"/>
  <c r="I38" i="8"/>
  <c r="H61" i="8"/>
  <c r="H62" i="8"/>
  <c r="I71" i="8"/>
  <c r="I46" i="8"/>
  <c r="I37" i="8"/>
  <c r="I105" i="8" s="1"/>
  <c r="I107" i="8" s="1"/>
  <c r="I82" i="8"/>
  <c r="I57" i="8"/>
  <c r="B26" i="28" l="1"/>
  <c r="G4" i="15"/>
  <c r="D38" i="26"/>
  <c r="B98" i="28"/>
  <c r="A98" i="28"/>
  <c r="A26" i="28"/>
  <c r="I109" i="8"/>
  <c r="I111" i="8"/>
  <c r="H5" i="5"/>
  <c r="I62" i="8"/>
  <c r="I61" i="8"/>
  <c r="I103" i="8" s="1"/>
  <c r="H3" i="5"/>
  <c r="J82" i="8"/>
  <c r="J57" i="8"/>
  <c r="J79" i="8"/>
  <c r="J54" i="8"/>
  <c r="J38" i="8"/>
  <c r="J58" i="8"/>
  <c r="J83" i="8"/>
  <c r="J46" i="8"/>
  <c r="J71" i="8"/>
  <c r="J37" i="8"/>
  <c r="J105" i="8" s="1"/>
  <c r="J107" i="8" s="1"/>
  <c r="J84" i="8"/>
  <c r="J59" i="8"/>
  <c r="K26" i="8"/>
  <c r="J55" i="8"/>
  <c r="J80" i="8"/>
  <c r="K22" i="8"/>
  <c r="J53" i="8"/>
  <c r="J78" i="8"/>
  <c r="H103" i="8"/>
  <c r="H9" i="5"/>
  <c r="H11" i="5" s="1"/>
  <c r="I93" i="8"/>
  <c r="I96" i="8" s="1"/>
  <c r="I102" i="8" s="1"/>
  <c r="H4" i="5"/>
  <c r="I97" i="8"/>
  <c r="I9" i="5" l="1"/>
  <c r="I11" i="5" s="1"/>
  <c r="J109" i="8"/>
  <c r="J111" i="8"/>
  <c r="H7" i="5"/>
  <c r="J97" i="8"/>
  <c r="J61" i="8"/>
  <c r="J103" i="8" s="1"/>
  <c r="I4" i="5"/>
  <c r="I5" i="5"/>
  <c r="I3" i="5"/>
  <c r="K78" i="8"/>
  <c r="K53" i="8"/>
  <c r="K46" i="8"/>
  <c r="K71" i="8"/>
  <c r="K37" i="8"/>
  <c r="K105" i="8" s="1"/>
  <c r="K107" i="8" s="1"/>
  <c r="K58" i="8"/>
  <c r="K83" i="8"/>
  <c r="J62" i="8"/>
  <c r="K84" i="8"/>
  <c r="K59" i="8"/>
  <c r="L26" i="8"/>
  <c r="K80" i="8"/>
  <c r="L22" i="8"/>
  <c r="K55" i="8"/>
  <c r="J93" i="8"/>
  <c r="J96" i="8" s="1"/>
  <c r="J102" i="8" s="1"/>
  <c r="K79" i="8"/>
  <c r="K54" i="8"/>
  <c r="K38" i="8"/>
  <c r="K82" i="8"/>
  <c r="K57" i="8"/>
  <c r="H110" i="8" l="1"/>
  <c r="H112" i="8" s="1"/>
  <c r="K111" i="8"/>
  <c r="K109" i="8"/>
  <c r="J9" i="5"/>
  <c r="J11" i="5" s="1"/>
  <c r="I7" i="5"/>
  <c r="K97" i="8"/>
  <c r="J3" i="5"/>
  <c r="K62" i="8"/>
  <c r="L84" i="8"/>
  <c r="L59" i="8"/>
  <c r="L83" i="8"/>
  <c r="L58" i="8"/>
  <c r="L53" i="8"/>
  <c r="L78" i="8"/>
  <c r="L79" i="8"/>
  <c r="L54" i="8"/>
  <c r="L38" i="8"/>
  <c r="L71" i="8"/>
  <c r="L46" i="8"/>
  <c r="L37" i="8"/>
  <c r="L105" i="8" s="1"/>
  <c r="L107" i="8" s="1"/>
  <c r="L82" i="8"/>
  <c r="L57" i="8"/>
  <c r="K93" i="8"/>
  <c r="K96" i="8" s="1"/>
  <c r="K102" i="8" s="1"/>
  <c r="J5" i="5"/>
  <c r="L55" i="8"/>
  <c r="L80" i="8"/>
  <c r="J4" i="5"/>
  <c r="K61" i="8"/>
  <c r="H108" i="8" l="1"/>
  <c r="H12" i="5" s="1"/>
  <c r="I110" i="8"/>
  <c r="I108" i="8" s="1"/>
  <c r="I12" i="5" s="1"/>
  <c r="L111" i="8"/>
  <c r="L109" i="8"/>
  <c r="J7" i="5"/>
  <c r="K3" i="5"/>
  <c r="K5" i="5"/>
  <c r="L97" i="8"/>
  <c r="K103" i="8"/>
  <c r="K9" i="5"/>
  <c r="K11" i="5" s="1"/>
  <c r="L93" i="8"/>
  <c r="L96" i="8" s="1"/>
  <c r="L102" i="8" s="1"/>
  <c r="L62" i="8"/>
  <c r="K4" i="5"/>
  <c r="L61" i="8"/>
  <c r="I13" i="5" l="1"/>
  <c r="H13" i="5"/>
  <c r="H116" i="8"/>
  <c r="H150" i="8" s="1"/>
  <c r="H151" i="8" s="1"/>
  <c r="I112" i="8"/>
  <c r="I116" i="8" s="1"/>
  <c r="I150" i="8" s="1"/>
  <c r="I151" i="8" s="1"/>
  <c r="J110" i="8"/>
  <c r="J112" i="8" s="1"/>
  <c r="K7" i="5"/>
  <c r="L5" i="5"/>
  <c r="L4" i="5"/>
  <c r="L3" i="5"/>
  <c r="L103" i="8"/>
  <c r="L9" i="5"/>
  <c r="L11" i="5" s="1"/>
  <c r="J108" i="8" l="1"/>
  <c r="J12" i="5" s="1"/>
  <c r="K110" i="8"/>
  <c r="K108" i="8" s="1"/>
  <c r="K12" i="5" s="1"/>
  <c r="L7" i="5"/>
  <c r="K13" i="5" l="1"/>
  <c r="J13" i="5"/>
  <c r="J116" i="8"/>
  <c r="J150" i="8" s="1"/>
  <c r="J151" i="8" s="1"/>
  <c r="K112" i="8"/>
  <c r="K116" i="8" s="1"/>
  <c r="K150" i="8" s="1"/>
  <c r="K151" i="8" s="1"/>
  <c r="L110" i="8"/>
  <c r="L108" i="8" s="1"/>
  <c r="L12" i="5" s="1"/>
  <c r="L13" i="5" l="1"/>
  <c r="L112" i="8"/>
  <c r="L116" i="8" s="1"/>
  <c r="L150" i="8" s="1"/>
  <c r="L15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5" authorId="0" shapeId="0" xr:uid="{00000000-0006-0000-04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9" authorId="0" shapeId="0" xr:uid="{00000000-0006-0000-0700-000001000000}">
      <text>
        <r>
          <rPr>
            <b/>
            <sz val="9"/>
            <color indexed="81"/>
            <rFont val="Tahoma"/>
            <family val="2"/>
          </rPr>
          <t>Robbie:</t>
        </r>
        <r>
          <rPr>
            <sz val="9"/>
            <color indexed="81"/>
            <rFont val="Tahoma"/>
            <family val="2"/>
          </rPr>
          <t xml:space="preserve">
how much do we change these?</t>
        </r>
      </text>
    </comment>
    <comment ref="A21" authorId="0" shapeId="0" xr:uid="{00000000-0006-0000-0700-000002000000}">
      <text>
        <r>
          <rPr>
            <b/>
            <sz val="9"/>
            <color indexed="81"/>
            <rFont val="Tahoma"/>
            <family val="2"/>
          </rPr>
          <t>Robbie:</t>
        </r>
        <r>
          <rPr>
            <sz val="9"/>
            <color indexed="81"/>
            <rFont val="Tahoma"/>
            <family val="2"/>
          </rPr>
          <t xml:space="preserve">
right now all types of utilities paying for all of this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tc={223BC629-C5D9-42BE-9E33-3F70D238E709}</author>
    <author>tc={6FB31063-8240-4983-B7FA-726765C7D44C}</author>
    <author>tc={1A29B8F6-2778-4835-9637-2C2A7431093B}</author>
    <author>tc={2904D314-75F0-41EE-9BDD-49102971D240}</author>
    <author>tc={81312117-2BCA-432E-A17F-4B75FB666D4E}</author>
    <author>tc={79E3AB31-FC4E-414D-B9FF-93DFE73BEE45}</author>
    <author>tc={F89938A5-2FF4-4401-A3E0-A7038D82EC67}</author>
  </authors>
  <commentList>
    <comment ref="C15" authorId="0" shapeId="0" xr:uid="{223BC629-C5D9-42BE-9E33-3F70D238E709}">
      <text>
        <t>[Threaded comment]
Your version of Excel allows you to read this threaded comment; however, any edits to it will get removed if the file is opened in a newer version of Excel. Learn more: https://go.microsoft.com/fwlink/?linkid=870924
Comment:
    This rate is 10.19% from 2021-2031 (in 2-yr increments), 1.87% from 2031-2041, and 6.12% from 2021-2041. Chose to use 2021-2031 rate to emphasize cost declines in the first five rounds of the game. If playing all ten rounds, the 6.12% figure might be better (if not precise).</t>
      </text>
    </comment>
    <comment ref="C16" authorId="1" shapeId="0" xr:uid="{6FB31063-8240-4983-B7FA-726765C7D44C}">
      <text>
        <t>[Threaded comment]
Your version of Excel allows you to read this threaded comment; however, any edits to it will get removed if the file is opened in a newer version of Excel. Learn more: https://go.microsoft.com/fwlink/?linkid=870924
Comment:
    This rate is 6.95% from 2021-2031 (in 2-yr increments), 2.11% from 2031-2041, and 4.55% from 2021-2041. Chose to use 2021-2031 rate to emphasize cost declines in the first five rounds of the game. If playing all ten rounds, the 4.55% figure might be better (if not precise).</t>
      </text>
    </comment>
    <comment ref="H37" authorId="2" shapeId="0" xr:uid="{1A29B8F6-2778-4835-9637-2C2A7431093B}">
      <text>
        <t>[Threaded comment]
Your version of Excel allows you to read this threaded comment; however, any edits to it will get removed if the file is opened in a newer version of Excel. Learn more: https://go.microsoft.com/fwlink/?linkid=870924
Comment:
    NREL 2021 ATB costs are still TBD. This number was estimated from a 10-hr, 1,000 MW pumped storage hydro facility.</t>
      </text>
    </comment>
    <comment ref="I55" authorId="3" shapeId="0" xr:uid="{2904D314-75F0-41EE-9BDD-49102971D240}">
      <text>
        <t>[Threaded comment]
Your version of Excel allows you to read this threaded comment; however, any edits to it will get removed if the file is opened in a newer version of Excel. Learn more: https://go.microsoft.com/fwlink/?linkid=870924
Comment:
    Doesn't appear to be reported for coal in the 2021 ATB</t>
      </text>
    </comment>
    <comment ref="M55" authorId="4" shapeId="0" xr:uid="{81312117-2BCA-432E-A17F-4B75FB666D4E}">
      <text>
        <t>[Threaded comment]
Your version of Excel allows you to read this threaded comment; however, any edits to it will get removed if the file is opened in a newer version of Excel. Learn more: https://go.microsoft.com/fwlink/?linkid=870924
Comment:
    Doesn't appear to be reported for natural gas in the 2021 ATB</t>
      </text>
    </comment>
    <comment ref="I56" authorId="5" shapeId="0" xr:uid="{79E3AB31-FC4E-414D-B9FF-93DFE73BEE45}">
      <text>
        <t>[Threaded comment]
Your version of Excel allows you to read this threaded comment; however, any edits to it will get removed if the file is opened in a newer version of Excel. Learn more: https://go.microsoft.com/fwlink/?linkid=870924
Comment:
    Doesn't appear to be reported for natural gas in the 2021 ATB</t>
      </text>
    </comment>
    <comment ref="M57" authorId="6" shapeId="0" xr:uid="{F89938A5-2FF4-4401-A3E0-A7038D82EC67}">
      <text>
        <t>[Threaded comment]
Your version of Excel allows you to read this threaded comment; however, any edits to it will get removed if the file is opened in a newer version of Excel. Learn more: https://go.microsoft.com/fwlink/?linkid=870924
Comment:
    Not sure this is quite right but it should at least be in the ballpark.</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A203" authorId="0" shapeId="0" xr:uid="{00000000-0006-0000-0B00-000001000000}">
      <text>
        <r>
          <rPr>
            <b/>
            <sz val="9"/>
            <color indexed="81"/>
            <rFont val="Tahoma"/>
            <family val="2"/>
          </rPr>
          <t>Robbie:</t>
        </r>
        <r>
          <rPr>
            <sz val="9"/>
            <color indexed="81"/>
            <rFont val="Tahoma"/>
            <family val="2"/>
          </rPr>
          <t xml:space="preserve">
Need to update this to reflect contracted dispatch</t>
        </r>
      </text>
    </comment>
  </commentList>
</comments>
</file>

<file path=xl/sharedStrings.xml><?xml version="1.0" encoding="utf-8"?>
<sst xmlns="http://schemas.openxmlformats.org/spreadsheetml/2006/main" count="1280" uniqueCount="608">
  <si>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</si>
  <si>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</si>
  <si>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</si>
  <si>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</si>
  <si>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</si>
  <si>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</si>
  <si>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</si>
  <si>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</si>
  <si>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</si>
  <si>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</si>
  <si>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</si>
  <si>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</si>
  <si>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</si>
  <si>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</si>
  <si>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</si>
  <si>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</si>
  <si>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</si>
  <si>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</si>
  <si>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</si>
  <si>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</si>
  <si>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</si>
  <si>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</si>
  <si>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</si>
  <si>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</si>
  <si>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</si>
  <si>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</si>
  <si>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</si>
  <si>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</si>
  <si>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</si>
  <si>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</si>
  <si>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</si>
  <si>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</si>
  <si>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</si>
  <si>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Events</t>
  </si>
  <si>
    <t>Level of Vertical Integration</t>
  </si>
  <si>
    <t>GTDR</t>
  </si>
  <si>
    <t>DR</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</si>
  <si>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</si>
  <si>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</si>
  <si>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</si>
  <si>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</si>
  <si>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</si>
  <si>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</si>
  <si>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</si>
  <si>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</si>
  <si>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</si>
  <si>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</si>
  <si>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</si>
  <si>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</si>
  <si>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</si>
  <si>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</si>
  <si>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</si>
  <si>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</si>
  <si>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</si>
  <si>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</si>
  <si>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</si>
  <si>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</si>
  <si>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</si>
  <si>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</si>
  <si>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</si>
  <si>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</si>
  <si>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</si>
  <si>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</si>
  <si>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</si>
  <si>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</si>
  <si>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</si>
  <si>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</si>
  <si>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</si>
  <si>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</si>
  <si>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</si>
  <si>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</si>
  <si>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</si>
  <si>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</si>
  <si>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</si>
  <si>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</si>
  <si>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</si>
  <si>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</si>
  <si>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</si>
  <si>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</si>
  <si>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</si>
  <si>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</si>
  <si>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</si>
  <si>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</si>
  <si>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</si>
  <si>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</si>
  <si>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</si>
  <si>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</si>
  <si>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</si>
  <si>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</si>
  <si>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</si>
  <si>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</si>
  <si>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</si>
  <si>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</si>
  <si>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</si>
  <si>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</si>
  <si>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</si>
  <si>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</si>
  <si>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</si>
  <si>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</si>
  <si>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</si>
  <si>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</si>
  <si>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</si>
  <si>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</si>
  <si>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</si>
  <si>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</si>
  <si>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</si>
  <si>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</si>
  <si>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</si>
  <si>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</si>
  <si>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</si>
  <si>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</si>
  <si>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Customer Relationship Charge ($/Bill)</t>
  </si>
  <si>
    <t>Do we allow cost recovery for EE? Right now we are</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</si>
  <si>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</si>
  <si>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</si>
  <si>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</si>
  <si>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</si>
  <si>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</si>
  <si>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</si>
  <si>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</si>
  <si>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</si>
  <si>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</si>
  <si>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</si>
  <si>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</si>
  <si>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</si>
  <si>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</si>
  <si>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</si>
  <si>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</si>
  <si>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</si>
  <si>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</si>
  <si>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</si>
  <si>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</si>
  <si>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</si>
  <si>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</si>
  <si>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</si>
  <si>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</si>
  <si>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</si>
  <si>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</si>
  <si>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</si>
  <si>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</si>
  <si>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</si>
  <si>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</si>
  <si>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</si>
  <si>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</si>
  <si>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</si>
  <si>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</si>
  <si>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</si>
  <si>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</si>
  <si>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</si>
  <si>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</si>
  <si>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</si>
  <si>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</si>
  <si>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</si>
  <si>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</si>
  <si>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</si>
  <si>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</si>
  <si>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</si>
  <si>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</si>
  <si>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</si>
  <si>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</si>
  <si>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</si>
  <si>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</si>
  <si>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</si>
  <si>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</si>
  <si>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</si>
  <si>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</si>
  <si>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</si>
  <si>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</si>
  <si>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</si>
  <si>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</si>
  <si>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</si>
  <si>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</si>
  <si>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</si>
  <si>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</si>
  <si>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</si>
  <si>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</si>
  <si>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</si>
  <si>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</si>
  <si>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</si>
  <si>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</si>
  <si>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</si>
  <si>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</si>
  <si>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</si>
  <si>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</si>
  <si>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</si>
  <si>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</si>
  <si>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</si>
  <si>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</si>
  <si>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</si>
  <si>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</si>
  <si>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</si>
  <si>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</si>
  <si>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</si>
  <si>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</si>
  <si>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</si>
  <si>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</si>
  <si>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</si>
  <si>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</si>
  <si>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</si>
  <si>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</si>
  <si>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</si>
  <si>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</si>
  <si>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</si>
  <si>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</si>
  <si>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</si>
  <si>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</si>
  <si>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</si>
  <si>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</si>
  <si>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</si>
  <si>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</si>
  <si>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</si>
  <si>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</si>
  <si>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</si>
  <si>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</si>
  <si>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</si>
  <si>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</si>
  <si>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</si>
  <si>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</si>
  <si>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</si>
  <si>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</si>
  <si>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</si>
  <si>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</si>
  <si>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</si>
  <si>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</si>
  <si>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Customer Bills</t>
  </si>
  <si>
    <t xml:space="preserve">          Reliability</t>
  </si>
  <si>
    <t>&lt;calibrate this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</si>
  <si>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</si>
  <si>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</si>
  <si>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</si>
  <si>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</si>
  <si>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</si>
  <si>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</si>
  <si>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</si>
  <si>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</si>
  <si>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</si>
  <si>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</si>
  <si>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</si>
  <si>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</si>
  <si>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</si>
  <si>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</si>
  <si>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</si>
  <si>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</si>
  <si>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</si>
  <si>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</si>
  <si>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</si>
  <si>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</si>
  <si>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</si>
  <si>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</si>
  <si>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</si>
  <si>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</si>
  <si>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</si>
  <si>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Start Year Capacities (MW)</t>
  </si>
  <si>
    <t>DER (solar PV)--&gt; can this be curtailed/does it require distribution system investment??</t>
  </si>
  <si>
    <t>Projected Utility Load</t>
  </si>
  <si>
    <t>Generation Costs</t>
  </si>
  <si>
    <t>Round Names</t>
  </si>
  <si>
    <t>Game Setup</t>
  </si>
  <si>
    <t>Round 6</t>
  </si>
  <si>
    <t>Round 7</t>
  </si>
  <si>
    <t>Round 8</t>
  </si>
  <si>
    <t>Round 9</t>
  </si>
  <si>
    <t>Round 10</t>
  </si>
  <si>
    <t>Current Round:</t>
  </si>
  <si>
    <t>Select</t>
  </si>
  <si>
    <t>Round Completion</t>
  </si>
  <si>
    <t>Utility Name:</t>
  </si>
  <si>
    <t>None</t>
  </si>
  <si>
    <t>Nat Gas Price Spike</t>
  </si>
  <si>
    <t>$/MWh</t>
  </si>
  <si>
    <t>Natural Gas Price Spike Increase ($/MMBtu)</t>
  </si>
  <si>
    <t>Pre-Event Actual Load (MWh)</t>
  </si>
  <si>
    <t>Post-Event Actual Load (MWh)</t>
  </si>
  <si>
    <t>Event Impacts</t>
  </si>
  <si>
    <t>Heat Wave Load Increase (%)</t>
  </si>
  <si>
    <t>RPS Requirement</t>
  </si>
  <si>
    <t>should there be a one turn delay in policy/event cards? (specifically RPS, CO2 pricing, others?); right now there is a one year delay</t>
  </si>
  <si>
    <t>Demand Response</t>
  </si>
  <si>
    <t>Widening Balancing Area</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</si>
  <si>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</si>
  <si>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</si>
  <si>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</si>
  <si>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</si>
  <si>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</si>
  <si>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</si>
  <si>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</si>
  <si>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</si>
  <si>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</si>
  <si>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</si>
  <si>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</si>
  <si>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</si>
  <si>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</si>
  <si>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</si>
  <si>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</si>
  <si>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</si>
  <si>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</si>
  <si>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</si>
  <si>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</si>
  <si>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</si>
  <si>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</si>
  <si>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</si>
  <si>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</si>
  <si>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Annual Reduction in Solar PV costs</t>
  </si>
  <si>
    <t>Annual Reduction in Wind Costs</t>
  </si>
  <si>
    <t>solar pv</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</si>
  <si>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</si>
  <si>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</si>
  <si>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</si>
  <si>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</si>
  <si>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</si>
  <si>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</si>
  <si>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</si>
  <si>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</si>
  <si>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</si>
  <si>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</si>
  <si>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</si>
  <si>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</si>
  <si>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</si>
  <si>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</si>
  <si>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</si>
  <si>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</si>
  <si>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</si>
  <si>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</si>
  <si>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</si>
  <si>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</si>
  <si>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</si>
  <si>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</si>
  <si>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 xml:space="preserve">Current Round: </t>
  </si>
  <si>
    <t>Average Customer Bill</t>
  </si>
  <si>
    <t>Customer Bills</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</si>
  <si>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</si>
  <si>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</si>
  <si>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</si>
  <si>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</si>
  <si>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</si>
  <si>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</si>
  <si>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</si>
  <si>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</si>
  <si>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</si>
  <si>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</si>
  <si>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</si>
  <si>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</si>
  <si>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</si>
  <si>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</si>
  <si>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</si>
  <si>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</si>
  <si>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</si>
  <si>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</si>
  <si>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</si>
  <si>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</si>
  <si>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</si>
  <si>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</si>
  <si>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</si>
  <si>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</si>
  <si>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</si>
  <si>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</si>
  <si>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</si>
  <si>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</si>
  <si>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</si>
  <si>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Generation Reserve Margin</t>
  </si>
  <si>
    <t>NERC Standard</t>
  </si>
  <si>
    <t>Transformers, Substations, Lines, and Feeders (MW)</t>
  </si>
  <si>
    <t>Distribution System Infrastructure</t>
  </si>
  <si>
    <t>Carbon Pricing ($/year)</t>
  </si>
  <si>
    <t>Solar</t>
  </si>
  <si>
    <t>Wind</t>
  </si>
  <si>
    <t>Hydro</t>
  </si>
  <si>
    <t>Distributed PV</t>
  </si>
  <si>
    <t>Total Number of Shares</t>
  </si>
  <si>
    <t>Earnings per Share</t>
  </si>
  <si>
    <t>(minutes of outages per year)</t>
  </si>
  <si>
    <t>Business Models</t>
  </si>
  <si>
    <t>ToU Pricing DR Addition (MW)</t>
  </si>
  <si>
    <t>ToU Effects</t>
  </si>
  <si>
    <t>Increased DR (MW)</t>
  </si>
  <si>
    <t>Utility-Scale</t>
  </si>
  <si>
    <t>Distribution Scale</t>
  </si>
  <si>
    <t>Generation Capacity Buildout</t>
  </si>
  <si>
    <t>Utility Resources</t>
  </si>
  <si>
    <t>Installed Capacity (will not affect revenue requirement)</t>
  </si>
  <si>
    <t>Added Capacity (will affect revenue requirement)</t>
  </si>
  <si>
    <t>Transmission Capacity (Circuit*miles)</t>
  </si>
  <si>
    <t>Retiring Capacity</t>
  </si>
  <si>
    <t>Bonus/Penalties ($)</t>
  </si>
  <si>
    <t>Bonus/Penalties (% of Net Revenue)</t>
  </si>
  <si>
    <t>Yes</t>
  </si>
  <si>
    <t>No</t>
  </si>
  <si>
    <t>Direct Changes from Override Sheet</t>
  </si>
  <si>
    <t xml:space="preserve">     New Distributed PV</t>
  </si>
  <si>
    <t>Restructured Performance Based Regulatory Model</t>
  </si>
  <si>
    <t>Vertically Integrated Cost of Service Model</t>
  </si>
  <si>
    <t>Restructured Cost of Service Model</t>
  </si>
  <si>
    <t>Restructured Transactive Model</t>
  </si>
  <si>
    <t>Business Model Type</t>
  </si>
  <si>
    <t>Types of Costs to Include</t>
  </si>
  <si>
    <t>Generation</t>
  </si>
  <si>
    <t>Transmission</t>
  </si>
  <si>
    <t>Distribution</t>
  </si>
  <si>
    <t>Total Vertically Integrated Utility Revenue Requirement</t>
  </si>
  <si>
    <t>Total Restructured Utility Revenue Requirement</t>
  </si>
  <si>
    <t>Revenue from Performance Based Regulation</t>
  </si>
  <si>
    <t>Distribution Only Charge per Customer ($)</t>
  </si>
  <si>
    <t>Distribution Only Charge per Customer ($/kWh)</t>
  </si>
  <si>
    <t xml:space="preserve">     Revenue at RoR</t>
  </si>
  <si>
    <t xml:space="preserve">     Revenue at WACC</t>
  </si>
  <si>
    <t xml:space="preserve">     Potential Revenue from PBR</t>
  </si>
  <si>
    <t xml:space="preserve">          Environmental Performance </t>
  </si>
  <si>
    <t xml:space="preserve">     Revenue from PBR</t>
  </si>
  <si>
    <t>Policy Targets</t>
  </si>
  <si>
    <t>CO2/MWh</t>
  </si>
  <si>
    <t>&lt;calibrate (20% improvement)</t>
  </si>
  <si>
    <t>Final Year Targets</t>
  </si>
  <si>
    <t>Carbon Emissions Targets</t>
  </si>
  <si>
    <t>lbs/MWh</t>
  </si>
  <si>
    <t>lbs/MWh (midway point)</t>
  </si>
  <si>
    <t>Customer Bill Targets</t>
  </si>
  <si>
    <t>Average Annual Bill</t>
  </si>
  <si>
    <t>Average Annual Bill (midpoint)</t>
  </si>
  <si>
    <t>Reliability Targets</t>
  </si>
  <si>
    <t>Minutes (midpoint)</t>
  </si>
  <si>
    <t>Contracted Generation (MWh)</t>
  </si>
  <si>
    <t>Remaining Load</t>
  </si>
  <si>
    <t>Projected Market Based Dispatch Amounts</t>
  </si>
  <si>
    <t>Remaining Potential Output by Source</t>
  </si>
  <si>
    <t>Total Projected Dispatch Amounts</t>
  </si>
  <si>
    <t>Actual Market Based Dispatch Amounts</t>
  </si>
  <si>
    <t>Added Capacity</t>
  </si>
  <si>
    <t>Contracted Generation</t>
  </si>
  <si>
    <t>Minimum Dispatch Amounts Accounting for Reliability</t>
  </si>
  <si>
    <t>Target</t>
  </si>
  <si>
    <t>Environmental Performance - CO2</t>
  </si>
  <si>
    <t>Maximum Amount Buildable</t>
  </si>
  <si>
    <t xml:space="preserve">Type </t>
  </si>
  <si>
    <t>Amount</t>
  </si>
  <si>
    <t>Override Sheet</t>
  </si>
  <si>
    <t>Decoupling + Incentive</t>
  </si>
  <si>
    <t>With your support, your state has decided to decouple utility revenues from the volume of electricity sold. The variable portion of your revenues will be automatically adjusted in each round to ensure you meet the revenue requirement of the variable portion of your income. Additionally, you are allowed to rate-base efficiency investments.</t>
  </si>
  <si>
    <t>Rates in each year will be adjusted so that the utility recovers the full amount of its variable-revenue. Fixed revenue will not be adjusted. Efficiency investments will be recoverable at the RoR.</t>
  </si>
  <si>
    <t>Will provide more certainty for utilities when evaluating their revenue. For utilities shifting a large portion of revenue to fixed charges, they will continue to be exposed to defecting customers. Will increase operating income and earnings per share.</t>
  </si>
  <si>
    <t>Decoupling + Incentives</t>
  </si>
  <si>
    <t>Performance as a Fraction</t>
  </si>
  <si>
    <t>Policies Chosen by User</t>
  </si>
  <si>
    <t>TOTAL</t>
  </si>
  <si>
    <t>1) Demand for electricity is expected to be stagnant, if not declining over the next 10 years. How will you increase your earnings per share while sales continue to decline?</t>
  </si>
  <si>
    <t>Allow Events and Policies</t>
  </si>
  <si>
    <t>Policies</t>
  </si>
  <si>
    <t>Peaking Resources Capacity Factors</t>
  </si>
  <si>
    <t>Forecast Utility Demand (Load - DER - Customer EE-Peaking Resources)</t>
  </si>
  <si>
    <t>Actual Utility Demand (Load - DER - Customer EE-Peaking Resources)</t>
  </si>
  <si>
    <t>Current Policies</t>
  </si>
  <si>
    <t>Reliability Requirements</t>
  </si>
  <si>
    <t>RPS Increment</t>
  </si>
  <si>
    <t>First Year for RPS Increment</t>
  </si>
  <si>
    <t>Fuel Costs</t>
  </si>
  <si>
    <t>Change in RoR with PIMs</t>
  </si>
  <si>
    <t>Current Business Model</t>
  </si>
  <si>
    <t>Model:</t>
  </si>
  <si>
    <t>Transactive Utility Payments</t>
  </si>
  <si>
    <r>
      <t xml:space="preserve">     </t>
    </r>
    <r>
      <rPr>
        <sz val="11"/>
        <color theme="1"/>
        <rFont val="Calibri"/>
        <family val="2"/>
        <scheme val="minor"/>
      </rPr>
      <t>Energy Tariffs</t>
    </r>
  </si>
  <si>
    <r>
      <t xml:space="preserve">     </t>
    </r>
    <r>
      <rPr>
        <sz val="11"/>
        <color theme="1"/>
        <rFont val="Calibri"/>
        <family val="2"/>
        <scheme val="minor"/>
      </rPr>
      <t xml:space="preserve">Demand Tariffs </t>
    </r>
  </si>
  <si>
    <t>Transactive Framework</t>
  </si>
  <si>
    <t>Energy Charge ($/kWh)</t>
  </si>
  <si>
    <t>Demand Charge ($/kW)</t>
  </si>
  <si>
    <t>CoS/PBR</t>
  </si>
  <si>
    <t>Transactive</t>
  </si>
  <si>
    <t>Restructured Market Buildout</t>
  </si>
  <si>
    <t>Buildout Shares</t>
  </si>
  <si>
    <t>Demand Response and Batteries</t>
  </si>
  <si>
    <t>DR (per round)</t>
  </si>
  <si>
    <t>Batteries (per round)</t>
  </si>
  <si>
    <t>Restructured Utility Amount to Build</t>
  </si>
  <si>
    <t>&lt;we have to adjust for the fact that peak time capcacity factors require us to bulid more than just a strict capacity value</t>
  </si>
  <si>
    <t>Growth in Distributed PV and Customer EE</t>
  </si>
  <si>
    <t>Tech</t>
  </si>
  <si>
    <t>Vertically Integrated Performance Based Regulatory Model</t>
  </si>
  <si>
    <t>Coal Buildable</t>
  </si>
  <si>
    <t>Natural Gas Buildable</t>
  </si>
  <si>
    <t>Nuclear Buildable</t>
  </si>
  <si>
    <t>Wind Buildable</t>
  </si>
  <si>
    <t>Solar Buildable</t>
  </si>
  <si>
    <t>Hydro Buildable</t>
  </si>
  <si>
    <t>Capacity and Generation Buildout from UserForm</t>
  </si>
  <si>
    <t>Distributed PV Buildable</t>
  </si>
  <si>
    <t>Capacity Pop Up Information</t>
  </si>
  <si>
    <t>Buildable Increments</t>
  </si>
  <si>
    <t>Capacity</t>
  </si>
  <si>
    <t>Generation Buildout from UserForm Converted to Capacity</t>
  </si>
  <si>
    <t>Capacity vs Generation Title</t>
  </si>
  <si>
    <t>Flexiblity</t>
  </si>
  <si>
    <t>Flexible Resources Pop Up Information</t>
  </si>
  <si>
    <t>Flexibility Resource Buildout from UserForm</t>
  </si>
  <si>
    <t>Widen Balancing Areas</t>
  </si>
  <si>
    <t>Policy Name</t>
  </si>
  <si>
    <t>Policy Description</t>
  </si>
  <si>
    <t>The RPS requires a minimum amount of generation to come from qualifying renewable (solar and wind) resources. If an insufficient amount of renewable electricity is generated, teams will penalized by paying an alternative compliance payment of $100/MWh.</t>
  </si>
  <si>
    <t xml:space="preserve">Increasing demand charges will help shield teams from losses in revenues from falling energy sales by increasing the proportion of revenue coming from fixed customer demand charges. However, it will also reduce the amount of distributed resources that come online. </t>
  </si>
  <si>
    <t>Time of use pricing will decrease peak demand, increase the flexibility of existing resources, and encourage additional demand response resources to be built.</t>
  </si>
  <si>
    <t>Widening balancing areas causes teams to have to build less capacity by lowering the reserve margin requirement.</t>
  </si>
  <si>
    <t xml:space="preserve">Decoupling + incentives recovers or returns shortfall or excess revenues from differences between forecast and actual load AND causes efficiency investements to earn a rate of return. </t>
  </si>
  <si>
    <t xml:space="preserve">Decoupling causes to teams to recover or return any shortfall or excess revenues caused by a deviation between forecast and actual load. </t>
  </si>
  <si>
    <t>Policy Included?</t>
  </si>
  <si>
    <t>Event Name</t>
  </si>
  <si>
    <t>Event Description</t>
  </si>
  <si>
    <t>Event Included?</t>
  </si>
  <si>
    <t>Natural Gas Price Spike</t>
  </si>
  <si>
    <t>Regulators have decided to price carbon emissions in your region. Power plants in your territory will now incorporate a carbon payment in their costs.</t>
  </si>
  <si>
    <t>A shortage in available natural gas has increased the price by $3/MMBtu, causing natural gas power plants to become more expensive.</t>
  </si>
  <si>
    <t>A heat wave has hit your territory, causing your total demand to increase significantly.</t>
  </si>
  <si>
    <t>Advance Round</t>
  </si>
  <si>
    <t>End Game</t>
  </si>
  <si>
    <t>Renewables Requirements</t>
  </si>
  <si>
    <t>Requirement</t>
  </si>
  <si>
    <t>Advance to Next Planning Cycle</t>
  </si>
  <si>
    <t>Energy Efficiency</t>
  </si>
  <si>
    <t>Energy Efficiency Buildable</t>
  </si>
  <si>
    <t>Amount of Distributed PV and EE Added Each Turn Independently</t>
  </si>
  <si>
    <t>Utility Scale Solar PV</t>
  </si>
  <si>
    <t>Limits</t>
  </si>
  <si>
    <t>Policy and Resource Planning</t>
  </si>
  <si>
    <t>Resource Constraints</t>
  </si>
  <si>
    <t>(lbs/MWh)</t>
  </si>
  <si>
    <t>Other Assumptions</t>
  </si>
  <si>
    <t>Maximum Amount of Peak Load that Can Be Met by Demand Response</t>
  </si>
  <si>
    <t>Percentage of Peak Load</t>
  </si>
  <si>
    <t>Events Chosen by User</t>
  </si>
  <si>
    <t>Policy PopUp</t>
  </si>
  <si>
    <t>Event PopUp</t>
  </si>
  <si>
    <t>Round Summary</t>
  </si>
  <si>
    <t>Planning Process Years</t>
  </si>
  <si>
    <t>New Round Summary</t>
  </si>
  <si>
    <t>Game Summary</t>
  </si>
  <si>
    <t>Override Inputs</t>
  </si>
  <si>
    <t>energy efficiency</t>
  </si>
  <si>
    <t>Congratulations! Your team has just been assigned the task of managing your utility's energy portfolio. Your goal over the next 5 rounds (10 years) will be to maximize your utility's performance across four areas: profitability, customer bills, environmental performance, and reliability.  You will need to balance choices across these four areas in order to maximize your utility's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</si>
  <si>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3) The cost of renewable energy technologies, like wind and solar, will continue to drop. This will provide you with cheap new sources of power, but you'll need to ensure the system is flexible enough to integrate these resources. How will you take advantage of these new cheap sources of power?</t>
  </si>
  <si>
    <t>Annual Use (kWh/customer)</t>
  </si>
  <si>
    <t>Average Monthly Bill</t>
  </si>
  <si>
    <t>Renewable Subsidies</t>
  </si>
  <si>
    <t>Year</t>
  </si>
  <si>
    <t>Production Tax Credit: Wind ($/MWh)</t>
  </si>
  <si>
    <t>Investment Tax Credit: Solar (% project cost)</t>
  </si>
  <si>
    <t>average</t>
  </si>
  <si>
    <t>peak</t>
  </si>
  <si>
    <t>Reserve Margin Shortage</t>
  </si>
  <si>
    <t>MW Short</t>
  </si>
  <si>
    <t>Capacity/Generation Mix</t>
  </si>
  <si>
    <t>Utility-Scale Solar PV</t>
  </si>
  <si>
    <t>Distributed Solar PV</t>
  </si>
  <si>
    <t>Earnings Sharing Mechanism</t>
  </si>
  <si>
    <t>Reserve Margin Capacity Before Market Additions</t>
  </si>
  <si>
    <t>Reserve Margin Shortfall Before Market Additions</t>
  </si>
  <si>
    <t>Maximum Amount of Demand/Peak Load that Can Be Met by Energy Efficiency</t>
  </si>
  <si>
    <t>Percentage of Total/Peak Load</t>
  </si>
  <si>
    <t>Bills</t>
  </si>
  <si>
    <t>CO2</t>
  </si>
  <si>
    <t>EPS</t>
  </si>
  <si>
    <t>Team Name</t>
  </si>
  <si>
    <t>Business Model</t>
  </si>
  <si>
    <t>Metric</t>
  </si>
  <si>
    <t>[Insert Utility Name Here]</t>
  </si>
  <si>
    <t>Utility Performance Incentive Charges/Benefits</t>
  </si>
  <si>
    <t>Represents the compound annual reduction rate from 2021-2031 (in 2-yr increments) of NREL 2021 ATB, Solar - Utility PV tab, cells N172 to X172</t>
  </si>
  <si>
    <t>Represents the compound annual reduction rate from 2021-2031 (in 2-yr increments) of NREL 2021 ATB, Land-Based Wind tab, cells N166 to X166</t>
  </si>
  <si>
    <t>Notes</t>
  </si>
  <si>
    <t>NREL 2021 ATB (Definitions page, Technical Lifetimes for Technologies table)</t>
  </si>
  <si>
    <t>NREL 2021 ATB (Coal_FE tab, cell N129)</t>
  </si>
  <si>
    <t>For each tech, used the class associated with the "Representative Value" defined in this link.</t>
  </si>
  <si>
    <t>NREL 2021 ATB (Natural Gas_FE tab, cell N117)</t>
  </si>
  <si>
    <t>Referred to onshore wind, not offshore</t>
  </si>
  <si>
    <t>NREL 2021 ATB (Nuclear tab, cell N116)</t>
  </si>
  <si>
    <t>Referred to 4-hour battery storage</t>
  </si>
  <si>
    <t>Used "Moderate" scenario for all values</t>
  </si>
  <si>
    <t>Couldn't find good data to refresh the demand response values</t>
  </si>
  <si>
    <t>NREL 2021 ATB (Hydropower tab, cell N192)</t>
  </si>
  <si>
    <t>NREL 2021 ATB (Natural Gas_FE tab, cell N111)</t>
  </si>
  <si>
    <t xml:space="preserve"> </t>
  </si>
  <si>
    <t>NREL 2021 ATB (Utility-Scale Battery Storage tab, cell H40)</t>
  </si>
  <si>
    <t>PNNL 2020 Grid Energy Storage Technology Cost and Performance Assessment (page 61, Figure 7, "Total ESS Installed Cost + Contingency Fee")</t>
  </si>
  <si>
    <t>NREL 2021 ATB (Coal_FE tab, cell N207)</t>
  </si>
  <si>
    <t>NREL 2021 ATB (Coal_FE tab, cell N233)</t>
  </si>
  <si>
    <t>NREL 2021 ATB (Natural Gas_FE tab, cell N177)</t>
  </si>
  <si>
    <t>NREL 2021 ATB (Natural Gas_FE tab, cell N197)</t>
  </si>
  <si>
    <t>NREL 2021 ATB (Nuclear tab, cell N131)</t>
  </si>
  <si>
    <t>NREL 2021 ATB (Nuclear tab, cell N136)</t>
  </si>
  <si>
    <t>NREL 2021 ATB (Solar - Utility PV tab, cell N268)</t>
  </si>
  <si>
    <t>Assumption used for dispatch - see NREL 2021 ATB (Solar - Utility PV tab, cell N300)</t>
  </si>
  <si>
    <t>NREL 2021 ATB (Land-Based Wind tab, cell N262)</t>
  </si>
  <si>
    <t>Assumption used for dispatch - see NREL 2021 ATB (Land-Based Wind tab, cell N294)</t>
  </si>
  <si>
    <t>NREL 2021 ATB (Hydropower tab, cell N315)</t>
  </si>
  <si>
    <t>Assumption used for dispatch - see NREL 2021 ATB (Hydropower tab, cell N356)</t>
  </si>
  <si>
    <t>NREL 2021 ATB (Natural Gas_FE tab, cell N171)</t>
  </si>
  <si>
    <t>NREL 2021 ATB (Utility-Scale Battery Storage tab, cell H59)</t>
  </si>
  <si>
    <t>NREL 2021 ATB (Pumped Storage Hydropower tab, cell N158)</t>
  </si>
  <si>
    <t>NREL 2021 ATB (Coal_FE tab, cell N103)</t>
  </si>
  <si>
    <t>NREL 2021 ATB (Natural Gas_FE tab, cell N97)</t>
  </si>
  <si>
    <t>NREL 2020 ATB (Coal tab, cells L12-L13)</t>
  </si>
  <si>
    <t>NREL 2020 ATB (Natural Gas tab, cells L12-L13)</t>
  </si>
  <si>
    <t>NREL 2021 ATB (Nuclear tab, cell N111)</t>
  </si>
  <si>
    <t>NREL 2020 ATB (Natural Gas tab, cells L14-L15)</t>
  </si>
  <si>
    <t>NREL 2021 ATB (Utility-Scale Battery Storage tab, cell H110)</t>
  </si>
  <si>
    <t>NREL 2021 ATB (Nuclear tab, cell N101)</t>
  </si>
  <si>
    <t>PNNL 2020 Grid Energy Storage Technology Cost and Performance Assessment (page 59, 1st paragraph)</t>
  </si>
  <si>
    <t>NREL 2021 ATB (Solar - Utility PV tab, cell N108)</t>
  </si>
  <si>
    <t>NREL 2021 ATB (Land-Based Wind tab, cell N102)</t>
  </si>
  <si>
    <t>NREL 2021 ATB (Hydropower tab, cell N110)</t>
  </si>
  <si>
    <t>NREL 2021 ATB (Solar - PV Dist. Res tab, cell N117)</t>
  </si>
  <si>
    <t>NREL 2021 ATB (Solar - Utility PV tab, cell N172), 2019 estimated values</t>
  </si>
  <si>
    <t>NREL 2021 ATB (Land-Based Wind tab, cell N166), 2019 estimated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</si>
</sst>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 numFmtId="173" formatCode="&quot;$&quot;#,##0.000"/>
  </numFmts>
  <fonts count="2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b/>
      <sz val="12"/>
      <color theme="1"/>
      <name val="Calibri"/>
      <family val="2"/>
      <scheme val="minor"/>
    </font>
    <font>
      <sz val="11"/>
      <name val="Calibri"/>
      <family val="2"/>
      <scheme val="minor"/>
    </font>
    <font>
      <sz val="11"/>
      <color rgb="FF9C0006"/>
      <name val="Calibri"/>
      <family val="2"/>
      <scheme val="minor"/>
    </font>
    <font>
      <sz val="11"/>
      <color rgb="FFFF0000"/>
      <name val="Calibri"/>
      <family val="2"/>
      <scheme val="minor"/>
    </font>
    <font>
      <sz val="12"/>
      <color theme="1"/>
      <name val="Calibri"/>
      <family val="2"/>
      <scheme val="minor"/>
    </font>
    <font>
      <sz val="8"/>
      <color theme="1"/>
      <name val="Calibri"/>
      <family val="2"/>
      <scheme val="minor"/>
    </font>
    <font>
      <u/>
      <sz val="11"/>
      <color theme="9"/>
      <name val="Calibri"/>
      <family val="2"/>
      <scheme val="minor"/>
    </font>
    <font>
      <b/>
      <u/>
      <sz val="11"/>
      <color theme="1"/>
      <name val="Calibri"/>
      <family val="2"/>
      <scheme val="minor"/>
    </font>
    <font>
      <u/>
      <sz val="11"/>
      <color theme="5"/>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
      <patternFill patternType="solid">
        <fgColor theme="2"/>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4" fillId="11" borderId="0" applyNumberFormat="0" applyBorder="0" applyAlignment="0" applyProtection="0"/>
  </cellStyleXfs>
  <cellXfs count="244">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0" fontId="3" fillId="0" borderId="2" xfId="0" applyFont="1" applyBorder="1"/>
    <xf numFmtId="9" fontId="0" fillId="6" borderId="1" xfId="0" applyNumberForma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170" fontId="0" fillId="8" borderId="0" xfId="0" applyNumberFormat="1" applyFill="1"/>
    <xf numFmtId="0" fontId="10" fillId="8" borderId="0" xfId="0" applyFont="1" applyFill="1" applyBorder="1" applyAlignment="1"/>
    <xf numFmtId="0" fontId="0" fillId="10"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3" fillId="0" borderId="0" xfId="0" applyFont="1"/>
    <xf numFmtId="165" fontId="13" fillId="0" borderId="0" xfId="1" applyNumberFormat="1" applyFont="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14" fillId="11" borderId="0" xfId="5"/>
    <xf numFmtId="0" fontId="3" fillId="0" borderId="4" xfId="0" applyFont="1" applyFill="1" applyBorder="1"/>
    <xf numFmtId="0" fontId="3" fillId="4" borderId="0" xfId="0" applyFont="1" applyFill="1"/>
    <xf numFmtId="3" fontId="15" fillId="0" borderId="0" xfId="0" applyNumberFormat="1" applyFont="1"/>
    <xf numFmtId="3" fontId="13" fillId="0" borderId="0" xfId="0" applyNumberFormat="1" applyFont="1" applyBorder="1"/>
    <xf numFmtId="0" fontId="2" fillId="4" borderId="0" xfId="0" applyFont="1" applyFill="1"/>
    <xf numFmtId="44" fontId="0" fillId="0" borderId="3" xfId="1" applyFont="1" applyFill="1" applyBorder="1"/>
    <xf numFmtId="44" fontId="0" fillId="0" borderId="4" xfId="1" applyFont="1" applyFill="1" applyBorder="1"/>
    <xf numFmtId="0" fontId="4" fillId="2" borderId="0" xfId="0" applyFont="1" applyFill="1" applyAlignment="1">
      <alignment horizontal="left"/>
    </xf>
    <xf numFmtId="0" fontId="2" fillId="2" borderId="0" xfId="0" applyFont="1" applyFill="1" applyAlignment="1">
      <alignment horizontal="left"/>
    </xf>
    <xf numFmtId="165" fontId="0" fillId="0" borderId="0" xfId="0" applyNumberFormat="1" applyFont="1"/>
    <xf numFmtId="44" fontId="0" fillId="0" borderId="4" xfId="1" applyFont="1" applyBorder="1"/>
    <xf numFmtId="0" fontId="2" fillId="0" borderId="22" xfId="0" applyFont="1" applyBorder="1"/>
    <xf numFmtId="0" fontId="0" fillId="0" borderId="22" xfId="0" applyBorder="1"/>
    <xf numFmtId="0" fontId="2" fillId="0" borderId="23" xfId="0" applyFont="1" applyBorder="1"/>
    <xf numFmtId="0" fontId="0" fillId="0" borderId="23" xfId="0" applyBorder="1"/>
    <xf numFmtId="0" fontId="0" fillId="0" borderId="22" xfId="0" applyBorder="1" applyAlignment="1">
      <alignment vertical="top"/>
    </xf>
    <xf numFmtId="0" fontId="0" fillId="0" borderId="22" xfId="0" applyBorder="1" applyAlignment="1">
      <alignment horizontal="right"/>
    </xf>
    <xf numFmtId="0" fontId="0" fillId="0" borderId="22" xfId="0" applyFill="1" applyBorder="1"/>
    <xf numFmtId="44" fontId="0" fillId="0" borderId="2" xfId="1" applyFont="1" applyFill="1" applyBorder="1"/>
    <xf numFmtId="165" fontId="13" fillId="0" borderId="0" xfId="1" applyNumberFormat="1" applyFont="1" applyBorder="1"/>
    <xf numFmtId="0" fontId="0" fillId="4" borderId="23" xfId="0" applyFill="1" applyBorder="1"/>
    <xf numFmtId="0" fontId="16" fillId="8" borderId="0" xfId="0" applyFont="1" applyFill="1" applyAlignment="1">
      <alignment vertical="center"/>
    </xf>
    <xf numFmtId="0" fontId="17" fillId="8" borderId="0" xfId="0" applyFont="1" applyFill="1"/>
    <xf numFmtId="0" fontId="17" fillId="0" borderId="0" xfId="0" applyFont="1"/>
    <xf numFmtId="0" fontId="17" fillId="8" borderId="0" xfId="0" applyFont="1" applyFill="1" applyAlignment="1">
      <alignment vertical="center"/>
    </xf>
    <xf numFmtId="0" fontId="17" fillId="8" borderId="0" xfId="0" applyFont="1" applyFill="1" applyAlignment="1">
      <alignment wrapText="1"/>
    </xf>
    <xf numFmtId="0" fontId="17" fillId="0" borderId="0" xfId="0" applyFont="1" applyAlignment="1">
      <alignment wrapText="1"/>
    </xf>
    <xf numFmtId="44" fontId="0" fillId="6" borderId="1" xfId="0" applyNumberFormat="1" applyFill="1" applyBorder="1"/>
    <xf numFmtId="1" fontId="0" fillId="6" borderId="1" xfId="2" applyNumberFormat="1" applyFont="1" applyFill="1" applyBorder="1"/>
    <xf numFmtId="0" fontId="3" fillId="0" borderId="0" xfId="0" applyFont="1" applyFill="1" applyBorder="1"/>
    <xf numFmtId="3" fontId="0" fillId="3" borderId="0" xfId="0" applyNumberFormat="1" applyFill="1"/>
    <xf numFmtId="1" fontId="0" fillId="0" borderId="22" xfId="0" applyNumberFormat="1" applyBorder="1" applyAlignment="1">
      <alignment horizontal="right"/>
    </xf>
    <xf numFmtId="0" fontId="2" fillId="10" borderId="23" xfId="0" applyFont="1" applyFill="1" applyBorder="1"/>
    <xf numFmtId="0" fontId="2" fillId="0" borderId="22" xfId="0" applyFont="1" applyFill="1" applyBorder="1"/>
    <xf numFmtId="0" fontId="0" fillId="0" borderId="22" xfId="0" applyFont="1" applyFill="1" applyBorder="1"/>
    <xf numFmtId="3" fontId="0" fillId="0" borderId="22" xfId="0" applyNumberFormat="1" applyFont="1" applyFill="1" applyBorder="1"/>
    <xf numFmtId="3" fontId="0" fillId="0" borderId="22" xfId="0" applyNumberFormat="1" applyFill="1" applyBorder="1"/>
    <xf numFmtId="0" fontId="2" fillId="0" borderId="22" xfId="0" applyFont="1" applyBorder="1" applyAlignment="1">
      <alignment vertical="top"/>
    </xf>
    <xf numFmtId="0" fontId="2" fillId="0" borderId="24" xfId="0" applyFont="1" applyBorder="1"/>
    <xf numFmtId="3" fontId="0" fillId="0" borderId="25" xfId="0" applyNumberFormat="1" applyFont="1" applyFill="1" applyBorder="1"/>
    <xf numFmtId="3" fontId="0" fillId="0" borderId="22" xfId="0" applyNumberFormat="1" applyBorder="1"/>
    <xf numFmtId="0" fontId="2" fillId="0" borderId="0" xfId="0" applyFont="1" applyAlignment="1">
      <alignment wrapText="1"/>
    </xf>
    <xf numFmtId="0" fontId="16" fillId="8" borderId="0" xfId="0" applyFont="1" applyFill="1" applyBorder="1"/>
    <xf numFmtId="0" fontId="16" fillId="8" borderId="18" xfId="0" applyFont="1" applyFill="1" applyBorder="1"/>
    <xf numFmtId="0" fontId="16" fillId="8" borderId="0" xfId="0" applyFont="1" applyFill="1" applyBorder="1" applyAlignment="1"/>
    <xf numFmtId="0" fontId="16" fillId="8" borderId="20" xfId="0" applyFont="1" applyFill="1" applyBorder="1"/>
    <xf numFmtId="0" fontId="16" fillId="8" borderId="21" xfId="0" applyFont="1" applyFill="1" applyBorder="1"/>
    <xf numFmtId="0" fontId="16" fillId="8" borderId="17" xfId="0" applyFont="1" applyFill="1" applyBorder="1" applyAlignment="1">
      <alignment vertical="center"/>
    </xf>
    <xf numFmtId="0" fontId="16" fillId="8" borderId="19" xfId="0" applyFont="1" applyFill="1" applyBorder="1" applyAlignment="1">
      <alignment vertical="center"/>
    </xf>
    <xf numFmtId="165" fontId="0" fillId="0" borderId="2" xfId="1" applyNumberFormat="1" applyFont="1" applyFill="1" applyBorder="1"/>
    <xf numFmtId="0" fontId="17" fillId="7" borderId="18" xfId="0" applyFont="1" applyFill="1" applyBorder="1" applyAlignment="1"/>
    <xf numFmtId="0" fontId="17" fillId="7" borderId="21" xfId="0" applyFont="1" applyFill="1" applyBorder="1" applyAlignment="1"/>
    <xf numFmtId="0" fontId="0" fillId="0" borderId="22" xfId="0" applyNumberFormat="1" applyFont="1" applyFill="1" applyBorder="1"/>
    <xf numFmtId="0" fontId="0" fillId="0" borderId="22" xfId="0" applyNumberFormat="1" applyBorder="1"/>
    <xf numFmtId="0" fontId="2" fillId="2" borderId="0" xfId="0" applyFont="1" applyFill="1" applyAlignment="1">
      <alignment horizontal="left"/>
    </xf>
    <xf numFmtId="0" fontId="2" fillId="2" borderId="0" xfId="0" applyFont="1" applyFill="1" applyAlignment="1">
      <alignment horizontal="right"/>
    </xf>
    <xf numFmtId="0" fontId="0" fillId="0" borderId="0" xfId="0" applyAlignment="1"/>
    <xf numFmtId="9" fontId="0" fillId="0" borderId="0" xfId="2" applyFont="1" applyFill="1"/>
    <xf numFmtId="0" fontId="4" fillId="8" borderId="0" xfId="0" applyFont="1" applyFill="1" applyAlignment="1">
      <alignment horizontal="left" wrapText="1"/>
    </xf>
    <xf numFmtId="0" fontId="0" fillId="3" borderId="1" xfId="0" applyFill="1" applyBorder="1" applyAlignment="1">
      <alignment horizontal="left"/>
    </xf>
    <xf numFmtId="0" fontId="2" fillId="0" borderId="9" xfId="0" applyFont="1" applyBorder="1"/>
    <xf numFmtId="0" fontId="13" fillId="0" borderId="0" xfId="5" applyFont="1" applyFill="1" applyBorder="1"/>
    <xf numFmtId="0" fontId="13" fillId="0" borderId="0" xfId="5" applyFont="1" applyFill="1"/>
    <xf numFmtId="165" fontId="13" fillId="0" borderId="0" xfId="1" applyNumberFormat="1" applyFont="1" applyFill="1"/>
    <xf numFmtId="0" fontId="2" fillId="2" borderId="0" xfId="0" applyFont="1" applyFill="1" applyAlignment="1">
      <alignment horizontal="left"/>
    </xf>
    <xf numFmtId="0" fontId="0" fillId="0" borderId="25" xfId="0" applyFill="1" applyBorder="1"/>
    <xf numFmtId="0" fontId="0" fillId="0" borderId="3" xfId="0" applyFont="1" applyBorder="1"/>
    <xf numFmtId="165" fontId="0" fillId="0" borderId="3" xfId="0" applyNumberFormat="1" applyFont="1" applyBorder="1"/>
    <xf numFmtId="0" fontId="18" fillId="0" borderId="0" xfId="4" applyFont="1"/>
    <xf numFmtId="0" fontId="19" fillId="0" borderId="0" xfId="0" applyFont="1"/>
    <xf numFmtId="0" fontId="18" fillId="0" borderId="0" xfId="4" applyFont="1" applyFill="1"/>
    <xf numFmtId="0" fontId="20" fillId="0" borderId="0" xfId="4" applyFont="1"/>
    <xf numFmtId="0" fontId="4" fillId="8" borderId="0" xfId="0" applyFont="1" applyFill="1" applyAlignment="1">
      <alignment horizontal="left" wrapText="1"/>
    </xf>
    <xf numFmtId="0" fontId="10" fillId="2" borderId="0" xfId="0" applyFont="1" applyFill="1" applyBorder="1" applyAlignment="1">
      <alignment horizontal="center"/>
    </xf>
    <xf numFmtId="0" fontId="11"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0" fontId="4" fillId="8" borderId="0" xfId="0" applyFont="1" applyFill="1" applyAlignment="1">
      <alignment horizontal="left"/>
    </xf>
    <xf numFmtId="0" fontId="12" fillId="12" borderId="12" xfId="0" applyFont="1" applyFill="1" applyBorder="1" applyAlignment="1">
      <alignment horizontal="center" vertical="center"/>
    </xf>
    <xf numFmtId="0" fontId="12" fillId="12" borderId="13" xfId="0" applyFont="1" applyFill="1" applyBorder="1" applyAlignment="1">
      <alignment horizontal="center" vertical="center"/>
    </xf>
    <xf numFmtId="0" fontId="12" fillId="12" borderId="14" xfId="0" applyFont="1" applyFill="1" applyBorder="1" applyAlignment="1">
      <alignment horizontal="center" vertical="center"/>
    </xf>
    <xf numFmtId="0" fontId="12" fillId="4" borderId="0" xfId="0" applyFont="1" applyFill="1" applyAlignment="1">
      <alignment horizontal="center"/>
    </xf>
    <xf numFmtId="0" fontId="0" fillId="8" borderId="19" xfId="0" applyFont="1" applyFill="1" applyBorder="1" applyAlignment="1">
      <alignment horizontal="left" vertical="center" wrapText="1"/>
    </xf>
    <xf numFmtId="0" fontId="0" fillId="8" borderId="20" xfId="0" applyFont="1" applyFill="1" applyBorder="1" applyAlignment="1">
      <alignment horizontal="left" vertical="center" wrapText="1"/>
    </xf>
    <xf numFmtId="0" fontId="0" fillId="8" borderId="21" xfId="0" applyFont="1" applyFill="1" applyBorder="1" applyAlignment="1">
      <alignment horizontal="left" vertical="center" wrapText="1"/>
    </xf>
    <xf numFmtId="0" fontId="12" fillId="9" borderId="12" xfId="0" applyFont="1" applyFill="1" applyBorder="1" applyAlignment="1">
      <alignment horizontal="center" vertical="center"/>
    </xf>
    <xf numFmtId="0" fontId="12" fillId="9" borderId="14" xfId="0" applyFont="1" applyFill="1" applyBorder="1" applyAlignment="1">
      <alignment horizontal="center" vertical="center"/>
    </xf>
    <xf numFmtId="0" fontId="16" fillId="8" borderId="19" xfId="0" applyFont="1" applyFill="1" applyBorder="1" applyAlignment="1">
      <alignment horizontal="left" vertical="center" wrapText="1"/>
    </xf>
    <xf numFmtId="0" fontId="16" fillId="8" borderId="20" xfId="0" applyFont="1" applyFill="1" applyBorder="1" applyAlignment="1">
      <alignment horizontal="left" vertical="center" wrapText="1"/>
    </xf>
    <xf numFmtId="0" fontId="16" fillId="8" borderId="21" xfId="0" applyFont="1" applyFill="1" applyBorder="1" applyAlignment="1">
      <alignment horizontal="left" vertical="center" wrapText="1"/>
    </xf>
    <xf numFmtId="171" fontId="16" fillId="7" borderId="17" xfId="1" applyNumberFormat="1" applyFont="1" applyFill="1" applyBorder="1" applyAlignment="1">
      <alignment horizontal="center" vertical="center"/>
    </xf>
    <xf numFmtId="171" fontId="16" fillId="7" borderId="19" xfId="1" applyNumberFormat="1" applyFont="1" applyFill="1" applyBorder="1" applyAlignment="1">
      <alignment horizontal="center" vertical="center"/>
    </xf>
    <xf numFmtId="0" fontId="17" fillId="7" borderId="18" xfId="0" applyFont="1" applyFill="1" applyBorder="1" applyAlignment="1">
      <alignment horizontal="center" wrapText="1"/>
    </xf>
    <xf numFmtId="0" fontId="17" fillId="7" borderId="21" xfId="0" applyFont="1" applyFill="1" applyBorder="1" applyAlignment="1">
      <alignment horizontal="center" wrapText="1"/>
    </xf>
    <xf numFmtId="164" fontId="16" fillId="7" borderId="17" xfId="0" applyNumberFormat="1" applyFont="1" applyFill="1" applyBorder="1" applyAlignment="1">
      <alignment horizontal="center" vertical="top" wrapText="1"/>
    </xf>
    <xf numFmtId="164" fontId="16" fillId="7" borderId="19" xfId="0" applyNumberFormat="1" applyFont="1" applyFill="1" applyBorder="1" applyAlignment="1">
      <alignment horizontal="center" vertical="top" wrapText="1"/>
    </xf>
    <xf numFmtId="164" fontId="16" fillId="7" borderId="17" xfId="0" applyNumberFormat="1" applyFont="1" applyFill="1" applyBorder="1" applyAlignment="1">
      <alignment horizontal="center"/>
    </xf>
    <xf numFmtId="165" fontId="17" fillId="7" borderId="18" xfId="1" applyNumberFormat="1" applyFont="1" applyFill="1" applyBorder="1" applyAlignment="1">
      <alignment horizontal="center" wrapText="1"/>
    </xf>
    <xf numFmtId="165" fontId="17" fillId="7" borderId="21" xfId="1" applyNumberFormat="1" applyFont="1" applyFill="1" applyBorder="1" applyAlignment="1">
      <alignment horizontal="center" wrapText="1"/>
    </xf>
    <xf numFmtId="1" fontId="16" fillId="7" borderId="17" xfId="0" applyNumberFormat="1" applyFont="1" applyFill="1" applyBorder="1" applyAlignment="1">
      <alignment horizontal="center" wrapText="1"/>
    </xf>
    <xf numFmtId="1" fontId="16" fillId="7" borderId="17" xfId="0" applyNumberFormat="1" applyFont="1" applyFill="1" applyBorder="1" applyAlignment="1">
      <alignment horizontal="center" vertical="top" wrapText="1"/>
    </xf>
    <xf numFmtId="1" fontId="16" fillId="7" borderId="19" xfId="0" applyNumberFormat="1" applyFont="1" applyFill="1" applyBorder="1" applyAlignment="1">
      <alignment horizontal="center" vertical="top" wrapText="1"/>
    </xf>
    <xf numFmtId="0" fontId="16" fillId="0" borderId="17" xfId="0" applyFont="1" applyBorder="1" applyAlignment="1">
      <alignment horizontal="left" vertical="center" wrapText="1"/>
    </xf>
    <xf numFmtId="0" fontId="16" fillId="0" borderId="0"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21" xfId="0" applyFont="1" applyBorder="1" applyAlignment="1">
      <alignment horizontal="left" vertical="center" wrapText="1"/>
    </xf>
    <xf numFmtId="173" fontId="16" fillId="7" borderId="17" xfId="1" applyNumberFormat="1" applyFont="1" applyFill="1" applyBorder="1" applyAlignment="1">
      <alignment horizontal="center" vertical="center"/>
    </xf>
    <xf numFmtId="173" fontId="16" fillId="7" borderId="19" xfId="1" applyNumberFormat="1" applyFont="1" applyFill="1" applyBorder="1" applyAlignment="1">
      <alignment horizontal="center" vertical="center"/>
    </xf>
    <xf numFmtId="172" fontId="17" fillId="7" borderId="18" xfId="1" applyNumberFormat="1" applyFont="1" applyFill="1" applyBorder="1" applyAlignment="1">
      <alignment horizontal="center" vertical="center"/>
    </xf>
    <xf numFmtId="172" fontId="17" fillId="7" borderId="21" xfId="1" applyNumberFormat="1" applyFont="1" applyFill="1" applyBorder="1" applyAlignment="1">
      <alignment horizontal="center" vertical="center"/>
    </xf>
    <xf numFmtId="0" fontId="2" fillId="0" borderId="22" xfId="0" applyFont="1" applyFill="1" applyBorder="1" applyAlignment="1">
      <alignment horizontal="center"/>
    </xf>
    <xf numFmtId="0" fontId="2" fillId="0" borderId="23" xfId="0" applyFont="1" applyFill="1" applyBorder="1" applyAlignment="1">
      <alignment horizontal="center"/>
    </xf>
    <xf numFmtId="0" fontId="2" fillId="0" borderId="22" xfId="0" applyFont="1" applyBorder="1" applyAlignment="1">
      <alignment horizontal="center"/>
    </xf>
    <xf numFmtId="0" fontId="2" fillId="0" borderId="24" xfId="0" applyFont="1" applyFill="1" applyBorder="1" applyAlignment="1">
      <alignment horizontal="center"/>
    </xf>
    <xf numFmtId="0" fontId="4" fillId="4" borderId="0" xfId="0" applyFont="1" applyFill="1" applyAlignment="1">
      <alignment horizontal="left"/>
    </xf>
    <xf numFmtId="0" fontId="2" fillId="2"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7">
    <dxf>
      <font>
        <color rgb="FFC00000"/>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font>
      <fill>
        <patternFill>
          <bgColor theme="0"/>
        </patternFill>
      </fill>
      <border>
        <left/>
        <right/>
        <top/>
        <bottom/>
        <vertical/>
        <horizontal/>
      </border>
    </dxf>
    <dxf>
      <font>
        <b/>
        <i val="0"/>
        <color theme="0"/>
      </font>
      <fill>
        <patternFill>
          <bgColor theme="5"/>
        </patternFill>
      </fill>
    </dxf>
    <dxf>
      <font>
        <b/>
        <i val="0"/>
        <color theme="0"/>
      </font>
      <fill>
        <patternFill>
          <bgColor theme="5"/>
        </patternFill>
      </fill>
    </dxf>
    <dxf>
      <font>
        <b/>
        <i val="0"/>
        <color theme="0"/>
      </font>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'Resource Mix and Demand'!$B$65:$G$65</c:f>
              <c:numCache>
                <c:formatCode>#,##0</c:formatCode>
                <c:ptCount val="6"/>
                <c:pt idx="0">
                  <c:v>60000000</c:v>
                </c:pt>
                <c:pt idx="1">
                  <c:v>59500000</c:v>
                </c:pt>
                <c:pt idx="2">
                  <c:v>59000000</c:v>
                </c:pt>
                <c:pt idx="3">
                  <c:v>58500000</c:v>
                </c:pt>
                <c:pt idx="4">
                  <c:v>58000000</c:v>
                </c:pt>
                <c:pt idx="5">
                  <c:v>57500000</c:v>
                </c:pt>
              </c:numCache>
            </c:numRef>
          </c:val>
          <c:smooth val="0"/>
          <c:extLst>
            <c:ext xmlns:c16="http://schemas.microsoft.com/office/drawing/2014/chart" uri="{C3380CC4-5D6E-409C-BE32-E72D297353CC}">
              <c16:uniqueId val="{00000000-1F70-4B50-A849-8AEBDCD9E28F}"/>
            </c:ext>
          </c:extLst>
        </c:ser>
        <c:dLbls>
          <c:showLegendKey val="0"/>
          <c:showVal val="0"/>
          <c:showCatName val="0"/>
          <c:showSerName val="0"/>
          <c:showPercent val="0"/>
          <c:showBubbleSize val="0"/>
        </c:dLbls>
        <c:smooth val="0"/>
        <c:axId val="466992304"/>
        <c:axId val="466987992"/>
      </c:lineChart>
      <c:catAx>
        <c:axId val="46699230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7992"/>
        <c:crosses val="autoZero"/>
        <c:auto val="1"/>
        <c:lblAlgn val="ctr"/>
        <c:lblOffset val="100"/>
        <c:noMultiLvlLbl val="0"/>
      </c:catAx>
      <c:valAx>
        <c:axId val="466987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'Resource Mix and Demand'!$A$12</c:f>
              <c:strCache>
                <c:ptCount val="1"/>
                <c:pt idx="0">
                  <c:v>coal</c:v>
                </c:pt>
              </c:strCache>
            </c:strRef>
          </c:tx>
          <c:spPr>
            <a:solidFill>
              <a:schemeClr val="accent1"/>
            </a:solidFill>
            <a:ln>
              <a:noFill/>
            </a:ln>
            <a:effectLst/>
          </c:spPr>
          <c:invertIfNegative val="0"/>
          <c:cat>
            <c:numRef>
              <c:f>Graphs!$A$35:$A$39</c:f>
              <c:numCache>
                <c:formatCode>General</c:formatCode>
                <c:ptCount val="5"/>
                <c:pt idx="0">
                  <c:v>2021</c:v>
                </c:pt>
                <c:pt idx="1">
                  <c:v>2023</c:v>
                </c:pt>
                <c:pt idx="2">
                  <c:v>2025</c:v>
                </c:pt>
                <c:pt idx="3">
                  <c:v>2027</c:v>
                </c:pt>
                <c:pt idx="4">
                  <c:v>2029</c:v>
                </c:pt>
              </c:numCache>
            </c:numRef>
          </c:cat>
          <c:val>
            <c:numRef>
              <c:f>'Resource Mix and Demand'!$C$12:$G$12</c:f>
              <c:numCache>
                <c:formatCode>#,##0</c:formatCode>
                <c:ptCount val="5"/>
                <c:pt idx="0">
                  <c:v>0</c:v>
                </c:pt>
                <c:pt idx="1">
                  <c:v>1000</c:v>
                </c:pt>
                <c:pt idx="2">
                  <c:v>1000</c:v>
                </c:pt>
                <c:pt idx="3">
                  <c:v>0</c:v>
                </c:pt>
                <c:pt idx="4">
                  <c:v>0</c:v>
                </c:pt>
              </c:numCache>
            </c:numRef>
          </c:val>
          <c:extLst>
            <c:ext xmlns:c16="http://schemas.microsoft.com/office/drawing/2014/chart" uri="{C3380CC4-5D6E-409C-BE32-E72D297353CC}">
              <c16:uniqueId val="{00000000-9171-4356-AB60-E928A3D84A9E}"/>
            </c:ext>
          </c:extLst>
        </c:ser>
        <c:ser>
          <c:idx val="1"/>
          <c:order val="1"/>
          <c:tx>
            <c:strRef>
              <c:f>'Resource Mix and Demand'!$A$14</c:f>
              <c:strCache>
                <c:ptCount val="1"/>
                <c:pt idx="0">
                  <c:v>nuclear</c:v>
                </c:pt>
              </c:strCache>
            </c:strRef>
          </c:tx>
          <c:spPr>
            <a:solidFill>
              <a:schemeClr val="accent3"/>
            </a:solidFill>
            <a:ln>
              <a:noFill/>
            </a:ln>
            <a:effectLst/>
          </c:spPr>
          <c:invertIfNegative val="0"/>
          <c:cat>
            <c:numRef>
              <c:f>Graphs!$A$35:$A$39</c:f>
              <c:numCache>
                <c:formatCode>General</c:formatCode>
                <c:ptCount val="5"/>
                <c:pt idx="0">
                  <c:v>2021</c:v>
                </c:pt>
                <c:pt idx="1">
                  <c:v>2023</c:v>
                </c:pt>
                <c:pt idx="2">
                  <c:v>2025</c:v>
                </c:pt>
                <c:pt idx="3">
                  <c:v>2027</c:v>
                </c:pt>
                <c:pt idx="4">
                  <c:v>2029</c:v>
                </c:pt>
              </c:numCache>
            </c:numRef>
          </c:cat>
          <c:val>
            <c:numRef>
              <c:f>'Resource Mix and Demand'!$C$14:$G$14</c:f>
              <c:numCache>
                <c:formatCode>#,##0</c:formatCode>
                <c:ptCount val="5"/>
                <c:pt idx="0">
                  <c:v>1000</c:v>
                </c:pt>
                <c:pt idx="1">
                  <c:v>0</c:v>
                </c:pt>
                <c:pt idx="2">
                  <c:v>0</c:v>
                </c:pt>
                <c:pt idx="3">
                  <c:v>0</c:v>
                </c:pt>
                <c:pt idx="4">
                  <c:v>0</c:v>
                </c:pt>
              </c:numCache>
            </c:numRef>
          </c:val>
          <c:extLst>
            <c:ext xmlns:c16="http://schemas.microsoft.com/office/drawing/2014/chart" uri="{C3380CC4-5D6E-409C-BE32-E72D297353CC}">
              <c16:uniqueId val="{00000001-9171-4356-AB60-E928A3D84A9E}"/>
            </c:ext>
          </c:extLst>
        </c:ser>
        <c:dLbls>
          <c:showLegendKey val="0"/>
          <c:showVal val="0"/>
          <c:showCatName val="0"/>
          <c:showSerName val="0"/>
          <c:showPercent val="0"/>
          <c:showBubbleSize val="0"/>
        </c:dLbls>
        <c:gapWidth val="219"/>
        <c:overlap val="100"/>
        <c:axId val="466988776"/>
        <c:axId val="466989168"/>
        <c:extLst/>
      </c:barChart>
      <c:catAx>
        <c:axId val="466988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168"/>
        <c:crosses val="autoZero"/>
        <c:auto val="1"/>
        <c:lblAlgn val="ctr"/>
        <c:lblOffset val="100"/>
        <c:noMultiLvlLbl val="0"/>
      </c:catAx>
      <c:valAx>
        <c:axId val="466989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D3-4911-8567-E608AE042E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D3-4911-8567-E608AE042E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D3-4911-8567-E608AE042E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D3-4911-8567-E608AE042E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D3-4911-8567-E608AE042E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D3-4911-8567-E608AE042E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D3-4911-8567-E608AE042EA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EE</c:v>
                </c:pt>
              </c:strCache>
            </c:strRef>
          </c:cat>
          <c:val>
            <c:numRef>
              <c:f>'Game Assumptions'!$K$41:$K$47</c:f>
              <c:numCache>
                <c:formatCode>0</c:formatCode>
                <c:ptCount val="7"/>
                <c:pt idx="0">
                  <c:v>4000</c:v>
                </c:pt>
                <c:pt idx="1">
                  <c:v>8000</c:v>
                </c:pt>
                <c:pt idx="2">
                  <c:v>2000</c:v>
                </c:pt>
                <c:pt idx="3">
                  <c:v>200</c:v>
                </c:pt>
                <c:pt idx="4">
                  <c:v>200</c:v>
                </c:pt>
                <c:pt idx="5">
                  <c:v>200</c:v>
                </c:pt>
                <c:pt idx="6">
                  <c:v>200</c:v>
                </c:pt>
              </c:numCache>
            </c:numRef>
          </c:val>
          <c:extLst>
            <c:ext xmlns:c16="http://schemas.microsoft.com/office/drawing/2014/chart" uri="{C3380CC4-5D6E-409C-BE32-E72D297353CC}">
              <c16:uniqueId val="{0000000E-A1D3-4911-8567-E608AE042EA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Setup'!$B$48</c:f>
              <c:strCache>
                <c:ptCount val="1"/>
                <c:pt idx="0">
                  <c:v>solar pv</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'Initial Setup'!$B$49:$B$54</c:f>
              <c:numCache>
                <c:formatCode>0.000</c:formatCode>
                <c:ptCount val="6"/>
                <c:pt idx="0" formatCode="General">
                  <c:v>1.5985796695319348</c:v>
                </c:pt>
                <c:pt idx="1">
                  <c:v>1.4356100881202043</c:v>
                </c:pt>
                <c:pt idx="2">
                  <c:v>1.2892546830124245</c:v>
                </c:pt>
                <c:pt idx="3">
                  <c:v>1.1578196973009096</c:v>
                </c:pt>
                <c:pt idx="4">
                  <c:v>1.0397840466444528</c:v>
                </c:pt>
                <c:pt idx="5">
                  <c:v>0.93378171590678138</c:v>
                </c:pt>
              </c:numCache>
            </c:numRef>
          </c:val>
          <c:smooth val="0"/>
          <c:extLst>
            <c:ext xmlns:c16="http://schemas.microsoft.com/office/drawing/2014/chart" uri="{C3380CC4-5D6E-409C-BE32-E72D297353CC}">
              <c16:uniqueId val="{00000000-CE96-4481-877C-90B7D917B511}"/>
            </c:ext>
          </c:extLst>
        </c:ser>
        <c:ser>
          <c:idx val="2"/>
          <c:order val="1"/>
          <c:tx>
            <c:strRef>
              <c:f>'Initial Setup'!$C$48</c:f>
              <c:strCache>
                <c:ptCount val="1"/>
                <c:pt idx="0">
                  <c:v>wind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'Initial Setup'!$C$49:$C$54</c:f>
              <c:numCache>
                <c:formatCode>0.000</c:formatCode>
                <c:ptCount val="6"/>
                <c:pt idx="0" formatCode="General">
                  <c:v>1.5412145992880004</c:v>
                </c:pt>
                <c:pt idx="1">
                  <c:v>1.4342350446022498</c:v>
                </c:pt>
                <c:pt idx="2">
                  <c:v>1.3346812080001773</c:v>
                </c:pt>
                <c:pt idx="3">
                  <c:v>1.2420376518430654</c:v>
                </c:pt>
                <c:pt idx="4">
                  <c:v>1.1558247163060609</c:v>
                </c:pt>
                <c:pt idx="5">
                  <c:v>1.0755960359507559</c:v>
                </c:pt>
              </c:numCache>
            </c:numRef>
          </c:val>
          <c:smooth val="0"/>
          <c:extLst>
            <c:ext xmlns:c16="http://schemas.microsoft.com/office/drawing/2014/chart" uri="{C3380CC4-5D6E-409C-BE32-E72D297353CC}">
              <c16:uniqueId val="{00000001-CE96-4481-877C-90B7D917B511}"/>
            </c:ext>
          </c:extLst>
        </c:ser>
        <c:dLbls>
          <c:showLegendKey val="0"/>
          <c:showVal val="0"/>
          <c:showCatName val="0"/>
          <c:showSerName val="0"/>
          <c:showPercent val="0"/>
          <c:showBubbleSize val="0"/>
        </c:dLbls>
        <c:marker val="1"/>
        <c:smooth val="0"/>
        <c:axId val="466989952"/>
        <c:axId val="466990736"/>
      </c:lineChart>
      <c:catAx>
        <c:axId val="466989952"/>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0736"/>
        <c:crosses val="autoZero"/>
        <c:auto val="1"/>
        <c:lblAlgn val="ctr"/>
        <c:lblOffset val="100"/>
        <c:noMultiLvlLbl val="0"/>
      </c:catAx>
      <c:valAx>
        <c:axId val="46699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2">
                  <a:lumMod val="40000"/>
                  <a:lumOff val="60000"/>
                </a:schemeClr>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Graphs!$B$102:$G$102</c:f>
              <c:numCache>
                <c:formatCode>#,##0</c:formatCode>
                <c:ptCount val="6"/>
                <c:pt idx="0">
                  <c:v>70</c:v>
                </c:pt>
                <c:pt idx="1">
                  <c:v>80</c:v>
                </c:pt>
                <c:pt idx="2">
                  <c:v>90</c:v>
                </c:pt>
                <c:pt idx="3">
                  <c:v>100</c:v>
                </c:pt>
                <c:pt idx="4">
                  <c:v>110</c:v>
                </c:pt>
                <c:pt idx="5">
                  <c:v>120</c:v>
                </c:pt>
              </c:numCache>
            </c:numRef>
          </c:val>
          <c:smooth val="0"/>
          <c:extLst>
            <c:ext xmlns:c16="http://schemas.microsoft.com/office/drawing/2014/chart" uri="{C3380CC4-5D6E-409C-BE32-E72D297353CC}">
              <c16:uniqueId val="{00000000-1443-4201-9B10-E4927AAF827E}"/>
            </c:ext>
          </c:extLst>
        </c:ser>
        <c:ser>
          <c:idx val="1"/>
          <c:order val="1"/>
          <c:tx>
            <c:v>Energy Efficiency</c:v>
          </c:tx>
          <c:spPr>
            <a:ln w="28575" cap="rnd">
              <a:solidFill>
                <a:srgbClr val="7030A0"/>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Graphs!$B$101:$G$101</c:f>
              <c:numCache>
                <c:formatCode>#,##0</c:formatCode>
                <c:ptCount val="6"/>
                <c:pt idx="0">
                  <c:v>250</c:v>
                </c:pt>
                <c:pt idx="1">
                  <c:v>275</c:v>
                </c:pt>
                <c:pt idx="2">
                  <c:v>300</c:v>
                </c:pt>
                <c:pt idx="3">
                  <c:v>325</c:v>
                </c:pt>
                <c:pt idx="4">
                  <c:v>350</c:v>
                </c:pt>
                <c:pt idx="5">
                  <c:v>375</c:v>
                </c:pt>
              </c:numCache>
            </c:numRef>
          </c:val>
          <c:smooth val="0"/>
          <c:extLst>
            <c:ext xmlns:c16="http://schemas.microsoft.com/office/drawing/2014/chart" uri="{C3380CC4-5D6E-409C-BE32-E72D297353CC}">
              <c16:uniqueId val="{00000001-1443-4201-9B10-E4927AAF827E}"/>
            </c:ext>
          </c:extLst>
        </c:ser>
        <c:dLbls>
          <c:showLegendKey val="0"/>
          <c:showVal val="0"/>
          <c:showCatName val="0"/>
          <c:showSerName val="0"/>
          <c:showPercent val="0"/>
          <c:showBubbleSize val="0"/>
        </c:dLbls>
        <c:smooth val="0"/>
        <c:axId val="466992696"/>
        <c:axId val="466877040"/>
      </c:lineChart>
      <c:catAx>
        <c:axId val="46699269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7040"/>
        <c:crosses val="autoZero"/>
        <c:auto val="1"/>
        <c:lblAlgn val="ctr"/>
        <c:lblOffset val="100"/>
        <c:noMultiLvlLbl val="0"/>
      </c:catAx>
      <c:valAx>
        <c:axId val="46687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6D23-43F7-8929-53B7EE06FA9A}"/>
            </c:ext>
          </c:extLst>
        </c:ser>
        <c:ser>
          <c:idx val="1"/>
          <c:order val="1"/>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Graphs!$D$34:$D$39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6D23-43F7-8929-53B7EE06FA9A}"/>
            </c:ext>
          </c:extLst>
        </c:ser>
        <c:dLbls>
          <c:showLegendKey val="0"/>
          <c:showVal val="0"/>
          <c:showCatName val="0"/>
          <c:showSerName val="0"/>
          <c:showPercent val="0"/>
          <c:showBubbleSize val="0"/>
        </c:dLbls>
        <c:marker val="1"/>
        <c:smooth val="0"/>
        <c:axId val="466875472"/>
        <c:axId val="466878216"/>
      </c:lineChart>
      <c:catAx>
        <c:axId val="466875472"/>
        <c:scaling>
          <c:orientation val="minMax"/>
        </c:scaling>
        <c:delete val="0"/>
        <c:axPos val="b"/>
        <c:numFmt formatCode="General" sourceLinked="1"/>
        <c:majorTickMark val="cross"/>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8216"/>
        <c:crosses val="autoZero"/>
        <c:auto val="1"/>
        <c:lblAlgn val="ctr"/>
        <c:lblOffset val="100"/>
        <c:noMultiLvlLbl val="0"/>
      </c:catAx>
      <c:valAx>
        <c:axId val="466878216"/>
        <c:scaling>
          <c:orientation val="minMax"/>
          <c:max val="2"/>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54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Graphs!$E$2</c:f>
              <c:strCache>
                <c:ptCount val="1"/>
                <c:pt idx="0">
                  <c:v>Target</c:v>
                </c:pt>
              </c:strCache>
            </c:strRef>
          </c:tx>
          <c:spPr>
            <a:ln w="19050" cap="rnd">
              <a:solidFill>
                <a:schemeClr val="tx1"/>
              </a:solidFill>
              <a:prstDash val="sysDash"/>
              <a:round/>
            </a:ln>
            <a:effectLst/>
          </c:spPr>
          <c:marker>
            <c:symbol val="none"/>
          </c:marker>
          <c:cat>
            <c:numRef>
              <c:f>Graphs!$A$3:$A$8</c:f>
              <c:numCache>
                <c:formatCode>General</c:formatCode>
                <c:ptCount val="6"/>
                <c:pt idx="0">
                  <c:v>2019</c:v>
                </c:pt>
                <c:pt idx="1">
                  <c:v>2021</c:v>
                </c:pt>
                <c:pt idx="2">
                  <c:v>2023</c:v>
                </c:pt>
                <c:pt idx="3">
                  <c:v>2025</c:v>
                </c:pt>
                <c:pt idx="4">
                  <c:v>2027</c:v>
                </c:pt>
                <c:pt idx="5">
                  <c:v>2029</c:v>
                </c:pt>
              </c:numCache>
            </c:numRef>
          </c:cat>
          <c:val>
            <c:numRef>
              <c:f>'Customer Bills'!$B$17:$G$17</c:f>
              <c:numCache>
                <c:formatCode>_("$"* #,##0.00_);_("$"* \(#,##0.00\);_("$"* "-"??_);_(@_)</c:formatCode>
                <c:ptCount val="6"/>
                <c:pt idx="0">
                  <c:v>99.776322752353039</c:v>
                </c:pt>
                <c:pt idx="1">
                  <c:v>99.776322752353039</c:v>
                </c:pt>
                <c:pt idx="2">
                  <c:v>99.776322752353039</c:v>
                </c:pt>
                <c:pt idx="3">
                  <c:v>99.776322752353039</c:v>
                </c:pt>
                <c:pt idx="4">
                  <c:v>99.776322752353039</c:v>
                </c:pt>
                <c:pt idx="5">
                  <c:v>99.776322752353039</c:v>
                </c:pt>
              </c:numCache>
            </c:numRef>
          </c:val>
          <c:smooth val="0"/>
          <c:extLst>
            <c:ext xmlns:c16="http://schemas.microsoft.com/office/drawing/2014/chart" uri="{C3380CC4-5D6E-409C-BE32-E72D297353CC}">
              <c16:uniqueId val="{00000000-8AD6-4027-908E-AFD5F3358D98}"/>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Graphs!$C$3:$C$8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1-8AD6-4027-908E-AFD5F3358D98}"/>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Graphs!$D$3:$D$8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2-8AD6-4027-908E-AFD5F3358D98}"/>
            </c:ext>
          </c:extLst>
        </c:ser>
        <c:dLbls>
          <c:showLegendKey val="0"/>
          <c:showVal val="0"/>
          <c:showCatName val="0"/>
          <c:showSerName val="0"/>
          <c:showPercent val="0"/>
          <c:showBubbleSize val="0"/>
        </c:dLbls>
        <c:smooth val="0"/>
        <c:axId val="466878608"/>
        <c:axId val="466873904"/>
      </c:lineChart>
      <c:catAx>
        <c:axId val="466878608"/>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3904"/>
        <c:crosses val="autoZero"/>
        <c:auto val="1"/>
        <c:lblAlgn val="ctr"/>
        <c:lblOffset val="100"/>
        <c:noMultiLvlLbl val="0"/>
      </c:catAx>
      <c:valAx>
        <c:axId val="4668739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86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Graphs!$E$17</c:f>
              <c:strCache>
                <c:ptCount val="1"/>
                <c:pt idx="0">
                  <c:v>Target</c:v>
                </c:pt>
              </c:strCache>
            </c:strRef>
          </c:tx>
          <c:spPr>
            <a:ln w="19050" cap="rnd">
              <a:solidFill>
                <a:schemeClr val="tx1"/>
              </a:solidFill>
              <a:prstDash val="sysDash"/>
              <a:round/>
            </a:ln>
            <a:effectLst/>
          </c:spPr>
          <c:marker>
            <c:symbol val="none"/>
          </c:marker>
          <c:cat>
            <c:numRef>
              <c:f>Graphs!$A$18:$A$23</c:f>
              <c:numCache>
                <c:formatCode>General</c:formatCode>
                <c:ptCount val="6"/>
                <c:pt idx="0">
                  <c:v>2019</c:v>
                </c:pt>
                <c:pt idx="1">
                  <c:v>2021</c:v>
                </c:pt>
                <c:pt idx="2">
                  <c:v>2023</c:v>
                </c:pt>
                <c:pt idx="3">
                  <c:v>2025</c:v>
                </c:pt>
                <c:pt idx="4">
                  <c:v>2027</c:v>
                </c:pt>
                <c:pt idx="5">
                  <c:v>2029</c:v>
                </c:pt>
              </c:numCache>
            </c:numRef>
          </c:cat>
          <c:val>
            <c:numRef>
              <c:f>'Environmental Performance'!$B$6:$G$6</c:f>
              <c:numCache>
                <c:formatCode>0</c:formatCode>
                <c:ptCount val="6"/>
                <c:pt idx="0">
                  <c:v>1036.288793097458</c:v>
                </c:pt>
                <c:pt idx="1">
                  <c:v>932.63103447796641</c:v>
                </c:pt>
                <c:pt idx="2">
                  <c:v>828.97327585847484</c:v>
                </c:pt>
                <c:pt idx="3">
                  <c:v>725.31551723898326</c:v>
                </c:pt>
                <c:pt idx="4">
                  <c:v>621.65775861949169</c:v>
                </c:pt>
                <c:pt idx="5">
                  <c:v>518</c:v>
                </c:pt>
              </c:numCache>
            </c:numRef>
          </c:val>
          <c:smooth val="0"/>
          <c:extLst>
            <c:ext xmlns:c16="http://schemas.microsoft.com/office/drawing/2014/chart" uri="{C3380CC4-5D6E-409C-BE32-E72D297353CC}">
              <c16:uniqueId val="{00000000-8E92-412C-BC9A-35A62B6D9E41}"/>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Graphs!$C$18:$C$23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1-8E92-412C-BC9A-35A62B6D9E41}"/>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Graphs!$D$18:$D$23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2-8E92-412C-BC9A-35A62B6D9E41}"/>
            </c:ext>
          </c:extLst>
        </c:ser>
        <c:dLbls>
          <c:showLegendKey val="0"/>
          <c:showVal val="0"/>
          <c:showCatName val="0"/>
          <c:showSerName val="0"/>
          <c:showPercent val="0"/>
          <c:showBubbleSize val="0"/>
        </c:dLbls>
        <c:smooth val="0"/>
        <c:axId val="466876256"/>
        <c:axId val="466877824"/>
      </c:lineChart>
      <c:catAx>
        <c:axId val="46687625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7824"/>
        <c:crosses val="autoZero"/>
        <c:auto val="1"/>
        <c:lblAlgn val="ctr"/>
        <c:lblOffset val="100"/>
        <c:noMultiLvlLbl val="0"/>
      </c:catAx>
      <c:valAx>
        <c:axId val="466877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62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Graphs!$E$50</c:f>
              <c:strCache>
                <c:ptCount val="1"/>
                <c:pt idx="0">
                  <c:v>Target</c:v>
                </c:pt>
              </c:strCache>
            </c:strRef>
          </c:tx>
          <c:spPr>
            <a:ln w="19050" cap="rnd">
              <a:solidFill>
                <a:schemeClr val="tx1"/>
              </a:solidFill>
              <a:prstDash val="sysDash"/>
              <a:round/>
            </a:ln>
            <a:effectLst/>
          </c:spPr>
          <c:marker>
            <c:symbol val="none"/>
          </c:marker>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Reliability!$B$98:$G$98</c:f>
              <c:numCache>
                <c:formatCode>0</c:formatCode>
                <c:ptCount val="6"/>
                <c:pt idx="0" formatCode="General">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0-83AB-454F-8490-E37F81A06B27}"/>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1-83AB-454F-8490-E37F81A06B27}"/>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dPt>
            <c:idx val="0"/>
            <c:marker>
              <c:symbol val="circle"/>
              <c:size val="8"/>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83AB-454F-8490-E37F81A06B27}"/>
              </c:ext>
            </c:extLst>
          </c:dPt>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Graphs!$D$51:$D$56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4-83AB-454F-8490-E37F81A06B27}"/>
            </c:ext>
          </c:extLst>
        </c:ser>
        <c:dLbls>
          <c:showLegendKey val="0"/>
          <c:showVal val="0"/>
          <c:showCatName val="0"/>
          <c:showSerName val="0"/>
          <c:showPercent val="0"/>
          <c:showBubbleSize val="0"/>
        </c:dLbls>
        <c:smooth val="0"/>
        <c:axId val="466879784"/>
        <c:axId val="466880568"/>
      </c:lineChart>
      <c:catAx>
        <c:axId val="46687978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80568"/>
        <c:crosses val="autoZero"/>
        <c:auto val="1"/>
        <c:lblAlgn val="ctr"/>
        <c:lblOffset val="100"/>
        <c:noMultiLvlLbl val="0"/>
      </c:catAx>
      <c:valAx>
        <c:axId val="466880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97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31-4116-88B8-3FA10ED2759A}"/>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CA31-4116-88B8-3FA10ED275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Demand'!$A$65</c:f>
              <c:strCache>
                <c:ptCount val="1"/>
                <c:pt idx="0">
                  <c:v>Forecast Demand (MWh)</c:v>
                </c:pt>
              </c:strCache>
            </c:strRef>
          </c:tx>
          <c:spPr>
            <a:ln w="28575" cap="rnd">
              <a:solidFill>
                <a:schemeClr val="accent1"/>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Demand'!$B$65:$L$65</c:f>
              <c:numCache>
                <c:formatCode>#,##0</c:formatCode>
                <c:ptCount val="11"/>
                <c:pt idx="0">
                  <c:v>60000000</c:v>
                </c:pt>
                <c:pt idx="1">
                  <c:v>59500000</c:v>
                </c:pt>
                <c:pt idx="2">
                  <c:v>59000000</c:v>
                </c:pt>
                <c:pt idx="3">
                  <c:v>58500000</c:v>
                </c:pt>
                <c:pt idx="4">
                  <c:v>58000000</c:v>
                </c:pt>
                <c:pt idx="5">
                  <c:v>57500000</c:v>
                </c:pt>
                <c:pt idx="6">
                  <c:v>57000000</c:v>
                </c:pt>
                <c:pt idx="7">
                  <c:v>56500000</c:v>
                </c:pt>
                <c:pt idx="8">
                  <c:v>56000000</c:v>
                </c:pt>
                <c:pt idx="9">
                  <c:v>55500000</c:v>
                </c:pt>
                <c:pt idx="10">
                  <c:v>55000000</c:v>
                </c:pt>
              </c:numCache>
            </c:numRef>
          </c:val>
          <c:smooth val="0"/>
          <c:extLst>
            <c:ext xmlns:c16="http://schemas.microsoft.com/office/drawing/2014/chart" uri="{C3380CC4-5D6E-409C-BE32-E72D297353CC}">
              <c16:uniqueId val="{00000000-B951-4725-B823-AE9CD4C63C66}"/>
            </c:ext>
          </c:extLst>
        </c:ser>
        <c:ser>
          <c:idx val="1"/>
          <c:order val="1"/>
          <c:spPr>
            <a:ln w="28575" cap="rnd">
              <a:solidFill>
                <a:schemeClr val="accent2"/>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Demand'!$B$67:$L$67</c:f>
              <c:numCache>
                <c:formatCode>#,##0</c:formatCode>
                <c:ptCount val="11"/>
                <c:pt idx="0">
                  <c:v>60000000</c:v>
                </c:pt>
                <c:pt idx="1">
                  <c:v>59797500</c:v>
                </c:pt>
                <c:pt idx="2">
                  <c:v>59118000</c:v>
                </c:pt>
                <c:pt idx="3">
                  <c:v>58207500</c:v>
                </c:pt>
                <c:pt idx="4">
                  <c:v>58000000</c:v>
                </c:pt>
                <c:pt idx="5">
                  <c:v>57615000</c:v>
                </c:pt>
                <c:pt idx="6">
                  <c:v>56715000</c:v>
                </c:pt>
                <c:pt idx="7">
                  <c:v>56669500</c:v>
                </c:pt>
                <c:pt idx="8">
                  <c:v>56000000</c:v>
                </c:pt>
                <c:pt idx="9">
                  <c:v>55222500</c:v>
                </c:pt>
                <c:pt idx="10">
                  <c:v>55165000</c:v>
                </c:pt>
              </c:numCache>
            </c:numRef>
          </c:val>
          <c:smooth val="0"/>
          <c:extLst>
            <c:ext xmlns:c16="http://schemas.microsoft.com/office/drawing/2014/chart" uri="{C3380CC4-5D6E-409C-BE32-E72D297353CC}">
              <c16:uniqueId val="{00000001-B951-4725-B823-AE9CD4C63C66}"/>
            </c:ext>
          </c:extLst>
        </c:ser>
        <c:dLbls>
          <c:showLegendKey val="0"/>
          <c:showVal val="0"/>
          <c:showCatName val="0"/>
          <c:showSerName val="0"/>
          <c:showPercent val="0"/>
          <c:showBubbleSize val="0"/>
        </c:dLbls>
        <c:smooth val="0"/>
        <c:axId val="466874688"/>
        <c:axId val="466875080"/>
      </c:lineChart>
      <c:catAx>
        <c:axId val="46687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5080"/>
        <c:crosses val="autoZero"/>
        <c:auto val="1"/>
        <c:lblAlgn val="ctr"/>
        <c:lblOffset val="100"/>
        <c:noMultiLvlLbl val="0"/>
      </c:catAx>
      <c:valAx>
        <c:axId val="4668750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Bills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243835717718384"/>
          <c:y val="0.2035116598079561"/>
          <c:w val="0.6674207977523936"/>
          <c:h val="0.6417653348886944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Graphs!$C$3:$C$8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0-E3B4-4F0C-94F2-2C96490A79FB}"/>
            </c:ext>
          </c:extLst>
        </c:ser>
        <c:ser>
          <c:idx val="2"/>
          <c:order val="2"/>
          <c:tx>
            <c:strRef>
              <c:f>Graphs!$E$2</c:f>
              <c:strCache>
                <c:ptCount val="1"/>
                <c:pt idx="0">
                  <c:v>Target</c:v>
                </c:pt>
              </c:strCache>
            </c:strRef>
          </c:tx>
          <c:spPr>
            <a:ln w="28575" cap="rnd">
              <a:solidFill>
                <a:schemeClr val="tx1"/>
              </a:solidFill>
              <a:prstDash val="sysDash"/>
              <a:round/>
            </a:ln>
            <a:effectLst/>
          </c:spPr>
          <c:marker>
            <c:symbol val="none"/>
          </c:marker>
          <c:cat>
            <c:numRef>
              <c:f>Graphs!$A$3:$A$8</c:f>
              <c:numCache>
                <c:formatCode>General</c:formatCode>
                <c:ptCount val="6"/>
                <c:pt idx="0">
                  <c:v>2019</c:v>
                </c:pt>
                <c:pt idx="1">
                  <c:v>2021</c:v>
                </c:pt>
                <c:pt idx="2">
                  <c:v>2023</c:v>
                </c:pt>
                <c:pt idx="3">
                  <c:v>2025</c:v>
                </c:pt>
                <c:pt idx="4">
                  <c:v>2027</c:v>
                </c:pt>
                <c:pt idx="5">
                  <c:v>2029</c:v>
                </c:pt>
              </c:numCache>
            </c:numRef>
          </c:cat>
          <c:val>
            <c:numRef>
              <c:f>Graphs!$E$3:$E$8</c:f>
              <c:numCache>
                <c:formatCode>General</c:formatCode>
                <c:ptCount val="6"/>
                <c:pt idx="0">
                  <c:v>99.776322752353039</c:v>
                </c:pt>
                <c:pt idx="1">
                  <c:v>99.776322752353039</c:v>
                </c:pt>
                <c:pt idx="2">
                  <c:v>99.776322752353039</c:v>
                </c:pt>
                <c:pt idx="3">
                  <c:v>99.776322752353039</c:v>
                </c:pt>
                <c:pt idx="4">
                  <c:v>99.776322752353039</c:v>
                </c:pt>
                <c:pt idx="5">
                  <c:v>99.776322752353039</c:v>
                </c:pt>
              </c:numCache>
            </c:numRef>
          </c:val>
          <c:smooth val="0"/>
          <c:extLst>
            <c:ext xmlns:c16="http://schemas.microsoft.com/office/drawing/2014/chart" uri="{C3380CC4-5D6E-409C-BE32-E72D297353CC}">
              <c16:uniqueId val="{00000001-E3B4-4F0C-94F2-2C96490A79FB}"/>
            </c:ext>
          </c:extLst>
        </c:ser>
        <c:dLbls>
          <c:showLegendKey val="0"/>
          <c:showVal val="0"/>
          <c:showCatName val="0"/>
          <c:showSerName val="0"/>
          <c:showPercent val="0"/>
          <c:showBubbleSize val="0"/>
        </c:dLbls>
        <c:marker val="1"/>
        <c:smooth val="0"/>
        <c:axId val="497014936"/>
        <c:axId val="49701454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Graphs!$A$3:$A$8</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Graphs!$D$3:$D$8</c15:sqref>
                        </c15:formulaRef>
                      </c:ext>
                    </c:extLst>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2-E3B4-4F0C-94F2-2C96490A79FB}"/>
                  </c:ext>
                </c:extLst>
              </c15:ser>
            </c15:filteredLineSeries>
          </c:ext>
        </c:extLst>
      </c:lineChart>
      <c:dateAx>
        <c:axId val="497014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544"/>
        <c:crosses val="autoZero"/>
        <c:auto val="0"/>
        <c:lblOffset val="100"/>
        <c:baseTimeUnit val="days"/>
        <c:majorUnit val="2"/>
        <c:majorTimeUnit val="days"/>
      </c:dateAx>
      <c:valAx>
        <c:axId val="4970145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r>
              <a:rPr lang="en-US" baseline="-25000"/>
              <a:t>2</a:t>
            </a:r>
            <a:r>
              <a:rPr lang="en-US"/>
              <a:t> Emissions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113319285793502"/>
          <c:y val="0.20407152682255847"/>
          <c:w val="0.67497009352704151"/>
          <c:h val="0.64628188326527958"/>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Graphs!$C$18:$C$23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0-40FD-461D-8FD1-558ED20D176A}"/>
            </c:ext>
          </c:extLst>
        </c:ser>
        <c:ser>
          <c:idx val="2"/>
          <c:order val="2"/>
          <c:tx>
            <c:strRef>
              <c:f>Graphs!$E$17</c:f>
              <c:strCache>
                <c:ptCount val="1"/>
                <c:pt idx="0">
                  <c:v>Target</c:v>
                </c:pt>
              </c:strCache>
            </c:strRef>
          </c:tx>
          <c:spPr>
            <a:ln w="28575" cap="rnd">
              <a:solidFill>
                <a:schemeClr val="tx1"/>
              </a:solidFill>
              <a:prstDash val="sysDash"/>
              <a:round/>
            </a:ln>
            <a:effectLst/>
          </c:spPr>
          <c:marker>
            <c:symbol val="none"/>
          </c:marker>
          <c:cat>
            <c:numRef>
              <c:f>Graphs!$A$18:$A$23</c:f>
              <c:numCache>
                <c:formatCode>General</c:formatCode>
                <c:ptCount val="6"/>
                <c:pt idx="0">
                  <c:v>2019</c:v>
                </c:pt>
                <c:pt idx="1">
                  <c:v>2021</c:v>
                </c:pt>
                <c:pt idx="2">
                  <c:v>2023</c:v>
                </c:pt>
                <c:pt idx="3">
                  <c:v>2025</c:v>
                </c:pt>
                <c:pt idx="4">
                  <c:v>2027</c:v>
                </c:pt>
                <c:pt idx="5">
                  <c:v>2029</c:v>
                </c:pt>
              </c:numCache>
            </c:numRef>
          </c:cat>
          <c:val>
            <c:numRef>
              <c:f>Graphs!$E$18:$E$23</c:f>
              <c:numCache>
                <c:formatCode>General</c:formatCode>
                <c:ptCount val="6"/>
                <c:pt idx="0">
                  <c:v>1036.288793097458</c:v>
                </c:pt>
                <c:pt idx="1">
                  <c:v>932.63103447796641</c:v>
                </c:pt>
                <c:pt idx="2">
                  <c:v>828.97327585847484</c:v>
                </c:pt>
                <c:pt idx="3">
                  <c:v>725.31551723898326</c:v>
                </c:pt>
                <c:pt idx="4">
                  <c:v>621.65775861949169</c:v>
                </c:pt>
                <c:pt idx="5">
                  <c:v>518</c:v>
                </c:pt>
              </c:numCache>
            </c:numRef>
          </c:val>
          <c:smooth val="0"/>
          <c:extLst>
            <c:ext xmlns:c16="http://schemas.microsoft.com/office/drawing/2014/chart" uri="{C3380CC4-5D6E-409C-BE32-E72D297353CC}">
              <c16:uniqueId val="{00000001-40FD-461D-8FD1-558ED20D176A}"/>
            </c:ext>
          </c:extLst>
        </c:ser>
        <c:dLbls>
          <c:showLegendKey val="0"/>
          <c:showVal val="0"/>
          <c:showCatName val="0"/>
          <c:showSerName val="0"/>
          <c:showPercent val="0"/>
          <c:showBubbleSize val="0"/>
        </c:dLbls>
        <c:marker val="1"/>
        <c:smooth val="0"/>
        <c:axId val="497015328"/>
        <c:axId val="497016896"/>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Graphs!$A$18:$A$23</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Graphs!$D$18:$D$23</c15:sqref>
                        </c15:formulaRef>
                      </c:ext>
                    </c:extLst>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2-40FD-461D-8FD1-558ED20D176A}"/>
                  </c:ext>
                </c:extLst>
              </c15:ser>
            </c15:filteredLineSeries>
          </c:ext>
        </c:extLst>
      </c:lineChart>
      <c:catAx>
        <c:axId val="49701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896"/>
        <c:crosses val="autoZero"/>
        <c:auto val="1"/>
        <c:lblAlgn val="ctr"/>
        <c:lblOffset val="100"/>
        <c:noMultiLvlLbl val="0"/>
      </c:catAx>
      <c:valAx>
        <c:axId val="4970168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lbs CO</a:t>
                </a:r>
                <a:r>
                  <a:rPr lang="en-US" baseline="-25000"/>
                  <a:t>2</a:t>
                </a:r>
                <a:r>
                  <a:rPr lang="en-US"/>
                  <a:t>/MWh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Earnings per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60707552401019"/>
          <c:y val="0.20407152682255847"/>
          <c:w val="0.74325207940556737"/>
          <c:h val="0.6297756934440966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FD83-42C7-B2BC-45BA43548D1D}"/>
            </c:ext>
          </c:extLst>
        </c:ser>
        <c:dLbls>
          <c:showLegendKey val="0"/>
          <c:showVal val="0"/>
          <c:showCatName val="0"/>
          <c:showSerName val="0"/>
          <c:showPercent val="0"/>
          <c:showBubbleSize val="0"/>
        </c:dLbls>
        <c:marker val="1"/>
        <c:smooth val="0"/>
        <c:axId val="497015720"/>
        <c:axId val="497016112"/>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Graphs!$A$34:$A$39</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Graphs!$D$34:$D$39</c15:sqref>
                        </c15:formulaRef>
                      </c:ext>
                    </c:extLst>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FD83-42C7-B2BC-45BA43548D1D}"/>
                  </c:ext>
                </c:extLst>
              </c15:ser>
            </c15:filteredLineSeries>
          </c:ext>
        </c:extLst>
      </c:lineChart>
      <c:catAx>
        <c:axId val="49701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112"/>
        <c:crosses val="autoZero"/>
        <c:auto val="1"/>
        <c:lblAlgn val="ctr"/>
        <c:lblOffset val="100"/>
        <c:noMultiLvlLbl val="0"/>
      </c:catAx>
      <c:valAx>
        <c:axId val="497016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Reliability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684196517688811"/>
          <c:y val="0.20407152682255847"/>
          <c:w val="0.67799371557428556"/>
          <c:h val="0.65178394653900729"/>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Graphs!$A$51:$A$56</c:f>
              <c:numCache>
                <c:formatCode>General</c:formatCode>
                <c:ptCount val="6"/>
                <c:pt idx="0">
                  <c:v>2019</c:v>
                </c:pt>
                <c:pt idx="1">
                  <c:v>2021</c:v>
                </c:pt>
                <c:pt idx="2">
                  <c:v>2023</c:v>
                </c:pt>
                <c:pt idx="3">
                  <c:v>2025</c:v>
                </c:pt>
                <c:pt idx="4">
                  <c:v>2027</c:v>
                </c:pt>
                <c:pt idx="5">
                  <c:v>2029</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0-C984-4F7B-98C6-AA971D3D67AD}"/>
            </c:ext>
          </c:extLst>
        </c:ser>
        <c:ser>
          <c:idx val="2"/>
          <c:order val="2"/>
          <c:tx>
            <c:strRef>
              <c:f>Graphs!$E$50</c:f>
              <c:strCache>
                <c:ptCount val="1"/>
                <c:pt idx="0">
                  <c:v>Target</c:v>
                </c:pt>
              </c:strCache>
            </c:strRef>
          </c:tx>
          <c:spPr>
            <a:ln w="28575" cap="rnd">
              <a:solidFill>
                <a:schemeClr val="tx1"/>
              </a:solidFill>
              <a:prstDash val="sysDash"/>
              <a:round/>
            </a:ln>
            <a:effectLst/>
          </c:spPr>
          <c:marker>
            <c:symbol val="none"/>
          </c:marker>
          <c:cat>
            <c:numRef>
              <c:f>Graphs!$A$51:$A$56</c:f>
              <c:numCache>
                <c:formatCode>General</c:formatCode>
                <c:ptCount val="6"/>
                <c:pt idx="0">
                  <c:v>2019</c:v>
                </c:pt>
                <c:pt idx="1">
                  <c:v>2021</c:v>
                </c:pt>
                <c:pt idx="2">
                  <c:v>2023</c:v>
                </c:pt>
                <c:pt idx="3">
                  <c:v>2025</c:v>
                </c:pt>
                <c:pt idx="4">
                  <c:v>2027</c:v>
                </c:pt>
                <c:pt idx="5">
                  <c:v>2029</c:v>
                </c:pt>
              </c:numCache>
            </c:numRef>
          </c:cat>
          <c:val>
            <c:numRef>
              <c:f>Graphs!$E$51:$E$56</c:f>
              <c:numCache>
                <c:formatCode>General</c:formatCode>
                <c:ptCount val="6"/>
                <c:pt idx="0">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1-C984-4F7B-98C6-AA971D3D67AD}"/>
            </c:ext>
          </c:extLst>
        </c:ser>
        <c:dLbls>
          <c:showLegendKey val="0"/>
          <c:showVal val="0"/>
          <c:showCatName val="0"/>
          <c:showSerName val="0"/>
          <c:showPercent val="0"/>
          <c:showBubbleSize val="0"/>
        </c:dLbls>
        <c:marker val="1"/>
        <c:smooth val="0"/>
        <c:axId val="497014152"/>
        <c:axId val="49701650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Graphs!$A$51:$A$56</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Graphs!$D$51:$D$56</c15:sqref>
                        </c15:formulaRef>
                      </c:ext>
                    </c:extLst>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2-C984-4F7B-98C6-AA971D3D67AD}"/>
                  </c:ext>
                </c:extLst>
              </c15:ser>
            </c15:filteredLineSeries>
          </c:ext>
        </c:extLst>
      </c:lineChart>
      <c:catAx>
        <c:axId val="49701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504"/>
        <c:crosses val="autoZero"/>
        <c:auto val="1"/>
        <c:lblAlgn val="ctr"/>
        <c:lblOffset val="100"/>
        <c:noMultiLvlLbl val="0"/>
      </c:catAx>
      <c:valAx>
        <c:axId val="4970165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Minutes of Outages per 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Graphs!$C$65</c:f>
          <c:strCache>
            <c:ptCount val="1"/>
            <c:pt idx="0">
              <c:v>Generation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Century Gothic" panose="020B0502020202020204" pitchFamily="34" charset="0"/>
              <a:ea typeface="+mn-ea"/>
              <a:cs typeface="+mn-cs"/>
            </a:defRPr>
          </a:pPr>
          <a:endParaRPr lang="en-US"/>
        </a:p>
      </c:txPr>
    </c:title>
    <c:autoTitleDeleted val="0"/>
    <c:plotArea>
      <c:layout>
        <c:manualLayout>
          <c:layoutTarget val="inner"/>
          <c:xMode val="edge"/>
          <c:yMode val="edge"/>
          <c:x val="0.12430239177849249"/>
          <c:y val="0.25085119518244536"/>
          <c:w val="0.43673476026764257"/>
          <c:h val="0.63978338333567997"/>
        </c:manualLayout>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CD8E-4867-AD3D-5909D5DE62A4}"/>
              </c:ext>
            </c:extLst>
          </c:dPt>
          <c:dPt>
            <c:idx val="1"/>
            <c:bubble3D val="0"/>
            <c:spPr>
              <a:solidFill>
                <a:schemeClr val="accent2"/>
              </a:solidFill>
              <a:ln>
                <a:noFill/>
              </a:ln>
              <a:effectLst/>
            </c:spPr>
            <c:extLst>
              <c:ext xmlns:c16="http://schemas.microsoft.com/office/drawing/2014/chart" uri="{C3380CC4-5D6E-409C-BE32-E72D297353CC}">
                <c16:uniqueId val="{00000003-CD8E-4867-AD3D-5909D5DE62A4}"/>
              </c:ext>
            </c:extLst>
          </c:dPt>
          <c:dPt>
            <c:idx val="2"/>
            <c:bubble3D val="0"/>
            <c:spPr>
              <a:solidFill>
                <a:schemeClr val="accent3"/>
              </a:solidFill>
              <a:ln>
                <a:noFill/>
              </a:ln>
              <a:effectLst/>
            </c:spPr>
            <c:extLst>
              <c:ext xmlns:c16="http://schemas.microsoft.com/office/drawing/2014/chart" uri="{C3380CC4-5D6E-409C-BE32-E72D297353CC}">
                <c16:uniqueId val="{00000005-CD8E-4867-AD3D-5909D5DE62A4}"/>
              </c:ext>
            </c:extLst>
          </c:dPt>
          <c:dPt>
            <c:idx val="3"/>
            <c:bubble3D val="0"/>
            <c:spPr>
              <a:solidFill>
                <a:schemeClr val="accent4"/>
              </a:solidFill>
              <a:ln>
                <a:noFill/>
              </a:ln>
              <a:effectLst/>
            </c:spPr>
            <c:extLst>
              <c:ext xmlns:c16="http://schemas.microsoft.com/office/drawing/2014/chart" uri="{C3380CC4-5D6E-409C-BE32-E72D297353CC}">
                <c16:uniqueId val="{00000007-CD8E-4867-AD3D-5909D5DE62A4}"/>
              </c:ext>
            </c:extLst>
          </c:dPt>
          <c:dPt>
            <c:idx val="4"/>
            <c:bubble3D val="0"/>
            <c:spPr>
              <a:solidFill>
                <a:schemeClr val="accent2">
                  <a:lumMod val="60000"/>
                  <a:lumOff val="40000"/>
                </a:schemeClr>
              </a:solidFill>
              <a:ln>
                <a:noFill/>
              </a:ln>
              <a:effectLst/>
            </c:spPr>
            <c:extLst>
              <c:ext xmlns:c16="http://schemas.microsoft.com/office/drawing/2014/chart" uri="{C3380CC4-5D6E-409C-BE32-E72D297353CC}">
                <c16:uniqueId val="{00000009-CD8E-4867-AD3D-5909D5DE62A4}"/>
              </c:ext>
            </c:extLst>
          </c:dPt>
          <c:dPt>
            <c:idx val="5"/>
            <c:bubble3D val="0"/>
            <c:spPr>
              <a:solidFill>
                <a:schemeClr val="accent6"/>
              </a:solidFill>
              <a:ln>
                <a:noFill/>
              </a:ln>
              <a:effectLst/>
            </c:spPr>
            <c:extLst>
              <c:ext xmlns:c16="http://schemas.microsoft.com/office/drawing/2014/chart" uri="{C3380CC4-5D6E-409C-BE32-E72D297353CC}">
                <c16:uniqueId val="{0000000B-CD8E-4867-AD3D-5909D5DE62A4}"/>
              </c:ext>
            </c:extLst>
          </c:dPt>
          <c:dPt>
            <c:idx val="6"/>
            <c:bubble3D val="0"/>
            <c:spPr>
              <a:solidFill>
                <a:schemeClr val="accent5"/>
              </a:solidFill>
              <a:ln>
                <a:noFill/>
              </a:ln>
              <a:effectLst/>
            </c:spPr>
            <c:extLst>
              <c:ext xmlns:c16="http://schemas.microsoft.com/office/drawing/2014/chart" uri="{C3380CC4-5D6E-409C-BE32-E72D297353CC}">
                <c16:uniqueId val="{0000000D-DBB1-429B-B20E-DC5609E18A16}"/>
              </c:ext>
            </c:extLst>
          </c:dPt>
          <c:dPt>
            <c:idx val="7"/>
            <c:bubble3D val="0"/>
            <c:spPr>
              <a:solidFill>
                <a:srgbClr val="92D050"/>
              </a:solidFill>
              <a:ln>
                <a:noFill/>
              </a:ln>
              <a:effectLst/>
            </c:spPr>
            <c:extLst>
              <c:ext xmlns:c16="http://schemas.microsoft.com/office/drawing/2014/chart" uri="{C3380CC4-5D6E-409C-BE32-E72D297353CC}">
                <c16:uniqueId val="{0000000C-DBB1-429B-B20E-DC5609E18A16}"/>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Graphs!$C$66:$C$73</c:f>
              <c:strCache>
                <c:ptCount val="8"/>
                <c:pt idx="0">
                  <c:v>Coal</c:v>
                </c:pt>
                <c:pt idx="1">
                  <c:v>Natural Gas</c:v>
                </c:pt>
                <c:pt idx="2">
                  <c:v>Nuclear</c:v>
                </c:pt>
                <c:pt idx="3">
                  <c:v>Utility-Scale Solar PV</c:v>
                </c:pt>
                <c:pt idx="4">
                  <c:v>Distributed Solar PV</c:v>
                </c:pt>
                <c:pt idx="5">
                  <c:v>Wind</c:v>
                </c:pt>
                <c:pt idx="6">
                  <c:v>Hydro</c:v>
                </c:pt>
                <c:pt idx="7">
                  <c:v>Energy Efficiency</c:v>
                </c:pt>
              </c:strCache>
            </c:strRef>
          </c:cat>
          <c:val>
            <c:numRef>
              <c:f>Graphs!$B$66:$B$73</c:f>
              <c:numCache>
                <c:formatCode>#,##0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C-CD8E-4867-AD3D-5909D5DE62A4}"/>
            </c:ext>
          </c:extLst>
        </c:ser>
        <c:dLbls>
          <c:dLblPos val="bestFit"/>
          <c:showLegendKey val="0"/>
          <c:showVal val="1"/>
          <c:showCatName val="0"/>
          <c:showSerName val="0"/>
          <c:showPercent val="0"/>
          <c:showBubbleSize val="0"/>
          <c:showLeaderLines val="1"/>
        </c:dLbls>
        <c:firstSliceAng val="334"/>
      </c:pieChart>
      <c:spPr>
        <a:noFill/>
        <a:ln>
          <a:noFill/>
        </a:ln>
        <a:effectLst/>
      </c:spPr>
    </c:plotArea>
    <c:legend>
      <c:legendPos val="r"/>
      <c:layout>
        <c:manualLayout>
          <c:xMode val="edge"/>
          <c:yMode val="edge"/>
          <c:x val="0.56890761894199848"/>
          <c:y val="0.15897713611108102"/>
          <c:w val="0.38602195852279031"/>
          <c:h val="0.787492553802163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Century Gothic" panose="020B0502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Graphs!$A$83:$A$93</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Graphs!$C$83:$C$93</c:f>
              <c:numCache>
                <c:formatCode>0%</c:formatCode>
                <c:ptCount val="11"/>
                <c:pt idx="0">
                  <c:v>0.35448266099999981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19F-4606-902D-E17BAA1A2FE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Graphs!$A$83:$A$93</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Graphs!$D$83:$D$93</c:f>
              <c:numCache>
                <c:formatCode>0%</c:formatCode>
                <c:ptCount val="11"/>
                <c:pt idx="0">
                  <c:v>0.35448266099999981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19F-4606-902D-E17BAA1A2FEF}"/>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919F-4606-902D-E17BAA1A2FEF}"/>
            </c:ext>
          </c:extLst>
        </c:ser>
        <c:dLbls>
          <c:showLegendKey val="0"/>
          <c:showVal val="0"/>
          <c:showCatName val="0"/>
          <c:showSerName val="0"/>
          <c:showPercent val="0"/>
          <c:showBubbleSize val="0"/>
        </c:dLbls>
        <c:marker val="1"/>
        <c:smooth val="0"/>
        <c:axId val="497012584"/>
        <c:axId val="497012976"/>
      </c:lineChart>
      <c:catAx>
        <c:axId val="49701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976"/>
        <c:crosses val="autoZero"/>
        <c:auto val="1"/>
        <c:lblAlgn val="ctr"/>
        <c:lblOffset val="100"/>
        <c:noMultiLvlLbl val="0"/>
      </c:catAx>
      <c:valAx>
        <c:axId val="497012976"/>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Dispatch!$B$205:$B$218</c:f>
              <c:numCache>
                <c:formatCode>_(* #,##0_);_(* \(#,##0\);_(* "-"??_);_(@_)</c:formatCode>
                <c:ptCount val="14"/>
                <c:pt idx="0" formatCode="General">
                  <c:v>0</c:v>
                </c:pt>
                <c:pt idx="1">
                  <c:v>1752000</c:v>
                </c:pt>
                <c:pt idx="2">
                  <c:v>1752000</c:v>
                </c:pt>
                <c:pt idx="3">
                  <c:v>2203665.6</c:v>
                </c:pt>
                <c:pt idx="4">
                  <c:v>2203665.6</c:v>
                </c:pt>
                <c:pt idx="5">
                  <c:v>2969640</c:v>
                </c:pt>
                <c:pt idx="6">
                  <c:v>2969640</c:v>
                </c:pt>
                <c:pt idx="7">
                  <c:v>3570926.4</c:v>
                </c:pt>
                <c:pt idx="8">
                  <c:v>3570926.4</c:v>
                </c:pt>
                <c:pt idx="9">
                  <c:v>19934606.399999999</c:v>
                </c:pt>
                <c:pt idx="10">
                  <c:v>19934606.399999999</c:v>
                </c:pt>
                <c:pt idx="11">
                  <c:v>38856206.399999999</c:v>
                </c:pt>
                <c:pt idx="12">
                  <c:v>38856206.399999999</c:v>
                </c:pt>
                <c:pt idx="13">
                  <c:v>77400206.400000006</c:v>
                </c:pt>
              </c:numCache>
            </c:numRef>
          </c:xVal>
          <c:yVal>
            <c:numRef>
              <c:f>Dispatch!$C$205:$C$218</c:f>
              <c:numCache>
                <c:formatCode>_("$"* #,##0.00_);_("$"* \(#,##0.00\);_("$"* "-"??_);_(@_)</c:formatCode>
                <c:ptCount val="14"/>
                <c:pt idx="0">
                  <c:v>0</c:v>
                </c:pt>
                <c:pt idx="1">
                  <c:v>0</c:v>
                </c:pt>
                <c:pt idx="2">
                  <c:v>0.01</c:v>
                </c:pt>
                <c:pt idx="3">
                  <c:v>0.01</c:v>
                </c:pt>
                <c:pt idx="4">
                  <c:v>0.02</c:v>
                </c:pt>
                <c:pt idx="5">
                  <c:v>0.02</c:v>
                </c:pt>
                <c:pt idx="6">
                  <c:v>0.03</c:v>
                </c:pt>
                <c:pt idx="7">
                  <c:v>0.03</c:v>
                </c:pt>
                <c:pt idx="8">
                  <c:v>11.241</c:v>
                </c:pt>
                <c:pt idx="9">
                  <c:v>11.241</c:v>
                </c:pt>
                <c:pt idx="10">
                  <c:v>27.6798</c:v>
                </c:pt>
                <c:pt idx="11">
                  <c:v>27.6798</c:v>
                </c:pt>
                <c:pt idx="12">
                  <c:v>29.724000000000004</c:v>
                </c:pt>
                <c:pt idx="13">
                  <c:v>29.724000000000004</c:v>
                </c:pt>
              </c:numCache>
            </c:numRef>
          </c:yVal>
          <c:smooth val="0"/>
          <c:extLst>
            <c:ext xmlns:c16="http://schemas.microsoft.com/office/drawing/2014/chart" uri="{C3380CC4-5D6E-409C-BE32-E72D297353CC}">
              <c16:uniqueId val="{00000000-8A17-43C7-B3AE-21DA4835EBF1}"/>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Dispatch!$D$205:$D$218</c:f>
              <c:numCache>
                <c:formatCode>General</c:formatCode>
                <c:ptCount val="14"/>
                <c:pt idx="0">
                  <c:v>57369503.399999999</c:v>
                </c:pt>
                <c:pt idx="1">
                  <c:v>57369503.399999999</c:v>
                </c:pt>
                <c:pt idx="2">
                  <c:v>57369503.399999999</c:v>
                </c:pt>
                <c:pt idx="3">
                  <c:v>57369503.399999999</c:v>
                </c:pt>
                <c:pt idx="4">
                  <c:v>57369503.399999999</c:v>
                </c:pt>
                <c:pt idx="5">
                  <c:v>57369503.399999999</c:v>
                </c:pt>
                <c:pt idx="6">
                  <c:v>57369503.399999999</c:v>
                </c:pt>
                <c:pt idx="7">
                  <c:v>57369503.399999999</c:v>
                </c:pt>
                <c:pt idx="8">
                  <c:v>57369503.399999999</c:v>
                </c:pt>
                <c:pt idx="9">
                  <c:v>57369503.399999999</c:v>
                </c:pt>
                <c:pt idx="10">
                  <c:v>57369503.399999999</c:v>
                </c:pt>
                <c:pt idx="11">
                  <c:v>57369503.399999999</c:v>
                </c:pt>
                <c:pt idx="12">
                  <c:v>57369503.399999999</c:v>
                </c:pt>
                <c:pt idx="13">
                  <c:v>57369503.399999999</c:v>
                </c:pt>
              </c:numCache>
            </c:numRef>
          </c:xVal>
          <c:yVal>
            <c:numRef>
              <c:f>Dispatch!$E$205:$E$218</c:f>
              <c:numCache>
                <c:formatCode>General</c:formatCode>
                <c:ptCount val="14"/>
                <c:pt idx="0">
                  <c:v>0</c:v>
                </c:pt>
                <c:pt idx="1">
                  <c:v>0</c:v>
                </c:pt>
                <c:pt idx="2">
                  <c:v>0.01</c:v>
                </c:pt>
                <c:pt idx="3">
                  <c:v>0.01</c:v>
                </c:pt>
                <c:pt idx="4">
                  <c:v>0.02</c:v>
                </c:pt>
                <c:pt idx="5">
                  <c:v>0.02</c:v>
                </c:pt>
                <c:pt idx="6">
                  <c:v>0.03</c:v>
                </c:pt>
                <c:pt idx="7">
                  <c:v>0.03</c:v>
                </c:pt>
                <c:pt idx="8">
                  <c:v>11.241</c:v>
                </c:pt>
                <c:pt idx="9">
                  <c:v>11.241</c:v>
                </c:pt>
                <c:pt idx="10">
                  <c:v>27.6798</c:v>
                </c:pt>
                <c:pt idx="11">
                  <c:v>27.6798</c:v>
                </c:pt>
                <c:pt idx="12">
                  <c:v>29.724000000000004</c:v>
                </c:pt>
                <c:pt idx="13">
                  <c:v>29.724000000000004</c:v>
                </c:pt>
              </c:numCache>
            </c:numRef>
          </c:yVal>
          <c:smooth val="0"/>
          <c:extLst>
            <c:ext xmlns:c16="http://schemas.microsoft.com/office/drawing/2014/chart" uri="{C3380CC4-5D6E-409C-BE32-E72D297353CC}">
              <c16:uniqueId val="{00000001-8A17-43C7-B3AE-21DA4835EBF1}"/>
            </c:ext>
          </c:extLst>
        </c:ser>
        <c:dLbls>
          <c:showLegendKey val="0"/>
          <c:showVal val="0"/>
          <c:showCatName val="0"/>
          <c:showSerName val="0"/>
          <c:showPercent val="0"/>
          <c:showBubbleSize val="0"/>
        </c:dLbls>
        <c:axId val="372920440"/>
        <c:axId val="372920832"/>
      </c:scatterChart>
      <c:valAx>
        <c:axId val="372920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832"/>
        <c:crosses val="autoZero"/>
        <c:crossBetween val="midCat"/>
      </c:valAx>
      <c:valAx>
        <c:axId val="3729208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7D-45BB-A7B3-9A6FE40BDE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7D-45BB-A7B3-9A6FE40BDE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7D-45BB-A7B3-9A6FE40BDE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37D-45BB-A7B3-9A6FE40BDE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37D-45BB-A7B3-9A6FE40BDE6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37D-45BB-A7B3-9A6FE40BDE66}"/>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D37D-45BB-A7B3-9A6FE40BDE66}"/>
              </c:ext>
            </c:extLst>
          </c:dPt>
          <c:cat>
            <c:strRef>
              <c:f>Dispatch!$A$221:$A$227</c:f>
              <c:strCache>
                <c:ptCount val="7"/>
                <c:pt idx="0">
                  <c:v>coal</c:v>
                </c:pt>
                <c:pt idx="1">
                  <c:v>natural gas</c:v>
                </c:pt>
                <c:pt idx="2">
                  <c:v>nuclear</c:v>
                </c:pt>
                <c:pt idx="3">
                  <c:v>solar</c:v>
                </c:pt>
                <c:pt idx="4">
                  <c:v>wind</c:v>
                </c:pt>
                <c:pt idx="5">
                  <c:v>hydro</c:v>
                </c:pt>
                <c:pt idx="6">
                  <c:v>EE</c:v>
                </c:pt>
              </c:strCache>
            </c:strRef>
          </c:cat>
          <c:val>
            <c:numRef>
              <c:f>Dispatch!$B$221:$B$227</c:f>
              <c:numCache>
                <c:formatCode>_(* #,##0_);_(* \(#,##0\);_(* "-"??_);_(@_)</c:formatCode>
                <c:ptCount val="7"/>
                <c:pt idx="0">
                  <c:v>18921600</c:v>
                </c:pt>
                <c:pt idx="1">
                  <c:v>18513297</c:v>
                </c:pt>
                <c:pt idx="2">
                  <c:v>16363680</c:v>
                </c:pt>
                <c:pt idx="3">
                  <c:v>451665.6</c:v>
                </c:pt>
                <c:pt idx="4">
                  <c:v>765974.39999999991</c:v>
                </c:pt>
                <c:pt idx="5">
                  <c:v>601286.40000000002</c:v>
                </c:pt>
                <c:pt idx="6">
                  <c:v>1752000</c:v>
                </c:pt>
              </c:numCache>
            </c:numRef>
          </c:val>
          <c:extLst>
            <c:ext xmlns:c16="http://schemas.microsoft.com/office/drawing/2014/chart" uri="{C3380CC4-5D6E-409C-BE32-E72D297353CC}">
              <c16:uniqueId val="{0000000E-D37D-45BB-A7B3-9A6FE40BDE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95249</xdr:colOff>
      <xdr:row>11</xdr:row>
      <xdr:rowOff>104775</xdr:rowOff>
    </xdr:from>
    <xdr:to>
      <xdr:col>4</xdr:col>
      <xdr:colOff>1228724</xdr:colOff>
      <xdr:row>26</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29</xdr:row>
      <xdr:rowOff>80962</xdr:rowOff>
    </xdr:from>
    <xdr:to>
      <xdr:col>6</xdr:col>
      <xdr:colOff>342900</xdr:colOff>
      <xdr:row>43</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29</xdr:row>
      <xdr:rowOff>33337</xdr:rowOff>
    </xdr:from>
    <xdr:to>
      <xdr:col>3</xdr:col>
      <xdr:colOff>228600</xdr:colOff>
      <xdr:row>43</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46</xdr:row>
      <xdr:rowOff>128587</xdr:rowOff>
    </xdr:from>
    <xdr:to>
      <xdr:col>3</xdr:col>
      <xdr:colOff>457200</xdr:colOff>
      <xdr:row>61</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65</xdr:row>
      <xdr:rowOff>88900</xdr:rowOff>
    </xdr:from>
    <xdr:to>
      <xdr:col>3</xdr:col>
      <xdr:colOff>327025</xdr:colOff>
      <xdr:row>80</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82</xdr:row>
      <xdr:rowOff>69850</xdr:rowOff>
    </xdr:from>
    <xdr:to>
      <xdr:col>6</xdr:col>
      <xdr:colOff>298450</xdr:colOff>
      <xdr:row>87</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1529411</xdr:colOff>
      <xdr:row>25</xdr:row>
      <xdr:rowOff>78251</xdr:rowOff>
    </xdr:from>
    <xdr:to>
      <xdr:col>7</xdr:col>
      <xdr:colOff>1372528</xdr:colOff>
      <xdr:row>29</xdr:row>
      <xdr:rowOff>139358</xdr:rowOff>
    </xdr:to>
    <xdr:sp macro="[0]!Advance_Round.Advance_Round" textlink="Advance_Button">
      <xdr:nvSpPr>
        <xdr:cNvPr id="2" name="Rounded Rectangle 1">
          <a:extLst>
            <a:ext uri="{FF2B5EF4-FFF2-40B4-BE49-F238E27FC236}">
              <a16:creationId xmlns:a16="http://schemas.microsoft.com/office/drawing/2014/main" id="{00000000-0008-0000-0100-000002000000}"/>
            </a:ext>
          </a:extLst>
        </xdr:cNvPr>
        <xdr:cNvSpPr/>
      </xdr:nvSpPr>
      <xdr:spPr>
        <a:xfrm>
          <a:off x="5256585" y="5412251"/>
          <a:ext cx="4647030" cy="972194"/>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fld id="{BCD4A5F0-70DD-40AB-9879-577D8707DC78}" type="TxLink">
            <a:rPr lang="en-US" sz="1800" b="0" i="0" u="none" strike="noStrike">
              <a:solidFill>
                <a:schemeClr val="bg1"/>
              </a:solidFill>
              <a:latin typeface="Calibri"/>
            </a:rPr>
            <a:pPr algn="ctr"/>
            <a:t>Advance to Next Planning Cycle</a:t>
          </a:fld>
          <a:endParaRPr lang="en-US" sz="3600">
            <a:solidFill>
              <a:schemeClr val="bg1"/>
            </a:solidFill>
          </a:endParaRPr>
        </a:p>
      </xdr:txBody>
    </xdr:sp>
    <xdr:clientData/>
  </xdr:twoCellAnchor>
  <xdr:twoCellAnchor>
    <xdr:from>
      <xdr:col>6</xdr:col>
      <xdr:colOff>835479</xdr:colOff>
      <xdr:row>3</xdr:row>
      <xdr:rowOff>69850</xdr:rowOff>
    </xdr:from>
    <xdr:to>
      <xdr:col>7</xdr:col>
      <xdr:colOff>3648074</xdr:colOff>
      <xdr:row>11</xdr:row>
      <xdr:rowOff>132521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733426</xdr:colOff>
      <xdr:row>3</xdr:row>
      <xdr:rowOff>54429</xdr:rowOff>
    </xdr:from>
    <xdr:to>
      <xdr:col>4</xdr:col>
      <xdr:colOff>3561523</xdr:colOff>
      <xdr:row>11</xdr:row>
      <xdr:rowOff>132522</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739105</xdr:colOff>
      <xdr:row>14</xdr:row>
      <xdr:rowOff>41413</xdr:rowOff>
    </xdr:from>
    <xdr:to>
      <xdr:col>4</xdr:col>
      <xdr:colOff>3578087</xdr:colOff>
      <xdr:row>24</xdr:row>
      <xdr:rowOff>107675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2722</xdr:colOff>
      <xdr:row>14</xdr:row>
      <xdr:rowOff>33130</xdr:rowOff>
    </xdr:from>
    <xdr:to>
      <xdr:col>7</xdr:col>
      <xdr:colOff>3626305</xdr:colOff>
      <xdr:row>24</xdr:row>
      <xdr:rowOff>157370</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99392</xdr:colOff>
      <xdr:row>22</xdr:row>
      <xdr:rowOff>96018</xdr:rowOff>
    </xdr:from>
    <xdr:to>
      <xdr:col>2</xdr:col>
      <xdr:colOff>16565</xdr:colOff>
      <xdr:row>29</xdr:row>
      <xdr:rowOff>54073</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99392" y="5239518"/>
          <a:ext cx="2752261" cy="1426026"/>
          <a:chOff x="20778107" y="1836964"/>
          <a:chExt cx="2081894" cy="1551215"/>
        </a:xfrm>
      </xdr:grpSpPr>
      <xdr:sp macro="" textlink="">
        <xdr:nvSpPr>
          <xdr:cNvPr id="12" name="Rectangle 11">
            <a:extLst>
              <a:ext uri="{FF2B5EF4-FFF2-40B4-BE49-F238E27FC236}">
                <a16:creationId xmlns:a16="http://schemas.microsoft.com/office/drawing/2014/main" id="{00000000-0008-0000-0100-00000C000000}"/>
              </a:ext>
            </a:extLst>
          </xdr:cNvPr>
          <xdr:cNvSpPr/>
        </xdr:nvSpPr>
        <xdr:spPr>
          <a:xfrm>
            <a:off x="20778107" y="1836964"/>
            <a:ext cx="2081893" cy="1551215"/>
          </a:xfrm>
          <a:prstGeom prst="rect">
            <a:avLst/>
          </a:prstGeom>
          <a:solidFill>
            <a:schemeClr val="bg2"/>
          </a:solid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20982214" y="2217964"/>
            <a:ext cx="421822" cy="0"/>
          </a:xfrm>
          <a:prstGeom prst="straightConnector1">
            <a:avLst/>
          </a:prstGeom>
          <a:ln w="34925">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100-00000B000000}"/>
              </a:ext>
            </a:extLst>
          </xdr:cNvPr>
          <xdr:cNvCxnSpPr/>
        </xdr:nvCxnSpPr>
        <xdr:spPr>
          <a:xfrm>
            <a:off x="20927786" y="2911928"/>
            <a:ext cx="503464" cy="0"/>
          </a:xfrm>
          <a:prstGeom prst="straightConnector1">
            <a:avLst/>
          </a:prstGeom>
          <a:ln w="34925">
            <a:solidFill>
              <a:schemeClr val="tx1"/>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21526500" y="1945822"/>
            <a:ext cx="1292680" cy="6373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Round</a:t>
            </a:r>
            <a:r>
              <a:rPr lang="en-US" sz="1600" baseline="0"/>
              <a:t> </a:t>
            </a:r>
            <a:r>
              <a:rPr lang="en-US" sz="1600"/>
              <a:t>Performance</a:t>
            </a:r>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21526501" y="2639785"/>
            <a:ext cx="1333500" cy="704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Performance</a:t>
            </a:r>
            <a:r>
              <a:rPr lang="en-US" sz="1600" baseline="0"/>
              <a:t> Target</a:t>
            </a:r>
            <a:endParaRPr lang="en-US" sz="1600"/>
          </a:p>
        </xdr:txBody>
      </xdr:sp>
    </xdr:grpSp>
    <xdr:clientData/>
  </xdr:twoCellAnchor>
  <xdr:twoCellAnchor>
    <xdr:from>
      <xdr:col>0</xdr:col>
      <xdr:colOff>94520</xdr:colOff>
      <xdr:row>2</xdr:row>
      <xdr:rowOff>57977</xdr:rowOff>
    </xdr:from>
    <xdr:to>
      <xdr:col>2</xdr:col>
      <xdr:colOff>41413</xdr:colOff>
      <xdr:row>6</xdr:row>
      <xdr:rowOff>356152</xdr:rowOff>
    </xdr:to>
    <xdr:sp macro="[0]!ShowBuildCapacity" textlink="BuildTitle">
      <xdr:nvSpPr>
        <xdr:cNvPr id="3" name="Rounded Rectangle 2">
          <a:extLst>
            <a:ext uri="{FF2B5EF4-FFF2-40B4-BE49-F238E27FC236}">
              <a16:creationId xmlns:a16="http://schemas.microsoft.com/office/drawing/2014/main" id="{00000000-0008-0000-0100-000003000000}"/>
            </a:ext>
          </a:extLst>
        </xdr:cNvPr>
        <xdr:cNvSpPr/>
      </xdr:nvSpPr>
      <xdr:spPr>
        <a:xfrm>
          <a:off x="94520" y="438977"/>
          <a:ext cx="2787828" cy="12506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4BE805F2-FFFC-44CE-92EE-9E1206E084EC}" type="TxLink">
            <a:rPr lang="en-US" sz="2000" b="0" i="0" u="none" strike="noStrike">
              <a:solidFill>
                <a:schemeClr val="bg1"/>
              </a:solidFill>
              <a:latin typeface="Calibri"/>
            </a:rPr>
            <a:pPr algn="ctr"/>
            <a:t>Contract for Generation</a:t>
          </a:fld>
          <a:endParaRPr lang="en-US" sz="4000">
            <a:solidFill>
              <a:schemeClr val="bg1"/>
            </a:solidFill>
          </a:endParaRPr>
        </a:p>
      </xdr:txBody>
    </xdr:sp>
    <xdr:clientData/>
  </xdr:twoCellAnchor>
  <xdr:twoCellAnchor>
    <xdr:from>
      <xdr:col>0</xdr:col>
      <xdr:colOff>109525</xdr:colOff>
      <xdr:row>6</xdr:row>
      <xdr:rowOff>414130</xdr:rowOff>
    </xdr:from>
    <xdr:to>
      <xdr:col>2</xdr:col>
      <xdr:colOff>33131</xdr:colOff>
      <xdr:row>12</xdr:row>
      <xdr:rowOff>165652</xdr:rowOff>
    </xdr:to>
    <xdr:sp macro="[0]!ShowBuildFlex" textlink="">
      <xdr:nvSpPr>
        <xdr:cNvPr id="16" name="Rounded Rectangle 15">
          <a:extLst>
            <a:ext uri="{FF2B5EF4-FFF2-40B4-BE49-F238E27FC236}">
              <a16:creationId xmlns:a16="http://schemas.microsoft.com/office/drawing/2014/main" id="{00000000-0008-0000-0100-000010000000}"/>
            </a:ext>
          </a:extLst>
        </xdr:cNvPr>
        <xdr:cNvSpPr/>
      </xdr:nvSpPr>
      <xdr:spPr>
        <a:xfrm>
          <a:off x="109525" y="1747630"/>
          <a:ext cx="2764541" cy="127552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Build Transmission, Distribution, and Flexibility Resources</a:t>
          </a:r>
        </a:p>
      </xdr:txBody>
    </xdr:sp>
    <xdr:clientData/>
  </xdr:twoCellAnchor>
  <xdr:twoCellAnchor>
    <xdr:from>
      <xdr:col>0</xdr:col>
      <xdr:colOff>111088</xdr:colOff>
      <xdr:row>18</xdr:row>
      <xdr:rowOff>41410</xdr:rowOff>
    </xdr:from>
    <xdr:to>
      <xdr:col>2</xdr:col>
      <xdr:colOff>49697</xdr:colOff>
      <xdr:row>21</xdr:row>
      <xdr:rowOff>165651</xdr:rowOff>
    </xdr:to>
    <xdr:sp macro="[0]!showAddEvent" textlink="">
      <xdr:nvSpPr>
        <xdr:cNvPr id="17" name="Rounded Rectangle 16">
          <a:extLst>
            <a:ext uri="{FF2B5EF4-FFF2-40B4-BE49-F238E27FC236}">
              <a16:creationId xmlns:a16="http://schemas.microsoft.com/office/drawing/2014/main" id="{00000000-0008-0000-0100-000011000000}"/>
            </a:ext>
          </a:extLst>
        </xdr:cNvPr>
        <xdr:cNvSpPr/>
      </xdr:nvSpPr>
      <xdr:spPr>
        <a:xfrm>
          <a:off x="111088" y="4041910"/>
          <a:ext cx="2779544" cy="88624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Event</a:t>
          </a:r>
        </a:p>
      </xdr:txBody>
    </xdr:sp>
    <xdr:clientData/>
  </xdr:twoCellAnchor>
  <xdr:twoCellAnchor>
    <xdr:from>
      <xdr:col>0</xdr:col>
      <xdr:colOff>105726</xdr:colOff>
      <xdr:row>13</xdr:row>
      <xdr:rowOff>49697</xdr:rowOff>
    </xdr:from>
    <xdr:to>
      <xdr:col>2</xdr:col>
      <xdr:colOff>49695</xdr:colOff>
      <xdr:row>17</xdr:row>
      <xdr:rowOff>168968</xdr:rowOff>
    </xdr:to>
    <xdr:sp macro="[0]!ShowAddPolicy" textlink="">
      <xdr:nvSpPr>
        <xdr:cNvPr id="18" name="Rounded Rectangle 17">
          <a:extLst>
            <a:ext uri="{FF2B5EF4-FFF2-40B4-BE49-F238E27FC236}">
              <a16:creationId xmlns:a16="http://schemas.microsoft.com/office/drawing/2014/main" id="{00000000-0008-0000-0100-000012000000}"/>
            </a:ext>
          </a:extLst>
        </xdr:cNvPr>
        <xdr:cNvSpPr/>
      </xdr:nvSpPr>
      <xdr:spPr>
        <a:xfrm>
          <a:off x="105726" y="3097697"/>
          <a:ext cx="2784904" cy="88127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Policy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11</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twoCellAnchor>
    <xdr:from>
      <xdr:col>14</xdr:col>
      <xdr:colOff>273050</xdr:colOff>
      <xdr:row>12</xdr:row>
      <xdr:rowOff>107950</xdr:rowOff>
    </xdr:from>
    <xdr:to>
      <xdr:col>17</xdr:col>
      <xdr:colOff>552450</xdr:colOff>
      <xdr:row>19</xdr:row>
      <xdr:rowOff>19050</xdr:rowOff>
    </xdr:to>
    <xdr:sp macro="[0]!undoround"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2058650" y="2139950"/>
          <a:ext cx="2514600" cy="12001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2000"/>
            <a:t>Go Back to Previous Round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565149</xdr:colOff>
      <xdr:row>3</xdr:row>
      <xdr:rowOff>50801</xdr:rowOff>
    </xdr:from>
    <xdr:to>
      <xdr:col>5</xdr:col>
      <xdr:colOff>508000</xdr:colOff>
      <xdr:row>10</xdr:row>
      <xdr:rowOff>69851</xdr:rowOff>
    </xdr:to>
    <xdr:sp macro="[0]!Override.Override" textlink="">
      <xdr:nvSpPr>
        <xdr:cNvPr id="2" name="Rounded Rectangle 1">
          <a:extLst>
            <a:ext uri="{FF2B5EF4-FFF2-40B4-BE49-F238E27FC236}">
              <a16:creationId xmlns:a16="http://schemas.microsoft.com/office/drawing/2014/main" id="{00000000-0008-0000-0300-000002000000}"/>
            </a:ext>
          </a:extLst>
        </xdr:cNvPr>
        <xdr:cNvSpPr/>
      </xdr:nvSpPr>
      <xdr:spPr>
        <a:xfrm>
          <a:off x="5886449" y="615951"/>
          <a:ext cx="2946401" cy="1308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a:t>Override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1133475</xdr:colOff>
      <xdr:row>77</xdr:row>
      <xdr:rowOff>157162</xdr:rowOff>
    </xdr:from>
    <xdr:to>
      <xdr:col>8</xdr:col>
      <xdr:colOff>47625</xdr:colOff>
      <xdr:row>92</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77</xdr:row>
      <xdr:rowOff>157162</xdr:rowOff>
    </xdr:from>
    <xdr:to>
      <xdr:col>4</xdr:col>
      <xdr:colOff>552450</xdr:colOff>
      <xdr:row>92</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304558</xdr:colOff>
      <xdr:row>203</xdr:row>
      <xdr:rowOff>59522</xdr:rowOff>
    </xdr:from>
    <xdr:to>
      <xdr:col>8</xdr:col>
      <xdr:colOff>981982</xdr:colOff>
      <xdr:row>217</xdr:row>
      <xdr:rowOff>135722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203</xdr:row>
      <xdr:rowOff>67180</xdr:rowOff>
    </xdr:from>
    <xdr:to>
      <xdr:col>14</xdr:col>
      <xdr:colOff>637720</xdr:colOff>
      <xdr:row>217</xdr:row>
      <xdr:rowOff>134308</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niel Esposito" id="{6D393BE1-48E1-440A-9168-814F83A30FDF}" userId="S::daniel@energyinnovation.org::ff481f7f-db37-48b8-a92d-fe93800cbadc" providerId="AD"/>
</personList>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5" dT="2021-07-12T22:13:46.07" personId="{6D393BE1-48E1-440A-9168-814F83A30FDF}" id="{223BC629-C5D9-42BE-9E33-3F70D238E709}">
    <text>This rate is 10.19% from 2021-2031 (in 2-yr increments), 1.87% from 2031-2041, and 6.12% from 2021-2041. Chose to use 2021-2031 rate to emphasize cost declines in the first five rounds of the game. If playing all ten rounds, the 6.12% figure might be better (if not precise).</text>
  </threadedComment>
  <threadedComment ref="C16" dT="2021-07-12T22:13:46.07" personId="{6D393BE1-48E1-440A-9168-814F83A30FDF}" id="{6FB31063-8240-4983-B7FA-726765C7D44C}">
    <text>This rate is 6.95% from 2021-2031 (in 2-yr increments), 2.11% from 2031-2041, and 4.55% from 2021-2041. Chose to use 2021-2031 rate to emphasize cost declines in the first five rounds of the game. If playing all ten rounds, the 4.55% figure might be better (if not precise).</text>
  </threadedComment>
  <threadedComment ref="H37" dT="2021-07-12T20:05:26.05" personId="{6D393BE1-48E1-440A-9168-814F83A30FDF}" id="{1A29B8F6-2778-4835-9637-2C2A7431093B}">
    <text>NREL 2021 ATB costs are still TBD. This number was estimated from a 10-hr, 1,000 MW pumped storage hydro facility.</text>
  </threadedComment>
  <threadedComment ref="I55" dT="2021-07-12T17:56:27.53" personId="{6D393BE1-48E1-440A-9168-814F83A30FDF}" id="{2904D314-75F0-41EE-9BDD-49102971D240}">
    <text>Doesn't appear to be reported for coal in the 2021 ATB</text>
  </threadedComment>
  <threadedComment ref="M55" dT="2021-07-12T17:56:44.82" personId="{6D393BE1-48E1-440A-9168-814F83A30FDF}" id="{81312117-2BCA-432E-A17F-4B75FB666D4E}">
    <text>Doesn't appear to be reported for natural gas in the 2021 ATB</text>
  </threadedComment>
  <threadedComment ref="I56" dT="2021-07-12T17:56:35.23" personId="{6D393BE1-48E1-440A-9168-814F83A30FDF}" id="{79E3AB31-FC4E-414D-B9FF-93DFE73BEE45}">
    <text>Doesn't appear to be reported for natural gas in the 2021 ATB</text>
  </threadedComment>
  <threadedComment ref="M57" dT="2021-07-12T20:16:19.55" personId="{6D393BE1-48E1-440A-9168-814F83A30FDF}" id="{F89938A5-2FF4-4401-A3E0-A7038D82EC67}">
    <text>Not sure this is quite right but it should at least be in the ballpark.</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3" Type="http://schemas.openxmlformats.org/officeDocument/2006/relationships/hyperlink" Target="https://atb.nrel.gov/electricity/2020/data.php" TargetMode="External"/><Relationship Id="rId18" Type="http://schemas.openxmlformats.org/officeDocument/2006/relationships/hyperlink" Target="https://atb.nrel.gov/electricity/2021/definitions" TargetMode="External"/><Relationship Id="rId26" Type="http://schemas.openxmlformats.org/officeDocument/2006/relationships/hyperlink" Target="https://data.openei.org/files/4129/2021-ATB-Data_Master.xlsm" TargetMode="External"/><Relationship Id="rId39" Type="http://schemas.openxmlformats.org/officeDocument/2006/relationships/hyperlink" Target="https://data.openei.org/files/4129/2021-ATB-Data_Master.xlsm" TargetMode="External"/><Relationship Id="rId21" Type="http://schemas.openxmlformats.org/officeDocument/2006/relationships/hyperlink" Target="https://atb.nrel.gov/electricity/2021/definitions" TargetMode="External"/><Relationship Id="rId34" Type="http://schemas.openxmlformats.org/officeDocument/2006/relationships/hyperlink" Target="https://data.openei.org/files/4129/2021-ATB-Data_Master.xlsm" TargetMode="External"/><Relationship Id="rId42" Type="http://schemas.openxmlformats.org/officeDocument/2006/relationships/hyperlink" Target="https://data.openei.org/files/4129/2021-ATB-Data_Master.xlsm" TargetMode="External"/><Relationship Id="rId47" Type="http://schemas.openxmlformats.org/officeDocument/2006/relationships/hyperlink" Target="https://data.openei.org/files/4129/2021-ATB-Data_Master.xlsm" TargetMode="External"/><Relationship Id="rId50" Type="http://schemas.openxmlformats.org/officeDocument/2006/relationships/hyperlink" Target="https://data.openei.org/files/4129/2021-ATB-Data_Master.xlsm" TargetMode="External"/><Relationship Id="rId55" Type="http://schemas.openxmlformats.org/officeDocument/2006/relationships/hyperlink" Target="https://www.pnnl.gov/sites/default/files/media/file/Final%20-%20ESGC%20Cost%20Performance%20Report%2012-11-2020.pdf" TargetMode="External"/><Relationship Id="rId63" Type="http://schemas.microsoft.com/office/2017/10/relationships/threadedComment" Target="../threadedComments/threadedComment1.xm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6" Type="http://schemas.openxmlformats.org/officeDocument/2006/relationships/hyperlink" Target="https://atb.nrel.gov/electricity/2021/definitions" TargetMode="External"/><Relationship Id="rId29" Type="http://schemas.openxmlformats.org/officeDocument/2006/relationships/hyperlink" Target="https://data.openei.org/files/4129/2021-ATB-Data_Master.xlsm" TargetMode="External"/><Relationship Id="rId11" Type="http://schemas.openxmlformats.org/officeDocument/2006/relationships/hyperlink" Target="https://atb.nrel.gov/electricity/2020/data.php" TargetMode="External"/><Relationship Id="rId24" Type="http://schemas.openxmlformats.org/officeDocument/2006/relationships/hyperlink" Target="https://data.openei.org/files/4129/2021-ATB-Data_Master.xlsm" TargetMode="External"/><Relationship Id="rId32" Type="http://schemas.openxmlformats.org/officeDocument/2006/relationships/hyperlink" Target="https://data.openei.org/files/4129/2021-ATB-Data_Master.xlsm" TargetMode="External"/><Relationship Id="rId37" Type="http://schemas.openxmlformats.org/officeDocument/2006/relationships/hyperlink" Target="https://data.openei.org/files/4129/2021-ATB-Data_Master.xlsm" TargetMode="External"/><Relationship Id="rId40" Type="http://schemas.openxmlformats.org/officeDocument/2006/relationships/hyperlink" Target="https://data.openei.org/files/4129/2021-ATB-Data_Master.xlsm" TargetMode="External"/><Relationship Id="rId45" Type="http://schemas.openxmlformats.org/officeDocument/2006/relationships/hyperlink" Target="https://data.openei.org/files/4129/2021-ATB-Data_Master.xlsm" TargetMode="External"/><Relationship Id="rId53" Type="http://schemas.openxmlformats.org/officeDocument/2006/relationships/hyperlink" Target="https://data.openei.org/files/4129/2021-ATB-Data_Master.xlsm" TargetMode="External"/><Relationship Id="rId58" Type="http://schemas.openxmlformats.org/officeDocument/2006/relationships/hyperlink" Target="https://atb.nrel.gov/electricity/2021/definitions" TargetMode="External"/><Relationship Id="rId5" Type="http://schemas.openxmlformats.org/officeDocument/2006/relationships/hyperlink" Target="http://www.nrel.gov/docs/fy03osti/32500.pdf,%20Table%207" TargetMode="External"/><Relationship Id="rId61" Type="http://schemas.openxmlformats.org/officeDocument/2006/relationships/vmlDrawing" Target="../drawings/vmlDrawing3.vml"/><Relationship Id="rId19" Type="http://schemas.openxmlformats.org/officeDocument/2006/relationships/hyperlink" Target="https://atb.nrel.gov/electricity/2021/definitions" TargetMode="External"/><Relationship Id="rId14" Type="http://schemas.openxmlformats.org/officeDocument/2006/relationships/hyperlink" Target="https://atb.nrel.gov/electricity/2021/definitions" TargetMode="External"/><Relationship Id="rId22" Type="http://schemas.openxmlformats.org/officeDocument/2006/relationships/hyperlink" Target="https://atb.nrel.gov/electricity/2021/definitions" TargetMode="External"/><Relationship Id="rId27" Type="http://schemas.openxmlformats.org/officeDocument/2006/relationships/hyperlink" Target="https://data.openei.org/files/4129/2021-ATB-Data_Master.xlsm" TargetMode="External"/><Relationship Id="rId30" Type="http://schemas.openxmlformats.org/officeDocument/2006/relationships/hyperlink" Target="https://data.openei.org/files/4129/2021-ATB-Data_Master.xlsm" TargetMode="External"/><Relationship Id="rId35" Type="http://schemas.openxmlformats.org/officeDocument/2006/relationships/hyperlink" Target="https://data.openei.org/files/4129/2021-ATB-Data_Master.xlsm" TargetMode="External"/><Relationship Id="rId43" Type="http://schemas.openxmlformats.org/officeDocument/2006/relationships/hyperlink" Target="https://data.openei.org/files/4129/2021-ATB-Data_Master.xlsm" TargetMode="External"/><Relationship Id="rId48" Type="http://schemas.openxmlformats.org/officeDocument/2006/relationships/hyperlink" Target="https://data.openei.org/files/4129/2021-ATB-Data_Master.xlsm" TargetMode="External"/><Relationship Id="rId56" Type="http://schemas.openxmlformats.org/officeDocument/2006/relationships/hyperlink" Target="https://data.openei.org/files/4129/2021-ATB-Data_Master.xlsm" TargetMode="External"/><Relationship Id="rId8" Type="http://schemas.openxmlformats.org/officeDocument/2006/relationships/hyperlink" Target="http://www.nrel.gov/docs/fy03osti/32500.pdf,%20Table%206" TargetMode="External"/><Relationship Id="rId51" Type="http://schemas.openxmlformats.org/officeDocument/2006/relationships/hyperlink" Target="https://data.openei.org/files/4129/2021-ATB-Data_Master.xlsm" TargetMode="External"/><Relationship Id="rId3" Type="http://schemas.openxmlformats.org/officeDocument/2006/relationships/hyperlink" Target="http://www3.sce.com/sscc/law/dis/dbattach5e.nsf/0/BACF374E1EFE27CE88257C2100811E3D/$FILE/SCE-03%20Vol.%2008.pdf,%20p.2" TargetMode="External"/><Relationship Id="rId12" Type="http://schemas.openxmlformats.org/officeDocument/2006/relationships/hyperlink" Target="https://atb.nrel.gov/electricity/2020/data.php" TargetMode="External"/><Relationship Id="rId17" Type="http://schemas.openxmlformats.org/officeDocument/2006/relationships/hyperlink" Target="https://atb.nrel.gov/electricity/2021/definitions" TargetMode="External"/><Relationship Id="rId25" Type="http://schemas.openxmlformats.org/officeDocument/2006/relationships/hyperlink" Target="https://data.openei.org/files/4129/2021-ATB-Data_Master.xlsm" TargetMode="External"/><Relationship Id="rId33" Type="http://schemas.openxmlformats.org/officeDocument/2006/relationships/hyperlink" Target="https://data.openei.org/files/4129/2021-ATB-Data_Master.xlsm" TargetMode="External"/><Relationship Id="rId38" Type="http://schemas.openxmlformats.org/officeDocument/2006/relationships/hyperlink" Target="https://data.openei.org/files/4129/2021-ATB-Data_Master.xlsm" TargetMode="External"/><Relationship Id="rId46" Type="http://schemas.openxmlformats.org/officeDocument/2006/relationships/hyperlink" Target="https://data.openei.org/files/4129/2021-ATB-Data_Master.xlsm" TargetMode="External"/><Relationship Id="rId59" Type="http://schemas.openxmlformats.org/officeDocument/2006/relationships/hyperlink" Target="https://atb.nrel.gov/electricity/2021/definitions" TargetMode="External"/><Relationship Id="rId20" Type="http://schemas.openxmlformats.org/officeDocument/2006/relationships/hyperlink" Target="https://atb.nrel.gov/electricity/2021/definitions" TargetMode="External"/><Relationship Id="rId41" Type="http://schemas.openxmlformats.org/officeDocument/2006/relationships/hyperlink" Target="https://data.openei.org/files/4129/2021-ATB-Data_Master.xlsm" TargetMode="External"/><Relationship Id="rId54" Type="http://schemas.openxmlformats.org/officeDocument/2006/relationships/hyperlink" Target="https://data.openei.org/files/4129/2021-ATB-Data_Master.xlsm" TargetMode="External"/><Relationship Id="rId62" Type="http://schemas.openxmlformats.org/officeDocument/2006/relationships/comments" Target="../comments3.xm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5" Type="http://schemas.openxmlformats.org/officeDocument/2006/relationships/hyperlink" Target="https://atb.nrel.gov/electricity/2021/definitions" TargetMode="External"/><Relationship Id="rId23" Type="http://schemas.openxmlformats.org/officeDocument/2006/relationships/hyperlink" Target="https://data.openei.org/files/4129/2021-ATB-Data_Master.xlsm" TargetMode="External"/><Relationship Id="rId28" Type="http://schemas.openxmlformats.org/officeDocument/2006/relationships/hyperlink" Target="https://data.openei.org/files/4129/2021-ATB-Data_Master.xlsm" TargetMode="External"/><Relationship Id="rId36" Type="http://schemas.openxmlformats.org/officeDocument/2006/relationships/hyperlink" Target="https://atb.nrel.gov/electricity/2021/definitions" TargetMode="External"/><Relationship Id="rId49" Type="http://schemas.openxmlformats.org/officeDocument/2006/relationships/hyperlink" Target="https://data.openei.org/files/4129/2021-ATB-Data_Master.xlsm" TargetMode="External"/><Relationship Id="rId57" Type="http://schemas.openxmlformats.org/officeDocument/2006/relationships/hyperlink" Target="https://www.pnnl.gov/sites/default/files/media/file/Final%20-%20ESGC%20Cost%20Performance%20Report%2012-11-2020.pdf" TargetMode="External"/><Relationship Id="rId10" Type="http://schemas.openxmlformats.org/officeDocument/2006/relationships/hyperlink" Target="http://www.nrel.gov/docs/fy03osti/32500.pdf,%20Table%204" TargetMode="External"/><Relationship Id="rId31" Type="http://schemas.openxmlformats.org/officeDocument/2006/relationships/hyperlink" Target="https://data.openei.org/files/4129/2021-ATB-Data_Master.xlsm" TargetMode="External"/><Relationship Id="rId44" Type="http://schemas.openxmlformats.org/officeDocument/2006/relationships/hyperlink" Target="https://data.openei.org/files/4129/2021-ATB-Data_Master.xlsm" TargetMode="External"/><Relationship Id="rId52" Type="http://schemas.openxmlformats.org/officeDocument/2006/relationships/hyperlink" Target="https://data.openei.org/files/4129/2021-ATB-Data_Master.xlsm" TargetMode="External"/><Relationship Id="rId60" Type="http://schemas.openxmlformats.org/officeDocument/2006/relationships/printerSettings" Target="../printerSettings/printerSettings5.bin"/><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247"/>
  <sheetViews>
    <sheetView tabSelected="1" zoomScaleNormal="100" workbookViewId="0">
      <selection activeCell="B2" sqref="B2:F2"/>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98" t="s">
        <v>257</v>
      </c>
      <c r="B1" s="198"/>
      <c r="C1" s="198"/>
      <c r="D1" s="198"/>
      <c r="E1" s="198"/>
      <c r="F1" s="198"/>
      <c r="G1" s="198"/>
      <c r="H1" s="198"/>
      <c r="I1" s="198"/>
      <c r="J1" s="198"/>
      <c r="K1" s="198"/>
      <c r="L1" s="198"/>
      <c r="M1" s="198"/>
      <c r="N1" s="198"/>
      <c r="O1" s="96"/>
      <c r="P1" s="96"/>
      <c r="Q1" s="96"/>
      <c r="R1" s="96"/>
    </row>
    <row r="2" spans="1:18" ht="27" thickBot="1" x14ac:dyDescent="0.45">
      <c r="A2" s="105" t="s">
        <v>266</v>
      </c>
      <c r="B2" s="200" t="s">
        <v>559</v>
      </c>
      <c r="C2" s="201"/>
      <c r="D2" s="201"/>
      <c r="E2" s="201"/>
      <c r="F2" s="202"/>
      <c r="G2" s="96"/>
      <c r="H2" s="96"/>
      <c r="I2" s="96"/>
      <c r="J2" s="96"/>
      <c r="K2" s="96"/>
      <c r="L2" s="96"/>
      <c r="M2" s="96"/>
      <c r="N2" s="96"/>
      <c r="O2" s="96"/>
      <c r="P2" s="96"/>
      <c r="Q2" s="96"/>
      <c r="R2" s="96"/>
    </row>
    <row r="3" spans="1:18" ht="27" thickBot="1" x14ac:dyDescent="0.45">
      <c r="A3" s="105" t="s">
        <v>456</v>
      </c>
      <c r="B3" s="200" t="s">
        <v>264</v>
      </c>
      <c r="C3" s="201"/>
      <c r="D3" s="201"/>
      <c r="E3" s="201"/>
      <c r="F3" s="202"/>
      <c r="G3" s="96"/>
      <c r="H3" s="96"/>
      <c r="I3" s="96"/>
      <c r="J3" s="96"/>
      <c r="K3" s="96"/>
      <c r="L3" s="96"/>
      <c r="M3" s="96"/>
      <c r="N3" s="96"/>
      <c r="O3" s="96"/>
      <c r="P3" s="96"/>
      <c r="Q3" s="96"/>
      <c r="R3" s="96"/>
    </row>
    <row r="4" spans="1:18" x14ac:dyDescent="0.25">
      <c r="A4" s="96"/>
      <c r="B4" s="96"/>
      <c r="C4" s="96"/>
      <c r="D4" s="96"/>
      <c r="E4" s="96"/>
      <c r="F4" s="96"/>
      <c r="G4" s="96"/>
      <c r="H4" s="96"/>
      <c r="I4" s="96"/>
      <c r="J4" s="96"/>
      <c r="K4" s="96"/>
      <c r="L4" s="96"/>
      <c r="M4" s="96"/>
      <c r="N4" s="96"/>
      <c r="O4" s="96"/>
      <c r="P4" s="96"/>
      <c r="Q4" s="96"/>
      <c r="R4" s="96"/>
    </row>
    <row r="5" spans="1:18" ht="26.25" x14ac:dyDescent="0.4">
      <c r="A5" s="198" t="s">
        <v>299</v>
      </c>
      <c r="B5" s="198"/>
      <c r="C5" s="198"/>
      <c r="D5" s="198"/>
      <c r="E5" s="198"/>
      <c r="F5" s="198"/>
      <c r="G5" s="198"/>
      <c r="H5" s="198"/>
      <c r="I5" s="198"/>
      <c r="J5" s="198"/>
      <c r="K5" s="198"/>
      <c r="L5" s="198"/>
      <c r="M5" s="198"/>
      <c r="N5" s="198"/>
      <c r="O5" s="108"/>
      <c r="P5" s="96"/>
      <c r="Q5" s="96"/>
      <c r="R5" s="96"/>
    </row>
    <row r="6" spans="1:18" ht="132" customHeight="1" x14ac:dyDescent="0.3">
      <c r="A6" s="199" t="s">
        <v>533</v>
      </c>
      <c r="B6" s="199"/>
      <c r="C6" s="199"/>
      <c r="D6" s="199"/>
      <c r="E6" s="199"/>
      <c r="F6" s="199"/>
      <c r="G6" s="96"/>
      <c r="H6" s="96"/>
      <c r="I6" s="96"/>
      <c r="J6" s="96"/>
      <c r="K6" s="96"/>
      <c r="L6" s="96"/>
      <c r="M6" s="96"/>
      <c r="N6" s="96"/>
      <c r="O6" s="96"/>
      <c r="P6" s="96"/>
      <c r="Q6" s="96"/>
      <c r="R6" s="96"/>
    </row>
    <row r="7" spans="1:18" x14ac:dyDescent="0.25">
      <c r="A7" s="96"/>
      <c r="B7" s="96"/>
      <c r="C7" s="96"/>
      <c r="D7" s="96"/>
      <c r="E7" s="96"/>
      <c r="F7" s="96"/>
      <c r="G7" s="96"/>
      <c r="H7" s="96"/>
      <c r="I7" s="96"/>
      <c r="J7" s="96"/>
      <c r="K7" s="96"/>
      <c r="L7" s="96"/>
      <c r="M7" s="96"/>
      <c r="N7" s="96"/>
      <c r="O7" s="96"/>
      <c r="P7" s="96"/>
      <c r="Q7" s="96"/>
      <c r="R7" s="96"/>
    </row>
    <row r="8" spans="1:18" ht="18.75" x14ac:dyDescent="0.3">
      <c r="A8" s="106" t="s">
        <v>300</v>
      </c>
      <c r="B8" s="96"/>
      <c r="C8" s="96"/>
      <c r="D8" s="96"/>
      <c r="E8" s="96"/>
      <c r="F8" s="96"/>
      <c r="G8" s="96"/>
      <c r="H8" s="96"/>
      <c r="I8" s="96"/>
      <c r="J8" s="96"/>
      <c r="K8" s="96"/>
      <c r="L8" s="96"/>
      <c r="M8" s="96"/>
      <c r="N8" s="96"/>
      <c r="O8" s="96"/>
      <c r="P8" s="96"/>
      <c r="Q8" s="96"/>
      <c r="R8" s="96"/>
    </row>
    <row r="9" spans="1:18" x14ac:dyDescent="0.25">
      <c r="A9" s="96"/>
      <c r="B9" s="96"/>
      <c r="C9" s="96"/>
      <c r="D9" s="96"/>
      <c r="E9" s="96"/>
      <c r="F9" s="96"/>
      <c r="G9" s="96"/>
      <c r="H9" s="96"/>
      <c r="I9" s="96"/>
      <c r="J9" s="96"/>
      <c r="K9" s="96"/>
      <c r="L9" s="96"/>
      <c r="M9" s="96"/>
      <c r="N9" s="96"/>
      <c r="O9" s="96"/>
      <c r="P9" s="96"/>
      <c r="Q9" s="96"/>
      <c r="R9" s="96"/>
    </row>
    <row r="10" spans="1:18" ht="18.75" customHeight="1" x14ac:dyDescent="0.25">
      <c r="A10" s="197" t="s">
        <v>443</v>
      </c>
      <c r="B10" s="197"/>
      <c r="C10" s="197"/>
      <c r="D10" s="197"/>
      <c r="E10" s="197"/>
      <c r="F10" s="197"/>
      <c r="G10" s="96"/>
      <c r="H10" s="96"/>
      <c r="I10" s="96"/>
      <c r="J10" s="96"/>
      <c r="K10" s="96"/>
      <c r="L10" s="96"/>
      <c r="M10" s="96"/>
      <c r="N10" s="96"/>
      <c r="O10" s="96"/>
      <c r="P10" s="96"/>
      <c r="Q10" s="96"/>
      <c r="R10" s="96"/>
    </row>
    <row r="11" spans="1:18" x14ac:dyDescent="0.25">
      <c r="A11" s="197"/>
      <c r="B11" s="197"/>
      <c r="C11" s="197"/>
      <c r="D11" s="197"/>
      <c r="E11" s="197"/>
      <c r="F11" s="197"/>
      <c r="G11" s="96"/>
      <c r="H11" s="96"/>
      <c r="I11" s="96"/>
      <c r="J11" s="96"/>
      <c r="K11" s="96"/>
      <c r="L11" s="96"/>
      <c r="M11" s="96"/>
      <c r="N11" s="96"/>
      <c r="O11" s="96"/>
      <c r="P11" s="96"/>
      <c r="Q11" s="96"/>
      <c r="R11" s="96"/>
    </row>
    <row r="12" spans="1:18" ht="18.75" x14ac:dyDescent="0.3">
      <c r="A12" s="183"/>
      <c r="B12" s="183"/>
      <c r="C12" s="183"/>
      <c r="D12" s="183"/>
      <c r="E12" s="183"/>
      <c r="F12" s="183"/>
      <c r="G12" s="96"/>
      <c r="H12" s="96"/>
      <c r="I12" s="96"/>
      <c r="J12" s="96"/>
      <c r="K12" s="96"/>
      <c r="L12" s="96"/>
      <c r="M12" s="96"/>
      <c r="N12" s="96"/>
      <c r="O12" s="96"/>
      <c r="P12" s="96"/>
      <c r="Q12" s="96"/>
      <c r="R12" s="96"/>
    </row>
    <row r="13" spans="1:18" x14ac:dyDescent="0.25">
      <c r="A13" s="96"/>
      <c r="B13" s="96"/>
      <c r="C13" s="96"/>
      <c r="D13" s="96"/>
      <c r="E13" s="96"/>
      <c r="F13" s="96"/>
      <c r="G13" s="96"/>
      <c r="H13" s="96"/>
      <c r="I13" s="96"/>
      <c r="J13" s="96"/>
      <c r="K13" s="96"/>
      <c r="L13" s="96"/>
      <c r="M13" s="96"/>
      <c r="N13" s="96"/>
      <c r="O13" s="96"/>
      <c r="P13" s="96"/>
      <c r="Q13" s="96"/>
      <c r="R13" s="96"/>
    </row>
    <row r="14" spans="1:18" x14ac:dyDescent="0.25">
      <c r="A14" s="96"/>
      <c r="B14" s="96"/>
      <c r="C14" s="96"/>
      <c r="D14" s="96"/>
      <c r="E14" s="96"/>
      <c r="F14" s="96"/>
      <c r="G14" s="96"/>
      <c r="H14" s="96"/>
      <c r="I14" s="96"/>
      <c r="J14" s="96"/>
      <c r="K14" s="96"/>
      <c r="L14" s="96"/>
      <c r="M14" s="96"/>
      <c r="N14" s="96"/>
      <c r="O14" s="96"/>
      <c r="P14" s="96"/>
      <c r="Q14" s="96"/>
      <c r="R14" s="96"/>
    </row>
    <row r="15" spans="1:18" x14ac:dyDescent="0.25">
      <c r="A15" s="96"/>
      <c r="B15" s="96"/>
      <c r="C15" s="96"/>
      <c r="D15" s="96"/>
      <c r="E15" s="96"/>
      <c r="F15" s="96"/>
      <c r="G15" s="96"/>
      <c r="H15" s="96"/>
      <c r="I15" s="96"/>
      <c r="J15" s="96"/>
      <c r="K15" s="96"/>
      <c r="L15" s="96"/>
      <c r="M15" s="96"/>
      <c r="N15" s="96"/>
      <c r="O15" s="96"/>
      <c r="P15" s="96"/>
      <c r="Q15" s="96"/>
      <c r="R15" s="96"/>
    </row>
    <row r="16" spans="1:18" x14ac:dyDescent="0.25">
      <c r="A16" s="96"/>
      <c r="B16" s="96"/>
      <c r="C16" s="96"/>
      <c r="D16" s="96"/>
      <c r="E16" s="96"/>
      <c r="F16" s="96"/>
      <c r="G16" s="96"/>
      <c r="H16" s="96"/>
      <c r="I16" s="96"/>
      <c r="J16" s="96"/>
      <c r="K16" s="96"/>
      <c r="L16" s="96"/>
      <c r="M16" s="96"/>
      <c r="N16" s="96"/>
      <c r="O16" s="96"/>
      <c r="P16" s="96"/>
      <c r="Q16" s="96"/>
      <c r="R16" s="96"/>
    </row>
    <row r="17" spans="1:18" x14ac:dyDescent="0.25">
      <c r="A17" s="96"/>
      <c r="B17" s="96"/>
      <c r="C17" s="96"/>
      <c r="D17" s="96"/>
      <c r="E17" s="96"/>
      <c r="F17" s="96"/>
      <c r="G17" s="96"/>
      <c r="H17" s="96"/>
      <c r="I17" s="96"/>
      <c r="J17" s="96"/>
      <c r="K17" s="96"/>
      <c r="L17" s="96"/>
      <c r="M17" s="96"/>
      <c r="N17" s="96"/>
      <c r="O17" s="96"/>
      <c r="P17" s="96"/>
      <c r="Q17" s="96"/>
      <c r="R17" s="96"/>
    </row>
    <row r="18" spans="1:18" x14ac:dyDescent="0.25">
      <c r="A18" s="96"/>
      <c r="B18" s="96"/>
      <c r="C18" s="96"/>
      <c r="D18" s="96"/>
      <c r="E18" s="96"/>
      <c r="F18" s="96"/>
      <c r="G18" s="96"/>
      <c r="H18" s="96"/>
      <c r="I18" s="96"/>
      <c r="J18" s="96"/>
      <c r="K18" s="96"/>
      <c r="L18" s="96"/>
      <c r="M18" s="96"/>
      <c r="N18" s="96"/>
      <c r="O18" s="96"/>
      <c r="P18" s="96"/>
      <c r="Q18" s="96"/>
      <c r="R18" s="96"/>
    </row>
    <row r="19" spans="1:18" x14ac:dyDescent="0.25">
      <c r="A19" s="96"/>
      <c r="B19" s="96"/>
      <c r="C19" s="96"/>
      <c r="D19" s="96"/>
      <c r="E19" s="96"/>
      <c r="F19" s="96"/>
      <c r="G19" s="96"/>
      <c r="H19" s="96"/>
      <c r="I19" s="96"/>
      <c r="J19" s="96"/>
      <c r="K19" s="96"/>
      <c r="L19" s="96"/>
      <c r="M19" s="96"/>
      <c r="N19" s="96"/>
      <c r="O19" s="96"/>
      <c r="P19" s="96"/>
      <c r="Q19" s="96"/>
      <c r="R19" s="96"/>
    </row>
    <row r="20" spans="1:18" x14ac:dyDescent="0.25">
      <c r="A20" s="96"/>
      <c r="B20" s="96"/>
      <c r="C20" s="96"/>
      <c r="D20" s="96"/>
      <c r="E20" s="96"/>
      <c r="F20" s="96"/>
      <c r="G20" s="96"/>
      <c r="H20" s="96"/>
      <c r="I20" s="96"/>
      <c r="J20" s="96"/>
      <c r="K20" s="96"/>
      <c r="L20" s="96"/>
      <c r="M20" s="96"/>
      <c r="N20" s="96"/>
      <c r="O20" s="96"/>
      <c r="P20" s="96"/>
      <c r="Q20" s="96"/>
      <c r="R20" s="96"/>
    </row>
    <row r="21" spans="1:18" x14ac:dyDescent="0.25">
      <c r="A21" s="96"/>
      <c r="B21" s="96"/>
      <c r="C21" s="96"/>
      <c r="D21" s="96"/>
      <c r="E21" s="96"/>
      <c r="F21" s="96"/>
      <c r="G21" s="96"/>
      <c r="H21" s="96"/>
      <c r="I21" s="96"/>
      <c r="J21" s="96"/>
      <c r="K21" s="96"/>
      <c r="L21" s="96"/>
      <c r="M21" s="96"/>
      <c r="N21" s="96"/>
      <c r="O21" s="96"/>
      <c r="P21" s="96"/>
      <c r="Q21" s="96"/>
      <c r="R21" s="96"/>
    </row>
    <row r="22" spans="1:18" x14ac:dyDescent="0.25">
      <c r="A22" s="96"/>
      <c r="B22" s="96"/>
      <c r="C22" s="96"/>
      <c r="D22" s="96"/>
      <c r="E22" s="96"/>
      <c r="F22" s="96"/>
      <c r="G22" s="96"/>
      <c r="H22" s="96"/>
      <c r="I22" s="96"/>
      <c r="J22" s="96"/>
      <c r="K22" s="96"/>
      <c r="L22" s="96"/>
      <c r="M22" s="96"/>
      <c r="N22" s="96"/>
      <c r="O22" s="96"/>
      <c r="P22" s="96"/>
      <c r="Q22" s="96"/>
      <c r="R22" s="96"/>
    </row>
    <row r="23" spans="1:18" x14ac:dyDescent="0.25">
      <c r="A23" s="96"/>
      <c r="B23" s="96"/>
      <c r="C23" s="96"/>
      <c r="D23" s="96"/>
      <c r="E23" s="96"/>
      <c r="F23" s="96"/>
      <c r="G23" s="96"/>
      <c r="H23" s="96"/>
      <c r="I23" s="96"/>
      <c r="J23" s="96"/>
      <c r="K23" s="96"/>
      <c r="L23" s="96"/>
      <c r="M23" s="96"/>
      <c r="N23" s="96"/>
      <c r="O23" s="96"/>
      <c r="P23" s="96"/>
      <c r="Q23" s="96"/>
      <c r="R23" s="96"/>
    </row>
    <row r="24" spans="1:18" x14ac:dyDescent="0.25">
      <c r="A24" s="96"/>
      <c r="B24" s="96"/>
      <c r="C24" s="96"/>
      <c r="D24" s="96"/>
      <c r="E24" s="96"/>
      <c r="F24" s="96"/>
      <c r="G24" s="96"/>
      <c r="H24" s="96"/>
      <c r="I24" s="96"/>
      <c r="J24" s="96"/>
      <c r="K24" s="96"/>
      <c r="L24" s="96"/>
      <c r="M24" s="96"/>
      <c r="N24" s="96"/>
      <c r="O24" s="96"/>
      <c r="P24" s="96"/>
      <c r="Q24" s="96"/>
      <c r="R24" s="96"/>
    </row>
    <row r="25" spans="1:18" x14ac:dyDescent="0.25">
      <c r="A25" s="96"/>
      <c r="B25" s="96"/>
      <c r="C25" s="96"/>
      <c r="D25" s="96"/>
      <c r="E25" s="96"/>
      <c r="F25" s="96"/>
      <c r="G25" s="96"/>
      <c r="H25" s="96"/>
      <c r="I25" s="96"/>
      <c r="J25" s="96"/>
      <c r="K25" s="96"/>
      <c r="L25" s="96"/>
      <c r="M25" s="96"/>
      <c r="N25" s="96"/>
      <c r="O25" s="96"/>
      <c r="P25" s="96"/>
      <c r="Q25" s="96"/>
      <c r="R25" s="96"/>
    </row>
    <row r="26" spans="1:18" x14ac:dyDescent="0.25">
      <c r="A26" s="96"/>
      <c r="B26" s="96"/>
      <c r="C26" s="96"/>
      <c r="D26" s="96"/>
      <c r="E26" s="96"/>
      <c r="F26" s="96"/>
      <c r="G26" s="96"/>
      <c r="H26" s="96"/>
      <c r="I26" s="96"/>
      <c r="J26" s="96"/>
      <c r="K26" s="96"/>
      <c r="L26" s="96"/>
      <c r="M26" s="96"/>
      <c r="N26" s="96"/>
      <c r="O26" s="96"/>
      <c r="P26" s="96"/>
      <c r="Q26" s="96"/>
      <c r="R26" s="96"/>
    </row>
    <row r="27" spans="1:18" x14ac:dyDescent="0.25">
      <c r="A27" s="96"/>
      <c r="B27" s="96"/>
      <c r="C27" s="96"/>
      <c r="D27" s="96"/>
      <c r="E27" s="96"/>
      <c r="F27" s="96"/>
      <c r="G27" s="96"/>
      <c r="H27" s="96"/>
      <c r="I27" s="96"/>
      <c r="J27" s="96"/>
      <c r="K27" s="96"/>
      <c r="L27" s="96"/>
      <c r="M27" s="96"/>
      <c r="N27" s="96"/>
      <c r="O27" s="96"/>
      <c r="P27" s="96"/>
      <c r="Q27" s="96"/>
      <c r="R27" s="96"/>
    </row>
    <row r="28" spans="1:18" ht="18.75" x14ac:dyDescent="0.3">
      <c r="A28" s="203" t="s">
        <v>301</v>
      </c>
      <c r="B28" s="203"/>
      <c r="C28" s="203"/>
      <c r="D28" s="203"/>
      <c r="E28" s="203"/>
      <c r="F28" s="203"/>
      <c r="G28" s="96"/>
      <c r="H28" s="96"/>
      <c r="I28" s="96"/>
      <c r="J28" s="96"/>
      <c r="K28" s="96"/>
      <c r="L28" s="96"/>
      <c r="M28" s="96"/>
      <c r="N28" s="96"/>
      <c r="O28" s="96"/>
      <c r="P28" s="96"/>
      <c r="Q28" s="96"/>
      <c r="R28" s="96"/>
    </row>
    <row r="29" spans="1:18" x14ac:dyDescent="0.25">
      <c r="A29" s="96"/>
      <c r="B29" s="96"/>
      <c r="C29" s="96"/>
      <c r="D29" s="96"/>
      <c r="E29" s="96"/>
      <c r="F29" s="96"/>
      <c r="G29" s="96"/>
      <c r="H29" s="96"/>
      <c r="I29" s="96"/>
      <c r="J29" s="96"/>
      <c r="K29" s="96"/>
      <c r="L29" s="96"/>
      <c r="M29" s="96"/>
      <c r="N29" s="96"/>
      <c r="O29" s="96"/>
      <c r="P29" s="96"/>
      <c r="Q29" s="96"/>
      <c r="R29" s="96"/>
    </row>
    <row r="30" spans="1:18" x14ac:dyDescent="0.25">
      <c r="A30" s="96"/>
      <c r="B30" s="96"/>
      <c r="C30" s="96"/>
      <c r="D30" s="96"/>
      <c r="E30" s="96"/>
      <c r="F30" s="96"/>
      <c r="G30" s="96"/>
      <c r="H30" s="96"/>
      <c r="I30" s="96"/>
      <c r="J30" s="96"/>
      <c r="K30" s="96"/>
      <c r="L30" s="96"/>
      <c r="M30" s="96"/>
      <c r="N30" s="96"/>
      <c r="O30" s="96"/>
      <c r="P30" s="96"/>
      <c r="Q30" s="96"/>
      <c r="R30" s="96"/>
    </row>
    <row r="31" spans="1:18" x14ac:dyDescent="0.25">
      <c r="A31" s="96"/>
      <c r="B31" s="96"/>
      <c r="C31" s="96"/>
      <c r="D31" s="96"/>
      <c r="E31" s="96"/>
      <c r="F31" s="96"/>
      <c r="G31" s="96"/>
      <c r="H31" s="96"/>
      <c r="I31" s="96"/>
      <c r="J31" s="96"/>
      <c r="K31" s="96"/>
      <c r="L31" s="96"/>
      <c r="M31" s="96"/>
      <c r="N31" s="96"/>
      <c r="O31" s="96"/>
      <c r="P31" s="96"/>
      <c r="Q31" s="96"/>
      <c r="R31" s="96"/>
    </row>
    <row r="32" spans="1:18" x14ac:dyDescent="0.25">
      <c r="A32" s="96"/>
      <c r="B32" s="96"/>
      <c r="C32" s="96"/>
      <c r="D32" s="96"/>
      <c r="E32" s="96"/>
      <c r="F32" s="96"/>
      <c r="G32" s="96"/>
      <c r="H32" s="96"/>
      <c r="I32" s="96"/>
      <c r="J32" s="96"/>
      <c r="K32" s="96"/>
      <c r="L32" s="96"/>
      <c r="M32" s="96"/>
      <c r="N32" s="96"/>
      <c r="O32" s="96"/>
      <c r="P32" s="96"/>
      <c r="Q32" s="96"/>
      <c r="R32" s="96"/>
    </row>
    <row r="33" spans="1:18" x14ac:dyDescent="0.25">
      <c r="A33" s="96"/>
      <c r="B33" s="96"/>
      <c r="C33" s="96"/>
      <c r="D33" s="96"/>
      <c r="E33" s="96"/>
      <c r="F33" s="96"/>
      <c r="G33" s="96"/>
      <c r="H33" s="96"/>
      <c r="I33" s="96"/>
      <c r="J33" s="96"/>
      <c r="K33" s="96"/>
      <c r="L33" s="96"/>
      <c r="M33" s="96"/>
      <c r="N33" s="96"/>
      <c r="O33" s="96"/>
      <c r="P33" s="96"/>
      <c r="Q33" s="96"/>
      <c r="R33" s="96"/>
    </row>
    <row r="34" spans="1:18" x14ac:dyDescent="0.25">
      <c r="A34" s="96"/>
      <c r="B34" s="96"/>
      <c r="C34" s="96"/>
      <c r="D34" s="96"/>
      <c r="E34" s="96"/>
      <c r="F34" s="96"/>
      <c r="G34" s="96"/>
      <c r="H34" s="96"/>
      <c r="I34" s="96"/>
      <c r="J34" s="96"/>
      <c r="K34" s="96"/>
      <c r="L34" s="96"/>
      <c r="M34" s="96"/>
      <c r="N34" s="96"/>
      <c r="O34" s="96"/>
      <c r="P34" s="96"/>
      <c r="Q34" s="96"/>
      <c r="R34" s="96"/>
    </row>
    <row r="35" spans="1:18" x14ac:dyDescent="0.25">
      <c r="A35" s="96"/>
      <c r="B35" s="96"/>
      <c r="C35" s="96"/>
      <c r="D35" s="96"/>
      <c r="E35" s="96"/>
      <c r="F35" s="96"/>
      <c r="G35" s="96"/>
      <c r="H35" s="96"/>
      <c r="I35" s="96"/>
      <c r="J35" s="96"/>
      <c r="K35" s="96"/>
      <c r="L35" s="96"/>
      <c r="M35" s="96"/>
      <c r="N35" s="96"/>
      <c r="O35" s="96"/>
      <c r="P35" s="96"/>
      <c r="Q35" s="96"/>
      <c r="R35" s="96"/>
    </row>
    <row r="36" spans="1:18" x14ac:dyDescent="0.25">
      <c r="A36" s="96"/>
      <c r="B36" s="96"/>
      <c r="C36" s="96"/>
      <c r="D36" s="96"/>
      <c r="E36" s="96"/>
      <c r="F36" s="96"/>
      <c r="G36" s="96"/>
      <c r="H36" s="96"/>
      <c r="I36" s="96"/>
      <c r="J36" s="96"/>
      <c r="K36" s="96"/>
      <c r="L36" s="96"/>
      <c r="M36" s="96"/>
      <c r="N36" s="96"/>
      <c r="O36" s="96"/>
      <c r="P36" s="96"/>
      <c r="Q36" s="96"/>
      <c r="R36" s="96"/>
    </row>
    <row r="37" spans="1:18" x14ac:dyDescent="0.25">
      <c r="A37" s="96"/>
      <c r="B37" s="96"/>
      <c r="C37" s="96"/>
      <c r="D37" s="96"/>
      <c r="E37" s="96"/>
      <c r="F37" s="96"/>
      <c r="G37" s="96"/>
      <c r="H37" s="96"/>
      <c r="I37" s="96"/>
      <c r="J37" s="96"/>
      <c r="K37" s="96"/>
      <c r="L37" s="96"/>
      <c r="M37" s="96"/>
      <c r="N37" s="96"/>
      <c r="O37" s="96"/>
      <c r="P37" s="96"/>
      <c r="Q37" s="96"/>
      <c r="R37" s="96"/>
    </row>
    <row r="38" spans="1:18" x14ac:dyDescent="0.25">
      <c r="A38" s="96"/>
      <c r="B38" s="96"/>
      <c r="C38" s="96"/>
      <c r="D38" s="96"/>
      <c r="E38" s="96"/>
      <c r="F38" s="96"/>
      <c r="G38" s="96"/>
      <c r="H38" s="96"/>
      <c r="I38" s="96"/>
      <c r="J38" s="96"/>
      <c r="K38" s="96"/>
      <c r="L38" s="96"/>
      <c r="M38" s="96"/>
      <c r="N38" s="96"/>
      <c r="O38" s="96"/>
      <c r="P38" s="96"/>
      <c r="Q38" s="96"/>
      <c r="R38" s="96"/>
    </row>
    <row r="39" spans="1:18" x14ac:dyDescent="0.25">
      <c r="A39" s="96"/>
      <c r="B39" s="96"/>
      <c r="C39" s="96"/>
      <c r="D39" s="96"/>
      <c r="E39" s="96"/>
      <c r="F39" s="96"/>
      <c r="G39" s="96"/>
      <c r="H39" s="96"/>
      <c r="I39" s="96"/>
      <c r="J39" s="96"/>
      <c r="K39" s="96"/>
      <c r="L39" s="96"/>
      <c r="M39" s="96"/>
      <c r="N39" s="96"/>
      <c r="O39" s="96"/>
      <c r="P39" s="96"/>
      <c r="Q39" s="96"/>
      <c r="R39" s="96"/>
    </row>
    <row r="40" spans="1:18" x14ac:dyDescent="0.25">
      <c r="A40" s="96"/>
      <c r="B40" s="96"/>
      <c r="C40" s="96"/>
      <c r="D40" s="96"/>
      <c r="E40" s="96"/>
      <c r="F40" s="96"/>
      <c r="G40" s="96"/>
      <c r="H40" s="96"/>
      <c r="I40" s="96"/>
      <c r="J40" s="96"/>
      <c r="K40" s="96"/>
      <c r="L40" s="96"/>
      <c r="M40" s="96"/>
      <c r="N40" s="96"/>
      <c r="O40" s="96"/>
      <c r="P40" s="96"/>
      <c r="Q40" s="96"/>
      <c r="R40" s="96"/>
    </row>
    <row r="41" spans="1:18" x14ac:dyDescent="0.25">
      <c r="A41" s="96"/>
      <c r="B41" s="96"/>
      <c r="C41" s="96"/>
      <c r="D41" s="96"/>
      <c r="E41" s="96"/>
      <c r="F41" s="96"/>
      <c r="G41" s="96"/>
      <c r="H41" s="96"/>
      <c r="I41" s="96"/>
      <c r="J41" s="96"/>
      <c r="K41" s="96"/>
      <c r="L41" s="96"/>
      <c r="M41" s="96"/>
      <c r="N41" s="96"/>
      <c r="O41" s="96"/>
      <c r="P41" s="96"/>
      <c r="Q41" s="96"/>
      <c r="R41" s="96"/>
    </row>
    <row r="42" spans="1:18" x14ac:dyDescent="0.25">
      <c r="A42" s="96"/>
      <c r="B42" s="96"/>
      <c r="C42" s="96"/>
      <c r="D42" s="96"/>
      <c r="E42" s="96"/>
      <c r="F42" s="96"/>
      <c r="G42" s="96"/>
      <c r="H42" s="96"/>
      <c r="I42" s="96"/>
      <c r="J42" s="96"/>
      <c r="K42" s="96"/>
      <c r="L42" s="96"/>
      <c r="M42" s="96"/>
      <c r="N42" s="96"/>
      <c r="O42" s="96"/>
      <c r="P42" s="96"/>
      <c r="Q42" s="96"/>
      <c r="R42" s="96"/>
    </row>
    <row r="43" spans="1:18" x14ac:dyDescent="0.25">
      <c r="A43" s="96"/>
      <c r="B43" s="96"/>
      <c r="C43" s="96"/>
      <c r="D43" s="96"/>
      <c r="E43" s="96"/>
      <c r="F43" s="96"/>
      <c r="G43" s="96"/>
      <c r="H43" s="96"/>
      <c r="I43" s="96"/>
      <c r="J43" s="96"/>
      <c r="K43" s="96"/>
      <c r="L43" s="96"/>
      <c r="M43" s="96"/>
      <c r="N43" s="96"/>
      <c r="O43" s="96"/>
      <c r="P43" s="96"/>
      <c r="Q43" s="96"/>
      <c r="R43" s="96"/>
    </row>
    <row r="44" spans="1:18" x14ac:dyDescent="0.25">
      <c r="A44" s="96"/>
      <c r="B44" s="96"/>
      <c r="C44" s="96"/>
      <c r="D44" s="96"/>
      <c r="E44" s="96"/>
      <c r="F44" s="96"/>
      <c r="G44" s="96"/>
      <c r="H44" s="96"/>
      <c r="I44" s="96"/>
      <c r="J44" s="96"/>
      <c r="K44" s="96"/>
      <c r="L44" s="96"/>
      <c r="M44" s="96"/>
      <c r="N44" s="96"/>
      <c r="O44" s="96"/>
      <c r="P44" s="96"/>
      <c r="Q44" s="96"/>
      <c r="R44" s="96"/>
    </row>
    <row r="45" spans="1:18" x14ac:dyDescent="0.25">
      <c r="A45" s="96"/>
      <c r="B45" s="96"/>
      <c r="C45" s="96"/>
      <c r="D45" s="96"/>
      <c r="E45" s="96"/>
      <c r="F45" s="96"/>
      <c r="G45" s="96"/>
      <c r="H45" s="96"/>
      <c r="I45" s="96"/>
      <c r="J45" s="96"/>
      <c r="K45" s="96"/>
      <c r="L45" s="96"/>
      <c r="M45" s="96"/>
      <c r="N45" s="96"/>
      <c r="O45" s="96"/>
      <c r="P45" s="96"/>
      <c r="Q45" s="96"/>
      <c r="R45" s="96"/>
    </row>
    <row r="46" spans="1:18" ht="58.5" customHeight="1" x14ac:dyDescent="0.3">
      <c r="A46" s="197" t="s">
        <v>534</v>
      </c>
      <c r="B46" s="197"/>
      <c r="C46" s="197"/>
      <c r="D46" s="197"/>
      <c r="E46" s="197"/>
      <c r="F46" s="197"/>
      <c r="G46" s="99"/>
      <c r="H46" s="96"/>
      <c r="I46" s="96"/>
      <c r="J46" s="96"/>
      <c r="K46" s="96"/>
      <c r="L46" s="96"/>
      <c r="M46" s="96"/>
      <c r="N46" s="96"/>
      <c r="O46" s="96"/>
      <c r="P46" s="96"/>
      <c r="Q46" s="96"/>
      <c r="R46" s="96"/>
    </row>
    <row r="47" spans="1:18" x14ac:dyDescent="0.25">
      <c r="A47" s="96"/>
      <c r="B47" s="96"/>
      <c r="C47" s="96"/>
      <c r="D47" s="96"/>
      <c r="E47" s="96"/>
      <c r="F47" s="96"/>
      <c r="G47" s="96"/>
      <c r="H47" s="96"/>
      <c r="I47" s="96"/>
      <c r="J47" s="96"/>
      <c r="K47" s="96"/>
      <c r="L47" s="96"/>
      <c r="M47" s="96"/>
      <c r="N47" s="96"/>
      <c r="O47" s="96"/>
      <c r="P47" s="96"/>
      <c r="Q47" s="96"/>
      <c r="R47" s="96"/>
    </row>
    <row r="48" spans="1:18" x14ac:dyDescent="0.25">
      <c r="A48" s="96" t="s">
        <v>15</v>
      </c>
      <c r="B48" s="96" t="s">
        <v>304</v>
      </c>
      <c r="C48" s="96" t="s">
        <v>10</v>
      </c>
      <c r="D48" s="96"/>
      <c r="E48" s="96"/>
      <c r="F48" s="96"/>
      <c r="G48" s="96"/>
      <c r="H48" s="96"/>
      <c r="I48" s="96"/>
      <c r="J48" s="96"/>
      <c r="K48" s="96"/>
      <c r="L48" s="96"/>
      <c r="M48" s="96"/>
      <c r="N48" s="96"/>
      <c r="O48" s="96"/>
      <c r="P48" s="96"/>
      <c r="Q48" s="96"/>
      <c r="R48" s="96"/>
    </row>
    <row r="49" spans="1:18" x14ac:dyDescent="0.25">
      <c r="A49" s="96">
        <v>0</v>
      </c>
      <c r="B49" s="96">
        <f>('Game Assumptions'!G31)/(10^6)</f>
        <v>1.5985796695319348</v>
      </c>
      <c r="C49" s="96">
        <f>('Game Assumptions'!G32)/(10^6)</f>
        <v>1.5412145992880004</v>
      </c>
      <c r="D49" s="96"/>
      <c r="E49" s="96"/>
      <c r="F49" s="96"/>
      <c r="G49" s="96"/>
      <c r="H49" s="96"/>
      <c r="I49" s="96"/>
      <c r="J49" s="96"/>
      <c r="K49" s="96"/>
      <c r="L49" s="96"/>
      <c r="M49" s="96"/>
      <c r="N49" s="96"/>
      <c r="O49" s="96"/>
      <c r="P49" s="96"/>
      <c r="Q49" s="96"/>
      <c r="R49" s="96"/>
    </row>
    <row r="50" spans="1:18" x14ac:dyDescent="0.25">
      <c r="A50" s="96">
        <v>1</v>
      </c>
      <c r="B50" s="107">
        <f>B49*(1-'Game Assumptions'!$B$15)</f>
        <v>1.4356100881202043</v>
      </c>
      <c r="C50" s="107">
        <f>C49*(1-'Game Assumptions'!$B$16)</f>
        <v>1.4342350446022498</v>
      </c>
      <c r="D50" s="96"/>
      <c r="E50" s="96"/>
      <c r="F50" s="96"/>
      <c r="G50" s="96"/>
      <c r="H50" s="96"/>
      <c r="I50" s="96"/>
      <c r="J50" s="96"/>
      <c r="K50" s="96"/>
      <c r="L50" s="96"/>
      <c r="M50" s="96"/>
      <c r="N50" s="96"/>
      <c r="O50" s="96"/>
      <c r="P50" s="96"/>
      <c r="Q50" s="96"/>
      <c r="R50" s="96"/>
    </row>
    <row r="51" spans="1:18" x14ac:dyDescent="0.25">
      <c r="A51" s="96">
        <v>2</v>
      </c>
      <c r="B51" s="107">
        <f>B50*(1-'Game Assumptions'!$B$15)</f>
        <v>1.2892546830124245</v>
      </c>
      <c r="C51" s="107">
        <f>C50*(1-'Game Assumptions'!$B$16)</f>
        <v>1.3346812080001773</v>
      </c>
      <c r="D51" s="96"/>
      <c r="E51" s="96"/>
      <c r="F51" s="96"/>
      <c r="G51" s="96"/>
      <c r="H51" s="96"/>
      <c r="I51" s="96"/>
      <c r="J51" s="96"/>
      <c r="K51" s="96"/>
      <c r="L51" s="96"/>
      <c r="M51" s="96"/>
      <c r="N51" s="96"/>
      <c r="O51" s="96"/>
      <c r="P51" s="96"/>
      <c r="Q51" s="96"/>
      <c r="R51" s="96"/>
    </row>
    <row r="52" spans="1:18" x14ac:dyDescent="0.25">
      <c r="A52" s="96">
        <v>3</v>
      </c>
      <c r="B52" s="107">
        <f>B51*(1-'Game Assumptions'!$B$15)</f>
        <v>1.1578196973009096</v>
      </c>
      <c r="C52" s="107">
        <f>C51*(1-'Game Assumptions'!$B$16)</f>
        <v>1.2420376518430654</v>
      </c>
      <c r="D52" s="96"/>
      <c r="E52" s="96"/>
      <c r="F52" s="96"/>
      <c r="G52" s="96"/>
      <c r="H52" s="96"/>
      <c r="I52" s="96"/>
      <c r="J52" s="96"/>
      <c r="K52" s="96"/>
      <c r="L52" s="96"/>
      <c r="M52" s="96"/>
      <c r="N52" s="96"/>
      <c r="O52" s="96"/>
      <c r="P52" s="96"/>
      <c r="Q52" s="96"/>
      <c r="R52" s="96"/>
    </row>
    <row r="53" spans="1:18" x14ac:dyDescent="0.25">
      <c r="A53" s="96">
        <v>4</v>
      </c>
      <c r="B53" s="107">
        <f>B52*(1-'Game Assumptions'!$B$15)</f>
        <v>1.0397840466444528</v>
      </c>
      <c r="C53" s="107">
        <f>C52*(1-'Game Assumptions'!$B$16)</f>
        <v>1.1558247163060609</v>
      </c>
      <c r="D53" s="96"/>
      <c r="E53" s="96"/>
      <c r="F53" s="96"/>
      <c r="G53" s="96"/>
      <c r="H53" s="96"/>
      <c r="I53" s="96"/>
      <c r="J53" s="96"/>
      <c r="K53" s="96"/>
      <c r="L53" s="96"/>
      <c r="M53" s="96"/>
      <c r="N53" s="96"/>
      <c r="O53" s="96"/>
      <c r="P53" s="96"/>
      <c r="Q53" s="96"/>
      <c r="R53" s="96"/>
    </row>
    <row r="54" spans="1:18" x14ac:dyDescent="0.25">
      <c r="A54" s="96">
        <v>5</v>
      </c>
      <c r="B54" s="107">
        <f>B53*(1-'Game Assumptions'!$B$15)</f>
        <v>0.93378171590678138</v>
      </c>
      <c r="C54" s="107">
        <f>C53*(1-'Game Assumptions'!$B$16)</f>
        <v>1.0755960359507559</v>
      </c>
      <c r="D54" s="96"/>
      <c r="E54" s="96"/>
      <c r="F54" s="96"/>
      <c r="G54" s="96"/>
      <c r="H54" s="96"/>
      <c r="I54" s="96"/>
      <c r="J54" s="96"/>
      <c r="K54" s="96"/>
      <c r="L54" s="96"/>
      <c r="M54" s="96"/>
      <c r="N54" s="96"/>
      <c r="O54" s="96"/>
      <c r="P54" s="96"/>
      <c r="Q54" s="96"/>
      <c r="R54" s="96"/>
    </row>
    <row r="55" spans="1:18" x14ac:dyDescent="0.25">
      <c r="A55" s="96">
        <v>6</v>
      </c>
      <c r="B55" s="107">
        <f>B54*(1-'Game Assumptions'!$B$15)</f>
        <v>0.83858595039588046</v>
      </c>
      <c r="C55" s="107">
        <f>C54*(1-'Game Assumptions'!$B$16)</f>
        <v>1.0009362286786678</v>
      </c>
      <c r="D55" s="96"/>
      <c r="E55" s="96"/>
      <c r="F55" s="96"/>
      <c r="G55" s="96"/>
      <c r="H55" s="96"/>
      <c r="I55" s="96"/>
      <c r="J55" s="96"/>
      <c r="K55" s="96"/>
      <c r="L55" s="96"/>
      <c r="M55" s="96"/>
      <c r="N55" s="96"/>
      <c r="O55" s="96"/>
      <c r="P55" s="96"/>
      <c r="Q55" s="96"/>
      <c r="R55" s="96"/>
    </row>
    <row r="56" spans="1:18" x14ac:dyDescent="0.25">
      <c r="A56" s="96">
        <v>7</v>
      </c>
      <c r="B56" s="107">
        <f>B55*(1-'Game Assumptions'!$B$15)</f>
        <v>0.7530950587509303</v>
      </c>
      <c r="C56" s="107">
        <f>C55*(1-'Game Assumptions'!$B$16)</f>
        <v>0.93145874510023141</v>
      </c>
      <c r="D56" s="96"/>
      <c r="E56" s="96"/>
      <c r="F56" s="96"/>
      <c r="G56" s="96"/>
      <c r="H56" s="96"/>
      <c r="I56" s="96"/>
      <c r="J56" s="96"/>
      <c r="K56" s="96"/>
      <c r="L56" s="96"/>
      <c r="M56" s="96"/>
      <c r="N56" s="96"/>
      <c r="O56" s="96"/>
      <c r="P56" s="96"/>
      <c r="Q56" s="96"/>
      <c r="R56" s="96"/>
    </row>
    <row r="57" spans="1:18" x14ac:dyDescent="0.25">
      <c r="A57" s="96">
        <v>8</v>
      </c>
      <c r="B57" s="107">
        <f>B56*(1-'Game Assumptions'!$B$15)</f>
        <v>0.67631966317504544</v>
      </c>
      <c r="C57" s="107">
        <f>C56*(1-'Game Assumptions'!$B$16)</f>
        <v>0.86680386718445956</v>
      </c>
      <c r="D57" s="96"/>
      <c r="E57" s="96"/>
      <c r="F57" s="96"/>
      <c r="G57" s="96"/>
      <c r="H57" s="96"/>
      <c r="I57" s="96"/>
      <c r="J57" s="96"/>
      <c r="K57" s="96"/>
      <c r="L57" s="96"/>
      <c r="M57" s="96"/>
      <c r="N57" s="96"/>
      <c r="O57" s="96"/>
      <c r="P57" s="96"/>
      <c r="Q57" s="96"/>
      <c r="R57" s="96"/>
    </row>
    <row r="58" spans="1:18" x14ac:dyDescent="0.25">
      <c r="A58" s="96">
        <v>9</v>
      </c>
      <c r="B58" s="107">
        <f>B57*(1-'Game Assumptions'!$B$15)</f>
        <v>0.60737124946199472</v>
      </c>
      <c r="C58" s="107">
        <f>C57*(1-'Game Assumptions'!$B$16)</f>
        <v>0.80663684582733064</v>
      </c>
      <c r="D58" s="96"/>
      <c r="E58" s="96"/>
      <c r="F58" s="96"/>
      <c r="G58" s="96"/>
      <c r="H58" s="96"/>
      <c r="I58" s="96"/>
      <c r="J58" s="96"/>
      <c r="K58" s="96"/>
      <c r="L58" s="96"/>
      <c r="M58" s="96"/>
      <c r="N58" s="96"/>
      <c r="O58" s="96"/>
      <c r="P58" s="96"/>
      <c r="Q58" s="96"/>
      <c r="R58" s="96"/>
    </row>
    <row r="59" spans="1:18" x14ac:dyDescent="0.25">
      <c r="A59" s="96">
        <v>10</v>
      </c>
      <c r="B59" s="107">
        <f>B58*(1-'Game Assumptions'!$B$15)</f>
        <v>0.54545188430747393</v>
      </c>
      <c r="C59" s="107">
        <f>C58*(1-'Game Assumptions'!$B$16)</f>
        <v>0.75064616769620496</v>
      </c>
      <c r="D59" s="96"/>
      <c r="E59" s="96"/>
      <c r="F59" s="96"/>
      <c r="G59" s="96"/>
      <c r="H59" s="96"/>
      <c r="I59" s="96"/>
      <c r="J59" s="96"/>
      <c r="K59" s="96"/>
      <c r="L59" s="96"/>
      <c r="M59" s="96"/>
      <c r="N59" s="96"/>
      <c r="O59" s="96"/>
      <c r="P59" s="96"/>
      <c r="Q59" s="96"/>
      <c r="R59" s="96"/>
    </row>
    <row r="60" spans="1:18" x14ac:dyDescent="0.25">
      <c r="A60" s="96"/>
      <c r="B60" s="96"/>
      <c r="C60" s="96"/>
      <c r="D60" s="96"/>
      <c r="E60" s="96"/>
      <c r="F60" s="96"/>
      <c r="G60" s="96"/>
      <c r="H60" s="96"/>
      <c r="I60" s="96"/>
      <c r="J60" s="96"/>
      <c r="K60" s="96"/>
      <c r="L60" s="96"/>
      <c r="M60" s="96"/>
      <c r="N60" s="96"/>
      <c r="O60" s="96"/>
      <c r="P60" s="96"/>
      <c r="Q60" s="96"/>
      <c r="R60" s="96"/>
    </row>
    <row r="61" spans="1:18" x14ac:dyDescent="0.25">
      <c r="A61" s="96"/>
      <c r="B61" s="96"/>
      <c r="C61" s="96"/>
      <c r="D61" s="96"/>
      <c r="E61" s="96"/>
      <c r="F61" s="96"/>
      <c r="G61" s="96"/>
      <c r="H61" s="96"/>
      <c r="I61" s="96"/>
      <c r="J61" s="96"/>
      <c r="K61" s="96"/>
      <c r="L61" s="96"/>
      <c r="M61" s="96"/>
      <c r="N61" s="96"/>
      <c r="O61" s="96"/>
      <c r="P61" s="96"/>
      <c r="Q61" s="96"/>
      <c r="R61" s="96"/>
    </row>
    <row r="62" spans="1:18" x14ac:dyDescent="0.25">
      <c r="A62" s="96"/>
      <c r="B62" s="96"/>
      <c r="C62" s="96"/>
      <c r="D62" s="96"/>
      <c r="E62" s="96"/>
      <c r="F62" s="96"/>
      <c r="G62" s="96"/>
      <c r="H62" s="96"/>
      <c r="I62" s="96"/>
      <c r="J62" s="96"/>
      <c r="K62" s="96"/>
      <c r="L62" s="96"/>
      <c r="M62" s="96"/>
      <c r="N62" s="96"/>
      <c r="O62" s="96"/>
      <c r="P62" s="96"/>
      <c r="Q62" s="96"/>
      <c r="R62" s="96"/>
    </row>
    <row r="63" spans="1:18" x14ac:dyDescent="0.25">
      <c r="A63" s="96"/>
      <c r="B63" s="96"/>
      <c r="C63" s="96"/>
      <c r="D63" s="96"/>
      <c r="E63" s="96"/>
      <c r="F63" s="96"/>
      <c r="G63" s="96"/>
      <c r="H63" s="96"/>
      <c r="I63" s="96"/>
      <c r="J63" s="96"/>
      <c r="K63" s="96"/>
      <c r="L63" s="96"/>
      <c r="M63" s="96"/>
      <c r="N63" s="96"/>
      <c r="O63" s="96"/>
      <c r="P63" s="96"/>
      <c r="Q63" s="96"/>
      <c r="R63" s="96"/>
    </row>
    <row r="64" spans="1:18" ht="18.75" customHeight="1" x14ac:dyDescent="0.25">
      <c r="A64" s="197" t="s">
        <v>307</v>
      </c>
      <c r="B64" s="197"/>
      <c r="C64" s="197"/>
      <c r="D64" s="197"/>
      <c r="E64" s="197"/>
      <c r="F64" s="197"/>
      <c r="G64" s="96"/>
      <c r="H64" s="96"/>
      <c r="I64" s="96"/>
      <c r="J64" s="96"/>
      <c r="K64" s="96"/>
      <c r="L64" s="96"/>
      <c r="M64" s="96"/>
      <c r="N64" s="96"/>
      <c r="O64" s="96"/>
      <c r="P64" s="96"/>
      <c r="Q64" s="96"/>
      <c r="R64" s="96"/>
    </row>
    <row r="65" spans="1:18" ht="18.75" customHeight="1" x14ac:dyDescent="0.25">
      <c r="A65" s="197"/>
      <c r="B65" s="197"/>
      <c r="C65" s="197"/>
      <c r="D65" s="197"/>
      <c r="E65" s="197"/>
      <c r="F65" s="197"/>
      <c r="G65" s="96"/>
      <c r="H65" s="96"/>
      <c r="I65" s="96"/>
      <c r="J65" s="96"/>
      <c r="K65" s="96"/>
      <c r="L65" s="96"/>
      <c r="M65" s="96"/>
      <c r="N65" s="96"/>
      <c r="O65" s="96"/>
      <c r="P65" s="96"/>
      <c r="Q65" s="96"/>
      <c r="R65" s="96"/>
    </row>
    <row r="66" spans="1:18" x14ac:dyDescent="0.25">
      <c r="A66" s="96"/>
      <c r="B66" s="96"/>
      <c r="C66" s="96"/>
      <c r="D66" s="96"/>
      <c r="E66" s="96"/>
      <c r="F66" s="96"/>
      <c r="G66" s="96"/>
      <c r="H66" s="96"/>
      <c r="I66" s="96"/>
      <c r="J66" s="96"/>
      <c r="K66" s="96"/>
      <c r="L66" s="96"/>
      <c r="M66" s="96"/>
      <c r="N66" s="96"/>
      <c r="O66" s="96"/>
      <c r="P66" s="96"/>
      <c r="Q66" s="96"/>
      <c r="R66" s="96"/>
    </row>
    <row r="67" spans="1:18" x14ac:dyDescent="0.25">
      <c r="A67" s="96"/>
      <c r="B67" s="96"/>
      <c r="C67" s="96"/>
      <c r="D67" s="96"/>
      <c r="E67" s="96"/>
      <c r="F67" s="96"/>
      <c r="G67" s="96"/>
      <c r="H67" s="96"/>
      <c r="I67" s="96"/>
      <c r="J67" s="96"/>
      <c r="K67" s="96"/>
      <c r="L67" s="96"/>
      <c r="M67" s="96"/>
      <c r="N67" s="96"/>
      <c r="O67" s="96"/>
      <c r="P67" s="96"/>
      <c r="Q67" s="96"/>
      <c r="R67" s="96"/>
    </row>
    <row r="68" spans="1:18" x14ac:dyDescent="0.25">
      <c r="A68" s="96"/>
      <c r="B68" s="96"/>
      <c r="C68" s="96"/>
      <c r="D68" s="96"/>
      <c r="E68" s="96"/>
      <c r="F68" s="96"/>
      <c r="G68" s="96"/>
      <c r="H68" s="96"/>
      <c r="I68" s="96"/>
      <c r="J68" s="96"/>
      <c r="K68" s="96"/>
      <c r="L68" s="96"/>
      <c r="M68" s="96"/>
      <c r="N68" s="96"/>
      <c r="O68" s="96"/>
      <c r="P68" s="96"/>
      <c r="Q68" s="96"/>
      <c r="R68" s="96"/>
    </row>
    <row r="69" spans="1:18" x14ac:dyDescent="0.25">
      <c r="A69" s="96"/>
      <c r="B69" s="96"/>
      <c r="C69" s="96"/>
      <c r="D69" s="96"/>
      <c r="E69" s="96"/>
      <c r="F69" s="96"/>
      <c r="G69" s="96"/>
      <c r="H69" s="96"/>
      <c r="I69" s="96"/>
      <c r="J69" s="96"/>
      <c r="K69" s="96"/>
      <c r="L69" s="96"/>
      <c r="M69" s="96"/>
      <c r="N69" s="96"/>
      <c r="O69" s="96"/>
      <c r="P69" s="96"/>
      <c r="Q69" s="96"/>
      <c r="R69" s="96"/>
    </row>
    <row r="70" spans="1:18" x14ac:dyDescent="0.25">
      <c r="A70" s="96"/>
      <c r="B70" s="96"/>
      <c r="C70" s="96"/>
      <c r="D70" s="96"/>
      <c r="E70" s="96"/>
      <c r="F70" s="96"/>
      <c r="G70" s="96"/>
      <c r="H70" s="96"/>
      <c r="I70" s="96"/>
      <c r="J70" s="96"/>
      <c r="K70" s="96"/>
      <c r="L70" s="96"/>
      <c r="M70" s="96"/>
      <c r="N70" s="96"/>
      <c r="O70" s="96"/>
      <c r="P70" s="96"/>
      <c r="Q70" s="96"/>
      <c r="R70" s="96"/>
    </row>
    <row r="71" spans="1:18" x14ac:dyDescent="0.25">
      <c r="A71" s="96"/>
      <c r="B71" s="96"/>
      <c r="C71" s="96"/>
      <c r="D71" s="96"/>
      <c r="E71" s="96"/>
      <c r="F71" s="96"/>
      <c r="G71" s="96"/>
      <c r="H71" s="96"/>
      <c r="I71" s="96"/>
      <c r="J71" s="96"/>
      <c r="K71" s="96"/>
      <c r="L71" s="96"/>
      <c r="M71" s="96"/>
      <c r="N71" s="96"/>
      <c r="O71" s="96"/>
      <c r="P71" s="96"/>
      <c r="Q71" s="96"/>
      <c r="R71" s="96"/>
    </row>
    <row r="72" spans="1:18" x14ac:dyDescent="0.25">
      <c r="A72" s="96"/>
      <c r="B72" s="96"/>
      <c r="C72" s="96"/>
      <c r="D72" s="96"/>
      <c r="E72" s="96"/>
      <c r="F72" s="96"/>
      <c r="G72" s="96"/>
      <c r="H72" s="96"/>
      <c r="I72" s="96"/>
      <c r="J72" s="96"/>
      <c r="K72" s="96"/>
      <c r="L72" s="96"/>
      <c r="M72" s="96"/>
      <c r="N72" s="96"/>
      <c r="O72" s="96"/>
      <c r="P72" s="96"/>
      <c r="Q72" s="96"/>
      <c r="R72" s="96"/>
    </row>
    <row r="73" spans="1:18" x14ac:dyDescent="0.25">
      <c r="A73" s="96"/>
      <c r="B73" s="96"/>
      <c r="C73" s="96"/>
      <c r="D73" s="96"/>
      <c r="E73" s="96"/>
      <c r="F73" s="96"/>
      <c r="G73" s="96"/>
      <c r="H73" s="96"/>
      <c r="I73" s="96"/>
      <c r="J73" s="96"/>
      <c r="K73" s="96"/>
      <c r="L73" s="96"/>
      <c r="M73" s="96"/>
      <c r="N73" s="96"/>
      <c r="O73" s="96"/>
      <c r="P73" s="96"/>
      <c r="Q73" s="96"/>
      <c r="R73" s="96"/>
    </row>
    <row r="74" spans="1:18" x14ac:dyDescent="0.25">
      <c r="A74" s="96"/>
      <c r="B74" s="96"/>
      <c r="C74" s="96"/>
      <c r="D74" s="96"/>
      <c r="E74" s="96"/>
      <c r="F74" s="96"/>
      <c r="G74" s="96"/>
      <c r="H74" s="96"/>
      <c r="I74" s="96"/>
      <c r="J74" s="96"/>
      <c r="K74" s="96"/>
      <c r="L74" s="96"/>
      <c r="M74" s="96"/>
      <c r="N74" s="96"/>
      <c r="O74" s="96"/>
      <c r="P74" s="96"/>
      <c r="Q74" s="96"/>
      <c r="R74" s="96"/>
    </row>
    <row r="75" spans="1:18" x14ac:dyDescent="0.25">
      <c r="A75" s="96"/>
      <c r="B75" s="96"/>
      <c r="C75" s="96"/>
      <c r="D75" s="96"/>
      <c r="E75" s="96"/>
      <c r="F75" s="96"/>
      <c r="G75" s="96"/>
      <c r="H75" s="96"/>
      <c r="I75" s="96"/>
      <c r="J75" s="96"/>
      <c r="K75" s="96"/>
      <c r="L75" s="96"/>
      <c r="M75" s="96"/>
      <c r="N75" s="96"/>
      <c r="O75" s="96"/>
      <c r="P75" s="96"/>
      <c r="Q75" s="96"/>
      <c r="R75" s="96"/>
    </row>
    <row r="76" spans="1:18" x14ac:dyDescent="0.25">
      <c r="A76" s="96"/>
      <c r="B76" s="96"/>
      <c r="C76" s="96"/>
      <c r="D76" s="96"/>
      <c r="E76" s="96"/>
      <c r="F76" s="96"/>
      <c r="G76" s="96"/>
      <c r="H76" s="96"/>
      <c r="I76" s="96"/>
      <c r="J76" s="96"/>
      <c r="K76" s="96"/>
      <c r="L76" s="96"/>
      <c r="M76" s="96"/>
      <c r="N76" s="96"/>
      <c r="O76" s="96"/>
      <c r="P76" s="96"/>
      <c r="Q76" s="96"/>
      <c r="R76" s="96"/>
    </row>
    <row r="77" spans="1:18" x14ac:dyDescent="0.25">
      <c r="A77" s="96"/>
      <c r="B77" s="96"/>
      <c r="C77" s="96"/>
      <c r="D77" s="96"/>
      <c r="E77" s="96"/>
      <c r="F77" s="96"/>
      <c r="G77" s="96"/>
      <c r="H77" s="96"/>
      <c r="I77" s="96"/>
      <c r="J77" s="96"/>
      <c r="K77" s="96"/>
      <c r="L77" s="96"/>
      <c r="M77" s="96"/>
      <c r="N77" s="96"/>
      <c r="O77" s="96"/>
      <c r="P77" s="96"/>
      <c r="Q77" s="96"/>
      <c r="R77" s="96"/>
    </row>
    <row r="78" spans="1:18" x14ac:dyDescent="0.25">
      <c r="A78" s="96"/>
      <c r="B78" s="96"/>
      <c r="C78" s="96"/>
      <c r="D78" s="96"/>
      <c r="E78" s="96"/>
      <c r="F78" s="96"/>
      <c r="G78" s="96"/>
      <c r="H78" s="96"/>
      <c r="I78" s="96"/>
      <c r="J78" s="96"/>
      <c r="K78" s="96"/>
      <c r="L78" s="96"/>
      <c r="M78" s="96"/>
      <c r="N78" s="96"/>
      <c r="O78" s="96"/>
      <c r="P78" s="96"/>
      <c r="Q78" s="96"/>
      <c r="R78" s="96"/>
    </row>
    <row r="79" spans="1:18" x14ac:dyDescent="0.25">
      <c r="A79" s="96"/>
      <c r="B79" s="96"/>
      <c r="C79" s="96"/>
      <c r="D79" s="96"/>
      <c r="E79" s="96"/>
      <c r="F79" s="96"/>
      <c r="G79" s="96"/>
      <c r="H79" s="96"/>
      <c r="I79" s="96"/>
      <c r="J79" s="96"/>
      <c r="K79" s="96"/>
      <c r="L79" s="96"/>
      <c r="M79" s="96"/>
      <c r="N79" s="96"/>
      <c r="O79" s="96"/>
      <c r="P79" s="96"/>
      <c r="Q79" s="96"/>
      <c r="R79" s="96"/>
    </row>
    <row r="80" spans="1:18" x14ac:dyDescent="0.25">
      <c r="A80" s="96"/>
      <c r="B80" s="96"/>
      <c r="C80" s="96"/>
      <c r="D80" s="96"/>
      <c r="E80" s="96"/>
      <c r="F80" s="96"/>
      <c r="G80" s="96"/>
      <c r="H80" s="96"/>
      <c r="I80" s="96"/>
      <c r="J80" s="96"/>
      <c r="K80" s="96"/>
      <c r="L80" s="96"/>
      <c r="M80" s="96"/>
      <c r="N80" s="96"/>
      <c r="O80" s="96"/>
      <c r="P80" s="96"/>
      <c r="Q80" s="96"/>
      <c r="R80" s="96"/>
    </row>
    <row r="81" spans="1:18" x14ac:dyDescent="0.25">
      <c r="A81" s="96"/>
      <c r="B81" s="96"/>
      <c r="C81" s="96"/>
      <c r="D81" s="96"/>
      <c r="E81" s="96"/>
      <c r="F81" s="96"/>
      <c r="G81" s="96"/>
      <c r="H81" s="96"/>
      <c r="I81" s="96"/>
      <c r="J81" s="96"/>
      <c r="K81" s="96"/>
      <c r="L81" s="96"/>
      <c r="M81" s="96"/>
      <c r="N81" s="96"/>
      <c r="O81" s="96"/>
      <c r="P81" s="96"/>
      <c r="Q81" s="96"/>
      <c r="R81" s="96"/>
    </row>
    <row r="82" spans="1:18" x14ac:dyDescent="0.25">
      <c r="A82" s="96"/>
      <c r="B82" s="96"/>
      <c r="C82" s="96"/>
      <c r="D82" s="96"/>
      <c r="E82" s="96"/>
      <c r="F82" s="96"/>
      <c r="G82" s="96"/>
      <c r="H82" s="96"/>
      <c r="I82" s="96"/>
      <c r="J82" s="96"/>
      <c r="K82" s="96"/>
      <c r="L82" s="96"/>
      <c r="M82" s="96"/>
      <c r="N82" s="96"/>
      <c r="O82" s="96"/>
      <c r="P82" s="96"/>
      <c r="Q82" s="96"/>
      <c r="R82" s="96"/>
    </row>
    <row r="83" spans="1:18" x14ac:dyDescent="0.25">
      <c r="A83" s="96"/>
      <c r="B83" s="96"/>
      <c r="C83" s="96"/>
      <c r="D83" s="96"/>
      <c r="E83" s="96"/>
      <c r="F83" s="96"/>
      <c r="G83" s="96"/>
      <c r="H83" s="96"/>
      <c r="I83" s="96"/>
      <c r="J83" s="96"/>
      <c r="K83" s="96"/>
      <c r="L83" s="96"/>
      <c r="M83" s="96"/>
      <c r="N83" s="96"/>
      <c r="O83" s="96"/>
      <c r="P83" s="96"/>
      <c r="Q83" s="96"/>
      <c r="R83" s="96"/>
    </row>
    <row r="84" spans="1:18" x14ac:dyDescent="0.25">
      <c r="A84" s="96"/>
      <c r="B84" s="96"/>
      <c r="C84" s="96"/>
      <c r="D84" s="96"/>
      <c r="E84" s="96"/>
      <c r="F84" s="96"/>
      <c r="G84" s="96"/>
      <c r="H84" s="96"/>
      <c r="I84" s="96"/>
      <c r="J84" s="96"/>
      <c r="K84" s="96"/>
      <c r="L84" s="96"/>
      <c r="M84" s="96"/>
      <c r="N84" s="96"/>
      <c r="O84" s="96"/>
      <c r="P84" s="96"/>
      <c r="Q84" s="96"/>
      <c r="R84" s="96"/>
    </row>
    <row r="85" spans="1:18" x14ac:dyDescent="0.25">
      <c r="A85" s="96"/>
      <c r="B85" s="96"/>
      <c r="C85" s="96"/>
      <c r="D85" s="96"/>
      <c r="E85" s="96"/>
      <c r="F85" s="96"/>
      <c r="G85" s="96"/>
      <c r="H85" s="96"/>
      <c r="I85" s="96"/>
      <c r="J85" s="96"/>
      <c r="K85" s="96"/>
      <c r="L85" s="96"/>
      <c r="M85" s="96"/>
      <c r="N85" s="96"/>
      <c r="O85" s="96"/>
      <c r="P85" s="96"/>
      <c r="Q85" s="96"/>
      <c r="R85" s="96"/>
    </row>
    <row r="86" spans="1:18" x14ac:dyDescent="0.25">
      <c r="A86" s="96"/>
      <c r="B86" s="96"/>
      <c r="C86" s="96"/>
      <c r="D86" s="96"/>
      <c r="E86" s="96"/>
      <c r="F86" s="96"/>
      <c r="G86" s="96"/>
      <c r="H86" s="96"/>
      <c r="I86" s="96"/>
      <c r="J86" s="96"/>
      <c r="K86" s="96"/>
      <c r="L86" s="96"/>
      <c r="M86" s="96"/>
      <c r="N86" s="96"/>
      <c r="O86" s="96"/>
      <c r="P86" s="96"/>
      <c r="Q86" s="96"/>
      <c r="R86" s="96"/>
    </row>
    <row r="87" spans="1:18" x14ac:dyDescent="0.25">
      <c r="A87" s="96"/>
      <c r="B87" s="96"/>
      <c r="C87" s="96"/>
      <c r="D87" s="96"/>
      <c r="E87" s="96"/>
      <c r="F87" s="96"/>
      <c r="G87" s="96"/>
      <c r="H87" s="96"/>
      <c r="I87" s="96"/>
      <c r="J87" s="96"/>
      <c r="K87" s="96"/>
      <c r="L87" s="96"/>
      <c r="M87" s="96"/>
      <c r="N87" s="96"/>
      <c r="O87" s="96"/>
      <c r="P87" s="96"/>
      <c r="Q87" s="96"/>
      <c r="R87" s="96"/>
    </row>
    <row r="88" spans="1:18" x14ac:dyDescent="0.25">
      <c r="A88" s="96"/>
      <c r="B88" s="96"/>
      <c r="C88" s="96"/>
      <c r="D88" s="96"/>
      <c r="E88" s="96"/>
      <c r="F88" s="96"/>
      <c r="G88" s="96"/>
      <c r="H88" s="96"/>
      <c r="I88" s="96"/>
      <c r="J88" s="96"/>
      <c r="K88" s="96"/>
      <c r="L88" s="96"/>
      <c r="M88" s="96"/>
      <c r="N88" s="96"/>
      <c r="O88" s="96"/>
      <c r="P88" s="96"/>
      <c r="Q88" s="96"/>
      <c r="R88" s="96"/>
    </row>
    <row r="89" spans="1:18" x14ac:dyDescent="0.25">
      <c r="A89" s="96"/>
      <c r="B89" s="96"/>
      <c r="C89" s="96"/>
      <c r="D89" s="96"/>
      <c r="E89" s="96"/>
      <c r="F89" s="96"/>
      <c r="G89" s="96"/>
      <c r="H89" s="96"/>
      <c r="I89" s="96"/>
      <c r="J89" s="96"/>
      <c r="K89" s="96"/>
      <c r="L89" s="96"/>
      <c r="M89" s="96"/>
      <c r="N89" s="96"/>
      <c r="O89" s="96"/>
      <c r="P89" s="96"/>
      <c r="Q89" s="96"/>
      <c r="R89" s="96"/>
    </row>
    <row r="90" spans="1:18" x14ac:dyDescent="0.25">
      <c r="A90" s="96"/>
      <c r="B90" s="96"/>
      <c r="C90" s="96"/>
      <c r="D90" s="96"/>
      <c r="E90" s="96"/>
      <c r="F90" s="96"/>
      <c r="G90" s="96"/>
      <c r="H90" s="96"/>
      <c r="I90" s="96"/>
      <c r="J90" s="96"/>
      <c r="K90" s="96"/>
      <c r="L90" s="96"/>
      <c r="M90" s="96"/>
      <c r="N90" s="96"/>
      <c r="O90" s="96"/>
      <c r="P90" s="96"/>
      <c r="Q90" s="96"/>
      <c r="R90" s="96"/>
    </row>
    <row r="91" spans="1:18" x14ac:dyDescent="0.25">
      <c r="A91" s="96"/>
      <c r="B91" s="96"/>
      <c r="C91" s="96"/>
      <c r="D91" s="96"/>
      <c r="E91" s="96"/>
      <c r="F91" s="96"/>
      <c r="G91" s="96"/>
      <c r="H91" s="96"/>
      <c r="I91" s="96"/>
      <c r="J91" s="96"/>
      <c r="K91" s="96"/>
      <c r="L91" s="96"/>
      <c r="M91" s="96"/>
      <c r="N91" s="96"/>
      <c r="O91" s="96"/>
      <c r="P91" s="96"/>
      <c r="Q91" s="96"/>
      <c r="R91" s="96"/>
    </row>
    <row r="92" spans="1:18" x14ac:dyDescent="0.25">
      <c r="A92" s="96"/>
      <c r="B92" s="96"/>
      <c r="C92" s="96"/>
      <c r="D92" s="96"/>
      <c r="E92" s="96"/>
      <c r="F92" s="96"/>
      <c r="G92" s="96"/>
      <c r="H92" s="96"/>
      <c r="I92" s="96"/>
      <c r="J92" s="96"/>
      <c r="K92" s="96"/>
      <c r="L92" s="96"/>
      <c r="M92" s="96"/>
      <c r="N92" s="96"/>
      <c r="O92" s="96"/>
      <c r="P92" s="96"/>
      <c r="Q92" s="96"/>
      <c r="R92" s="96"/>
    </row>
    <row r="93" spans="1:18" x14ac:dyDescent="0.25">
      <c r="A93" s="96"/>
      <c r="B93" s="96"/>
      <c r="C93" s="96"/>
      <c r="D93" s="96"/>
      <c r="E93" s="96"/>
      <c r="F93" s="96"/>
      <c r="G93" s="96"/>
      <c r="H93" s="96"/>
      <c r="I93" s="96"/>
      <c r="J93" s="96"/>
      <c r="K93" s="96"/>
      <c r="L93" s="96"/>
      <c r="M93" s="96"/>
      <c r="N93" s="96"/>
      <c r="O93" s="96"/>
      <c r="P93" s="96"/>
      <c r="Q93" s="96"/>
      <c r="R93" s="96"/>
    </row>
    <row r="94" spans="1:18" x14ac:dyDescent="0.25">
      <c r="A94" s="96"/>
      <c r="B94" s="96"/>
      <c r="C94" s="96"/>
      <c r="D94" s="96"/>
      <c r="E94" s="96"/>
      <c r="F94" s="96"/>
      <c r="G94" s="96"/>
      <c r="H94" s="96"/>
      <c r="I94" s="96"/>
      <c r="J94" s="96"/>
      <c r="K94" s="96"/>
      <c r="L94" s="96"/>
      <c r="M94" s="96"/>
      <c r="N94" s="96"/>
      <c r="O94" s="96"/>
      <c r="P94" s="96"/>
      <c r="Q94" s="96"/>
      <c r="R94" s="96"/>
    </row>
    <row r="95" spans="1:18" x14ac:dyDescent="0.25">
      <c r="A95" s="96"/>
      <c r="B95" s="96"/>
      <c r="C95" s="96"/>
      <c r="D95" s="96"/>
      <c r="E95" s="96"/>
      <c r="F95" s="96"/>
      <c r="G95" s="96"/>
      <c r="H95" s="96"/>
      <c r="I95" s="96"/>
      <c r="J95" s="96"/>
      <c r="K95" s="96"/>
      <c r="L95" s="96"/>
      <c r="M95" s="96"/>
      <c r="N95" s="96"/>
      <c r="O95" s="96"/>
      <c r="P95" s="96"/>
      <c r="Q95" s="96"/>
      <c r="R95" s="96"/>
    </row>
    <row r="96" spans="1:18" x14ac:dyDescent="0.25">
      <c r="A96" s="96"/>
      <c r="B96" s="96"/>
      <c r="C96" s="96"/>
      <c r="D96" s="96"/>
      <c r="E96" s="96"/>
      <c r="F96" s="96"/>
      <c r="G96" s="96"/>
      <c r="H96" s="96"/>
      <c r="I96" s="96"/>
      <c r="J96" s="96"/>
      <c r="K96" s="96"/>
      <c r="L96" s="96"/>
      <c r="M96" s="96"/>
      <c r="N96" s="96"/>
      <c r="O96" s="96"/>
      <c r="P96" s="96"/>
      <c r="Q96" s="96"/>
      <c r="R96" s="96"/>
    </row>
    <row r="97" spans="1:18" x14ac:dyDescent="0.25">
      <c r="A97" s="96"/>
      <c r="B97" s="96"/>
      <c r="C97" s="96"/>
      <c r="D97" s="96"/>
      <c r="E97" s="96"/>
      <c r="F97" s="96"/>
      <c r="G97" s="96"/>
      <c r="H97" s="96"/>
      <c r="I97" s="96"/>
      <c r="J97" s="96"/>
      <c r="K97" s="96"/>
      <c r="L97" s="96"/>
      <c r="M97" s="96"/>
      <c r="N97" s="96"/>
      <c r="O97" s="96"/>
      <c r="P97" s="96"/>
      <c r="Q97" s="96"/>
      <c r="R97" s="96"/>
    </row>
    <row r="98" spans="1:18" x14ac:dyDescent="0.25">
      <c r="A98" s="96"/>
      <c r="B98" s="96"/>
      <c r="C98" s="96"/>
      <c r="D98" s="96"/>
      <c r="E98" s="96"/>
      <c r="F98" s="96"/>
      <c r="G98" s="96"/>
      <c r="H98" s="96"/>
      <c r="I98" s="96"/>
      <c r="J98" s="96"/>
      <c r="K98" s="96"/>
      <c r="L98" s="96"/>
      <c r="M98" s="96"/>
      <c r="N98" s="96"/>
      <c r="O98" s="96"/>
      <c r="P98" s="96"/>
      <c r="Q98" s="96"/>
      <c r="R98" s="96"/>
    </row>
    <row r="99" spans="1:18" x14ac:dyDescent="0.25">
      <c r="A99" s="96"/>
      <c r="B99" s="96"/>
      <c r="C99" s="96"/>
      <c r="D99" s="96"/>
      <c r="E99" s="96"/>
      <c r="F99" s="96"/>
      <c r="G99" s="96"/>
      <c r="H99" s="96"/>
      <c r="I99" s="96"/>
      <c r="J99" s="96"/>
      <c r="K99" s="96"/>
      <c r="L99" s="96"/>
      <c r="M99" s="96"/>
      <c r="N99" s="96"/>
      <c r="O99" s="96"/>
      <c r="P99" s="96"/>
      <c r="Q99" s="96"/>
      <c r="R99" s="96"/>
    </row>
    <row r="100" spans="1:18" x14ac:dyDescent="0.25">
      <c r="A100" s="96"/>
      <c r="B100" s="96"/>
      <c r="C100" s="96"/>
      <c r="D100" s="96"/>
      <c r="E100" s="96"/>
      <c r="F100" s="96"/>
      <c r="G100" s="96"/>
      <c r="H100" s="96"/>
      <c r="I100" s="96"/>
      <c r="J100" s="96"/>
      <c r="K100" s="96"/>
      <c r="L100" s="96"/>
      <c r="M100" s="96"/>
      <c r="N100" s="96"/>
      <c r="O100" s="96"/>
      <c r="P100" s="96"/>
      <c r="Q100" s="96"/>
      <c r="R100" s="96"/>
    </row>
    <row r="101" spans="1:18" x14ac:dyDescent="0.25">
      <c r="A101" s="96"/>
      <c r="B101" s="96"/>
      <c r="C101" s="96"/>
      <c r="D101" s="96"/>
      <c r="E101" s="96"/>
      <c r="F101" s="96"/>
      <c r="G101" s="96"/>
      <c r="H101" s="96"/>
      <c r="I101" s="96"/>
      <c r="J101" s="96"/>
      <c r="K101" s="96"/>
      <c r="L101" s="96"/>
      <c r="M101" s="96"/>
      <c r="N101" s="96"/>
      <c r="O101" s="96"/>
      <c r="P101" s="96"/>
      <c r="Q101" s="96"/>
      <c r="R101" s="96"/>
    </row>
    <row r="102" spans="1:18" x14ac:dyDescent="0.25">
      <c r="A102" s="96"/>
      <c r="B102" s="96"/>
      <c r="C102" s="96"/>
      <c r="D102" s="96"/>
      <c r="E102" s="96"/>
      <c r="F102" s="96"/>
      <c r="G102" s="96"/>
      <c r="H102" s="96"/>
      <c r="I102" s="96"/>
      <c r="J102" s="96"/>
      <c r="K102" s="96"/>
      <c r="L102" s="96"/>
      <c r="M102" s="96"/>
      <c r="N102" s="96"/>
      <c r="O102" s="96"/>
      <c r="P102" s="96"/>
      <c r="Q102" s="96"/>
      <c r="R102" s="96"/>
    </row>
    <row r="103" spans="1:18" x14ac:dyDescent="0.25">
      <c r="A103" s="96"/>
      <c r="B103" s="96"/>
      <c r="C103" s="96"/>
      <c r="D103" s="96"/>
      <c r="E103" s="96"/>
      <c r="F103" s="96"/>
      <c r="G103" s="96"/>
      <c r="H103" s="96"/>
      <c r="I103" s="96"/>
      <c r="J103" s="96"/>
      <c r="K103" s="96"/>
      <c r="L103" s="96"/>
      <c r="M103" s="96"/>
      <c r="N103" s="96"/>
      <c r="O103" s="96"/>
      <c r="P103" s="96"/>
      <c r="Q103" s="96"/>
      <c r="R103" s="96"/>
    </row>
    <row r="104" spans="1:18" x14ac:dyDescent="0.25">
      <c r="A104" s="96"/>
      <c r="B104" s="96"/>
      <c r="C104" s="96"/>
      <c r="D104" s="96"/>
      <c r="E104" s="96"/>
      <c r="F104" s="96"/>
      <c r="G104" s="96"/>
      <c r="H104" s="96"/>
      <c r="I104" s="96"/>
      <c r="J104" s="96"/>
      <c r="K104" s="96"/>
      <c r="L104" s="96"/>
      <c r="M104" s="96"/>
      <c r="N104" s="96"/>
      <c r="O104" s="96"/>
      <c r="P104" s="96"/>
      <c r="Q104" s="96"/>
      <c r="R104" s="96"/>
    </row>
    <row r="105" spans="1:18" x14ac:dyDescent="0.25">
      <c r="A105" s="96"/>
      <c r="B105" s="96"/>
      <c r="C105" s="96"/>
      <c r="D105" s="96"/>
      <c r="E105" s="96"/>
      <c r="F105" s="96"/>
      <c r="G105" s="96"/>
      <c r="H105" s="96"/>
      <c r="I105" s="96"/>
      <c r="J105" s="96"/>
      <c r="K105" s="96"/>
      <c r="L105" s="96"/>
      <c r="M105" s="96"/>
      <c r="N105" s="96"/>
      <c r="O105" s="96"/>
      <c r="P105" s="96"/>
      <c r="Q105" s="96"/>
      <c r="R105" s="96"/>
    </row>
    <row r="106" spans="1:18" x14ac:dyDescent="0.25">
      <c r="A106" s="96"/>
      <c r="B106" s="96"/>
      <c r="C106" s="96"/>
      <c r="D106" s="96"/>
      <c r="E106" s="96"/>
      <c r="F106" s="96"/>
      <c r="G106" s="96"/>
      <c r="H106" s="96"/>
      <c r="I106" s="96"/>
      <c r="J106" s="96"/>
      <c r="K106" s="96"/>
      <c r="L106" s="96"/>
      <c r="M106" s="96"/>
      <c r="N106" s="96"/>
      <c r="O106" s="96"/>
      <c r="P106" s="96"/>
      <c r="Q106" s="96"/>
      <c r="R106" s="96"/>
    </row>
    <row r="107" spans="1:18" x14ac:dyDescent="0.25">
      <c r="A107" s="96"/>
      <c r="B107" s="96"/>
      <c r="C107" s="96"/>
      <c r="D107" s="96"/>
      <c r="E107" s="96"/>
      <c r="F107" s="96"/>
      <c r="G107" s="96"/>
      <c r="H107" s="96"/>
      <c r="I107" s="96"/>
      <c r="J107" s="96"/>
      <c r="K107" s="96"/>
      <c r="L107" s="96"/>
      <c r="M107" s="96"/>
      <c r="N107" s="96"/>
      <c r="O107" s="96"/>
      <c r="P107" s="96"/>
      <c r="Q107" s="96"/>
      <c r="R107" s="96"/>
    </row>
    <row r="108" spans="1:18" x14ac:dyDescent="0.25">
      <c r="A108" s="96"/>
      <c r="B108" s="96"/>
      <c r="C108" s="96"/>
      <c r="D108" s="96"/>
      <c r="E108" s="96"/>
      <c r="F108" s="96"/>
      <c r="G108" s="96"/>
      <c r="H108" s="96"/>
      <c r="I108" s="96"/>
      <c r="J108" s="96"/>
      <c r="K108" s="96"/>
      <c r="L108" s="96"/>
      <c r="M108" s="96"/>
      <c r="N108" s="96"/>
      <c r="O108" s="96"/>
      <c r="P108" s="96"/>
      <c r="Q108" s="96"/>
      <c r="R108" s="96"/>
    </row>
    <row r="109" spans="1:18" x14ac:dyDescent="0.25">
      <c r="A109" s="96"/>
      <c r="B109" s="96"/>
      <c r="C109" s="96"/>
      <c r="D109" s="96"/>
      <c r="E109" s="96"/>
      <c r="F109" s="96"/>
      <c r="G109" s="96"/>
      <c r="H109" s="96"/>
      <c r="I109" s="96"/>
      <c r="J109" s="96"/>
      <c r="K109" s="96"/>
      <c r="L109" s="96"/>
      <c r="M109" s="96"/>
      <c r="N109" s="96"/>
      <c r="O109" s="96"/>
      <c r="P109" s="96"/>
      <c r="Q109" s="96"/>
      <c r="R109" s="96"/>
    </row>
    <row r="110" spans="1:18" x14ac:dyDescent="0.25">
      <c r="A110" s="96"/>
      <c r="B110" s="96"/>
      <c r="C110" s="96"/>
      <c r="D110" s="96"/>
      <c r="E110" s="96"/>
      <c r="F110" s="96"/>
      <c r="G110" s="96"/>
      <c r="H110" s="96"/>
      <c r="I110" s="96"/>
      <c r="J110" s="96"/>
      <c r="K110" s="96"/>
      <c r="L110" s="96"/>
      <c r="M110" s="96"/>
      <c r="N110" s="96"/>
      <c r="O110" s="96"/>
      <c r="P110" s="96"/>
      <c r="Q110" s="96"/>
      <c r="R110" s="96"/>
    </row>
    <row r="111" spans="1:18" x14ac:dyDescent="0.25">
      <c r="A111" s="96"/>
      <c r="B111" s="96"/>
      <c r="C111" s="96"/>
      <c r="D111" s="96"/>
      <c r="E111" s="96"/>
      <c r="F111" s="96"/>
      <c r="G111" s="96"/>
      <c r="H111" s="96"/>
      <c r="I111" s="96"/>
      <c r="J111" s="96"/>
      <c r="K111" s="96"/>
      <c r="L111" s="96"/>
      <c r="M111" s="96"/>
      <c r="N111" s="96"/>
      <c r="O111" s="96"/>
      <c r="P111" s="96"/>
      <c r="Q111" s="96"/>
      <c r="R111" s="96"/>
    </row>
    <row r="112" spans="1:18" x14ac:dyDescent="0.25">
      <c r="A112" s="96"/>
      <c r="B112" s="96"/>
      <c r="C112" s="96"/>
      <c r="D112" s="96"/>
      <c r="E112" s="96"/>
      <c r="F112" s="96"/>
      <c r="G112" s="96"/>
      <c r="H112" s="96"/>
      <c r="I112" s="96"/>
      <c r="J112" s="96"/>
      <c r="K112" s="96"/>
      <c r="L112" s="96"/>
      <c r="M112" s="96"/>
      <c r="N112" s="96"/>
      <c r="O112" s="96"/>
      <c r="P112" s="96"/>
      <c r="Q112" s="96"/>
      <c r="R112" s="96"/>
    </row>
    <row r="113" spans="1:18" x14ac:dyDescent="0.25">
      <c r="A113" s="96"/>
      <c r="B113" s="96"/>
      <c r="C113" s="96"/>
      <c r="D113" s="96"/>
      <c r="E113" s="96"/>
      <c r="F113" s="96"/>
      <c r="G113" s="96"/>
      <c r="H113" s="96"/>
      <c r="I113" s="96"/>
      <c r="J113" s="96"/>
      <c r="K113" s="96"/>
      <c r="L113" s="96"/>
      <c r="M113" s="96"/>
      <c r="N113" s="96"/>
      <c r="O113" s="96"/>
      <c r="P113" s="96"/>
      <c r="Q113" s="96"/>
      <c r="R113" s="96"/>
    </row>
    <row r="114" spans="1:18" x14ac:dyDescent="0.25">
      <c r="A114" s="96"/>
      <c r="B114" s="96"/>
      <c r="C114" s="96"/>
      <c r="D114" s="96"/>
      <c r="E114" s="96"/>
      <c r="F114" s="96"/>
      <c r="G114" s="96"/>
      <c r="H114" s="96"/>
      <c r="I114" s="96"/>
      <c r="J114" s="96"/>
      <c r="K114" s="96"/>
      <c r="L114" s="96"/>
      <c r="M114" s="96"/>
      <c r="N114" s="96"/>
      <c r="O114" s="96"/>
      <c r="P114" s="96"/>
      <c r="Q114" s="96"/>
      <c r="R114" s="96"/>
    </row>
    <row r="115" spans="1:18" x14ac:dyDescent="0.25">
      <c r="A115" s="96"/>
      <c r="B115" s="96"/>
      <c r="C115" s="96"/>
      <c r="D115" s="96"/>
      <c r="E115" s="96"/>
      <c r="F115" s="96"/>
      <c r="G115" s="96"/>
      <c r="H115" s="96"/>
      <c r="I115" s="96"/>
      <c r="J115" s="96"/>
      <c r="K115" s="96"/>
      <c r="L115" s="96"/>
      <c r="M115" s="96"/>
      <c r="N115" s="96"/>
      <c r="O115" s="96"/>
      <c r="P115" s="96"/>
      <c r="Q115" s="96"/>
      <c r="R115" s="96"/>
    </row>
    <row r="116" spans="1:18" x14ac:dyDescent="0.25">
      <c r="A116" s="96"/>
      <c r="B116" s="96"/>
      <c r="C116" s="96"/>
      <c r="D116" s="96"/>
      <c r="E116" s="96"/>
      <c r="F116" s="96"/>
      <c r="G116" s="96"/>
      <c r="H116" s="96"/>
      <c r="I116" s="96"/>
      <c r="J116" s="96"/>
      <c r="K116" s="96"/>
      <c r="L116" s="96"/>
      <c r="M116" s="96"/>
      <c r="N116" s="96"/>
      <c r="O116" s="96"/>
      <c r="P116" s="96"/>
      <c r="Q116" s="96"/>
      <c r="R116" s="96"/>
    </row>
    <row r="117" spans="1:18" x14ac:dyDescent="0.25">
      <c r="A117" s="96"/>
      <c r="B117" s="96"/>
      <c r="C117" s="96"/>
      <c r="D117" s="96"/>
      <c r="E117" s="96"/>
      <c r="F117" s="96"/>
      <c r="G117" s="96"/>
      <c r="H117" s="96"/>
      <c r="I117" s="96"/>
      <c r="J117" s="96"/>
      <c r="K117" s="96"/>
      <c r="L117" s="96"/>
      <c r="M117" s="96"/>
      <c r="N117" s="96"/>
      <c r="O117" s="96"/>
      <c r="P117" s="96"/>
      <c r="Q117" s="96"/>
      <c r="R117" s="96"/>
    </row>
    <row r="118" spans="1:18" x14ac:dyDescent="0.25">
      <c r="A118" s="96"/>
      <c r="B118" s="96"/>
      <c r="C118" s="96"/>
      <c r="D118" s="96"/>
      <c r="E118" s="96"/>
      <c r="F118" s="96"/>
      <c r="G118" s="96"/>
      <c r="H118" s="96"/>
      <c r="I118" s="96"/>
      <c r="J118" s="96"/>
      <c r="K118" s="96"/>
      <c r="L118" s="96"/>
      <c r="M118" s="96"/>
      <c r="N118" s="96"/>
      <c r="O118" s="96"/>
      <c r="P118" s="96"/>
      <c r="Q118" s="96"/>
      <c r="R118" s="96"/>
    </row>
    <row r="119" spans="1:18" x14ac:dyDescent="0.25">
      <c r="A119" s="96"/>
      <c r="B119" s="96"/>
      <c r="C119" s="96"/>
      <c r="D119" s="96"/>
      <c r="E119" s="96"/>
      <c r="F119" s="96"/>
      <c r="G119" s="96"/>
      <c r="H119" s="96"/>
      <c r="I119" s="96"/>
      <c r="J119" s="96"/>
      <c r="K119" s="96"/>
      <c r="L119" s="96"/>
      <c r="M119" s="96"/>
      <c r="N119" s="96"/>
      <c r="O119" s="96"/>
      <c r="P119" s="96"/>
      <c r="Q119" s="96"/>
      <c r="R119" s="96"/>
    </row>
    <row r="120" spans="1:18" x14ac:dyDescent="0.25">
      <c r="A120" s="96"/>
      <c r="B120" s="96"/>
      <c r="C120" s="96"/>
      <c r="D120" s="96"/>
      <c r="E120" s="96"/>
      <c r="F120" s="96"/>
      <c r="G120" s="96"/>
      <c r="H120" s="96"/>
      <c r="I120" s="96"/>
      <c r="J120" s="96"/>
      <c r="K120" s="96"/>
      <c r="L120" s="96"/>
      <c r="M120" s="96"/>
      <c r="N120" s="96"/>
      <c r="O120" s="96"/>
      <c r="P120" s="96"/>
      <c r="Q120" s="96"/>
      <c r="R120" s="96"/>
    </row>
    <row r="121" spans="1:18" x14ac:dyDescent="0.25">
      <c r="A121" s="96"/>
      <c r="B121" s="96"/>
      <c r="C121" s="96"/>
      <c r="D121" s="96"/>
      <c r="E121" s="96"/>
      <c r="F121" s="96"/>
      <c r="G121" s="96"/>
      <c r="H121" s="96"/>
      <c r="I121" s="96"/>
      <c r="J121" s="96"/>
      <c r="K121" s="96"/>
      <c r="L121" s="96"/>
      <c r="M121" s="96"/>
      <c r="N121" s="96"/>
      <c r="O121" s="96"/>
      <c r="P121" s="96"/>
      <c r="Q121" s="96"/>
      <c r="R121" s="96"/>
    </row>
    <row r="122" spans="1:18" x14ac:dyDescent="0.25">
      <c r="A122" s="96"/>
      <c r="B122" s="96"/>
      <c r="C122" s="96"/>
      <c r="D122" s="96"/>
      <c r="E122" s="96"/>
      <c r="F122" s="96"/>
      <c r="G122" s="96"/>
      <c r="H122" s="96"/>
      <c r="I122" s="96"/>
      <c r="J122" s="96"/>
      <c r="K122" s="96"/>
      <c r="L122" s="96"/>
      <c r="M122" s="96"/>
      <c r="N122" s="96"/>
      <c r="O122" s="96"/>
      <c r="P122" s="96"/>
      <c r="Q122" s="96"/>
      <c r="R122" s="96"/>
    </row>
    <row r="123" spans="1:18" x14ac:dyDescent="0.25">
      <c r="A123" s="96"/>
      <c r="B123" s="96"/>
      <c r="C123" s="96"/>
      <c r="D123" s="96"/>
      <c r="E123" s="96"/>
      <c r="F123" s="96"/>
      <c r="G123" s="96"/>
      <c r="H123" s="96"/>
      <c r="I123" s="96"/>
      <c r="J123" s="96"/>
      <c r="K123" s="96"/>
      <c r="L123" s="96"/>
      <c r="M123" s="96"/>
      <c r="N123" s="96"/>
      <c r="O123" s="96"/>
      <c r="P123" s="96"/>
      <c r="Q123" s="96"/>
      <c r="R123" s="96"/>
    </row>
    <row r="124" spans="1:18" x14ac:dyDescent="0.25">
      <c r="A124" s="96"/>
      <c r="B124" s="96"/>
      <c r="C124" s="96"/>
      <c r="D124" s="96"/>
      <c r="E124" s="96"/>
      <c r="F124" s="96"/>
      <c r="G124" s="96"/>
      <c r="H124" s="96"/>
      <c r="I124" s="96"/>
      <c r="J124" s="96"/>
      <c r="K124" s="96"/>
      <c r="L124" s="96"/>
      <c r="M124" s="96"/>
      <c r="N124" s="96"/>
      <c r="O124" s="96"/>
      <c r="P124" s="96"/>
      <c r="Q124" s="96"/>
      <c r="R124" s="96"/>
    </row>
    <row r="125" spans="1:18" x14ac:dyDescent="0.25">
      <c r="A125" s="96"/>
      <c r="B125" s="96"/>
      <c r="C125" s="96"/>
      <c r="D125" s="96"/>
      <c r="E125" s="96"/>
      <c r="F125" s="96"/>
      <c r="G125" s="96"/>
      <c r="H125" s="96"/>
      <c r="I125" s="96"/>
      <c r="J125" s="96"/>
      <c r="K125" s="96"/>
      <c r="L125" s="96"/>
      <c r="M125" s="96"/>
      <c r="N125" s="96"/>
      <c r="O125" s="96"/>
      <c r="P125" s="96"/>
      <c r="Q125" s="96"/>
      <c r="R125" s="96"/>
    </row>
    <row r="126" spans="1:18" x14ac:dyDescent="0.25">
      <c r="A126" s="96"/>
      <c r="B126" s="96"/>
      <c r="C126" s="96"/>
      <c r="D126" s="96"/>
      <c r="E126" s="96"/>
      <c r="F126" s="96"/>
      <c r="G126" s="96"/>
      <c r="H126" s="96"/>
      <c r="I126" s="96"/>
      <c r="J126" s="96"/>
      <c r="K126" s="96"/>
      <c r="L126" s="96"/>
      <c r="M126" s="96"/>
      <c r="N126" s="96"/>
      <c r="O126" s="96"/>
      <c r="P126" s="96"/>
      <c r="Q126" s="96"/>
      <c r="R126" s="96"/>
    </row>
    <row r="127" spans="1:18" x14ac:dyDescent="0.25">
      <c r="A127" s="96"/>
      <c r="B127" s="96"/>
      <c r="C127" s="96"/>
      <c r="D127" s="96"/>
      <c r="E127" s="96"/>
      <c r="F127" s="96"/>
      <c r="G127" s="96"/>
      <c r="H127" s="96"/>
      <c r="I127" s="96"/>
      <c r="J127" s="96"/>
      <c r="K127" s="96"/>
      <c r="L127" s="96"/>
      <c r="M127" s="96"/>
      <c r="N127" s="96"/>
      <c r="O127" s="96"/>
      <c r="P127" s="96"/>
      <c r="Q127" s="96"/>
      <c r="R127" s="96"/>
    </row>
    <row r="128" spans="1:18" x14ac:dyDescent="0.25">
      <c r="A128" s="96"/>
      <c r="B128" s="96"/>
      <c r="C128" s="96"/>
      <c r="D128" s="96"/>
      <c r="E128" s="96"/>
      <c r="F128" s="96"/>
      <c r="G128" s="96"/>
      <c r="H128" s="96"/>
      <c r="I128" s="96"/>
      <c r="J128" s="96"/>
      <c r="K128" s="96"/>
      <c r="L128" s="96"/>
      <c r="M128" s="96"/>
      <c r="N128" s="96"/>
      <c r="O128" s="96"/>
      <c r="P128" s="96"/>
      <c r="Q128" s="96"/>
      <c r="R128" s="96"/>
    </row>
    <row r="129" spans="1:18" x14ac:dyDescent="0.25">
      <c r="A129" s="96"/>
      <c r="B129" s="96"/>
      <c r="C129" s="96"/>
      <c r="D129" s="96"/>
      <c r="E129" s="96"/>
      <c r="F129" s="96"/>
      <c r="G129" s="96"/>
      <c r="H129" s="96"/>
      <c r="I129" s="96"/>
      <c r="J129" s="96"/>
      <c r="K129" s="96"/>
      <c r="L129" s="96"/>
      <c r="M129" s="96"/>
      <c r="N129" s="96"/>
      <c r="O129" s="96"/>
      <c r="P129" s="96"/>
      <c r="Q129" s="96"/>
      <c r="R129" s="96"/>
    </row>
    <row r="130" spans="1:18" x14ac:dyDescent="0.25">
      <c r="A130" s="96"/>
      <c r="B130" s="96"/>
      <c r="C130" s="96"/>
      <c r="D130" s="96"/>
      <c r="E130" s="96"/>
      <c r="F130" s="96"/>
      <c r="G130" s="96"/>
      <c r="H130" s="96"/>
      <c r="I130" s="96"/>
      <c r="J130" s="96"/>
      <c r="K130" s="96"/>
      <c r="L130" s="96"/>
      <c r="M130" s="96"/>
      <c r="N130" s="96"/>
      <c r="O130" s="96"/>
      <c r="P130" s="96"/>
      <c r="Q130" s="96"/>
      <c r="R130" s="96"/>
    </row>
    <row r="131" spans="1:18" x14ac:dyDescent="0.25">
      <c r="A131" s="96"/>
      <c r="B131" s="96"/>
      <c r="C131" s="96"/>
      <c r="D131" s="96"/>
      <c r="E131" s="96"/>
      <c r="F131" s="96"/>
      <c r="G131" s="96"/>
      <c r="H131" s="96"/>
      <c r="I131" s="96"/>
      <c r="J131" s="96"/>
      <c r="K131" s="96"/>
      <c r="L131" s="96"/>
      <c r="M131" s="96"/>
      <c r="N131" s="96"/>
      <c r="O131" s="96"/>
      <c r="P131" s="96"/>
      <c r="Q131" s="96"/>
      <c r="R131" s="96"/>
    </row>
    <row r="132" spans="1:18" x14ac:dyDescent="0.25">
      <c r="A132" s="96"/>
      <c r="B132" s="96"/>
      <c r="C132" s="96"/>
      <c r="D132" s="96"/>
      <c r="E132" s="96"/>
      <c r="F132" s="96"/>
      <c r="G132" s="96"/>
      <c r="H132" s="96"/>
      <c r="I132" s="96"/>
      <c r="J132" s="96"/>
      <c r="K132" s="96"/>
      <c r="L132" s="96"/>
      <c r="M132" s="96"/>
      <c r="N132" s="96"/>
      <c r="O132" s="96"/>
      <c r="P132" s="96"/>
      <c r="Q132" s="96"/>
      <c r="R132" s="96"/>
    </row>
    <row r="133" spans="1:18" x14ac:dyDescent="0.25">
      <c r="A133" s="96"/>
      <c r="B133" s="96"/>
      <c r="C133" s="96"/>
      <c r="D133" s="96"/>
      <c r="E133" s="96"/>
      <c r="F133" s="96"/>
      <c r="G133" s="96"/>
      <c r="H133" s="96"/>
      <c r="I133" s="96"/>
      <c r="J133" s="96"/>
      <c r="K133" s="96"/>
      <c r="L133" s="96"/>
      <c r="M133" s="96"/>
      <c r="N133" s="96"/>
      <c r="O133" s="96"/>
      <c r="P133" s="96"/>
      <c r="Q133" s="96"/>
      <c r="R133" s="96"/>
    </row>
    <row r="134" spans="1:18" x14ac:dyDescent="0.25">
      <c r="A134" s="96"/>
      <c r="B134" s="96"/>
      <c r="C134" s="96"/>
      <c r="D134" s="96"/>
      <c r="E134" s="96"/>
      <c r="F134" s="96"/>
      <c r="G134" s="96"/>
      <c r="H134" s="96"/>
      <c r="I134" s="96"/>
      <c r="J134" s="96"/>
      <c r="K134" s="96"/>
      <c r="L134" s="96"/>
      <c r="M134" s="96"/>
      <c r="N134" s="96"/>
      <c r="O134" s="96"/>
      <c r="P134" s="96"/>
      <c r="Q134" s="96"/>
      <c r="R134" s="96"/>
    </row>
    <row r="135" spans="1:18" x14ac:dyDescent="0.25">
      <c r="A135" s="96"/>
      <c r="B135" s="96"/>
      <c r="C135" s="96"/>
      <c r="D135" s="96"/>
      <c r="E135" s="96"/>
      <c r="F135" s="96"/>
      <c r="G135" s="96"/>
      <c r="H135" s="96"/>
      <c r="I135" s="96"/>
      <c r="J135" s="96"/>
      <c r="K135" s="96"/>
      <c r="L135" s="96"/>
      <c r="M135" s="96"/>
      <c r="N135" s="96"/>
      <c r="O135" s="96"/>
      <c r="P135" s="96"/>
      <c r="Q135" s="96"/>
      <c r="R135" s="96"/>
    </row>
    <row r="136" spans="1:18" x14ac:dyDescent="0.25">
      <c r="A136" s="96"/>
      <c r="B136" s="96"/>
      <c r="C136" s="96"/>
      <c r="D136" s="96"/>
      <c r="E136" s="96"/>
      <c r="F136" s="96"/>
      <c r="G136" s="96"/>
      <c r="H136" s="96"/>
      <c r="I136" s="96"/>
      <c r="J136" s="96"/>
      <c r="K136" s="96"/>
      <c r="L136" s="96"/>
      <c r="M136" s="96"/>
      <c r="N136" s="96"/>
      <c r="O136" s="96"/>
      <c r="P136" s="96"/>
      <c r="Q136" s="96"/>
      <c r="R136" s="96"/>
    </row>
    <row r="137" spans="1:18" x14ac:dyDescent="0.25">
      <c r="A137" s="96"/>
      <c r="B137" s="96"/>
      <c r="C137" s="96"/>
      <c r="D137" s="96"/>
      <c r="E137" s="96"/>
      <c r="F137" s="96"/>
      <c r="G137" s="96"/>
      <c r="H137" s="96"/>
      <c r="I137" s="96"/>
      <c r="J137" s="96"/>
      <c r="K137" s="96"/>
      <c r="L137" s="96"/>
      <c r="M137" s="96"/>
      <c r="N137" s="96"/>
      <c r="O137" s="96"/>
      <c r="P137" s="96"/>
      <c r="Q137" s="96"/>
      <c r="R137" s="96"/>
    </row>
    <row r="138" spans="1:18" x14ac:dyDescent="0.25">
      <c r="A138" s="96"/>
      <c r="B138" s="96"/>
      <c r="C138" s="96"/>
      <c r="D138" s="96"/>
      <c r="E138" s="96"/>
      <c r="F138" s="96"/>
      <c r="G138" s="96"/>
      <c r="H138" s="96"/>
      <c r="I138" s="96"/>
      <c r="J138" s="96"/>
      <c r="K138" s="96"/>
      <c r="L138" s="96"/>
      <c r="M138" s="96"/>
      <c r="N138" s="96"/>
      <c r="O138" s="96"/>
      <c r="P138" s="96"/>
      <c r="Q138" s="96"/>
      <c r="R138" s="96"/>
    </row>
    <row r="139" spans="1:18" x14ac:dyDescent="0.25">
      <c r="A139" s="96"/>
      <c r="B139" s="96"/>
      <c r="C139" s="96"/>
      <c r="D139" s="96"/>
      <c r="E139" s="96"/>
      <c r="F139" s="96"/>
      <c r="G139" s="96"/>
      <c r="H139" s="96"/>
      <c r="I139" s="96"/>
      <c r="J139" s="96"/>
      <c r="K139" s="96"/>
      <c r="L139" s="96"/>
      <c r="M139" s="96"/>
      <c r="N139" s="96"/>
      <c r="O139" s="96"/>
      <c r="P139" s="96"/>
      <c r="Q139" s="96"/>
      <c r="R139" s="96"/>
    </row>
    <row r="140" spans="1:18" x14ac:dyDescent="0.25">
      <c r="A140" s="96"/>
      <c r="B140" s="96"/>
      <c r="C140" s="96"/>
      <c r="D140" s="96"/>
      <c r="E140" s="96"/>
      <c r="F140" s="96"/>
      <c r="G140" s="96"/>
      <c r="H140" s="96"/>
      <c r="I140" s="96"/>
      <c r="J140" s="96"/>
      <c r="K140" s="96"/>
      <c r="L140" s="96"/>
      <c r="M140" s="96"/>
      <c r="N140" s="96"/>
      <c r="O140" s="96"/>
      <c r="P140" s="96"/>
      <c r="Q140" s="96"/>
      <c r="R140" s="96"/>
    </row>
    <row r="141" spans="1:18" x14ac:dyDescent="0.25">
      <c r="A141" s="96"/>
      <c r="B141" s="96"/>
      <c r="C141" s="96"/>
      <c r="D141" s="96"/>
      <c r="E141" s="96"/>
      <c r="F141" s="96"/>
      <c r="G141" s="96"/>
      <c r="H141" s="96"/>
      <c r="I141" s="96"/>
      <c r="J141" s="96"/>
      <c r="K141" s="96"/>
      <c r="L141" s="96"/>
      <c r="M141" s="96"/>
      <c r="N141" s="96"/>
      <c r="O141" s="96"/>
      <c r="P141" s="96"/>
      <c r="Q141" s="96"/>
      <c r="R141" s="96"/>
    </row>
    <row r="142" spans="1:18" x14ac:dyDescent="0.25">
      <c r="A142" s="96"/>
      <c r="B142" s="96"/>
      <c r="C142" s="96"/>
      <c r="D142" s="96"/>
      <c r="E142" s="96"/>
      <c r="F142" s="96"/>
      <c r="G142" s="96"/>
      <c r="H142" s="96"/>
      <c r="I142" s="96"/>
      <c r="J142" s="96"/>
      <c r="K142" s="96"/>
      <c r="L142" s="96"/>
      <c r="M142" s="96"/>
      <c r="N142" s="96"/>
      <c r="O142" s="96"/>
      <c r="P142" s="96"/>
      <c r="Q142" s="96"/>
      <c r="R142" s="96"/>
    </row>
    <row r="143" spans="1:18" x14ac:dyDescent="0.25">
      <c r="A143" s="96"/>
      <c r="B143" s="96"/>
      <c r="C143" s="96"/>
      <c r="D143" s="96"/>
      <c r="E143" s="96"/>
      <c r="F143" s="96"/>
      <c r="G143" s="96"/>
      <c r="H143" s="96"/>
      <c r="I143" s="96"/>
      <c r="J143" s="96"/>
      <c r="K143" s="96"/>
      <c r="L143" s="96"/>
      <c r="M143" s="96"/>
      <c r="N143" s="96"/>
      <c r="O143" s="96"/>
      <c r="P143" s="96"/>
      <c r="Q143" s="96"/>
      <c r="R143" s="96"/>
    </row>
    <row r="144" spans="1:18" x14ac:dyDescent="0.25">
      <c r="A144" s="96"/>
      <c r="B144" s="96"/>
      <c r="C144" s="96"/>
      <c r="D144" s="96"/>
      <c r="E144" s="96"/>
      <c r="F144" s="96"/>
      <c r="G144" s="96"/>
      <c r="H144" s="96"/>
      <c r="I144" s="96"/>
      <c r="J144" s="96"/>
      <c r="K144" s="96"/>
      <c r="L144" s="96"/>
      <c r="M144" s="96"/>
      <c r="N144" s="96"/>
      <c r="O144" s="96"/>
      <c r="P144" s="96"/>
      <c r="Q144" s="96"/>
      <c r="R144" s="96"/>
    </row>
    <row r="145" spans="1:18" x14ac:dyDescent="0.25">
      <c r="A145" s="96"/>
      <c r="B145" s="96"/>
      <c r="C145" s="96"/>
      <c r="D145" s="96"/>
      <c r="E145" s="96"/>
      <c r="F145" s="96"/>
      <c r="G145" s="96"/>
      <c r="H145" s="96"/>
      <c r="I145" s="96"/>
      <c r="J145" s="96"/>
      <c r="K145" s="96"/>
      <c r="L145" s="96"/>
      <c r="M145" s="96"/>
      <c r="N145" s="96"/>
      <c r="O145" s="96"/>
      <c r="P145" s="96"/>
      <c r="Q145" s="96"/>
      <c r="R145" s="96"/>
    </row>
    <row r="146" spans="1:18" x14ac:dyDescent="0.25">
      <c r="A146" s="96"/>
      <c r="B146" s="96"/>
      <c r="C146" s="96"/>
      <c r="D146" s="96"/>
      <c r="E146" s="96"/>
      <c r="F146" s="96"/>
      <c r="G146" s="96"/>
      <c r="H146" s="96"/>
      <c r="I146" s="96"/>
      <c r="J146" s="96"/>
      <c r="K146" s="96"/>
      <c r="L146" s="96"/>
      <c r="M146" s="96"/>
      <c r="N146" s="96"/>
      <c r="O146" s="96"/>
      <c r="P146" s="96"/>
      <c r="Q146" s="96"/>
      <c r="R146" s="96"/>
    </row>
    <row r="147" spans="1:18" x14ac:dyDescent="0.25">
      <c r="A147" s="96"/>
      <c r="B147" s="96"/>
      <c r="C147" s="96"/>
      <c r="D147" s="96"/>
      <c r="E147" s="96"/>
      <c r="F147" s="96"/>
      <c r="G147" s="96"/>
      <c r="H147" s="96"/>
      <c r="I147" s="96"/>
      <c r="J147" s="96"/>
      <c r="K147" s="96"/>
      <c r="L147" s="96"/>
      <c r="M147" s="96"/>
      <c r="N147" s="96"/>
      <c r="O147" s="96"/>
      <c r="P147" s="96"/>
      <c r="Q147" s="96"/>
      <c r="R147" s="96"/>
    </row>
    <row r="148" spans="1:18" x14ac:dyDescent="0.25">
      <c r="A148" s="96"/>
      <c r="B148" s="96"/>
      <c r="C148" s="96"/>
      <c r="D148" s="96"/>
      <c r="E148" s="96"/>
      <c r="F148" s="96"/>
      <c r="G148" s="96"/>
      <c r="H148" s="96"/>
      <c r="I148" s="96"/>
      <c r="J148" s="96"/>
      <c r="K148" s="96"/>
      <c r="L148" s="96"/>
      <c r="M148" s="96"/>
      <c r="N148" s="96"/>
      <c r="O148" s="96"/>
      <c r="P148" s="96"/>
      <c r="Q148" s="96"/>
      <c r="R148" s="96"/>
    </row>
    <row r="149" spans="1:18" x14ac:dyDescent="0.25">
      <c r="A149" s="96"/>
      <c r="B149" s="96"/>
      <c r="C149" s="96"/>
      <c r="D149" s="96"/>
      <c r="E149" s="96"/>
      <c r="F149" s="96"/>
      <c r="G149" s="96"/>
      <c r="H149" s="96"/>
      <c r="I149" s="96"/>
      <c r="J149" s="96"/>
      <c r="K149" s="96"/>
      <c r="L149" s="96"/>
      <c r="M149" s="96"/>
      <c r="N149" s="96"/>
      <c r="O149" s="96"/>
      <c r="P149" s="96"/>
      <c r="Q149" s="96"/>
      <c r="R149" s="96"/>
    </row>
    <row r="150" spans="1:18" x14ac:dyDescent="0.25">
      <c r="A150" s="96"/>
      <c r="B150" s="96"/>
      <c r="C150" s="96"/>
      <c r="D150" s="96"/>
      <c r="E150" s="96"/>
      <c r="F150" s="96"/>
      <c r="G150" s="96"/>
      <c r="H150" s="96"/>
      <c r="I150" s="96"/>
      <c r="J150" s="96"/>
      <c r="K150" s="96"/>
      <c r="L150" s="96"/>
      <c r="M150" s="96"/>
      <c r="N150" s="96"/>
      <c r="O150" s="96"/>
      <c r="P150" s="96"/>
      <c r="Q150" s="96"/>
      <c r="R150" s="96"/>
    </row>
    <row r="151" spans="1:18" x14ac:dyDescent="0.25">
      <c r="A151" s="96"/>
      <c r="B151" s="96"/>
      <c r="C151" s="96"/>
      <c r="D151" s="96"/>
      <c r="E151" s="96"/>
      <c r="F151" s="96"/>
      <c r="G151" s="96"/>
      <c r="H151" s="96"/>
      <c r="I151" s="96"/>
      <c r="J151" s="96"/>
      <c r="K151" s="96"/>
      <c r="L151" s="96"/>
      <c r="M151" s="96"/>
      <c r="N151" s="96"/>
      <c r="O151" s="96"/>
      <c r="P151" s="96"/>
      <c r="Q151" s="96"/>
      <c r="R151" s="96"/>
    </row>
    <row r="152" spans="1:18" x14ac:dyDescent="0.25">
      <c r="A152" s="96"/>
      <c r="B152" s="96"/>
      <c r="C152" s="96"/>
      <c r="D152" s="96"/>
      <c r="E152" s="96"/>
      <c r="F152" s="96"/>
      <c r="G152" s="96"/>
      <c r="H152" s="96"/>
      <c r="I152" s="96"/>
      <c r="J152" s="96"/>
      <c r="K152" s="96"/>
      <c r="L152" s="96"/>
      <c r="M152" s="96"/>
      <c r="N152" s="96"/>
      <c r="O152" s="96"/>
      <c r="P152" s="96"/>
      <c r="Q152" s="96"/>
      <c r="R152" s="96"/>
    </row>
    <row r="153" spans="1:18" x14ac:dyDescent="0.25">
      <c r="A153" s="96"/>
      <c r="B153" s="96"/>
      <c r="C153" s="96"/>
      <c r="D153" s="96"/>
      <c r="E153" s="96"/>
      <c r="F153" s="96"/>
      <c r="G153" s="96"/>
      <c r="H153" s="96"/>
      <c r="I153" s="96"/>
      <c r="J153" s="96"/>
      <c r="K153" s="96"/>
      <c r="L153" s="96"/>
      <c r="M153" s="96"/>
      <c r="N153" s="96"/>
      <c r="O153" s="96"/>
      <c r="P153" s="96"/>
      <c r="Q153" s="96"/>
      <c r="R153" s="96"/>
    </row>
    <row r="154" spans="1:18" x14ac:dyDescent="0.25">
      <c r="A154" s="96"/>
      <c r="B154" s="96"/>
      <c r="C154" s="96"/>
      <c r="D154" s="96"/>
      <c r="E154" s="96"/>
      <c r="F154" s="96"/>
      <c r="G154" s="96"/>
      <c r="H154" s="96"/>
      <c r="I154" s="96"/>
      <c r="J154" s="96"/>
      <c r="K154" s="96"/>
      <c r="L154" s="96"/>
      <c r="M154" s="96"/>
      <c r="N154" s="96"/>
      <c r="O154" s="96"/>
      <c r="P154" s="96"/>
      <c r="Q154" s="96"/>
      <c r="R154" s="96"/>
    </row>
    <row r="155" spans="1:18" x14ac:dyDescent="0.25">
      <c r="A155" s="96"/>
      <c r="B155" s="96"/>
      <c r="C155" s="96"/>
      <c r="D155" s="96"/>
      <c r="E155" s="96"/>
      <c r="F155" s="96"/>
      <c r="G155" s="96"/>
      <c r="H155" s="96"/>
      <c r="I155" s="96"/>
      <c r="J155" s="96"/>
      <c r="K155" s="96"/>
      <c r="L155" s="96"/>
      <c r="M155" s="96"/>
      <c r="N155" s="96"/>
      <c r="O155" s="96"/>
      <c r="P155" s="96"/>
      <c r="Q155" s="96"/>
      <c r="R155" s="96"/>
    </row>
    <row r="156" spans="1:18" x14ac:dyDescent="0.25">
      <c r="A156" s="96"/>
      <c r="B156" s="96"/>
      <c r="C156" s="96"/>
      <c r="D156" s="96"/>
      <c r="E156" s="96"/>
      <c r="F156" s="96"/>
      <c r="G156" s="96"/>
      <c r="H156" s="96"/>
      <c r="I156" s="96"/>
      <c r="J156" s="96"/>
      <c r="K156" s="96"/>
      <c r="L156" s="96"/>
      <c r="M156" s="96"/>
      <c r="N156" s="96"/>
      <c r="O156" s="96"/>
      <c r="P156" s="96"/>
      <c r="Q156" s="96"/>
      <c r="R156" s="96"/>
    </row>
    <row r="157" spans="1:18" x14ac:dyDescent="0.25">
      <c r="A157" s="96"/>
      <c r="B157" s="96"/>
      <c r="C157" s="96"/>
      <c r="D157" s="96"/>
      <c r="E157" s="96"/>
      <c r="F157" s="96"/>
      <c r="G157" s="96"/>
      <c r="H157" s="96"/>
      <c r="I157" s="96"/>
      <c r="J157" s="96"/>
      <c r="K157" s="96"/>
      <c r="L157" s="96"/>
      <c r="M157" s="96"/>
      <c r="N157" s="96"/>
      <c r="O157" s="96"/>
      <c r="P157" s="96"/>
      <c r="Q157" s="96"/>
      <c r="R157" s="96"/>
    </row>
    <row r="158" spans="1:18" x14ac:dyDescent="0.25">
      <c r="A158" s="96"/>
      <c r="B158" s="96"/>
      <c r="C158" s="96"/>
      <c r="D158" s="96"/>
      <c r="E158" s="96"/>
      <c r="F158" s="96"/>
      <c r="G158" s="96"/>
      <c r="H158" s="96"/>
      <c r="I158" s="96"/>
      <c r="J158" s="96"/>
      <c r="K158" s="96"/>
      <c r="L158" s="96"/>
      <c r="M158" s="96"/>
      <c r="N158" s="96"/>
      <c r="O158" s="96"/>
      <c r="P158" s="96"/>
      <c r="Q158" s="96"/>
      <c r="R158" s="96"/>
    </row>
    <row r="159" spans="1:18" x14ac:dyDescent="0.25">
      <c r="A159" s="96"/>
      <c r="B159" s="96"/>
      <c r="C159" s="96"/>
      <c r="D159" s="96"/>
      <c r="E159" s="96"/>
      <c r="F159" s="96"/>
      <c r="G159" s="96"/>
      <c r="H159" s="96"/>
      <c r="I159" s="96"/>
      <c r="J159" s="96"/>
      <c r="K159" s="96"/>
      <c r="L159" s="96"/>
      <c r="M159" s="96"/>
      <c r="N159" s="96"/>
      <c r="O159" s="96"/>
      <c r="P159" s="96"/>
      <c r="Q159" s="96"/>
      <c r="R159" s="96"/>
    </row>
    <row r="160" spans="1:18" x14ac:dyDescent="0.25">
      <c r="A160" s="96"/>
      <c r="B160" s="96"/>
      <c r="C160" s="96"/>
      <c r="D160" s="96"/>
      <c r="E160" s="96"/>
      <c r="F160" s="96"/>
      <c r="G160" s="96"/>
      <c r="H160" s="96"/>
      <c r="I160" s="96"/>
      <c r="J160" s="96"/>
      <c r="K160" s="96"/>
      <c r="L160" s="96"/>
      <c r="M160" s="96"/>
      <c r="N160" s="96"/>
      <c r="O160" s="96"/>
      <c r="P160" s="96"/>
      <c r="Q160" s="96"/>
      <c r="R160" s="96"/>
    </row>
    <row r="161" spans="1:18" x14ac:dyDescent="0.25">
      <c r="A161" s="96"/>
      <c r="B161" s="96"/>
      <c r="C161" s="96"/>
      <c r="D161" s="96"/>
      <c r="E161" s="96"/>
      <c r="F161" s="96"/>
      <c r="G161" s="96"/>
      <c r="H161" s="96"/>
      <c r="I161" s="96"/>
      <c r="J161" s="96"/>
      <c r="K161" s="96"/>
      <c r="L161" s="96"/>
      <c r="M161" s="96"/>
      <c r="N161" s="96"/>
      <c r="O161" s="96"/>
      <c r="P161" s="96"/>
      <c r="Q161" s="96"/>
      <c r="R161" s="96"/>
    </row>
    <row r="162" spans="1:18" x14ac:dyDescent="0.25">
      <c r="A162" s="96"/>
      <c r="B162" s="96"/>
      <c r="C162" s="96"/>
      <c r="D162" s="96"/>
      <c r="E162" s="96"/>
      <c r="F162" s="96"/>
      <c r="G162" s="96"/>
      <c r="H162" s="96"/>
      <c r="I162" s="96"/>
      <c r="J162" s="96"/>
      <c r="K162" s="96"/>
      <c r="L162" s="96"/>
      <c r="M162" s="96"/>
      <c r="N162" s="96"/>
      <c r="O162" s="96"/>
      <c r="P162" s="96"/>
      <c r="Q162" s="96"/>
      <c r="R162" s="96"/>
    </row>
    <row r="163" spans="1:18" x14ac:dyDescent="0.25">
      <c r="A163" s="96"/>
      <c r="B163" s="96"/>
      <c r="C163" s="96"/>
      <c r="D163" s="96"/>
      <c r="E163" s="96"/>
      <c r="F163" s="96"/>
      <c r="G163" s="96"/>
      <c r="H163" s="96"/>
      <c r="I163" s="96"/>
      <c r="J163" s="96"/>
      <c r="K163" s="96"/>
      <c r="L163" s="96"/>
      <c r="M163" s="96"/>
      <c r="N163" s="96"/>
      <c r="O163" s="96"/>
      <c r="P163" s="96"/>
      <c r="Q163" s="96"/>
      <c r="R163" s="96"/>
    </row>
    <row r="164" spans="1:18" x14ac:dyDescent="0.25">
      <c r="A164" s="96"/>
      <c r="B164" s="96"/>
      <c r="C164" s="96"/>
      <c r="D164" s="96"/>
      <c r="E164" s="96"/>
      <c r="F164" s="96"/>
      <c r="G164" s="96"/>
      <c r="H164" s="96"/>
      <c r="I164" s="96"/>
      <c r="J164" s="96"/>
      <c r="K164" s="96"/>
      <c r="L164" s="96"/>
      <c r="M164" s="96"/>
      <c r="N164" s="96"/>
      <c r="O164" s="96"/>
      <c r="P164" s="96"/>
      <c r="Q164" s="96"/>
      <c r="R164" s="96"/>
    </row>
    <row r="165" spans="1:18" x14ac:dyDescent="0.25">
      <c r="A165" s="96"/>
      <c r="B165" s="96"/>
      <c r="C165" s="96"/>
      <c r="D165" s="96"/>
      <c r="E165" s="96"/>
      <c r="F165" s="96"/>
      <c r="G165" s="96"/>
      <c r="H165" s="96"/>
      <c r="I165" s="96"/>
      <c r="J165" s="96"/>
      <c r="K165" s="96"/>
      <c r="L165" s="96"/>
      <c r="M165" s="96"/>
      <c r="N165" s="96"/>
      <c r="O165" s="96"/>
      <c r="P165" s="96"/>
      <c r="Q165" s="96"/>
      <c r="R165" s="96"/>
    </row>
    <row r="166" spans="1:18" x14ac:dyDescent="0.25">
      <c r="A166" s="96"/>
      <c r="B166" s="96"/>
      <c r="C166" s="96"/>
      <c r="D166" s="96"/>
      <c r="E166" s="96"/>
      <c r="F166" s="96"/>
      <c r="G166" s="96"/>
      <c r="H166" s="96"/>
      <c r="I166" s="96"/>
      <c r="J166" s="96"/>
      <c r="K166" s="96"/>
      <c r="L166" s="96"/>
      <c r="M166" s="96"/>
      <c r="N166" s="96"/>
      <c r="O166" s="96"/>
      <c r="P166" s="96"/>
      <c r="Q166" s="96"/>
      <c r="R166" s="96"/>
    </row>
    <row r="167" spans="1:18" x14ac:dyDescent="0.25">
      <c r="A167" s="96"/>
      <c r="B167" s="96"/>
      <c r="C167" s="96"/>
      <c r="D167" s="96"/>
      <c r="E167" s="96"/>
      <c r="F167" s="96"/>
      <c r="G167" s="96"/>
      <c r="H167" s="96"/>
      <c r="I167" s="96"/>
      <c r="J167" s="96"/>
      <c r="K167" s="96"/>
      <c r="L167" s="96"/>
      <c r="M167" s="96"/>
      <c r="N167" s="96"/>
      <c r="O167" s="96"/>
      <c r="P167" s="96"/>
      <c r="Q167" s="96"/>
      <c r="R167" s="96"/>
    </row>
    <row r="168" spans="1:18" x14ac:dyDescent="0.25">
      <c r="A168" s="96"/>
      <c r="B168" s="96"/>
      <c r="C168" s="96"/>
      <c r="D168" s="96"/>
      <c r="E168" s="96"/>
      <c r="F168" s="96"/>
      <c r="G168" s="96"/>
      <c r="H168" s="96"/>
      <c r="I168" s="96"/>
      <c r="J168" s="96"/>
      <c r="K168" s="96"/>
      <c r="L168" s="96"/>
      <c r="M168" s="96"/>
      <c r="N168" s="96"/>
      <c r="O168" s="96"/>
      <c r="P168" s="96"/>
      <c r="Q168" s="96"/>
      <c r="R168" s="96"/>
    </row>
    <row r="169" spans="1:18" x14ac:dyDescent="0.25">
      <c r="A169" s="96"/>
      <c r="B169" s="96"/>
      <c r="C169" s="96"/>
      <c r="D169" s="96"/>
      <c r="E169" s="96"/>
      <c r="F169" s="96"/>
      <c r="G169" s="96"/>
      <c r="H169" s="96"/>
      <c r="I169" s="96"/>
      <c r="J169" s="96"/>
      <c r="K169" s="96"/>
      <c r="L169" s="96"/>
      <c r="M169" s="96"/>
      <c r="N169" s="96"/>
      <c r="O169" s="96"/>
      <c r="P169" s="96"/>
      <c r="Q169" s="96"/>
      <c r="R169" s="96"/>
    </row>
    <row r="170" spans="1:18" x14ac:dyDescent="0.25">
      <c r="A170" s="96"/>
      <c r="B170" s="96"/>
      <c r="C170" s="96"/>
      <c r="D170" s="96"/>
      <c r="E170" s="96"/>
      <c r="F170" s="96"/>
      <c r="G170" s="96"/>
      <c r="H170" s="96"/>
      <c r="I170" s="96"/>
      <c r="J170" s="96"/>
      <c r="K170" s="96"/>
      <c r="L170" s="96"/>
      <c r="M170" s="96"/>
      <c r="N170" s="96"/>
      <c r="O170" s="96"/>
      <c r="P170" s="96"/>
      <c r="Q170" s="96"/>
      <c r="R170" s="96"/>
    </row>
    <row r="171" spans="1:18" x14ac:dyDescent="0.25">
      <c r="A171" s="96"/>
      <c r="B171" s="96"/>
      <c r="C171" s="96"/>
      <c r="D171" s="96"/>
      <c r="E171" s="96"/>
      <c r="F171" s="96"/>
      <c r="G171" s="96"/>
      <c r="H171" s="96"/>
      <c r="I171" s="96"/>
      <c r="J171" s="96"/>
      <c r="K171" s="96"/>
      <c r="L171" s="96"/>
      <c r="M171" s="96"/>
      <c r="N171" s="96"/>
      <c r="O171" s="96"/>
      <c r="P171" s="96"/>
      <c r="Q171" s="96"/>
      <c r="R171" s="96"/>
    </row>
    <row r="172" spans="1:18" x14ac:dyDescent="0.25">
      <c r="A172" s="96"/>
      <c r="B172" s="96"/>
      <c r="C172" s="96"/>
      <c r="D172" s="96"/>
      <c r="E172" s="96"/>
      <c r="F172" s="96"/>
      <c r="G172" s="96"/>
      <c r="H172" s="96"/>
      <c r="I172" s="96"/>
      <c r="J172" s="96"/>
      <c r="K172" s="96"/>
      <c r="L172" s="96"/>
      <c r="M172" s="96"/>
      <c r="N172" s="96"/>
      <c r="O172" s="96"/>
      <c r="P172" s="96"/>
      <c r="Q172" s="96"/>
      <c r="R172" s="96"/>
    </row>
    <row r="173" spans="1:18" x14ac:dyDescent="0.25">
      <c r="A173" s="96"/>
      <c r="B173" s="96"/>
      <c r="C173" s="96"/>
      <c r="D173" s="96"/>
      <c r="E173" s="96"/>
      <c r="F173" s="96"/>
      <c r="G173" s="96"/>
      <c r="H173" s="96"/>
      <c r="I173" s="96"/>
      <c r="J173" s="96"/>
      <c r="K173" s="96"/>
      <c r="L173" s="96"/>
      <c r="M173" s="96"/>
      <c r="N173" s="96"/>
      <c r="O173" s="96"/>
      <c r="P173" s="96"/>
      <c r="Q173" s="96"/>
      <c r="R173" s="96"/>
    </row>
    <row r="174" spans="1:18" x14ac:dyDescent="0.25">
      <c r="A174" s="96"/>
      <c r="B174" s="96"/>
      <c r="C174" s="96"/>
      <c r="D174" s="96"/>
      <c r="E174" s="96"/>
      <c r="F174" s="96"/>
      <c r="G174" s="96"/>
      <c r="H174" s="96"/>
      <c r="I174" s="96"/>
      <c r="J174" s="96"/>
      <c r="K174" s="96"/>
      <c r="L174" s="96"/>
      <c r="M174" s="96"/>
      <c r="N174" s="96"/>
      <c r="O174" s="96"/>
      <c r="P174" s="96"/>
      <c r="Q174" s="96"/>
      <c r="R174" s="96"/>
    </row>
    <row r="175" spans="1:18" x14ac:dyDescent="0.25">
      <c r="A175" s="96"/>
      <c r="B175" s="96"/>
      <c r="C175" s="96"/>
      <c r="D175" s="96"/>
      <c r="E175" s="96"/>
      <c r="F175" s="96"/>
      <c r="G175" s="96"/>
      <c r="H175" s="96"/>
      <c r="I175" s="96"/>
      <c r="J175" s="96"/>
      <c r="K175" s="96"/>
      <c r="L175" s="96"/>
      <c r="M175" s="96"/>
      <c r="N175" s="96"/>
      <c r="O175" s="96"/>
      <c r="P175" s="96"/>
      <c r="Q175" s="96"/>
      <c r="R175" s="96"/>
    </row>
    <row r="176" spans="1:18" x14ac:dyDescent="0.25">
      <c r="A176" s="96"/>
      <c r="B176" s="96"/>
      <c r="C176" s="96"/>
      <c r="D176" s="96"/>
      <c r="E176" s="96"/>
      <c r="F176" s="96"/>
      <c r="G176" s="96"/>
      <c r="H176" s="96"/>
      <c r="I176" s="96"/>
      <c r="J176" s="96"/>
      <c r="K176" s="96"/>
      <c r="L176" s="96"/>
      <c r="M176" s="96"/>
      <c r="N176" s="96"/>
      <c r="O176" s="96"/>
      <c r="P176" s="96"/>
      <c r="Q176" s="96"/>
      <c r="R176" s="96"/>
    </row>
    <row r="177" spans="1:18" x14ac:dyDescent="0.25">
      <c r="A177" s="96"/>
      <c r="B177" s="96"/>
      <c r="C177" s="96"/>
      <c r="D177" s="96"/>
      <c r="E177" s="96"/>
      <c r="F177" s="96"/>
      <c r="G177" s="96"/>
      <c r="H177" s="96"/>
      <c r="I177" s="96"/>
      <c r="J177" s="96"/>
      <c r="K177" s="96"/>
      <c r="L177" s="96"/>
      <c r="M177" s="96"/>
      <c r="N177" s="96"/>
      <c r="O177" s="96"/>
      <c r="P177" s="96"/>
      <c r="Q177" s="96"/>
      <c r="R177" s="96"/>
    </row>
    <row r="178" spans="1:18" x14ac:dyDescent="0.25">
      <c r="A178" s="96"/>
      <c r="B178" s="96"/>
      <c r="C178" s="96"/>
      <c r="D178" s="96"/>
      <c r="E178" s="96"/>
      <c r="F178" s="96"/>
      <c r="G178" s="96"/>
      <c r="H178" s="96"/>
      <c r="I178" s="96"/>
      <c r="J178" s="96"/>
      <c r="K178" s="96"/>
      <c r="L178" s="96"/>
      <c r="M178" s="96"/>
      <c r="N178" s="96"/>
      <c r="O178" s="96"/>
      <c r="P178" s="96"/>
      <c r="Q178" s="96"/>
      <c r="R178" s="96"/>
    </row>
    <row r="179" spans="1:18" x14ac:dyDescent="0.25">
      <c r="A179" s="96"/>
      <c r="B179" s="96"/>
      <c r="C179" s="96"/>
      <c r="D179" s="96"/>
      <c r="E179" s="96"/>
      <c r="F179" s="96"/>
      <c r="G179" s="96"/>
      <c r="H179" s="96"/>
      <c r="I179" s="96"/>
      <c r="J179" s="96"/>
      <c r="K179" s="96"/>
      <c r="L179" s="96"/>
      <c r="M179" s="96"/>
      <c r="N179" s="96"/>
      <c r="O179" s="96"/>
      <c r="P179" s="96"/>
      <c r="Q179" s="96"/>
      <c r="R179" s="96"/>
    </row>
    <row r="180" spans="1:18" x14ac:dyDescent="0.25">
      <c r="A180" s="96"/>
      <c r="B180" s="96"/>
      <c r="C180" s="96"/>
      <c r="D180" s="96"/>
      <c r="E180" s="96"/>
      <c r="F180" s="96"/>
      <c r="G180" s="96"/>
      <c r="H180" s="96"/>
      <c r="I180" s="96"/>
      <c r="J180" s="96"/>
      <c r="K180" s="96"/>
      <c r="L180" s="96"/>
      <c r="M180" s="96"/>
      <c r="N180" s="96"/>
      <c r="O180" s="96"/>
      <c r="P180" s="96"/>
      <c r="Q180" s="96"/>
      <c r="R180" s="96"/>
    </row>
    <row r="181" spans="1:18" x14ac:dyDescent="0.25">
      <c r="A181" s="96"/>
      <c r="B181" s="96"/>
      <c r="C181" s="96"/>
      <c r="D181" s="96"/>
      <c r="E181" s="96"/>
      <c r="F181" s="96"/>
      <c r="G181" s="96"/>
      <c r="H181" s="96"/>
      <c r="I181" s="96"/>
      <c r="J181" s="96"/>
      <c r="K181" s="96"/>
      <c r="L181" s="96"/>
      <c r="M181" s="96"/>
      <c r="N181" s="96"/>
      <c r="O181" s="96"/>
      <c r="P181" s="96"/>
      <c r="Q181" s="96"/>
      <c r="R181" s="96"/>
    </row>
    <row r="182" spans="1:18" x14ac:dyDescent="0.25">
      <c r="A182" s="96"/>
      <c r="B182" s="96"/>
      <c r="C182" s="96"/>
      <c r="D182" s="96"/>
      <c r="E182" s="96"/>
      <c r="F182" s="96"/>
      <c r="G182" s="96"/>
      <c r="H182" s="96"/>
      <c r="I182" s="96"/>
      <c r="J182" s="96"/>
      <c r="K182" s="96"/>
      <c r="L182" s="96"/>
      <c r="M182" s="96"/>
      <c r="N182" s="96"/>
      <c r="O182" s="96"/>
      <c r="P182" s="96"/>
      <c r="Q182" s="96"/>
      <c r="R182" s="96"/>
    </row>
    <row r="183" spans="1:18" x14ac:dyDescent="0.25">
      <c r="A183" s="96"/>
      <c r="B183" s="96"/>
      <c r="C183" s="96"/>
      <c r="D183" s="96"/>
      <c r="E183" s="96"/>
      <c r="F183" s="96"/>
      <c r="G183" s="96"/>
      <c r="H183" s="96"/>
      <c r="I183" s="96"/>
      <c r="J183" s="96"/>
      <c r="K183" s="96"/>
      <c r="L183" s="96"/>
      <c r="M183" s="96"/>
      <c r="N183" s="96"/>
      <c r="O183" s="96"/>
      <c r="P183" s="96"/>
      <c r="Q183" s="96"/>
      <c r="R183" s="96"/>
    </row>
    <row r="184" spans="1:18" x14ac:dyDescent="0.25">
      <c r="A184" s="96"/>
      <c r="B184" s="96"/>
      <c r="C184" s="96"/>
      <c r="D184" s="96"/>
      <c r="E184" s="96"/>
      <c r="F184" s="96"/>
      <c r="G184" s="96"/>
      <c r="H184" s="96"/>
      <c r="I184" s="96"/>
      <c r="J184" s="96"/>
      <c r="K184" s="96"/>
      <c r="L184" s="96"/>
      <c r="M184" s="96"/>
      <c r="N184" s="96"/>
      <c r="O184" s="96"/>
      <c r="P184" s="96"/>
      <c r="Q184" s="96"/>
      <c r="R184" s="96"/>
    </row>
    <row r="185" spans="1:18" x14ac:dyDescent="0.25">
      <c r="A185" s="96"/>
      <c r="B185" s="96"/>
      <c r="C185" s="96"/>
      <c r="D185" s="96"/>
      <c r="E185" s="96"/>
      <c r="F185" s="96"/>
      <c r="G185" s="96"/>
      <c r="H185" s="96"/>
      <c r="I185" s="96"/>
      <c r="J185" s="96"/>
      <c r="K185" s="96"/>
      <c r="L185" s="96"/>
      <c r="M185" s="96"/>
      <c r="N185" s="96"/>
      <c r="O185" s="96"/>
      <c r="P185" s="96"/>
      <c r="Q185" s="96"/>
      <c r="R185" s="96"/>
    </row>
    <row r="186" spans="1:18" x14ac:dyDescent="0.25">
      <c r="A186" s="96"/>
      <c r="B186" s="96"/>
      <c r="C186" s="96"/>
      <c r="D186" s="96"/>
      <c r="E186" s="96"/>
      <c r="F186" s="96"/>
      <c r="G186" s="96"/>
      <c r="H186" s="96"/>
      <c r="I186" s="96"/>
      <c r="J186" s="96"/>
      <c r="K186" s="96"/>
      <c r="L186" s="96"/>
      <c r="M186" s="96"/>
      <c r="N186" s="96"/>
      <c r="O186" s="96"/>
      <c r="P186" s="96"/>
      <c r="Q186" s="96"/>
      <c r="R186" s="96"/>
    </row>
    <row r="187" spans="1:18" x14ac:dyDescent="0.25">
      <c r="A187" s="96"/>
      <c r="B187" s="96"/>
      <c r="C187" s="96"/>
      <c r="D187" s="96"/>
      <c r="E187" s="96"/>
      <c r="F187" s="96"/>
      <c r="G187" s="96"/>
      <c r="H187" s="96"/>
      <c r="I187" s="96"/>
      <c r="J187" s="96"/>
      <c r="K187" s="96"/>
      <c r="L187" s="96"/>
      <c r="M187" s="96"/>
      <c r="N187" s="96"/>
      <c r="O187" s="96"/>
      <c r="P187" s="96"/>
      <c r="Q187" s="96"/>
      <c r="R187" s="96"/>
    </row>
    <row r="188" spans="1:18" x14ac:dyDescent="0.25">
      <c r="A188" s="96"/>
      <c r="B188" s="96"/>
      <c r="C188" s="96"/>
      <c r="D188" s="96"/>
      <c r="E188" s="96"/>
      <c r="F188" s="96"/>
      <c r="G188" s="96"/>
      <c r="H188" s="96"/>
      <c r="I188" s="96"/>
      <c r="J188" s="96"/>
      <c r="K188" s="96"/>
      <c r="L188" s="96"/>
      <c r="M188" s="96"/>
      <c r="N188" s="96"/>
      <c r="O188" s="96"/>
      <c r="P188" s="96"/>
      <c r="Q188" s="96"/>
      <c r="R188" s="96"/>
    </row>
    <row r="189" spans="1:18" x14ac:dyDescent="0.25">
      <c r="A189" s="96"/>
      <c r="B189" s="96"/>
      <c r="C189" s="96"/>
      <c r="D189" s="96"/>
      <c r="E189" s="96"/>
      <c r="F189" s="96"/>
      <c r="G189" s="96"/>
      <c r="H189" s="96"/>
      <c r="I189" s="96"/>
      <c r="J189" s="96"/>
      <c r="K189" s="96"/>
      <c r="L189" s="96"/>
      <c r="M189" s="96"/>
      <c r="N189" s="96"/>
      <c r="O189" s="96"/>
      <c r="P189" s="96"/>
      <c r="Q189" s="96"/>
      <c r="R189" s="96"/>
    </row>
    <row r="190" spans="1:18" x14ac:dyDescent="0.25">
      <c r="A190" s="96"/>
      <c r="B190" s="96"/>
      <c r="C190" s="96"/>
      <c r="D190" s="96"/>
      <c r="E190" s="96"/>
      <c r="F190" s="96"/>
      <c r="G190" s="96"/>
      <c r="H190" s="96"/>
      <c r="I190" s="96"/>
      <c r="J190" s="96"/>
      <c r="K190" s="96"/>
      <c r="L190" s="96"/>
      <c r="M190" s="96"/>
      <c r="N190" s="96"/>
      <c r="O190" s="96"/>
      <c r="P190" s="96"/>
      <c r="Q190" s="96"/>
      <c r="R190" s="96"/>
    </row>
    <row r="191" spans="1:18" x14ac:dyDescent="0.25">
      <c r="A191" s="96"/>
      <c r="B191" s="96"/>
      <c r="C191" s="96"/>
      <c r="D191" s="96"/>
      <c r="E191" s="96"/>
      <c r="F191" s="96"/>
      <c r="G191" s="96"/>
      <c r="H191" s="96"/>
      <c r="I191" s="96"/>
      <c r="J191" s="96"/>
      <c r="K191" s="96"/>
      <c r="L191" s="96"/>
      <c r="M191" s="96"/>
      <c r="N191" s="96"/>
      <c r="O191" s="96"/>
      <c r="P191" s="96"/>
      <c r="Q191" s="96"/>
      <c r="R191" s="96"/>
    </row>
    <row r="192" spans="1:18" x14ac:dyDescent="0.25">
      <c r="A192" s="96"/>
      <c r="B192" s="96"/>
      <c r="C192" s="96"/>
      <c r="D192" s="96"/>
      <c r="E192" s="96"/>
      <c r="F192" s="96"/>
      <c r="G192" s="96"/>
      <c r="H192" s="96"/>
      <c r="I192" s="96"/>
      <c r="J192" s="96"/>
      <c r="K192" s="96"/>
      <c r="L192" s="96"/>
      <c r="M192" s="96"/>
      <c r="N192" s="96"/>
      <c r="O192" s="96"/>
      <c r="P192" s="96"/>
      <c r="Q192" s="96"/>
      <c r="R192" s="96"/>
    </row>
    <row r="193" spans="1:18" x14ac:dyDescent="0.25">
      <c r="A193" s="96"/>
      <c r="B193" s="96"/>
      <c r="C193" s="96"/>
      <c r="D193" s="96"/>
      <c r="E193" s="96"/>
      <c r="F193" s="96"/>
      <c r="G193" s="96"/>
      <c r="H193" s="96"/>
      <c r="I193" s="96"/>
      <c r="J193" s="96"/>
      <c r="K193" s="96"/>
      <c r="L193" s="96"/>
      <c r="M193" s="96"/>
      <c r="N193" s="96"/>
      <c r="O193" s="96"/>
      <c r="P193" s="96"/>
      <c r="Q193" s="96"/>
      <c r="R193" s="96"/>
    </row>
    <row r="194" spans="1:18" x14ac:dyDescent="0.25">
      <c r="A194" s="96"/>
      <c r="B194" s="96"/>
      <c r="C194" s="96"/>
      <c r="D194" s="96"/>
      <c r="E194" s="96"/>
      <c r="F194" s="96"/>
      <c r="G194" s="96"/>
      <c r="H194" s="96"/>
      <c r="I194" s="96"/>
      <c r="J194" s="96"/>
      <c r="K194" s="96"/>
      <c r="L194" s="96"/>
      <c r="M194" s="96"/>
      <c r="N194" s="96"/>
      <c r="O194" s="96"/>
      <c r="P194" s="96"/>
      <c r="Q194" s="96"/>
      <c r="R194" s="96"/>
    </row>
    <row r="195" spans="1:18" x14ac:dyDescent="0.25">
      <c r="A195" s="96"/>
      <c r="B195" s="96"/>
      <c r="C195" s="96"/>
      <c r="D195" s="96"/>
      <c r="E195" s="96"/>
      <c r="F195" s="96"/>
      <c r="G195" s="96"/>
      <c r="H195" s="96"/>
      <c r="I195" s="96"/>
      <c r="J195" s="96"/>
      <c r="K195" s="96"/>
      <c r="L195" s="96"/>
      <c r="M195" s="96"/>
      <c r="N195" s="96"/>
      <c r="O195" s="96"/>
      <c r="P195" s="96"/>
      <c r="Q195" s="96"/>
      <c r="R195" s="96"/>
    </row>
    <row r="196" spans="1:18" x14ac:dyDescent="0.25">
      <c r="A196" s="96"/>
      <c r="B196" s="96"/>
      <c r="C196" s="96"/>
      <c r="D196" s="96"/>
      <c r="E196" s="96"/>
      <c r="F196" s="96"/>
      <c r="G196" s="96"/>
      <c r="H196" s="96"/>
      <c r="I196" s="96"/>
      <c r="J196" s="96"/>
      <c r="K196" s="96"/>
      <c r="L196" s="96"/>
      <c r="M196" s="96"/>
      <c r="N196" s="96"/>
      <c r="O196" s="96"/>
      <c r="P196" s="96"/>
      <c r="Q196" s="96"/>
      <c r="R196" s="96"/>
    </row>
    <row r="197" spans="1:18" x14ac:dyDescent="0.25">
      <c r="A197" s="96"/>
      <c r="B197" s="96"/>
      <c r="C197" s="96"/>
      <c r="D197" s="96"/>
      <c r="E197" s="96"/>
      <c r="F197" s="96"/>
      <c r="G197" s="96"/>
      <c r="H197" s="96"/>
      <c r="I197" s="96"/>
      <c r="J197" s="96"/>
      <c r="K197" s="96"/>
      <c r="L197" s="96"/>
      <c r="M197" s="96"/>
      <c r="N197" s="96"/>
      <c r="O197" s="96"/>
      <c r="P197" s="96"/>
      <c r="Q197" s="96"/>
      <c r="R197" s="96"/>
    </row>
    <row r="198" spans="1:18" x14ac:dyDescent="0.25">
      <c r="A198" s="96"/>
      <c r="B198" s="96"/>
      <c r="C198" s="96"/>
      <c r="D198" s="96"/>
      <c r="E198" s="96"/>
      <c r="F198" s="96"/>
      <c r="G198" s="96"/>
      <c r="H198" s="96"/>
      <c r="I198" s="96"/>
      <c r="J198" s="96"/>
      <c r="K198" s="96"/>
      <c r="L198" s="96"/>
      <c r="M198" s="96"/>
      <c r="N198" s="96"/>
      <c r="O198" s="96"/>
      <c r="P198" s="96"/>
      <c r="Q198" s="96"/>
      <c r="R198" s="96"/>
    </row>
    <row r="199" spans="1:18" x14ac:dyDescent="0.25">
      <c r="A199" s="96"/>
      <c r="B199" s="96"/>
      <c r="C199" s="96"/>
      <c r="D199" s="96"/>
      <c r="E199" s="96"/>
      <c r="F199" s="96"/>
      <c r="G199" s="96"/>
      <c r="H199" s="96"/>
      <c r="I199" s="96"/>
      <c r="J199" s="96"/>
      <c r="K199" s="96"/>
      <c r="L199" s="96"/>
      <c r="M199" s="96"/>
      <c r="N199" s="96"/>
      <c r="O199" s="96"/>
      <c r="P199" s="96"/>
      <c r="Q199" s="96"/>
      <c r="R199" s="96"/>
    </row>
    <row r="200" spans="1:18" x14ac:dyDescent="0.25">
      <c r="A200" s="96"/>
      <c r="B200" s="96"/>
      <c r="C200" s="96"/>
      <c r="D200" s="96"/>
      <c r="E200" s="96"/>
      <c r="F200" s="96"/>
      <c r="G200" s="96"/>
      <c r="H200" s="96"/>
      <c r="I200" s="96"/>
      <c r="J200" s="96"/>
      <c r="K200" s="96"/>
      <c r="L200" s="96"/>
      <c r="M200" s="96"/>
      <c r="N200" s="96"/>
      <c r="O200" s="96"/>
      <c r="P200" s="96"/>
      <c r="Q200" s="96"/>
      <c r="R200" s="96"/>
    </row>
    <row r="201" spans="1:18" x14ac:dyDescent="0.25">
      <c r="A201" s="96"/>
      <c r="B201" s="96"/>
      <c r="C201" s="96"/>
      <c r="D201" s="96"/>
      <c r="E201" s="96"/>
      <c r="F201" s="96"/>
      <c r="G201" s="96"/>
      <c r="H201" s="96"/>
      <c r="I201" s="96"/>
      <c r="J201" s="96"/>
      <c r="K201" s="96"/>
      <c r="L201" s="96"/>
      <c r="M201" s="96"/>
      <c r="N201" s="96"/>
      <c r="O201" s="96"/>
      <c r="P201" s="96"/>
      <c r="Q201" s="96"/>
      <c r="R201" s="96"/>
    </row>
    <row r="202" spans="1:18" x14ac:dyDescent="0.25">
      <c r="A202" s="96"/>
      <c r="B202" s="96"/>
      <c r="C202" s="96"/>
      <c r="D202" s="96"/>
      <c r="E202" s="96"/>
      <c r="F202" s="96"/>
      <c r="G202" s="96"/>
      <c r="H202" s="96"/>
      <c r="I202" s="96"/>
      <c r="J202" s="96"/>
      <c r="K202" s="96"/>
      <c r="L202" s="96"/>
      <c r="M202" s="96"/>
      <c r="N202" s="96"/>
      <c r="O202" s="96"/>
      <c r="P202" s="96"/>
      <c r="Q202" s="96"/>
      <c r="R202" s="96"/>
    </row>
    <row r="203" spans="1:18" x14ac:dyDescent="0.25">
      <c r="A203" s="96"/>
      <c r="B203" s="96"/>
      <c r="C203" s="96"/>
      <c r="D203" s="96"/>
      <c r="E203" s="96"/>
      <c r="F203" s="96"/>
      <c r="G203" s="96"/>
      <c r="H203" s="96"/>
      <c r="I203" s="96"/>
      <c r="J203" s="96"/>
      <c r="K203" s="96"/>
      <c r="L203" s="96"/>
      <c r="M203" s="96"/>
      <c r="N203" s="96"/>
      <c r="O203" s="96"/>
      <c r="P203" s="96"/>
      <c r="Q203" s="96"/>
      <c r="R203" s="96"/>
    </row>
    <row r="204" spans="1:18" x14ac:dyDescent="0.25">
      <c r="A204" s="96"/>
      <c r="B204" s="96"/>
      <c r="C204" s="96"/>
      <c r="D204" s="96"/>
      <c r="E204" s="96"/>
      <c r="F204" s="96"/>
      <c r="G204" s="96"/>
      <c r="H204" s="96"/>
      <c r="I204" s="96"/>
      <c r="J204" s="96"/>
      <c r="K204" s="96"/>
      <c r="L204" s="96"/>
      <c r="M204" s="96"/>
      <c r="N204" s="96"/>
      <c r="O204" s="96"/>
      <c r="P204" s="96"/>
      <c r="Q204" s="96"/>
      <c r="R204" s="96"/>
    </row>
    <row r="205" spans="1:18" x14ac:dyDescent="0.25">
      <c r="A205" s="96"/>
      <c r="B205" s="96"/>
      <c r="C205" s="96"/>
      <c r="D205" s="96"/>
      <c r="E205" s="96"/>
      <c r="F205" s="96"/>
      <c r="G205" s="96"/>
      <c r="H205" s="96"/>
      <c r="I205" s="96"/>
      <c r="J205" s="96"/>
      <c r="K205" s="96"/>
      <c r="L205" s="96"/>
      <c r="M205" s="96"/>
      <c r="N205" s="96"/>
      <c r="O205" s="96"/>
      <c r="P205" s="96"/>
      <c r="Q205" s="96"/>
      <c r="R205" s="96"/>
    </row>
    <row r="206" spans="1:18" x14ac:dyDescent="0.25">
      <c r="A206" s="96"/>
      <c r="B206" s="96"/>
      <c r="C206" s="96"/>
      <c r="D206" s="96"/>
      <c r="E206" s="96"/>
      <c r="F206" s="96"/>
      <c r="G206" s="96"/>
      <c r="H206" s="96"/>
      <c r="I206" s="96"/>
      <c r="J206" s="96"/>
      <c r="K206" s="96"/>
      <c r="L206" s="96"/>
      <c r="M206" s="96"/>
      <c r="N206" s="96"/>
      <c r="O206" s="96"/>
      <c r="P206" s="96"/>
      <c r="Q206" s="96"/>
      <c r="R206" s="96"/>
    </row>
    <row r="207" spans="1:18" x14ac:dyDescent="0.25">
      <c r="A207" s="96"/>
      <c r="B207" s="96"/>
      <c r="C207" s="96"/>
      <c r="D207" s="96"/>
      <c r="E207" s="96"/>
      <c r="F207" s="96"/>
      <c r="G207" s="96"/>
      <c r="H207" s="96"/>
      <c r="I207" s="96"/>
      <c r="J207" s="96"/>
      <c r="K207" s="96"/>
      <c r="L207" s="96"/>
      <c r="M207" s="96"/>
      <c r="N207" s="96"/>
      <c r="O207" s="96"/>
      <c r="P207" s="96"/>
      <c r="Q207" s="96"/>
      <c r="R207" s="96"/>
    </row>
    <row r="208" spans="1:18" x14ac:dyDescent="0.25">
      <c r="A208" s="96"/>
      <c r="B208" s="96"/>
      <c r="C208" s="96"/>
      <c r="D208" s="96"/>
      <c r="E208" s="96"/>
      <c r="F208" s="96"/>
      <c r="G208" s="96"/>
      <c r="H208" s="96"/>
      <c r="I208" s="96"/>
      <c r="J208" s="96"/>
      <c r="K208" s="96"/>
      <c r="L208" s="96"/>
      <c r="M208" s="96"/>
      <c r="N208" s="96"/>
      <c r="O208" s="96"/>
      <c r="P208" s="96"/>
      <c r="Q208" s="96"/>
      <c r="R208" s="96"/>
    </row>
    <row r="209" spans="1:18" x14ac:dyDescent="0.25">
      <c r="A209" s="96"/>
      <c r="B209" s="96"/>
      <c r="C209" s="96"/>
      <c r="D209" s="96"/>
      <c r="E209" s="96"/>
      <c r="F209" s="96"/>
      <c r="G209" s="96"/>
      <c r="H209" s="96"/>
      <c r="I209" s="96"/>
      <c r="J209" s="96"/>
      <c r="K209" s="96"/>
      <c r="L209" s="96"/>
      <c r="M209" s="96"/>
      <c r="N209" s="96"/>
      <c r="O209" s="96"/>
      <c r="P209" s="96"/>
      <c r="Q209" s="96"/>
      <c r="R209" s="96"/>
    </row>
    <row r="210" spans="1:18" x14ac:dyDescent="0.25">
      <c r="A210" s="96"/>
      <c r="B210" s="96"/>
      <c r="C210" s="96"/>
      <c r="D210" s="96"/>
      <c r="E210" s="96"/>
      <c r="F210" s="96"/>
      <c r="G210" s="96"/>
      <c r="H210" s="96"/>
      <c r="I210" s="96"/>
      <c r="J210" s="96"/>
      <c r="K210" s="96"/>
      <c r="L210" s="96"/>
      <c r="M210" s="96"/>
      <c r="N210" s="96"/>
      <c r="O210" s="96"/>
      <c r="P210" s="96"/>
      <c r="Q210" s="96"/>
      <c r="R210" s="96"/>
    </row>
    <row r="211" spans="1:18" x14ac:dyDescent="0.25">
      <c r="A211" s="96"/>
      <c r="B211" s="96"/>
      <c r="C211" s="96"/>
      <c r="D211" s="96"/>
      <c r="E211" s="96"/>
      <c r="F211" s="96"/>
      <c r="G211" s="96"/>
      <c r="H211" s="96"/>
      <c r="I211" s="96"/>
      <c r="J211" s="96"/>
      <c r="K211" s="96"/>
      <c r="L211" s="96"/>
      <c r="M211" s="96"/>
      <c r="N211" s="96"/>
      <c r="O211" s="96"/>
      <c r="P211" s="96"/>
      <c r="Q211" s="96"/>
      <c r="R211" s="96"/>
    </row>
    <row r="212" spans="1:18" x14ac:dyDescent="0.25">
      <c r="A212" s="96"/>
      <c r="B212" s="96"/>
      <c r="C212" s="96"/>
      <c r="D212" s="96"/>
      <c r="E212" s="96"/>
      <c r="F212" s="96"/>
      <c r="G212" s="96"/>
      <c r="H212" s="96"/>
      <c r="I212" s="96"/>
      <c r="J212" s="96"/>
      <c r="K212" s="96"/>
      <c r="L212" s="96"/>
      <c r="M212" s="96"/>
      <c r="N212" s="96"/>
      <c r="O212" s="96"/>
      <c r="P212" s="96"/>
      <c r="Q212" s="96"/>
      <c r="R212" s="96"/>
    </row>
    <row r="213" spans="1:18" x14ac:dyDescent="0.25">
      <c r="A213" s="96"/>
      <c r="B213" s="96"/>
      <c r="C213" s="96"/>
      <c r="D213" s="96"/>
      <c r="E213" s="96"/>
      <c r="F213" s="96"/>
      <c r="G213" s="96"/>
      <c r="H213" s="96"/>
      <c r="I213" s="96"/>
      <c r="J213" s="96"/>
      <c r="K213" s="96"/>
      <c r="L213" s="96"/>
      <c r="M213" s="96"/>
      <c r="N213" s="96"/>
      <c r="O213" s="96"/>
      <c r="P213" s="96"/>
      <c r="Q213" s="96"/>
      <c r="R213" s="96"/>
    </row>
    <row r="214" spans="1:18" x14ac:dyDescent="0.25">
      <c r="A214" s="96"/>
      <c r="B214" s="96"/>
      <c r="C214" s="96"/>
      <c r="D214" s="96"/>
      <c r="E214" s="96"/>
      <c r="F214" s="96"/>
      <c r="G214" s="96"/>
      <c r="H214" s="96"/>
      <c r="I214" s="96"/>
      <c r="J214" s="96"/>
      <c r="K214" s="96"/>
      <c r="L214" s="96"/>
      <c r="M214" s="96"/>
      <c r="N214" s="96"/>
      <c r="O214" s="96"/>
      <c r="P214" s="96"/>
      <c r="Q214" s="96"/>
      <c r="R214" s="96"/>
    </row>
    <row r="215" spans="1:18" x14ac:dyDescent="0.25">
      <c r="A215" s="96"/>
      <c r="B215" s="96"/>
      <c r="C215" s="96"/>
      <c r="D215" s="96"/>
      <c r="E215" s="96"/>
      <c r="F215" s="96"/>
      <c r="G215" s="96"/>
      <c r="H215" s="96"/>
      <c r="I215" s="96"/>
      <c r="J215" s="96"/>
      <c r="K215" s="96"/>
      <c r="L215" s="96"/>
      <c r="M215" s="96"/>
      <c r="N215" s="96"/>
      <c r="O215" s="96"/>
      <c r="P215" s="96"/>
      <c r="Q215" s="96"/>
      <c r="R215" s="96"/>
    </row>
    <row r="216" spans="1:18" x14ac:dyDescent="0.25">
      <c r="A216" s="96"/>
      <c r="B216" s="96"/>
      <c r="C216" s="96"/>
      <c r="D216" s="96"/>
      <c r="E216" s="96"/>
      <c r="F216" s="96"/>
      <c r="G216" s="96"/>
      <c r="H216" s="96"/>
      <c r="I216" s="96"/>
      <c r="J216" s="96"/>
      <c r="K216" s="96"/>
      <c r="L216" s="96"/>
      <c r="M216" s="96"/>
      <c r="N216" s="96"/>
      <c r="O216" s="96"/>
      <c r="P216" s="96"/>
      <c r="Q216" s="96"/>
      <c r="R216" s="96"/>
    </row>
    <row r="217" spans="1:18" x14ac:dyDescent="0.25">
      <c r="A217" s="96"/>
      <c r="B217" s="96"/>
      <c r="C217" s="96"/>
      <c r="D217" s="96"/>
      <c r="E217" s="96"/>
      <c r="F217" s="96"/>
      <c r="G217" s="96"/>
      <c r="H217" s="96"/>
      <c r="I217" s="96"/>
      <c r="J217" s="96"/>
      <c r="K217" s="96"/>
      <c r="L217" s="96"/>
      <c r="M217" s="96"/>
      <c r="N217" s="96"/>
      <c r="O217" s="96"/>
      <c r="P217" s="96"/>
      <c r="Q217" s="96"/>
      <c r="R217" s="96"/>
    </row>
    <row r="218" spans="1:18" x14ac:dyDescent="0.25">
      <c r="A218" s="96"/>
      <c r="B218" s="96"/>
      <c r="C218" s="96"/>
      <c r="D218" s="96"/>
      <c r="E218" s="96"/>
      <c r="F218" s="96"/>
      <c r="G218" s="96"/>
      <c r="H218" s="96"/>
      <c r="I218" s="96"/>
      <c r="J218" s="96"/>
      <c r="K218" s="96"/>
      <c r="L218" s="96"/>
      <c r="M218" s="96"/>
      <c r="N218" s="96"/>
      <c r="O218" s="96"/>
      <c r="P218" s="96"/>
      <c r="Q218" s="96"/>
      <c r="R218" s="96"/>
    </row>
    <row r="219" spans="1:18" x14ac:dyDescent="0.25">
      <c r="A219" s="96"/>
      <c r="B219" s="96"/>
      <c r="C219" s="96"/>
      <c r="D219" s="96"/>
      <c r="E219" s="96"/>
      <c r="F219" s="96"/>
      <c r="G219" s="96"/>
      <c r="H219" s="96"/>
      <c r="I219" s="96"/>
      <c r="J219" s="96"/>
      <c r="K219" s="96"/>
      <c r="L219" s="96"/>
      <c r="M219" s="96"/>
      <c r="N219" s="96"/>
      <c r="O219" s="96"/>
      <c r="P219" s="96"/>
      <c r="Q219" s="96"/>
      <c r="R219" s="96"/>
    </row>
    <row r="220" spans="1:18" x14ac:dyDescent="0.25">
      <c r="A220" s="96"/>
      <c r="B220" s="96"/>
      <c r="C220" s="96"/>
      <c r="D220" s="96"/>
      <c r="E220" s="96"/>
      <c r="F220" s="96"/>
      <c r="G220" s="96"/>
      <c r="H220" s="96"/>
      <c r="I220" s="96"/>
      <c r="J220" s="96"/>
      <c r="K220" s="96"/>
      <c r="L220" s="96"/>
      <c r="M220" s="96"/>
      <c r="N220" s="96"/>
      <c r="O220" s="96"/>
      <c r="P220" s="96"/>
      <c r="Q220" s="96"/>
      <c r="R220" s="96"/>
    </row>
    <row r="221" spans="1:18" x14ac:dyDescent="0.25">
      <c r="A221" s="96"/>
      <c r="B221" s="96"/>
      <c r="C221" s="96"/>
      <c r="D221" s="96"/>
      <c r="E221" s="96"/>
      <c r="F221" s="96"/>
      <c r="G221" s="96"/>
      <c r="H221" s="96"/>
      <c r="I221" s="96"/>
      <c r="J221" s="96"/>
      <c r="K221" s="96"/>
      <c r="L221" s="96"/>
      <c r="M221" s="96"/>
      <c r="N221" s="96"/>
      <c r="O221" s="96"/>
      <c r="P221" s="96"/>
      <c r="Q221" s="96"/>
      <c r="R221" s="96"/>
    </row>
    <row r="222" spans="1:18" x14ac:dyDescent="0.25">
      <c r="A222" s="96"/>
      <c r="B222" s="96"/>
      <c r="C222" s="96"/>
      <c r="D222" s="96"/>
      <c r="E222" s="96"/>
      <c r="F222" s="96"/>
      <c r="G222" s="96"/>
      <c r="H222" s="96"/>
      <c r="I222" s="96"/>
      <c r="J222" s="96"/>
      <c r="K222" s="96"/>
      <c r="L222" s="96"/>
      <c r="M222" s="96"/>
      <c r="N222" s="96"/>
      <c r="O222" s="96"/>
      <c r="P222" s="96"/>
      <c r="Q222" s="96"/>
      <c r="R222" s="96"/>
    </row>
    <row r="223" spans="1:18" x14ac:dyDescent="0.25">
      <c r="A223" s="96"/>
      <c r="B223" s="96"/>
      <c r="C223" s="96"/>
      <c r="D223" s="96"/>
      <c r="E223" s="96"/>
      <c r="F223" s="96"/>
      <c r="G223" s="96"/>
      <c r="H223" s="96"/>
      <c r="I223" s="96"/>
      <c r="J223" s="96"/>
      <c r="K223" s="96"/>
      <c r="L223" s="96"/>
      <c r="M223" s="96"/>
      <c r="N223" s="96"/>
      <c r="O223" s="96"/>
      <c r="P223" s="96"/>
      <c r="Q223" s="96"/>
      <c r="R223" s="96"/>
    </row>
    <row r="224" spans="1:18" x14ac:dyDescent="0.25">
      <c r="A224" s="96"/>
      <c r="B224" s="96"/>
      <c r="C224" s="96"/>
      <c r="D224" s="96"/>
      <c r="E224" s="96"/>
      <c r="F224" s="96"/>
      <c r="G224" s="96"/>
      <c r="H224" s="96"/>
      <c r="I224" s="96"/>
      <c r="J224" s="96"/>
      <c r="K224" s="96"/>
      <c r="L224" s="96"/>
      <c r="M224" s="96"/>
      <c r="N224" s="96"/>
      <c r="O224" s="96"/>
      <c r="P224" s="96"/>
      <c r="Q224" s="96"/>
      <c r="R224" s="96"/>
    </row>
    <row r="225" spans="1:18" x14ac:dyDescent="0.25">
      <c r="A225" s="96"/>
      <c r="B225" s="96"/>
      <c r="C225" s="96"/>
      <c r="D225" s="96"/>
      <c r="E225" s="96"/>
      <c r="F225" s="96"/>
      <c r="G225" s="96"/>
      <c r="H225" s="96"/>
      <c r="I225" s="96"/>
      <c r="J225" s="96"/>
      <c r="K225" s="96"/>
      <c r="L225" s="96"/>
      <c r="M225" s="96"/>
      <c r="N225" s="96"/>
      <c r="O225" s="96"/>
      <c r="P225" s="96"/>
      <c r="Q225" s="96"/>
      <c r="R225" s="96"/>
    </row>
    <row r="226" spans="1:18" x14ac:dyDescent="0.25">
      <c r="A226" s="96"/>
      <c r="B226" s="96"/>
      <c r="C226" s="96"/>
      <c r="D226" s="96"/>
      <c r="E226" s="96"/>
      <c r="F226" s="96"/>
      <c r="G226" s="96"/>
      <c r="H226" s="96"/>
      <c r="I226" s="96"/>
      <c r="J226" s="96"/>
      <c r="K226" s="96"/>
      <c r="L226" s="96"/>
      <c r="M226" s="96"/>
      <c r="N226" s="96"/>
      <c r="O226" s="96"/>
      <c r="P226" s="96"/>
      <c r="Q226" s="96"/>
      <c r="R226" s="96"/>
    </row>
    <row r="227" spans="1:18" x14ac:dyDescent="0.25">
      <c r="A227" s="96"/>
      <c r="B227" s="96"/>
      <c r="C227" s="96"/>
      <c r="D227" s="96"/>
      <c r="E227" s="96"/>
      <c r="F227" s="96"/>
      <c r="G227" s="96"/>
      <c r="H227" s="96"/>
      <c r="I227" s="96"/>
      <c r="J227" s="96"/>
      <c r="K227" s="96"/>
      <c r="L227" s="96"/>
      <c r="M227" s="96"/>
      <c r="N227" s="96"/>
      <c r="O227" s="96"/>
      <c r="P227" s="96"/>
      <c r="Q227" s="96"/>
      <c r="R227" s="96"/>
    </row>
    <row r="228" spans="1:18" x14ac:dyDescent="0.25">
      <c r="A228" s="96"/>
      <c r="B228" s="96"/>
      <c r="C228" s="96"/>
      <c r="D228" s="96"/>
      <c r="E228" s="96"/>
      <c r="F228" s="96"/>
      <c r="G228" s="96"/>
      <c r="H228" s="96"/>
      <c r="I228" s="96"/>
      <c r="J228" s="96"/>
      <c r="K228" s="96"/>
      <c r="L228" s="96"/>
      <c r="M228" s="96"/>
      <c r="N228" s="96"/>
      <c r="O228" s="96"/>
      <c r="P228" s="96"/>
      <c r="Q228" s="96"/>
      <c r="R228" s="96"/>
    </row>
    <row r="229" spans="1:18" x14ac:dyDescent="0.25">
      <c r="A229" s="96"/>
      <c r="B229" s="96"/>
      <c r="C229" s="96"/>
      <c r="D229" s="96"/>
      <c r="E229" s="96"/>
      <c r="F229" s="96"/>
      <c r="G229" s="96"/>
      <c r="H229" s="96"/>
      <c r="I229" s="96"/>
      <c r="J229" s="96"/>
      <c r="K229" s="96"/>
      <c r="L229" s="96"/>
      <c r="M229" s="96"/>
      <c r="N229" s="96"/>
      <c r="O229" s="96"/>
      <c r="P229" s="96"/>
      <c r="Q229" s="96"/>
      <c r="R229" s="96"/>
    </row>
    <row r="230" spans="1:18" x14ac:dyDescent="0.25">
      <c r="A230" s="96"/>
      <c r="B230" s="96"/>
      <c r="C230" s="96"/>
      <c r="D230" s="96"/>
      <c r="E230" s="96"/>
      <c r="F230" s="96"/>
      <c r="G230" s="96"/>
      <c r="H230" s="96"/>
      <c r="I230" s="96"/>
      <c r="J230" s="96"/>
      <c r="K230" s="96"/>
      <c r="L230" s="96"/>
      <c r="M230" s="96"/>
      <c r="N230" s="96"/>
      <c r="O230" s="96"/>
      <c r="P230" s="96"/>
      <c r="Q230" s="96"/>
      <c r="R230" s="96"/>
    </row>
    <row r="231" spans="1:18" x14ac:dyDescent="0.25">
      <c r="A231" s="96"/>
      <c r="B231" s="96"/>
      <c r="C231" s="96"/>
      <c r="D231" s="96"/>
      <c r="E231" s="96"/>
      <c r="F231" s="96"/>
      <c r="G231" s="96"/>
      <c r="H231" s="96"/>
      <c r="I231" s="96"/>
      <c r="J231" s="96"/>
      <c r="K231" s="96"/>
      <c r="L231" s="96"/>
      <c r="M231" s="96"/>
      <c r="N231" s="96"/>
      <c r="O231" s="96"/>
      <c r="P231" s="96"/>
      <c r="Q231" s="96"/>
      <c r="R231" s="96"/>
    </row>
    <row r="232" spans="1:18" x14ac:dyDescent="0.25">
      <c r="A232" s="96"/>
      <c r="B232" s="96"/>
      <c r="C232" s="96"/>
      <c r="D232" s="96"/>
      <c r="E232" s="96"/>
      <c r="F232" s="96"/>
      <c r="G232" s="96"/>
      <c r="H232" s="96"/>
      <c r="I232" s="96"/>
      <c r="J232" s="96"/>
      <c r="K232" s="96"/>
      <c r="L232" s="96"/>
      <c r="M232" s="96"/>
      <c r="N232" s="96"/>
      <c r="O232" s="96"/>
      <c r="P232" s="96"/>
      <c r="Q232" s="96"/>
      <c r="R232" s="96"/>
    </row>
    <row r="233" spans="1:18" x14ac:dyDescent="0.25">
      <c r="A233" s="96"/>
      <c r="B233" s="96"/>
      <c r="C233" s="96"/>
      <c r="D233" s="96"/>
      <c r="E233" s="96"/>
      <c r="F233" s="96"/>
      <c r="G233" s="96"/>
      <c r="H233" s="96"/>
      <c r="I233" s="96"/>
      <c r="J233" s="96"/>
      <c r="K233" s="96"/>
      <c r="L233" s="96"/>
      <c r="M233" s="96"/>
      <c r="N233" s="96"/>
      <c r="O233" s="96"/>
      <c r="P233" s="96"/>
      <c r="Q233" s="96"/>
      <c r="R233" s="96"/>
    </row>
    <row r="234" spans="1:18" x14ac:dyDescent="0.25">
      <c r="A234" s="96"/>
      <c r="B234" s="96"/>
      <c r="C234" s="96"/>
      <c r="D234" s="96"/>
      <c r="E234" s="96"/>
      <c r="F234" s="96"/>
      <c r="G234" s="96"/>
      <c r="H234" s="96"/>
      <c r="I234" s="96"/>
      <c r="J234" s="96"/>
      <c r="K234" s="96"/>
      <c r="L234" s="96"/>
      <c r="M234" s="96"/>
      <c r="N234" s="96"/>
      <c r="O234" s="96"/>
      <c r="P234" s="96"/>
      <c r="Q234" s="96"/>
      <c r="R234" s="96"/>
    </row>
    <row r="235" spans="1:18" x14ac:dyDescent="0.25">
      <c r="A235" s="96"/>
      <c r="B235" s="96"/>
      <c r="C235" s="96"/>
      <c r="D235" s="96"/>
      <c r="E235" s="96"/>
      <c r="F235" s="96"/>
      <c r="G235" s="96"/>
      <c r="H235" s="96"/>
      <c r="I235" s="96"/>
      <c r="J235" s="96"/>
      <c r="K235" s="96"/>
      <c r="L235" s="96"/>
      <c r="M235" s="96"/>
      <c r="N235" s="96"/>
      <c r="O235" s="96"/>
      <c r="P235" s="96"/>
      <c r="Q235" s="96"/>
      <c r="R235" s="96"/>
    </row>
    <row r="236" spans="1:18" x14ac:dyDescent="0.25">
      <c r="A236" s="96"/>
      <c r="B236" s="96"/>
      <c r="C236" s="96"/>
      <c r="D236" s="96"/>
      <c r="E236" s="96"/>
      <c r="F236" s="96"/>
      <c r="G236" s="96"/>
      <c r="H236" s="96"/>
      <c r="I236" s="96"/>
      <c r="J236" s="96"/>
      <c r="K236" s="96"/>
      <c r="L236" s="96"/>
      <c r="M236" s="96"/>
      <c r="N236" s="96"/>
      <c r="O236" s="96"/>
      <c r="P236" s="96"/>
      <c r="Q236" s="96"/>
      <c r="R236" s="96"/>
    </row>
    <row r="237" spans="1:18" x14ac:dyDescent="0.25">
      <c r="A237" s="96"/>
      <c r="B237" s="96"/>
      <c r="C237" s="96"/>
      <c r="D237" s="96"/>
      <c r="E237" s="96"/>
      <c r="F237" s="96"/>
      <c r="G237" s="96"/>
      <c r="H237" s="96"/>
      <c r="I237" s="96"/>
      <c r="J237" s="96"/>
      <c r="K237" s="96"/>
      <c r="L237" s="96"/>
      <c r="M237" s="96"/>
      <c r="N237" s="96"/>
      <c r="O237" s="96"/>
      <c r="P237" s="96"/>
      <c r="Q237" s="96"/>
      <c r="R237" s="96"/>
    </row>
    <row r="238" spans="1:18" x14ac:dyDescent="0.25">
      <c r="A238" s="96"/>
      <c r="B238" s="96"/>
      <c r="C238" s="96"/>
      <c r="D238" s="96"/>
      <c r="E238" s="96"/>
      <c r="F238" s="96"/>
      <c r="G238" s="96"/>
      <c r="H238" s="96"/>
      <c r="I238" s="96"/>
      <c r="J238" s="96"/>
      <c r="K238" s="96"/>
      <c r="L238" s="96"/>
      <c r="M238" s="96"/>
      <c r="N238" s="96"/>
      <c r="O238" s="96"/>
      <c r="P238" s="96"/>
      <c r="Q238" s="96"/>
      <c r="R238" s="96"/>
    </row>
    <row r="239" spans="1:18" x14ac:dyDescent="0.25">
      <c r="A239" s="96"/>
      <c r="B239" s="96"/>
      <c r="C239" s="96"/>
      <c r="D239" s="96"/>
      <c r="E239" s="96"/>
      <c r="F239" s="96"/>
      <c r="G239" s="96"/>
      <c r="H239" s="96"/>
      <c r="I239" s="96"/>
      <c r="J239" s="96"/>
      <c r="K239" s="96"/>
      <c r="L239" s="96"/>
      <c r="M239" s="96"/>
      <c r="N239" s="96"/>
      <c r="O239" s="96"/>
      <c r="P239" s="96"/>
      <c r="Q239" s="96"/>
      <c r="R239" s="96"/>
    </row>
    <row r="240" spans="1:18" x14ac:dyDescent="0.25">
      <c r="A240" s="96"/>
      <c r="B240" s="96"/>
      <c r="C240" s="96"/>
      <c r="D240" s="96"/>
      <c r="E240" s="96"/>
      <c r="F240" s="96"/>
      <c r="G240" s="96"/>
      <c r="H240" s="96"/>
      <c r="I240" s="96"/>
      <c r="J240" s="96"/>
      <c r="K240" s="96"/>
      <c r="L240" s="96"/>
      <c r="M240" s="96"/>
      <c r="N240" s="96"/>
      <c r="O240" s="96"/>
      <c r="P240" s="96"/>
      <c r="Q240" s="96"/>
      <c r="R240" s="96"/>
    </row>
    <row r="241" spans="1:18" x14ac:dyDescent="0.25">
      <c r="A241" s="96"/>
      <c r="B241" s="96"/>
      <c r="C241" s="96"/>
      <c r="D241" s="96"/>
      <c r="E241" s="96"/>
      <c r="F241" s="96"/>
      <c r="G241" s="96"/>
      <c r="H241" s="96"/>
      <c r="I241" s="96"/>
      <c r="J241" s="96"/>
      <c r="K241" s="96"/>
      <c r="L241" s="96"/>
      <c r="M241" s="96"/>
      <c r="N241" s="96"/>
      <c r="O241" s="96"/>
      <c r="P241" s="96"/>
      <c r="Q241" s="96"/>
      <c r="R241" s="96"/>
    </row>
    <row r="242" spans="1:18" x14ac:dyDescent="0.25">
      <c r="A242" s="96"/>
      <c r="B242" s="96"/>
      <c r="C242" s="96"/>
      <c r="D242" s="96"/>
      <c r="E242" s="96"/>
      <c r="F242" s="96"/>
      <c r="G242" s="96"/>
      <c r="H242" s="96"/>
      <c r="I242" s="96"/>
      <c r="J242" s="96"/>
      <c r="K242" s="96"/>
      <c r="L242" s="96"/>
      <c r="M242" s="96"/>
      <c r="N242" s="96"/>
      <c r="O242" s="96"/>
      <c r="P242" s="96"/>
      <c r="Q242" s="96"/>
      <c r="R242" s="96"/>
    </row>
    <row r="243" spans="1:18" x14ac:dyDescent="0.25">
      <c r="A243" s="96"/>
      <c r="B243" s="96"/>
      <c r="C243" s="96"/>
      <c r="D243" s="96"/>
      <c r="E243" s="96"/>
      <c r="F243" s="96"/>
      <c r="G243" s="96"/>
      <c r="H243" s="96"/>
      <c r="I243" s="96"/>
      <c r="J243" s="96"/>
      <c r="K243" s="96"/>
      <c r="L243" s="96"/>
      <c r="M243" s="96"/>
      <c r="N243" s="96"/>
      <c r="O243" s="96"/>
      <c r="P243" s="96"/>
      <c r="Q243" s="96"/>
      <c r="R243" s="96"/>
    </row>
    <row r="244" spans="1:18" x14ac:dyDescent="0.25">
      <c r="A244" s="96"/>
      <c r="B244" s="96"/>
      <c r="C244" s="96"/>
      <c r="D244" s="96"/>
      <c r="E244" s="96"/>
      <c r="F244" s="96"/>
      <c r="G244" s="96"/>
      <c r="H244" s="96"/>
      <c r="I244" s="96"/>
      <c r="J244" s="96"/>
      <c r="K244" s="96"/>
      <c r="L244" s="96"/>
      <c r="M244" s="96"/>
      <c r="N244" s="96"/>
      <c r="O244" s="96"/>
      <c r="P244" s="96"/>
      <c r="Q244" s="96"/>
      <c r="R244" s="96"/>
    </row>
    <row r="245" spans="1:18" x14ac:dyDescent="0.25">
      <c r="A245" s="96"/>
      <c r="B245" s="96"/>
      <c r="C245" s="96"/>
      <c r="D245" s="96"/>
      <c r="E245" s="96"/>
      <c r="F245" s="96"/>
      <c r="G245" s="96"/>
      <c r="H245" s="96"/>
      <c r="I245" s="96"/>
      <c r="J245" s="96"/>
      <c r="K245" s="96"/>
      <c r="L245" s="96"/>
      <c r="M245" s="96"/>
      <c r="N245" s="96"/>
      <c r="O245" s="96"/>
      <c r="P245" s="96"/>
      <c r="Q245" s="96"/>
      <c r="R245" s="96"/>
    </row>
    <row r="246" spans="1:18" x14ac:dyDescent="0.25">
      <c r="A246" s="96"/>
      <c r="B246" s="96"/>
      <c r="C246" s="96"/>
      <c r="D246" s="96"/>
      <c r="E246" s="96"/>
      <c r="F246" s="96"/>
      <c r="G246" s="96"/>
      <c r="H246" s="96"/>
      <c r="I246" s="96"/>
      <c r="J246" s="96"/>
      <c r="K246" s="96"/>
      <c r="L246" s="96"/>
      <c r="M246" s="96"/>
      <c r="N246" s="96"/>
      <c r="O246" s="96"/>
      <c r="P246" s="96"/>
      <c r="Q246" s="96"/>
      <c r="R246" s="96"/>
    </row>
    <row r="247" spans="1:18" x14ac:dyDescent="0.25">
      <c r="A247" s="96"/>
      <c r="B247" s="96"/>
      <c r="C247" s="96"/>
      <c r="D247" s="96"/>
      <c r="E247" s="96"/>
      <c r="F247" s="96"/>
      <c r="G247" s="96"/>
      <c r="H247" s="96"/>
      <c r="I247" s="96"/>
      <c r="J247" s="96"/>
      <c r="K247" s="96"/>
      <c r="L247" s="96"/>
      <c r="M247" s="96"/>
      <c r="N247" s="96"/>
      <c r="O247" s="96"/>
      <c r="P247" s="96"/>
      <c r="Q247" s="96"/>
      <c r="R247" s="96"/>
    </row>
  </sheetData>
  <mergeCells count="9">
    <mergeCell ref="A64:F65"/>
    <mergeCell ref="A1:N1"/>
    <mergeCell ref="A5:N5"/>
    <mergeCell ref="A6:F6"/>
    <mergeCell ref="A46:F46"/>
    <mergeCell ref="B2:F2"/>
    <mergeCell ref="B3:F3"/>
    <mergeCell ref="A10:F11"/>
    <mergeCell ref="A28:F28"/>
  </mergeCells>
  <dataValidations count="1">
    <dataValidation type="list" allowBlank="1" showInputMessage="1" showErrorMessage="1" sqref="B3:F3" xr:uid="{00000000-0002-0000-0000-000000000000}">
      <formula1>BusinessModels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Gameplay!#REF!</xm:f>
          </x14:formula1>
          <xm:sqref>B39 B19 B29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Y55"/>
  <sheetViews>
    <sheetView zoomScale="85" zoomScaleNormal="85" workbookViewId="0">
      <selection sqref="A1:L1"/>
    </sheetView>
  </sheetViews>
  <sheetFormatPr defaultColWidth="9.140625" defaultRowHeight="11.25" x14ac:dyDescent="0.2"/>
  <cols>
    <col min="1" max="1" width="23" style="148" customWidth="1"/>
    <col min="2" max="2" width="19.5703125" style="148" customWidth="1"/>
    <col min="3" max="3" width="2.140625" style="148" customWidth="1"/>
    <col min="4" max="4" width="11.140625" style="148" customWidth="1"/>
    <col min="5" max="5" width="54.42578125" style="148" customWidth="1"/>
    <col min="6" max="6" width="1.42578125" style="148" customWidth="1"/>
    <col min="7" max="7" width="12.5703125" style="148" customWidth="1"/>
    <col min="8" max="8" width="55.5703125" style="148" customWidth="1"/>
    <col min="9" max="9" width="0.85546875" style="148" customWidth="1"/>
    <col min="10" max="11" width="9.140625" style="148"/>
    <col min="12" max="12" width="19.140625" style="148" customWidth="1"/>
    <col min="13" max="16384" width="9.140625" style="148"/>
  </cols>
  <sheetData>
    <row r="1" spans="1:25" ht="15" customHeight="1" x14ac:dyDescent="0.25">
      <c r="A1" s="207" t="str">
        <f>IF('Initial Setup'!B2="","",CONCATENATE('Initial Setup'!B2,"'s"," Metrics and Options"))</f>
        <v>[Insert Utility Name Here]'s Metrics and Options</v>
      </c>
      <c r="B1" s="207"/>
      <c r="C1" s="207"/>
      <c r="D1" s="207"/>
      <c r="E1" s="207"/>
      <c r="F1" s="207"/>
      <c r="G1" s="207"/>
      <c r="H1" s="207"/>
      <c r="I1" s="207"/>
      <c r="J1" s="207"/>
      <c r="K1" s="207"/>
      <c r="L1" s="207"/>
      <c r="M1" s="147"/>
      <c r="N1" s="147"/>
      <c r="O1" s="147"/>
      <c r="P1" s="147"/>
      <c r="Q1" s="147"/>
      <c r="R1" s="147"/>
      <c r="S1" s="147"/>
      <c r="T1" s="147"/>
      <c r="U1" s="147"/>
      <c r="V1" s="147"/>
      <c r="W1" s="147"/>
      <c r="X1" s="147"/>
      <c r="Y1" s="147"/>
    </row>
    <row r="2" spans="1:25" ht="15" customHeight="1" thickBot="1" x14ac:dyDescent="0.3">
      <c r="A2" s="207">
        <f ca="1">INDEX(Graphs!$A$3:$A$13,Current_Round+1,1)</f>
        <v>2019</v>
      </c>
      <c r="B2" s="207"/>
      <c r="C2" s="207"/>
      <c r="D2" s="207"/>
      <c r="E2" s="207"/>
      <c r="F2" s="207"/>
      <c r="G2" s="207"/>
      <c r="H2" s="207"/>
      <c r="I2" s="207"/>
      <c r="J2" s="207"/>
      <c r="K2" s="207"/>
      <c r="L2" s="207"/>
      <c r="M2" s="147"/>
      <c r="N2" s="147"/>
      <c r="O2" s="147"/>
      <c r="P2" s="147"/>
      <c r="Q2" s="147"/>
      <c r="R2" s="147"/>
      <c r="S2" s="147"/>
      <c r="T2" s="147"/>
      <c r="U2" s="147"/>
      <c r="V2" s="147"/>
      <c r="W2" s="147"/>
      <c r="X2" s="147"/>
      <c r="Y2" s="147"/>
    </row>
    <row r="3" spans="1:25" ht="15" customHeight="1" x14ac:dyDescent="0.2">
      <c r="A3" s="147"/>
      <c r="B3" s="147"/>
      <c r="C3" s="146"/>
      <c r="D3" s="211" t="s">
        <v>328</v>
      </c>
      <c r="E3" s="212"/>
      <c r="F3" s="146">
        <v>0</v>
      </c>
      <c r="G3" s="211" t="s">
        <v>369</v>
      </c>
      <c r="H3" s="212"/>
      <c r="I3" s="147"/>
      <c r="J3" s="204" t="s">
        <v>449</v>
      </c>
      <c r="K3" s="205"/>
      <c r="L3" s="206"/>
      <c r="M3" s="147"/>
      <c r="N3" s="147"/>
      <c r="O3" s="147"/>
      <c r="P3" s="147"/>
      <c r="Q3" s="147"/>
      <c r="R3" s="147"/>
      <c r="S3" s="147"/>
      <c r="T3" s="147"/>
      <c r="U3" s="147"/>
      <c r="V3" s="147"/>
      <c r="W3" s="147"/>
      <c r="X3" s="147"/>
      <c r="Y3" s="147"/>
    </row>
    <row r="4" spans="1:25" s="151" customFormat="1" ht="30" customHeight="1" thickBot="1" x14ac:dyDescent="0.25">
      <c r="A4" s="147"/>
      <c r="B4" s="147"/>
      <c r="C4" s="150"/>
      <c r="D4" s="216">
        <f>INDEX(Graphs!$C$3:$C$13,Current_Round+1,1)</f>
        <v>99.776322752353039</v>
      </c>
      <c r="E4" s="218"/>
      <c r="F4" s="150"/>
      <c r="G4" s="234">
        <f>INDEX(Graphs!$C$34:$C$44,Current_Round+1,1)</f>
        <v>0.54024054081148387</v>
      </c>
      <c r="H4" s="236">
        <v>0</v>
      </c>
      <c r="I4" s="150"/>
      <c r="J4" s="208" t="str">
        <f>CONCATENATE(IF(INDEX('Event Tracker'!B2:L8,1,MATCH(Current_Round,'Event Tracker'!B1:L1,0))=1,"[RPS]",""),IF(INDEX('Event Tracker'!B2:L8,2,MATCH(Current_Round,'Event Tracker'!B1:L1,0))=1,"[Decoupling]",""),IF(INDEX('Event Tracker'!B2:L8,3,MATCH(Current_Round,'Event Tracker'!B1:L1,0))=1,"[Increased Fixed Charges]",""),IF(INDEX('Event Tracker'!B2:L8,4,MATCH(Current_Round,'Event Tracker'!B1:L1,0))=1,"[Time of Use Pricing]",""),IF(INDEX('Event Tracker'!B2:L8,5,MATCH(Current_Round,'Event Tracker'!B1:L1,0))=1,"[PIMs]",""),IF(INDEX('Event Tracker'!B2:L8,6,MATCH(Current_Round,'Event Tracker'!B1:L1,0))=1,"[Widened Balancing Areas]",""),IF(INDEX('Event Tracker'!B2:L8,7,MATCH(Current_Round,'Event Tracker'!B1:L1,0))=1,"[Decoupling + Incentives]",""))</f>
        <v/>
      </c>
      <c r="K4" s="209"/>
      <c r="L4" s="210"/>
      <c r="M4" s="150"/>
      <c r="N4" s="150"/>
      <c r="O4" s="150"/>
      <c r="P4" s="150"/>
      <c r="Q4" s="150"/>
      <c r="R4" s="150"/>
      <c r="S4" s="150"/>
      <c r="T4" s="150"/>
      <c r="U4" s="150"/>
      <c r="V4" s="150"/>
      <c r="W4" s="150"/>
      <c r="X4" s="150"/>
      <c r="Y4" s="150"/>
    </row>
    <row r="5" spans="1:25" ht="15" customHeight="1" thickBot="1" x14ac:dyDescent="0.25">
      <c r="A5" s="147"/>
      <c r="B5" s="147"/>
      <c r="C5" s="147"/>
      <c r="D5" s="216"/>
      <c r="E5" s="218"/>
      <c r="F5" s="147"/>
      <c r="G5" s="234"/>
      <c r="H5" s="236"/>
      <c r="I5" s="147"/>
      <c r="J5" s="147"/>
      <c r="K5" s="147"/>
      <c r="L5" s="147"/>
      <c r="M5" s="147"/>
      <c r="N5" s="147"/>
      <c r="O5" s="147"/>
      <c r="P5" s="147"/>
      <c r="Q5" s="147"/>
      <c r="R5" s="147"/>
      <c r="S5" s="147"/>
      <c r="T5" s="147"/>
      <c r="U5" s="147"/>
      <c r="V5" s="147"/>
      <c r="W5" s="147"/>
      <c r="X5" s="147"/>
      <c r="Y5" s="147"/>
    </row>
    <row r="6" spans="1:25" ht="15" customHeight="1" x14ac:dyDescent="0.2">
      <c r="A6" s="147"/>
      <c r="B6" s="147"/>
      <c r="C6" s="147"/>
      <c r="D6" s="216"/>
      <c r="E6" s="218"/>
      <c r="F6" s="147"/>
      <c r="G6" s="234"/>
      <c r="H6" s="236"/>
      <c r="I6" s="147"/>
      <c r="J6" s="204" t="s">
        <v>450</v>
      </c>
      <c r="K6" s="205"/>
      <c r="L6" s="206"/>
      <c r="M6" s="147"/>
      <c r="N6" s="147"/>
      <c r="O6" s="147"/>
      <c r="P6" s="147"/>
      <c r="Q6" s="147"/>
      <c r="R6" s="147"/>
      <c r="S6" s="147"/>
      <c r="T6" s="147"/>
      <c r="U6" s="147"/>
      <c r="V6" s="147"/>
      <c r="W6" s="147"/>
      <c r="X6" s="147"/>
      <c r="Y6" s="147"/>
    </row>
    <row r="7" spans="1:25" ht="45" customHeight="1" thickBot="1" x14ac:dyDescent="0.25">
      <c r="A7" s="147"/>
      <c r="B7" s="147"/>
      <c r="C7" s="147"/>
      <c r="D7" s="216"/>
      <c r="E7" s="218"/>
      <c r="F7" s="147"/>
      <c r="G7" s="234"/>
      <c r="H7" s="236"/>
      <c r="I7" s="147"/>
      <c r="J7" s="213" t="str">
        <f>CONCATENATE("New Peak Capacity Needed to Meet Reserve Margin: ",ROUND(INDEX(Graphs!B97:L97,1,MATCH(Current_Round,Graphs!B96:L96,0)),0)," MW")</f>
        <v>New Peak Capacity Needed to Meet Reserve Margin: 0 MW</v>
      </c>
      <c r="K7" s="214"/>
      <c r="L7" s="215"/>
      <c r="M7" s="147"/>
      <c r="N7" s="147"/>
      <c r="O7" s="147"/>
      <c r="P7" s="147"/>
      <c r="Q7" s="147"/>
      <c r="R7" s="147"/>
      <c r="S7" s="147"/>
      <c r="T7" s="147"/>
      <c r="U7" s="147"/>
      <c r="V7" s="147"/>
      <c r="W7" s="147"/>
      <c r="X7" s="147"/>
      <c r="Y7" s="147"/>
    </row>
    <row r="8" spans="1:25" ht="15" customHeight="1" thickBot="1" x14ac:dyDescent="0.25">
      <c r="A8" s="147"/>
      <c r="B8" s="147"/>
      <c r="C8" s="147"/>
      <c r="D8" s="216"/>
      <c r="E8" s="218"/>
      <c r="F8" s="147"/>
      <c r="G8" s="234"/>
      <c r="H8" s="236"/>
      <c r="I8" s="147"/>
      <c r="J8" s="147"/>
      <c r="K8" s="147"/>
      <c r="L8" s="147"/>
      <c r="M8" s="147"/>
      <c r="N8" s="147"/>
      <c r="O8" s="147"/>
      <c r="P8" s="147"/>
      <c r="Q8" s="147"/>
      <c r="R8" s="147"/>
      <c r="S8" s="147"/>
      <c r="T8" s="147"/>
      <c r="U8" s="147"/>
      <c r="V8" s="147"/>
      <c r="W8" s="147"/>
      <c r="X8" s="147"/>
      <c r="Y8" s="147"/>
    </row>
    <row r="9" spans="1:25" ht="15" customHeight="1" x14ac:dyDescent="0.2">
      <c r="A9" s="147"/>
      <c r="B9" s="147"/>
      <c r="C9" s="147"/>
      <c r="D9" s="216"/>
      <c r="E9" s="218"/>
      <c r="F9" s="147"/>
      <c r="G9" s="234"/>
      <c r="H9" s="236"/>
      <c r="I9" s="147"/>
      <c r="J9" s="204" t="s">
        <v>455</v>
      </c>
      <c r="K9" s="205"/>
      <c r="L9" s="206"/>
      <c r="M9" s="147"/>
      <c r="N9" s="147"/>
      <c r="O9" s="147"/>
      <c r="P9" s="147"/>
      <c r="Q9" s="147"/>
      <c r="R9" s="147"/>
      <c r="S9" s="147"/>
      <c r="T9" s="147"/>
      <c r="U9" s="147"/>
      <c r="V9" s="147"/>
      <c r="W9" s="147"/>
      <c r="X9" s="147"/>
      <c r="Y9" s="147"/>
    </row>
    <row r="10" spans="1:25" ht="15" customHeight="1" x14ac:dyDescent="0.2">
      <c r="A10" s="147"/>
      <c r="B10" s="147"/>
      <c r="C10" s="149"/>
      <c r="D10" s="216"/>
      <c r="E10" s="218"/>
      <c r="F10" s="146"/>
      <c r="G10" s="234"/>
      <c r="H10" s="236"/>
      <c r="I10" s="147"/>
      <c r="J10" s="228" t="str">
        <f>BusinessModel</f>
        <v>Select</v>
      </c>
      <c r="K10" s="229"/>
      <c r="L10" s="230"/>
      <c r="M10" s="147"/>
      <c r="N10" s="147"/>
      <c r="O10" s="147"/>
      <c r="P10" s="147"/>
      <c r="Q10" s="147"/>
      <c r="R10" s="147"/>
      <c r="S10" s="147"/>
      <c r="T10" s="147"/>
      <c r="U10" s="147"/>
      <c r="V10" s="147"/>
      <c r="W10" s="147"/>
      <c r="X10" s="147"/>
      <c r="Y10" s="147"/>
    </row>
    <row r="11" spans="1:25" ht="15" customHeight="1" x14ac:dyDescent="0.2">
      <c r="A11" s="147"/>
      <c r="B11" s="147"/>
      <c r="C11" s="147"/>
      <c r="D11" s="216"/>
      <c r="E11" s="218"/>
      <c r="F11" s="147"/>
      <c r="G11" s="234"/>
      <c r="H11" s="236"/>
      <c r="I11" s="147"/>
      <c r="J11" s="228"/>
      <c r="K11" s="229"/>
      <c r="L11" s="230"/>
      <c r="M11" s="147"/>
      <c r="N11" s="147"/>
      <c r="O11" s="147"/>
      <c r="P11" s="147"/>
      <c r="Q11" s="147"/>
      <c r="R11" s="147"/>
      <c r="S11" s="147"/>
      <c r="T11" s="147"/>
      <c r="U11" s="147"/>
      <c r="V11" s="147"/>
      <c r="W11" s="147"/>
      <c r="X11" s="147"/>
      <c r="Y11" s="147"/>
    </row>
    <row r="12" spans="1:25" ht="15" customHeight="1" thickBot="1" x14ac:dyDescent="0.25">
      <c r="A12" s="147"/>
      <c r="B12" s="147"/>
      <c r="C12" s="147"/>
      <c r="D12" s="217"/>
      <c r="E12" s="219"/>
      <c r="F12" s="147"/>
      <c r="G12" s="235"/>
      <c r="H12" s="237"/>
      <c r="I12" s="147"/>
      <c r="J12" s="231"/>
      <c r="K12" s="232"/>
      <c r="L12" s="233"/>
      <c r="M12" s="147"/>
      <c r="N12" s="147"/>
      <c r="O12" s="147"/>
      <c r="P12" s="147"/>
      <c r="Q12" s="147"/>
      <c r="R12" s="147"/>
      <c r="S12" s="147"/>
      <c r="T12" s="147"/>
      <c r="U12" s="147"/>
      <c r="V12" s="147"/>
      <c r="W12" s="147"/>
      <c r="X12" s="147"/>
      <c r="Y12" s="147"/>
    </row>
    <row r="13" spans="1:25" ht="15" customHeight="1" thickBot="1" x14ac:dyDescent="0.3">
      <c r="A13" s="147"/>
      <c r="B13" s="147"/>
      <c r="C13" s="147"/>
      <c r="D13" s="96"/>
      <c r="E13" s="96"/>
      <c r="F13" s="147"/>
      <c r="I13" s="147"/>
      <c r="J13" s="147"/>
      <c r="K13" s="147"/>
      <c r="L13" s="147"/>
      <c r="M13" s="147"/>
      <c r="N13" s="147"/>
      <c r="O13" s="147"/>
      <c r="P13" s="147"/>
      <c r="Q13" s="147"/>
      <c r="R13" s="147"/>
      <c r="S13" s="147"/>
      <c r="T13" s="147"/>
      <c r="U13" s="147"/>
      <c r="V13" s="147"/>
      <c r="W13" s="147"/>
      <c r="X13" s="147"/>
      <c r="Y13" s="147"/>
    </row>
    <row r="14" spans="1:25" ht="15" customHeight="1" x14ac:dyDescent="0.2">
      <c r="A14" s="147"/>
      <c r="B14" s="147"/>
      <c r="C14" s="147"/>
      <c r="D14" s="211" t="s">
        <v>430</v>
      </c>
      <c r="E14" s="212"/>
      <c r="F14" s="147"/>
      <c r="G14" s="211" t="s">
        <v>134</v>
      </c>
      <c r="H14" s="212"/>
      <c r="I14" s="147"/>
      <c r="J14" s="204" t="s">
        <v>518</v>
      </c>
      <c r="K14" s="205"/>
      <c r="L14" s="206"/>
      <c r="M14" s="147"/>
      <c r="N14" s="147"/>
      <c r="O14" s="147"/>
      <c r="P14" s="147"/>
      <c r="Q14" s="147"/>
      <c r="R14" s="147"/>
      <c r="S14" s="147"/>
      <c r="T14" s="147"/>
      <c r="U14" s="147"/>
      <c r="V14" s="147"/>
      <c r="W14" s="147"/>
      <c r="X14" s="147"/>
      <c r="Y14" s="147"/>
    </row>
    <row r="15" spans="1:25" ht="15" customHeight="1" x14ac:dyDescent="0.25">
      <c r="A15" s="147"/>
      <c r="B15" s="147"/>
      <c r="C15" s="147"/>
      <c r="D15" s="225">
        <f>INDEX('Environmental Performance'!$C$3:$L$3,1,Current_Round)</f>
        <v>1052.5794748735639</v>
      </c>
      <c r="E15" s="175"/>
      <c r="F15" s="147"/>
      <c r="G15" s="222">
        <f>INDEX(Reliability!C95:L95,1,Current_Round)</f>
        <v>299.33105007538893</v>
      </c>
      <c r="H15" s="223"/>
      <c r="I15" s="147"/>
      <c r="J15" s="172" t="str">
        <f>CONCATENATE("Renewables Generation: ",ROUND(INDEX(Dispatch!$B$232:$L$232,1,MATCH('Event Tracker'!$P$1,Dispatch!$B$230:$L$230,0))*100,1),"%")</f>
        <v>Renewables Generation: 2.2%</v>
      </c>
      <c r="K15" s="167"/>
      <c r="L15" s="168"/>
      <c r="M15" s="147"/>
      <c r="N15" s="147"/>
      <c r="O15" s="147"/>
      <c r="P15" s="147"/>
      <c r="Q15" s="147"/>
      <c r="R15" s="147"/>
      <c r="S15" s="147"/>
      <c r="T15" s="147"/>
      <c r="U15" s="147"/>
      <c r="V15" s="147"/>
      <c r="W15" s="147"/>
      <c r="X15" s="147"/>
      <c r="Y15" s="147"/>
    </row>
    <row r="16" spans="1:25" ht="15" customHeight="1" x14ac:dyDescent="0.25">
      <c r="A16" s="147"/>
      <c r="B16" s="147"/>
      <c r="C16" s="147"/>
      <c r="D16" s="225"/>
      <c r="E16" s="175"/>
      <c r="F16" s="147"/>
      <c r="G16" s="222"/>
      <c r="H16" s="223"/>
      <c r="I16" s="147"/>
      <c r="J16" s="172" t="str">
        <f>CONCATENATE("Renewables Requirement: ",ROUND(INDEX(Dispatch!B233:L233,1,MATCH(Current_Round,Dispatch!B230:L230,0))*100,1),"%")</f>
        <v>Renewables Requirement: 0%</v>
      </c>
      <c r="K16" s="169"/>
      <c r="L16" s="168"/>
      <c r="M16" s="147"/>
      <c r="N16" s="147"/>
      <c r="O16" s="147"/>
      <c r="P16" s="147"/>
      <c r="Q16" s="147"/>
      <c r="R16" s="147"/>
      <c r="S16" s="147"/>
      <c r="T16" s="147"/>
      <c r="U16" s="147"/>
      <c r="V16" s="147"/>
      <c r="W16" s="147"/>
      <c r="X16" s="147"/>
      <c r="Y16" s="147"/>
    </row>
    <row r="17" spans="1:25" ht="15" customHeight="1" x14ac:dyDescent="0.25">
      <c r="A17" s="147"/>
      <c r="B17" s="147"/>
      <c r="C17" s="147"/>
      <c r="D17" s="225"/>
      <c r="E17" s="175"/>
      <c r="F17" s="147"/>
      <c r="G17" s="222"/>
      <c r="H17" s="223"/>
      <c r="I17" s="147"/>
      <c r="J17" s="172" t="str">
        <f>CONCATENATE("Carbon Price This Year: $",ROUND(INDEX(Dispatch!$B$21:$L$21,1,MATCH('Event Tracker'!$P$1,Dispatch!$B$20:$L$20,0)), 2))</f>
        <v>Carbon Price This Year: $0</v>
      </c>
      <c r="K17" s="169"/>
      <c r="L17" s="168"/>
      <c r="M17" s="147"/>
      <c r="N17" s="147"/>
      <c r="O17" s="147"/>
      <c r="P17" s="147"/>
      <c r="Q17" s="147"/>
      <c r="R17" s="147"/>
      <c r="S17" s="147"/>
      <c r="T17" s="147"/>
      <c r="U17" s="147"/>
      <c r="V17" s="147"/>
      <c r="W17" s="147"/>
      <c r="X17" s="147"/>
      <c r="Y17" s="147"/>
    </row>
    <row r="18" spans="1:25" ht="15" customHeight="1" thickBot="1" x14ac:dyDescent="0.3">
      <c r="A18" s="147"/>
      <c r="B18" s="147"/>
      <c r="C18" s="147"/>
      <c r="D18" s="225"/>
      <c r="E18" s="175"/>
      <c r="F18" s="147"/>
      <c r="G18" s="222"/>
      <c r="H18" s="223"/>
      <c r="I18" s="147"/>
      <c r="J18" s="173" t="str">
        <f>CONCATENATE("Carbon Price Next Year: $",ROUND(INDEX(Dispatch!$B$21:$L$21,1,MATCH('Event Tracker'!$P$1,Dispatch!$B$20:$L$20,0)+1),2))</f>
        <v>Carbon Price Next Year: $0</v>
      </c>
      <c r="K18" s="170"/>
      <c r="L18" s="171"/>
      <c r="M18" s="147"/>
      <c r="N18" s="147"/>
      <c r="O18" s="147"/>
      <c r="P18" s="147"/>
      <c r="Q18" s="147"/>
      <c r="R18" s="147"/>
      <c r="S18" s="147"/>
      <c r="T18" s="147"/>
      <c r="U18" s="147"/>
      <c r="V18" s="147"/>
      <c r="W18" s="147"/>
      <c r="X18" s="147"/>
      <c r="Y18" s="147"/>
    </row>
    <row r="19" spans="1:25" ht="15" customHeight="1" thickBot="1" x14ac:dyDescent="0.25">
      <c r="A19" s="147"/>
      <c r="B19" s="147"/>
      <c r="C19" s="147"/>
      <c r="D19" s="225"/>
      <c r="E19" s="175"/>
      <c r="F19" s="147"/>
      <c r="G19" s="222"/>
      <c r="H19" s="223"/>
      <c r="I19" s="147"/>
      <c r="J19" s="147"/>
      <c r="K19" s="147"/>
      <c r="L19" s="147"/>
      <c r="M19" s="147"/>
      <c r="N19" s="147"/>
      <c r="O19" s="147"/>
      <c r="P19" s="147"/>
      <c r="Q19" s="147"/>
      <c r="R19" s="147"/>
      <c r="S19" s="147"/>
      <c r="T19" s="147"/>
      <c r="U19" s="147"/>
      <c r="V19" s="147"/>
      <c r="W19" s="147"/>
      <c r="X19" s="147"/>
      <c r="Y19" s="147"/>
    </row>
    <row r="20" spans="1:25" ht="15" customHeight="1" x14ac:dyDescent="0.2">
      <c r="A20" s="147"/>
      <c r="B20" s="147"/>
      <c r="C20" s="147"/>
      <c r="D20" s="225"/>
      <c r="E20" s="175"/>
      <c r="F20" s="147"/>
      <c r="G20" s="222"/>
      <c r="H20" s="223"/>
      <c r="I20" s="147"/>
      <c r="J20" s="204" t="s">
        <v>519</v>
      </c>
      <c r="K20" s="205"/>
      <c r="L20" s="206"/>
      <c r="M20" s="147"/>
      <c r="N20" s="147"/>
      <c r="O20" s="147"/>
      <c r="P20" s="147"/>
      <c r="Q20" s="147"/>
      <c r="R20" s="147"/>
      <c r="S20" s="147"/>
      <c r="T20" s="147"/>
      <c r="U20" s="147"/>
      <c r="V20" s="147"/>
      <c r="W20" s="147"/>
      <c r="X20" s="147"/>
      <c r="Y20" s="147"/>
    </row>
    <row r="21" spans="1:25" ht="45" customHeight="1" thickBot="1" x14ac:dyDescent="0.25">
      <c r="A21" s="147"/>
      <c r="B21" s="147"/>
      <c r="C21" s="147"/>
      <c r="D21" s="226" t="s">
        <v>520</v>
      </c>
      <c r="E21" s="175"/>
      <c r="F21" s="147"/>
      <c r="G21" s="220" t="s">
        <v>370</v>
      </c>
      <c r="H21" s="223"/>
      <c r="I21" s="147"/>
      <c r="J21" s="213" t="e">
        <f>IF('Game Properties'!$AD$2=1,"You must build more flexibility to support additional utility scale solar PV power",IF('Game Properties'!$AD$3=1,"You must build more flexibility to support additional wind power",IF('Game Properties'!$AD$4=1,"You must build more flexibility to support additional distributed solar PV power",IF('Game Properties'!$AD$5=1,"You have reached the limit that energy efficiency can contribute to total load",""))))</f>
        <v>#VALUE!</v>
      </c>
      <c r="K21" s="214"/>
      <c r="L21" s="215"/>
      <c r="M21" s="147"/>
      <c r="N21" s="147"/>
      <c r="O21" s="147"/>
      <c r="P21" s="147"/>
      <c r="Q21" s="147"/>
      <c r="R21" s="147"/>
      <c r="S21" s="147"/>
      <c r="T21" s="147"/>
      <c r="U21" s="147"/>
      <c r="V21" s="147"/>
      <c r="W21" s="147"/>
      <c r="X21" s="147"/>
      <c r="Y21" s="147"/>
    </row>
    <row r="22" spans="1:25" ht="15" customHeight="1" x14ac:dyDescent="0.2">
      <c r="A22" s="147"/>
      <c r="B22" s="147"/>
      <c r="C22" s="147"/>
      <c r="D22" s="226"/>
      <c r="E22" s="175"/>
      <c r="F22" s="147"/>
      <c r="G22" s="220"/>
      <c r="H22" s="223"/>
      <c r="I22" s="147"/>
      <c r="J22" s="147"/>
      <c r="K22" s="147"/>
      <c r="L22" s="147"/>
      <c r="M22" s="147"/>
      <c r="N22" s="147"/>
      <c r="O22" s="147"/>
      <c r="P22" s="147"/>
      <c r="Q22" s="147"/>
      <c r="R22" s="147"/>
      <c r="S22" s="147"/>
      <c r="T22" s="147"/>
      <c r="U22" s="147"/>
      <c r="V22" s="147"/>
      <c r="W22" s="147"/>
      <c r="X22" s="147"/>
      <c r="Y22" s="147"/>
    </row>
    <row r="23" spans="1:25" ht="15" customHeight="1" x14ac:dyDescent="0.2">
      <c r="A23" s="147"/>
      <c r="B23" s="147"/>
      <c r="C23" s="147"/>
      <c r="D23" s="226"/>
      <c r="E23" s="175"/>
      <c r="F23" s="147"/>
      <c r="G23" s="220"/>
      <c r="H23" s="223"/>
      <c r="I23" s="147"/>
      <c r="J23" s="147"/>
      <c r="K23" s="147"/>
      <c r="L23" s="147"/>
      <c r="M23" s="147"/>
      <c r="N23" s="147"/>
      <c r="O23" s="147"/>
      <c r="P23" s="147"/>
      <c r="Q23" s="147"/>
      <c r="R23" s="147"/>
      <c r="S23" s="147"/>
      <c r="T23" s="147"/>
      <c r="U23" s="147"/>
      <c r="V23" s="147"/>
      <c r="W23" s="147"/>
      <c r="X23" s="147"/>
      <c r="Y23" s="147"/>
    </row>
    <row r="24" spans="1:25" ht="15" customHeight="1" x14ac:dyDescent="0.2">
      <c r="A24" s="147"/>
      <c r="B24" s="147"/>
      <c r="C24" s="147"/>
      <c r="D24" s="226"/>
      <c r="E24" s="175"/>
      <c r="F24" s="147"/>
      <c r="G24" s="220"/>
      <c r="H24" s="223"/>
      <c r="I24" s="147"/>
      <c r="J24" s="147"/>
      <c r="K24" s="147"/>
      <c r="L24" s="147"/>
      <c r="M24" s="147"/>
      <c r="N24" s="147"/>
      <c r="O24" s="147"/>
      <c r="P24" s="147"/>
      <c r="Q24" s="147"/>
      <c r="R24" s="147"/>
      <c r="S24" s="147"/>
      <c r="T24" s="147"/>
      <c r="U24" s="147"/>
      <c r="V24" s="147"/>
      <c r="W24" s="147"/>
      <c r="X24" s="147"/>
      <c r="Y24" s="147"/>
    </row>
    <row r="25" spans="1:25" ht="15" customHeight="1" thickBot="1" x14ac:dyDescent="0.25">
      <c r="A25" s="147"/>
      <c r="B25" s="147"/>
      <c r="C25" s="147"/>
      <c r="D25" s="227"/>
      <c r="E25" s="176"/>
      <c r="F25" s="147"/>
      <c r="G25" s="221"/>
      <c r="H25" s="224"/>
      <c r="I25" s="147"/>
      <c r="J25" s="147"/>
      <c r="K25" s="147"/>
      <c r="L25" s="147"/>
      <c r="M25" s="147"/>
      <c r="N25" s="147"/>
      <c r="O25" s="147"/>
      <c r="P25" s="147"/>
      <c r="Q25" s="147"/>
      <c r="R25" s="147"/>
      <c r="S25" s="147"/>
      <c r="T25" s="147"/>
      <c r="U25" s="147"/>
      <c r="V25" s="147"/>
      <c r="W25" s="147"/>
      <c r="X25" s="147"/>
      <c r="Y25" s="147"/>
    </row>
    <row r="26" spans="1:25" ht="29.1" customHeight="1" x14ac:dyDescent="0.2">
      <c r="A26" s="147"/>
      <c r="B26" s="147"/>
      <c r="C26" s="147"/>
      <c r="D26" s="147"/>
      <c r="E26" s="147"/>
      <c r="F26" s="147"/>
      <c r="G26" s="147"/>
      <c r="H26" s="147"/>
      <c r="I26" s="147"/>
      <c r="J26" s="147"/>
      <c r="K26" s="147"/>
      <c r="L26" s="147"/>
      <c r="M26" s="147"/>
      <c r="N26" s="147"/>
      <c r="O26" s="147"/>
      <c r="P26" s="147"/>
      <c r="Q26" s="147"/>
      <c r="R26" s="147"/>
      <c r="S26" s="147"/>
      <c r="T26" s="147"/>
      <c r="U26" s="147"/>
      <c r="V26" s="147"/>
      <c r="W26" s="147"/>
      <c r="X26" s="147"/>
      <c r="Y26" s="147"/>
    </row>
    <row r="27" spans="1:25" ht="14.45" customHeight="1" x14ac:dyDescent="0.2">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row>
    <row r="28" spans="1:25" s="147" customFormat="1" ht="14.45" customHeight="1" x14ac:dyDescent="0.2"/>
    <row r="29" spans="1:25" s="147" customFormat="1" ht="14.45" customHeight="1" x14ac:dyDescent="0.2"/>
    <row r="30" spans="1:25" s="147" customFormat="1" ht="14.45" customHeight="1" x14ac:dyDescent="0.2"/>
    <row r="31" spans="1:25" s="147" customFormat="1" ht="14.45" customHeight="1" x14ac:dyDescent="0.2"/>
    <row r="32" spans="1:25" s="147" customFormat="1" ht="14.45" customHeight="1" x14ac:dyDescent="0.2"/>
    <row r="33" s="147" customFormat="1" ht="14.45" customHeight="1" x14ac:dyDescent="0.2"/>
    <row r="34" s="147" customFormat="1" ht="14.45" customHeight="1" x14ac:dyDescent="0.2"/>
    <row r="35" s="147" customFormat="1" ht="14.45" customHeight="1" x14ac:dyDescent="0.2"/>
    <row r="36" s="147" customFormat="1" ht="14.45" customHeight="1" x14ac:dyDescent="0.2"/>
    <row r="37" s="147" customFormat="1" ht="14.45" customHeight="1" x14ac:dyDescent="0.2"/>
    <row r="38" s="147" customFormat="1" ht="14.45" customHeight="1" x14ac:dyDescent="0.2"/>
    <row r="39" s="147" customFormat="1" ht="15" customHeight="1" x14ac:dyDescent="0.2"/>
    <row r="40" s="147" customFormat="1" x14ac:dyDescent="0.2"/>
    <row r="41" s="147" customFormat="1" x14ac:dyDescent="0.2"/>
    <row r="42" s="147" customFormat="1" x14ac:dyDescent="0.2"/>
    <row r="43" s="147" customFormat="1" x14ac:dyDescent="0.2"/>
    <row r="44" s="147" customFormat="1" x14ac:dyDescent="0.2"/>
    <row r="45" s="147" customFormat="1" x14ac:dyDescent="0.2"/>
    <row r="46" s="147" customFormat="1" x14ac:dyDescent="0.2"/>
    <row r="47" s="147" customFormat="1" x14ac:dyDescent="0.2"/>
    <row r="48" s="147" customFormat="1" x14ac:dyDescent="0.2"/>
    <row r="49" s="147" customFormat="1" x14ac:dyDescent="0.2"/>
    <row r="50" s="147" customFormat="1" x14ac:dyDescent="0.2"/>
    <row r="51" s="147" customFormat="1" x14ac:dyDescent="0.2"/>
    <row r="52" s="147" customFormat="1" x14ac:dyDescent="0.2"/>
    <row r="53" s="147" customFormat="1" x14ac:dyDescent="0.2"/>
    <row r="54" s="147" customFormat="1" x14ac:dyDescent="0.2"/>
    <row r="55" s="147" customFormat="1" x14ac:dyDescent="0.2"/>
  </sheetData>
  <mergeCells count="24">
    <mergeCell ref="J21:L21"/>
    <mergeCell ref="D14:E14"/>
    <mergeCell ref="D4:D12"/>
    <mergeCell ref="E4:E12"/>
    <mergeCell ref="G21:G25"/>
    <mergeCell ref="G15:G20"/>
    <mergeCell ref="H15:H25"/>
    <mergeCell ref="G14:H14"/>
    <mergeCell ref="D15:D20"/>
    <mergeCell ref="D21:D25"/>
    <mergeCell ref="J10:L12"/>
    <mergeCell ref="J20:L20"/>
    <mergeCell ref="J7:L7"/>
    <mergeCell ref="J6:L6"/>
    <mergeCell ref="G4:G12"/>
    <mergeCell ref="H4:H12"/>
    <mergeCell ref="J14:L14"/>
    <mergeCell ref="J9:L9"/>
    <mergeCell ref="A1:L1"/>
    <mergeCell ref="A2:L2"/>
    <mergeCell ref="J3:L3"/>
    <mergeCell ref="J4:L4"/>
    <mergeCell ref="D3:E3"/>
    <mergeCell ref="G3:H3"/>
  </mergeCells>
  <conditionalFormatting sqref="J15:L16">
    <cfRule type="expression" dxfId="6" priority="2">
      <formula>Renewables_Generation&lt;Renewables_Requirement</formula>
    </cfRule>
  </conditionalFormatting>
  <conditionalFormatting sqref="J21:L21">
    <cfRule type="expression" dxfId="5" priority="1">
      <formula>OR(UtilityPV_Limit=1,Wind_Limit=1,DistributedPV_Limit=1,EE_Limit=1)</formula>
    </cfRule>
  </conditionalFormatting>
  <conditionalFormatting sqref="J7">
    <cfRule type="expression" dxfId="4" priority="10">
      <formula>INDEX(Reserve_Margin_Error,1,Current_Round)&gt;0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0D67E445-6E47-4FEF-97D3-F1155301F97B}">
            <xm:f>'Game Properties'!$K$3="No"</xm:f>
            <x14:dxf>
              <font>
                <color theme="0"/>
              </font>
              <fill>
                <patternFill>
                  <bgColor theme="0"/>
                </patternFill>
              </fill>
              <border>
                <left/>
                <right/>
                <top/>
                <bottom/>
                <vertical/>
                <horizontal/>
              </border>
            </x14:dxf>
          </x14:cfRule>
          <xm:sqref>J3:L4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147"/>
  <sheetViews>
    <sheetView workbookViewId="0">
      <selection activeCell="A20" sqref="A20:B21"/>
    </sheetView>
  </sheetViews>
  <sheetFormatPr defaultRowHeight="15" x14ac:dyDescent="0.25"/>
  <cols>
    <col min="1" max="1" width="55.28515625" customWidth="1"/>
    <col min="15" max="15" width="14.5703125" bestFit="1" customWidth="1"/>
  </cols>
  <sheetData>
    <row r="1" spans="1:16" ht="15.75" thickBot="1" x14ac:dyDescent="0.3">
      <c r="A1" s="9" t="s">
        <v>196</v>
      </c>
      <c r="B1" s="9">
        <v>0</v>
      </c>
      <c r="C1" s="9">
        <v>1</v>
      </c>
      <c r="D1" s="9">
        <v>2</v>
      </c>
      <c r="E1" s="9">
        <v>3</v>
      </c>
      <c r="F1" s="9">
        <v>4</v>
      </c>
      <c r="G1" s="9">
        <v>5</v>
      </c>
      <c r="H1" s="9">
        <v>6</v>
      </c>
      <c r="I1" s="9">
        <v>7</v>
      </c>
      <c r="J1" s="9">
        <v>8</v>
      </c>
      <c r="K1" s="9">
        <v>9</v>
      </c>
      <c r="L1" s="9">
        <v>10</v>
      </c>
      <c r="O1" t="s">
        <v>263</v>
      </c>
      <c r="P1" s="100">
        <f t="array" ref="P1">IF(MAX(B17:L17)=0,0,MAX(IF(B17:L17=1,B16:L16))+1)</f>
        <v>0</v>
      </c>
    </row>
    <row r="2" spans="1:16" x14ac:dyDescent="0.25">
      <c r="A2" t="s">
        <v>3</v>
      </c>
      <c r="B2">
        <v>0</v>
      </c>
      <c r="C2">
        <f t="shared" ref="C2:L2" si="0">IF(AND(C52=1,B52=0),1,IF(Current_Round&gt;C$1,IF(B2=1,1,0),IF(B2=1,1,0)))</f>
        <v>0</v>
      </c>
      <c r="D2">
        <f t="shared" si="0"/>
        <v>0</v>
      </c>
      <c r="E2">
        <f t="shared" si="0"/>
        <v>0</v>
      </c>
      <c r="F2">
        <f t="shared" si="0"/>
        <v>0</v>
      </c>
      <c r="G2">
        <f t="shared" si="0"/>
        <v>0</v>
      </c>
      <c r="H2">
        <f t="shared" si="0"/>
        <v>0</v>
      </c>
      <c r="I2">
        <f t="shared" si="0"/>
        <v>0</v>
      </c>
      <c r="J2">
        <f t="shared" si="0"/>
        <v>0</v>
      </c>
      <c r="K2">
        <f t="shared" si="0"/>
        <v>0</v>
      </c>
      <c r="L2">
        <f t="shared" si="0"/>
        <v>0</v>
      </c>
    </row>
    <row r="3" spans="1:16" x14ac:dyDescent="0.25">
      <c r="A3" t="s">
        <v>2</v>
      </c>
      <c r="B3">
        <v>0</v>
      </c>
      <c r="C3">
        <f t="shared" ref="C3:L3" si="1">IF(AND(C53=1,B53=0),1,IF(Current_Round&gt;C$1,IF(B3=1,1,0),IF(B3=1,1,0)))</f>
        <v>0</v>
      </c>
      <c r="D3">
        <f t="shared" si="1"/>
        <v>0</v>
      </c>
      <c r="E3">
        <f t="shared" si="1"/>
        <v>0</v>
      </c>
      <c r="F3">
        <f t="shared" si="1"/>
        <v>0</v>
      </c>
      <c r="G3">
        <f t="shared" si="1"/>
        <v>0</v>
      </c>
      <c r="H3">
        <f t="shared" si="1"/>
        <v>0</v>
      </c>
      <c r="I3">
        <f t="shared" si="1"/>
        <v>0</v>
      </c>
      <c r="J3">
        <f t="shared" si="1"/>
        <v>0</v>
      </c>
      <c r="K3">
        <f t="shared" si="1"/>
        <v>0</v>
      </c>
      <c r="L3">
        <f t="shared" si="1"/>
        <v>0</v>
      </c>
    </row>
    <row r="4" spans="1:16" x14ac:dyDescent="0.25">
      <c r="A4" t="s">
        <v>239</v>
      </c>
      <c r="B4">
        <f>IF(AND(B54=1,A54=0),1,IF(Current_Round&gt;B$1,IF(A4=1,1,0),IF(A4=1,1,0)))</f>
        <v>0</v>
      </c>
      <c r="C4">
        <f t="shared" ref="C4:L4" si="2">IF(AND(C54=1,B54=0),1,IF(Current_Round&gt;C$1,IF(B4=1,1,0),IF(B4=1,1,0)))</f>
        <v>0</v>
      </c>
      <c r="D4">
        <f t="shared" si="2"/>
        <v>0</v>
      </c>
      <c r="E4">
        <f t="shared" si="2"/>
        <v>0</v>
      </c>
      <c r="F4">
        <f t="shared" si="2"/>
        <v>0</v>
      </c>
      <c r="G4">
        <f t="shared" si="2"/>
        <v>0</v>
      </c>
      <c r="H4">
        <f t="shared" si="2"/>
        <v>0</v>
      </c>
      <c r="I4">
        <f t="shared" si="2"/>
        <v>0</v>
      </c>
      <c r="J4">
        <f t="shared" si="2"/>
        <v>0</v>
      </c>
      <c r="K4">
        <f t="shared" si="2"/>
        <v>0</v>
      </c>
      <c r="L4">
        <f t="shared" si="2"/>
        <v>0</v>
      </c>
    </row>
    <row r="5" spans="1:16" x14ac:dyDescent="0.25">
      <c r="A5" t="s">
        <v>1</v>
      </c>
      <c r="B5">
        <f>IF(AND(B55=1,A55=0),1,IF(Current_Round&gt;B$1,IF(A5=1,1,0),IF(A5=1,1,0)))</f>
        <v>0</v>
      </c>
      <c r="C5">
        <f t="shared" ref="C5:L5" si="3">IF(AND(C55=1,B55=0),1,IF(Current_Round&gt;C$1,IF(B5=1,1,0),IF(B5=1,1,0)))</f>
        <v>0</v>
      </c>
      <c r="D5">
        <f t="shared" si="3"/>
        <v>0</v>
      </c>
      <c r="E5">
        <f t="shared" si="3"/>
        <v>0</v>
      </c>
      <c r="F5">
        <f t="shared" si="3"/>
        <v>0</v>
      </c>
      <c r="G5">
        <f t="shared" si="3"/>
        <v>0</v>
      </c>
      <c r="H5">
        <f t="shared" si="3"/>
        <v>0</v>
      </c>
      <c r="I5">
        <f t="shared" si="3"/>
        <v>0</v>
      </c>
      <c r="J5">
        <f t="shared" si="3"/>
        <v>0</v>
      </c>
      <c r="K5">
        <f t="shared" si="3"/>
        <v>0</v>
      </c>
      <c r="L5">
        <f t="shared" si="3"/>
        <v>0</v>
      </c>
    </row>
    <row r="6" spans="1:16" x14ac:dyDescent="0.25">
      <c r="A6" t="s">
        <v>238</v>
      </c>
      <c r="B6">
        <f>IF(AND(B56=1,A56=0),1,IF(Current_Round&gt;B$1,IF(A6=1,1,0),IF(A6=1,1,0)))</f>
        <v>0</v>
      </c>
      <c r="C6">
        <f t="shared" ref="C6:L6" si="4">IF(AND(C56=1,B56=0),1,IF(Current_Round&gt;C$1,IF(B6=1,1,0),IF(B6=1,1,0)))</f>
        <v>0</v>
      </c>
      <c r="D6">
        <f t="shared" si="4"/>
        <v>0</v>
      </c>
      <c r="E6">
        <f t="shared" si="4"/>
        <v>0</v>
      </c>
      <c r="F6">
        <f t="shared" si="4"/>
        <v>0</v>
      </c>
      <c r="G6">
        <f t="shared" si="4"/>
        <v>0</v>
      </c>
      <c r="H6">
        <f t="shared" si="4"/>
        <v>0</v>
      </c>
      <c r="I6">
        <f t="shared" si="4"/>
        <v>0</v>
      </c>
      <c r="J6">
        <f t="shared" si="4"/>
        <v>0</v>
      </c>
      <c r="K6">
        <f t="shared" si="4"/>
        <v>0</v>
      </c>
      <c r="L6">
        <f t="shared" si="4"/>
        <v>0</v>
      </c>
    </row>
    <row r="7" spans="1:16" x14ac:dyDescent="0.25">
      <c r="A7" t="s">
        <v>280</v>
      </c>
      <c r="B7">
        <f>IF(AND(B57=1,A57=0),1,IF(Current_Round&gt;B$1,IF(A7=1,1,0),IF(A7=1,1,0)))</f>
        <v>0</v>
      </c>
      <c r="C7">
        <f t="shared" ref="C7:L7" si="5">IF(AND(C57=1,B57=0),1,IF(Current_Round&gt;C$1,IF(B7=1,1,0),IF(B7=1,1,0)))</f>
        <v>0</v>
      </c>
      <c r="D7">
        <f t="shared" si="5"/>
        <v>0</v>
      </c>
      <c r="E7">
        <f t="shared" si="5"/>
        <v>0</v>
      </c>
      <c r="F7">
        <f t="shared" si="5"/>
        <v>0</v>
      </c>
      <c r="G7">
        <f t="shared" si="5"/>
        <v>0</v>
      </c>
      <c r="H7">
        <f t="shared" si="5"/>
        <v>0</v>
      </c>
      <c r="I7">
        <f t="shared" si="5"/>
        <v>0</v>
      </c>
      <c r="J7">
        <f t="shared" si="5"/>
        <v>0</v>
      </c>
      <c r="K7">
        <f t="shared" si="5"/>
        <v>0</v>
      </c>
      <c r="L7">
        <f t="shared" si="5"/>
        <v>0</v>
      </c>
    </row>
    <row r="8" spans="1:16" x14ac:dyDescent="0.25">
      <c r="A8" t="s">
        <v>439</v>
      </c>
      <c r="B8">
        <v>0</v>
      </c>
      <c r="C8">
        <f t="shared" ref="C8:L8" si="6">IF(AND(C58=1,B58=0),1,IF(Current_Round&gt;C$1,IF(B8=1,1,0),IF(B8=1,1,0)))</f>
        <v>0</v>
      </c>
      <c r="D8">
        <f t="shared" si="6"/>
        <v>0</v>
      </c>
      <c r="E8">
        <f t="shared" si="6"/>
        <v>0</v>
      </c>
      <c r="F8">
        <f t="shared" si="6"/>
        <v>0</v>
      </c>
      <c r="G8">
        <f t="shared" si="6"/>
        <v>0</v>
      </c>
      <c r="H8">
        <f t="shared" si="6"/>
        <v>0</v>
      </c>
      <c r="I8">
        <f t="shared" si="6"/>
        <v>0</v>
      </c>
      <c r="J8">
        <f t="shared" si="6"/>
        <v>0</v>
      </c>
      <c r="K8">
        <f t="shared" si="6"/>
        <v>0</v>
      </c>
      <c r="L8">
        <f t="shared" si="6"/>
        <v>0</v>
      </c>
    </row>
    <row r="9" spans="1:16" x14ac:dyDescent="0.25">
      <c r="A9" t="s">
        <v>548</v>
      </c>
      <c r="B9">
        <v>0</v>
      </c>
      <c r="C9">
        <f t="shared" ref="C9:L9" si="7">IF(AND(C59=1,B59=0),1,IF(Current_Round&gt;C$1,IF(B9=1,1,0),IF(B9=1,1,0)))</f>
        <v>0</v>
      </c>
      <c r="D9">
        <f t="shared" si="7"/>
        <v>0</v>
      </c>
      <c r="E9">
        <f t="shared" si="7"/>
        <v>0</v>
      </c>
      <c r="F9">
        <f t="shared" si="7"/>
        <v>0</v>
      </c>
      <c r="G9">
        <f t="shared" si="7"/>
        <v>0</v>
      </c>
      <c r="H9">
        <f t="shared" si="7"/>
        <v>0</v>
      </c>
      <c r="I9">
        <f t="shared" si="7"/>
        <v>0</v>
      </c>
      <c r="J9">
        <f t="shared" si="7"/>
        <v>0</v>
      </c>
      <c r="K9">
        <f t="shared" si="7"/>
        <v>0</v>
      </c>
      <c r="L9">
        <f t="shared" si="7"/>
        <v>0</v>
      </c>
    </row>
    <row r="11" spans="1:16" x14ac:dyDescent="0.25">
      <c r="A11" s="9" t="s">
        <v>197</v>
      </c>
      <c r="B11" s="9">
        <v>0</v>
      </c>
      <c r="C11" s="9">
        <v>1</v>
      </c>
      <c r="D11" s="9">
        <v>2</v>
      </c>
      <c r="E11" s="9">
        <v>3</v>
      </c>
      <c r="F11" s="9">
        <v>4</v>
      </c>
      <c r="G11" s="9">
        <v>5</v>
      </c>
      <c r="H11" s="9">
        <v>6</v>
      </c>
      <c r="I11" s="9">
        <v>7</v>
      </c>
      <c r="J11" s="9">
        <v>8</v>
      </c>
      <c r="K11" s="9">
        <v>9</v>
      </c>
      <c r="L11" s="9">
        <v>10</v>
      </c>
    </row>
    <row r="12" spans="1:16" x14ac:dyDescent="0.25">
      <c r="A12" t="s">
        <v>4</v>
      </c>
      <c r="B12">
        <f>B62</f>
        <v>0</v>
      </c>
      <c r="C12">
        <f t="shared" ref="C12:L12" si="8">C62</f>
        <v>0</v>
      </c>
      <c r="D12">
        <f t="shared" si="8"/>
        <v>0</v>
      </c>
      <c r="E12">
        <f t="shared" si="8"/>
        <v>0</v>
      </c>
      <c r="F12">
        <f t="shared" si="8"/>
        <v>0</v>
      </c>
      <c r="G12">
        <f t="shared" si="8"/>
        <v>0</v>
      </c>
      <c r="H12">
        <f t="shared" si="8"/>
        <v>0</v>
      </c>
      <c r="I12">
        <f t="shared" si="8"/>
        <v>0</v>
      </c>
      <c r="J12">
        <f t="shared" si="8"/>
        <v>0</v>
      </c>
      <c r="K12">
        <f t="shared" si="8"/>
        <v>0</v>
      </c>
      <c r="L12">
        <f t="shared" si="8"/>
        <v>0</v>
      </c>
    </row>
    <row r="13" spans="1:16" x14ac:dyDescent="0.25">
      <c r="A13" t="s">
        <v>6</v>
      </c>
      <c r="B13">
        <f t="shared" ref="B13:L13" si="9">B63</f>
        <v>0</v>
      </c>
      <c r="C13">
        <f t="shared" si="9"/>
        <v>0</v>
      </c>
      <c r="D13">
        <f t="shared" si="9"/>
        <v>0</v>
      </c>
      <c r="E13">
        <f t="shared" si="9"/>
        <v>0</v>
      </c>
      <c r="F13">
        <f t="shared" si="9"/>
        <v>0</v>
      </c>
      <c r="G13">
        <f t="shared" si="9"/>
        <v>0</v>
      </c>
      <c r="H13">
        <f t="shared" si="9"/>
        <v>0</v>
      </c>
      <c r="I13">
        <f t="shared" si="9"/>
        <v>0</v>
      </c>
      <c r="J13">
        <f t="shared" si="9"/>
        <v>0</v>
      </c>
      <c r="K13">
        <f t="shared" si="9"/>
        <v>0</v>
      </c>
      <c r="L13">
        <f t="shared" si="9"/>
        <v>0</v>
      </c>
    </row>
    <row r="14" spans="1:16" x14ac:dyDescent="0.25">
      <c r="A14" t="s">
        <v>5</v>
      </c>
      <c r="B14">
        <f>IF(A64=1,1,B64)</f>
        <v>0</v>
      </c>
      <c r="C14">
        <f t="shared" ref="C14:L14" si="10">IF(B14=1,1,C64)</f>
        <v>0</v>
      </c>
      <c r="D14">
        <f t="shared" si="10"/>
        <v>0</v>
      </c>
      <c r="E14">
        <f t="shared" si="10"/>
        <v>0</v>
      </c>
      <c r="F14">
        <f t="shared" si="10"/>
        <v>0</v>
      </c>
      <c r="G14">
        <f t="shared" si="10"/>
        <v>0</v>
      </c>
      <c r="H14">
        <f t="shared" si="10"/>
        <v>0</v>
      </c>
      <c r="I14">
        <f t="shared" si="10"/>
        <v>0</v>
      </c>
      <c r="J14">
        <f t="shared" si="10"/>
        <v>0</v>
      </c>
      <c r="K14">
        <f t="shared" si="10"/>
        <v>0</v>
      </c>
      <c r="L14">
        <f t="shared" si="10"/>
        <v>0</v>
      </c>
    </row>
    <row r="16" spans="1:16" x14ac:dyDescent="0.25">
      <c r="A16" s="9" t="s">
        <v>265</v>
      </c>
      <c r="B16" s="9">
        <v>0</v>
      </c>
      <c r="C16" s="9">
        <v>1</v>
      </c>
      <c r="D16" s="9">
        <v>2</v>
      </c>
      <c r="E16" s="9">
        <v>3</v>
      </c>
      <c r="F16" s="9">
        <v>4</v>
      </c>
      <c r="G16" s="9">
        <v>5</v>
      </c>
      <c r="H16" s="9">
        <v>6</v>
      </c>
      <c r="I16" s="9">
        <v>7</v>
      </c>
      <c r="J16" s="9">
        <v>8</v>
      </c>
      <c r="K16" s="9">
        <v>9</v>
      </c>
      <c r="L16" s="9">
        <v>10</v>
      </c>
    </row>
    <row r="17" spans="1:12" x14ac:dyDescent="0.25">
      <c r="B17">
        <v>0</v>
      </c>
      <c r="C17">
        <v>0</v>
      </c>
      <c r="D17">
        <v>0</v>
      </c>
      <c r="E17">
        <v>0</v>
      </c>
      <c r="F17">
        <v>0</v>
      </c>
      <c r="G17">
        <v>0</v>
      </c>
      <c r="H17">
        <v>0</v>
      </c>
      <c r="I17">
        <v>0</v>
      </c>
      <c r="J17">
        <v>0</v>
      </c>
      <c r="K17">
        <v>0</v>
      </c>
      <c r="L17">
        <v>0</v>
      </c>
    </row>
    <row r="19" spans="1:12" x14ac:dyDescent="0.25">
      <c r="A19" s="9" t="s">
        <v>393</v>
      </c>
      <c r="B19" s="9"/>
    </row>
    <row r="20" spans="1:12" x14ac:dyDescent="0.25">
      <c r="A20" t="s">
        <v>390</v>
      </c>
      <c r="B20">
        <f>IF('Initial Setup'!$B$3='Event Tracker'!$A$20,1,0)</f>
        <v>0</v>
      </c>
    </row>
    <row r="21" spans="1:12" x14ac:dyDescent="0.25">
      <c r="A21" t="s">
        <v>474</v>
      </c>
      <c r="B21">
        <f>IF('Initial Setup'!$B$3='Event Tracker'!$A$21,1,0)</f>
        <v>0</v>
      </c>
    </row>
    <row r="22" spans="1:12" x14ac:dyDescent="0.25">
      <c r="A22" t="s">
        <v>391</v>
      </c>
      <c r="B22">
        <f>IF('Initial Setup'!$B$3='Event Tracker'!$A$22,1,0)</f>
        <v>0</v>
      </c>
    </row>
    <row r="23" spans="1:12" x14ac:dyDescent="0.25">
      <c r="A23" t="s">
        <v>389</v>
      </c>
      <c r="B23">
        <f>IF('Initial Setup'!$B$3='Event Tracker'!$A$23,1,0)</f>
        <v>0</v>
      </c>
    </row>
    <row r="24" spans="1:12" x14ac:dyDescent="0.25">
      <c r="A24" t="s">
        <v>392</v>
      </c>
      <c r="B24">
        <f>IF('Initial Setup'!$B$3='Event Tracker'!$A$24,1,0)</f>
        <v>0</v>
      </c>
    </row>
    <row r="26" spans="1:12" x14ac:dyDescent="0.25">
      <c r="A26" s="129" t="s">
        <v>394</v>
      </c>
      <c r="B26" s="129"/>
    </row>
    <row r="27" spans="1:12" x14ac:dyDescent="0.25">
      <c r="A27" t="s">
        <v>395</v>
      </c>
      <c r="B27">
        <f>IF(OR(B20=1,B21=1),1,0)</f>
        <v>0</v>
      </c>
    </row>
    <row r="28" spans="1:12" x14ac:dyDescent="0.25">
      <c r="A28" t="s">
        <v>396</v>
      </c>
      <c r="B28">
        <f>IF(OR(B20=1,B21=1),1,0)</f>
        <v>0</v>
      </c>
    </row>
    <row r="29" spans="1:12" x14ac:dyDescent="0.25">
      <c r="A29" t="s">
        <v>397</v>
      </c>
      <c r="B29">
        <f>1</f>
        <v>1</v>
      </c>
    </row>
    <row r="31" spans="1:12" x14ac:dyDescent="0.25">
      <c r="A31" s="9" t="s">
        <v>426</v>
      </c>
      <c r="B31" s="9">
        <v>0</v>
      </c>
      <c r="C31" s="9">
        <v>1</v>
      </c>
      <c r="D31" s="9">
        <v>2</v>
      </c>
      <c r="E31" s="9">
        <v>3</v>
      </c>
      <c r="F31" s="9">
        <v>4</v>
      </c>
      <c r="G31" s="9">
        <v>5</v>
      </c>
      <c r="H31" s="9">
        <v>6</v>
      </c>
      <c r="I31" s="9">
        <v>7</v>
      </c>
      <c r="J31" s="9">
        <v>8</v>
      </c>
      <c r="K31" s="9">
        <v>9</v>
      </c>
      <c r="L31" s="9">
        <v>10</v>
      </c>
    </row>
    <row r="32" spans="1:12" x14ac:dyDescent="0.25">
      <c r="A32" t="s">
        <v>16</v>
      </c>
      <c r="B32" s="84">
        <v>0</v>
      </c>
      <c r="C32" s="84">
        <f t="shared" ref="C32:L32" si="11">IF(OR(BusinessModel="Vertically Integrated Cost of Service Model",BusinessModel="Vertically Integrated Performance Based Regulatory Model"),C77,0)+C106</f>
        <v>0</v>
      </c>
      <c r="D32" s="84">
        <f t="shared" si="11"/>
        <v>0</v>
      </c>
      <c r="E32" s="84">
        <f t="shared" si="11"/>
        <v>0</v>
      </c>
      <c r="F32" s="84">
        <f t="shared" si="11"/>
        <v>0</v>
      </c>
      <c r="G32" s="84">
        <f t="shared" si="11"/>
        <v>0</v>
      </c>
      <c r="H32" s="84">
        <f t="shared" si="11"/>
        <v>0</v>
      </c>
      <c r="I32" s="84">
        <f t="shared" si="11"/>
        <v>0</v>
      </c>
      <c r="J32" s="84">
        <f t="shared" si="11"/>
        <v>0</v>
      </c>
      <c r="K32" s="84">
        <f t="shared" si="11"/>
        <v>0</v>
      </c>
      <c r="L32" s="84">
        <f t="shared" si="11"/>
        <v>0</v>
      </c>
    </row>
    <row r="33" spans="1:12" x14ac:dyDescent="0.25">
      <c r="A33" t="s">
        <v>17</v>
      </c>
      <c r="B33" s="84">
        <v>0</v>
      </c>
      <c r="C33" s="84">
        <f t="shared" ref="C33:L33" si="12">IF(OR(BusinessModel="Vertically Integrated Cost of Service Model",BusinessModel="Vertically Integrated Performance Based Regulatory Model"),C78,0)+C107</f>
        <v>0</v>
      </c>
      <c r="D33" s="84">
        <f t="shared" si="12"/>
        <v>0</v>
      </c>
      <c r="E33" s="84">
        <f t="shared" si="12"/>
        <v>0</v>
      </c>
      <c r="F33" s="84">
        <f t="shared" si="12"/>
        <v>0</v>
      </c>
      <c r="G33" s="84">
        <f t="shared" si="12"/>
        <v>0</v>
      </c>
      <c r="H33" s="84">
        <f t="shared" si="12"/>
        <v>0</v>
      </c>
      <c r="I33" s="84">
        <f t="shared" si="12"/>
        <v>0</v>
      </c>
      <c r="J33" s="84">
        <f t="shared" si="12"/>
        <v>0</v>
      </c>
      <c r="K33" s="84">
        <f t="shared" si="12"/>
        <v>0</v>
      </c>
      <c r="L33" s="84">
        <f t="shared" si="12"/>
        <v>0</v>
      </c>
    </row>
    <row r="34" spans="1:12" x14ac:dyDescent="0.25">
      <c r="A34" t="s">
        <v>18</v>
      </c>
      <c r="B34" s="84">
        <v>0</v>
      </c>
      <c r="C34" s="84">
        <f t="shared" ref="C34:L34" si="13">IF(OR(BusinessModel="Vertically Integrated Cost of Service Model",BusinessModel="Vertically Integrated Performance Based Regulatory Model"),C79,0)+C108</f>
        <v>0</v>
      </c>
      <c r="D34" s="84">
        <f t="shared" si="13"/>
        <v>0</v>
      </c>
      <c r="E34" s="84">
        <f t="shared" si="13"/>
        <v>0</v>
      </c>
      <c r="F34" s="84">
        <f t="shared" si="13"/>
        <v>0</v>
      </c>
      <c r="G34" s="84">
        <f t="shared" si="13"/>
        <v>0</v>
      </c>
      <c r="H34" s="84">
        <f t="shared" si="13"/>
        <v>0</v>
      </c>
      <c r="I34" s="84">
        <f t="shared" si="13"/>
        <v>0</v>
      </c>
      <c r="J34" s="84">
        <f t="shared" si="13"/>
        <v>0</v>
      </c>
      <c r="K34" s="84">
        <f t="shared" si="13"/>
        <v>0</v>
      </c>
      <c r="L34" s="84">
        <f t="shared" si="13"/>
        <v>0</v>
      </c>
    </row>
    <row r="35" spans="1:12" x14ac:dyDescent="0.25">
      <c r="A35" t="s">
        <v>364</v>
      </c>
      <c r="B35" s="84">
        <v>0</v>
      </c>
      <c r="C35" s="84">
        <f t="shared" ref="C35:L35" si="14">IF(OR(BusinessModel="Vertically Integrated Cost of Service Model",BusinessModel="Vertically Integrated Performance Based Regulatory Model"),C80,0)+C109</f>
        <v>0</v>
      </c>
      <c r="D35" s="84">
        <f t="shared" si="14"/>
        <v>0</v>
      </c>
      <c r="E35" s="84">
        <f t="shared" si="14"/>
        <v>0</v>
      </c>
      <c r="F35" s="84">
        <f t="shared" si="14"/>
        <v>0</v>
      </c>
      <c r="G35" s="84">
        <f t="shared" si="14"/>
        <v>0</v>
      </c>
      <c r="H35" s="84">
        <f t="shared" si="14"/>
        <v>0</v>
      </c>
      <c r="I35" s="84">
        <f t="shared" si="14"/>
        <v>0</v>
      </c>
      <c r="J35" s="84">
        <f t="shared" si="14"/>
        <v>0</v>
      </c>
      <c r="K35" s="84">
        <f t="shared" si="14"/>
        <v>0</v>
      </c>
      <c r="L35" s="84">
        <f t="shared" si="14"/>
        <v>0</v>
      </c>
    </row>
    <row r="36" spans="1:12" x14ac:dyDescent="0.25">
      <c r="A36" t="s">
        <v>365</v>
      </c>
      <c r="B36" s="84">
        <v>0</v>
      </c>
      <c r="C36" s="84">
        <f t="shared" ref="C36:L36" si="15">IF(OR(BusinessModel="Vertically Integrated Cost of Service Model",BusinessModel="Vertically Integrated Performance Based Regulatory Model"),C81,0)+C110</f>
        <v>0</v>
      </c>
      <c r="D36" s="84">
        <f t="shared" si="15"/>
        <v>0</v>
      </c>
      <c r="E36" s="84">
        <f t="shared" si="15"/>
        <v>0</v>
      </c>
      <c r="F36" s="84">
        <f t="shared" si="15"/>
        <v>0</v>
      </c>
      <c r="G36" s="84">
        <f t="shared" si="15"/>
        <v>0</v>
      </c>
      <c r="H36" s="84">
        <f t="shared" si="15"/>
        <v>0</v>
      </c>
      <c r="I36" s="84">
        <f t="shared" si="15"/>
        <v>0</v>
      </c>
      <c r="J36" s="84">
        <f t="shared" si="15"/>
        <v>0</v>
      </c>
      <c r="K36" s="84">
        <f t="shared" si="15"/>
        <v>0</v>
      </c>
      <c r="L36" s="84">
        <f t="shared" si="15"/>
        <v>0</v>
      </c>
    </row>
    <row r="37" spans="1:12" x14ac:dyDescent="0.25">
      <c r="A37" t="s">
        <v>366</v>
      </c>
      <c r="B37" s="84">
        <v>0</v>
      </c>
      <c r="C37" s="84">
        <f t="shared" ref="C37:L37" si="16">IF(OR(BusinessModel="Vertically Integrated Cost of Service Model",BusinessModel="Vertically Integrated Performance Based Regulatory Model"),C82,0)+C111</f>
        <v>0</v>
      </c>
      <c r="D37" s="84">
        <f t="shared" si="16"/>
        <v>0</v>
      </c>
      <c r="E37" s="84">
        <f t="shared" si="16"/>
        <v>0</v>
      </c>
      <c r="F37" s="84">
        <f t="shared" si="16"/>
        <v>0</v>
      </c>
      <c r="G37" s="84">
        <f t="shared" si="16"/>
        <v>0</v>
      </c>
      <c r="H37" s="84">
        <f t="shared" si="16"/>
        <v>0</v>
      </c>
      <c r="I37" s="84">
        <f t="shared" si="16"/>
        <v>0</v>
      </c>
      <c r="J37" s="84">
        <f t="shared" si="16"/>
        <v>0</v>
      </c>
      <c r="K37" s="84">
        <f t="shared" si="16"/>
        <v>0</v>
      </c>
      <c r="L37" s="84">
        <f t="shared" si="16"/>
        <v>0</v>
      </c>
    </row>
    <row r="38" spans="1:12" x14ac:dyDescent="0.25">
      <c r="A38" t="s">
        <v>513</v>
      </c>
      <c r="B38" s="84">
        <v>0</v>
      </c>
      <c r="C38" s="84">
        <f t="shared" ref="C38:L38" si="17">IF(OR(BusinessModel="Vertically Integrated Cost of Service Model",BusinessModel="Vertically Integrated Performance Based Regulatory Model"),C83,0)+C112</f>
        <v>0</v>
      </c>
      <c r="D38" s="84">
        <f t="shared" si="17"/>
        <v>0</v>
      </c>
      <c r="E38" s="84">
        <f t="shared" si="17"/>
        <v>0</v>
      </c>
      <c r="F38" s="84">
        <f t="shared" si="17"/>
        <v>0</v>
      </c>
      <c r="G38" s="84">
        <f t="shared" si="17"/>
        <v>0</v>
      </c>
      <c r="H38" s="84">
        <f t="shared" si="17"/>
        <v>0</v>
      </c>
      <c r="I38" s="84">
        <f t="shared" si="17"/>
        <v>0</v>
      </c>
      <c r="J38" s="84">
        <f t="shared" si="17"/>
        <v>0</v>
      </c>
      <c r="K38" s="84">
        <f t="shared" si="17"/>
        <v>0</v>
      </c>
      <c r="L38" s="84">
        <f t="shared" si="17"/>
        <v>0</v>
      </c>
    </row>
    <row r="39" spans="1:12" x14ac:dyDescent="0.25">
      <c r="A39" t="s">
        <v>367</v>
      </c>
      <c r="B39" s="84">
        <v>0</v>
      </c>
      <c r="C39" s="84">
        <f t="shared" ref="C39:L39" si="18">IF(OR(BusinessModel="Vertically Integrated Cost of Service Model",BusinessModel="Vertically Integrated Performance Based Regulatory Model"),C84,0)+C113</f>
        <v>0</v>
      </c>
      <c r="D39" s="84">
        <f t="shared" si="18"/>
        <v>0</v>
      </c>
      <c r="E39" s="84">
        <f t="shared" si="18"/>
        <v>0</v>
      </c>
      <c r="F39" s="84">
        <f t="shared" si="18"/>
        <v>0</v>
      </c>
      <c r="G39" s="84">
        <f t="shared" si="18"/>
        <v>0</v>
      </c>
      <c r="H39" s="84">
        <f t="shared" si="18"/>
        <v>0</v>
      </c>
      <c r="I39" s="84">
        <f t="shared" si="18"/>
        <v>0</v>
      </c>
      <c r="J39" s="84">
        <f t="shared" si="18"/>
        <v>0</v>
      </c>
      <c r="K39" s="84">
        <f t="shared" si="18"/>
        <v>0</v>
      </c>
      <c r="L39" s="84">
        <f t="shared" si="18"/>
        <v>0</v>
      </c>
    </row>
    <row r="41" spans="1:12" x14ac:dyDescent="0.25">
      <c r="A41" s="9" t="s">
        <v>427</v>
      </c>
      <c r="B41" s="9">
        <v>0</v>
      </c>
      <c r="C41" s="9">
        <v>1</v>
      </c>
      <c r="D41" s="9">
        <v>2</v>
      </c>
      <c r="E41" s="9">
        <v>3</v>
      </c>
      <c r="F41" s="9">
        <v>4</v>
      </c>
      <c r="G41" s="9">
        <v>5</v>
      </c>
      <c r="H41" s="9">
        <v>6</v>
      </c>
      <c r="I41" s="9">
        <v>7</v>
      </c>
      <c r="J41" s="9">
        <v>8</v>
      </c>
      <c r="K41" s="9">
        <v>9</v>
      </c>
      <c r="L41" s="9">
        <v>10</v>
      </c>
    </row>
    <row r="42" spans="1:12" x14ac:dyDescent="0.25">
      <c r="A42" t="s">
        <v>16</v>
      </c>
      <c r="B42" s="84">
        <v>0</v>
      </c>
      <c r="C42">
        <f t="shared" ref="C42:L42" si="19">IF(OR(BusinessModel="Vertically Integrated Cost of Service Model",BusinessModel="Vertically Integrated Performance Based Regulatory Model"),0,C77*1000)</f>
        <v>0</v>
      </c>
      <c r="D42">
        <f t="shared" si="19"/>
        <v>0</v>
      </c>
      <c r="E42">
        <f t="shared" si="19"/>
        <v>0</v>
      </c>
      <c r="F42">
        <f t="shared" si="19"/>
        <v>0</v>
      </c>
      <c r="G42">
        <f t="shared" si="19"/>
        <v>0</v>
      </c>
      <c r="H42">
        <f t="shared" si="19"/>
        <v>0</v>
      </c>
      <c r="I42">
        <f t="shared" si="19"/>
        <v>0</v>
      </c>
      <c r="J42">
        <f t="shared" si="19"/>
        <v>0</v>
      </c>
      <c r="K42">
        <f t="shared" si="19"/>
        <v>0</v>
      </c>
      <c r="L42">
        <f t="shared" si="19"/>
        <v>0</v>
      </c>
    </row>
    <row r="43" spans="1:12" x14ac:dyDescent="0.25">
      <c r="A43" t="s">
        <v>17</v>
      </c>
      <c r="B43" s="84">
        <v>0</v>
      </c>
      <c r="C43">
        <f t="shared" ref="C43:L43" si="20">IF(OR(BusinessModel="Vertically Integrated Cost of Service Model",BusinessModel="Vertically Integrated Performance Based Regulatory Model"),0,C78*1000)</f>
        <v>0</v>
      </c>
      <c r="D43">
        <f t="shared" si="20"/>
        <v>0</v>
      </c>
      <c r="E43">
        <f t="shared" si="20"/>
        <v>0</v>
      </c>
      <c r="F43">
        <f t="shared" si="20"/>
        <v>0</v>
      </c>
      <c r="G43">
        <f t="shared" si="20"/>
        <v>0</v>
      </c>
      <c r="H43">
        <f t="shared" si="20"/>
        <v>0</v>
      </c>
      <c r="I43">
        <f t="shared" si="20"/>
        <v>0</v>
      </c>
      <c r="J43">
        <f t="shared" si="20"/>
        <v>0</v>
      </c>
      <c r="K43">
        <f t="shared" si="20"/>
        <v>0</v>
      </c>
      <c r="L43">
        <f t="shared" si="20"/>
        <v>0</v>
      </c>
    </row>
    <row r="44" spans="1:12" x14ac:dyDescent="0.25">
      <c r="A44" t="s">
        <v>18</v>
      </c>
      <c r="B44" s="84">
        <v>0</v>
      </c>
      <c r="C44">
        <f t="shared" ref="C44:L44" si="21">IF(OR(BusinessModel="Vertically Integrated Cost of Service Model",BusinessModel="Vertically Integrated Performance Based Regulatory Model"),0,C79*1000)</f>
        <v>0</v>
      </c>
      <c r="D44">
        <f t="shared" si="21"/>
        <v>0</v>
      </c>
      <c r="E44">
        <f t="shared" si="21"/>
        <v>0</v>
      </c>
      <c r="F44">
        <f t="shared" si="21"/>
        <v>0</v>
      </c>
      <c r="G44">
        <f t="shared" si="21"/>
        <v>0</v>
      </c>
      <c r="H44">
        <f t="shared" si="21"/>
        <v>0</v>
      </c>
      <c r="I44">
        <f t="shared" si="21"/>
        <v>0</v>
      </c>
      <c r="J44">
        <f t="shared" si="21"/>
        <v>0</v>
      </c>
      <c r="K44">
        <f t="shared" si="21"/>
        <v>0</v>
      </c>
      <c r="L44">
        <f t="shared" si="21"/>
        <v>0</v>
      </c>
    </row>
    <row r="45" spans="1:12" x14ac:dyDescent="0.25">
      <c r="A45" t="s">
        <v>364</v>
      </c>
      <c r="B45" s="84">
        <v>0</v>
      </c>
      <c r="C45">
        <f t="shared" ref="C45:L45" si="22">IF(OR(BusinessModel="Vertically Integrated Cost of Service Model",BusinessModel="Vertically Integrated Performance Based Regulatory Model"),0,C80*1000)</f>
        <v>0</v>
      </c>
      <c r="D45">
        <f t="shared" si="22"/>
        <v>0</v>
      </c>
      <c r="E45">
        <f t="shared" si="22"/>
        <v>0</v>
      </c>
      <c r="F45">
        <f t="shared" si="22"/>
        <v>0</v>
      </c>
      <c r="G45">
        <f t="shared" si="22"/>
        <v>0</v>
      </c>
      <c r="H45">
        <f t="shared" si="22"/>
        <v>0</v>
      </c>
      <c r="I45">
        <f t="shared" si="22"/>
        <v>0</v>
      </c>
      <c r="J45">
        <f t="shared" si="22"/>
        <v>0</v>
      </c>
      <c r="K45">
        <f t="shared" si="22"/>
        <v>0</v>
      </c>
      <c r="L45">
        <f t="shared" si="22"/>
        <v>0</v>
      </c>
    </row>
    <row r="46" spans="1:12" x14ac:dyDescent="0.25">
      <c r="A46" t="s">
        <v>365</v>
      </c>
      <c r="B46" s="84">
        <v>0</v>
      </c>
      <c r="C46">
        <f t="shared" ref="C46:L46" si="23">IF(OR(BusinessModel="Vertically Integrated Cost of Service Model",BusinessModel="Vertically Integrated Performance Based Regulatory Model"),0,C81*1000)</f>
        <v>0</v>
      </c>
      <c r="D46">
        <f t="shared" si="23"/>
        <v>0</v>
      </c>
      <c r="E46">
        <f t="shared" si="23"/>
        <v>0</v>
      </c>
      <c r="F46">
        <f t="shared" si="23"/>
        <v>0</v>
      </c>
      <c r="G46">
        <f t="shared" si="23"/>
        <v>0</v>
      </c>
      <c r="H46">
        <f t="shared" si="23"/>
        <v>0</v>
      </c>
      <c r="I46">
        <f t="shared" si="23"/>
        <v>0</v>
      </c>
      <c r="J46">
        <f t="shared" si="23"/>
        <v>0</v>
      </c>
      <c r="K46">
        <f t="shared" si="23"/>
        <v>0</v>
      </c>
      <c r="L46">
        <f t="shared" si="23"/>
        <v>0</v>
      </c>
    </row>
    <row r="47" spans="1:12" x14ac:dyDescent="0.25">
      <c r="A47" t="s">
        <v>366</v>
      </c>
      <c r="B47" s="84">
        <v>0</v>
      </c>
      <c r="C47">
        <f t="shared" ref="C47:L47" si="24">IF(OR(BusinessModel="Vertically Integrated Cost of Service Model",BusinessModel="Vertically Integrated Performance Based Regulatory Model"),0,C82*1000)</f>
        <v>0</v>
      </c>
      <c r="D47">
        <f t="shared" si="24"/>
        <v>0</v>
      </c>
      <c r="E47">
        <f t="shared" si="24"/>
        <v>0</v>
      </c>
      <c r="F47">
        <f t="shared" si="24"/>
        <v>0</v>
      </c>
      <c r="G47">
        <f t="shared" si="24"/>
        <v>0</v>
      </c>
      <c r="H47">
        <f t="shared" si="24"/>
        <v>0</v>
      </c>
      <c r="I47">
        <f t="shared" si="24"/>
        <v>0</v>
      </c>
      <c r="J47">
        <f t="shared" si="24"/>
        <v>0</v>
      </c>
      <c r="K47">
        <f t="shared" si="24"/>
        <v>0</v>
      </c>
      <c r="L47">
        <f t="shared" si="24"/>
        <v>0</v>
      </c>
    </row>
    <row r="48" spans="1:12" x14ac:dyDescent="0.25">
      <c r="A48" t="s">
        <v>513</v>
      </c>
      <c r="B48" s="84">
        <v>0</v>
      </c>
      <c r="C48">
        <f t="shared" ref="C48:L48" si="25">IF(OR(BusinessModel="Vertically Integrated Cost of Service Model",BusinessModel="Vertically Integrated Performance Based Regulatory Model"),0,C83*1000)</f>
        <v>0</v>
      </c>
      <c r="D48">
        <f t="shared" si="25"/>
        <v>0</v>
      </c>
      <c r="E48">
        <f t="shared" si="25"/>
        <v>0</v>
      </c>
      <c r="F48">
        <f t="shared" si="25"/>
        <v>0</v>
      </c>
      <c r="G48">
        <f t="shared" si="25"/>
        <v>0</v>
      </c>
      <c r="H48">
        <f t="shared" si="25"/>
        <v>0</v>
      </c>
      <c r="I48">
        <f t="shared" si="25"/>
        <v>0</v>
      </c>
      <c r="J48">
        <f t="shared" si="25"/>
        <v>0</v>
      </c>
      <c r="K48">
        <f t="shared" si="25"/>
        <v>0</v>
      </c>
      <c r="L48">
        <f t="shared" si="25"/>
        <v>0</v>
      </c>
    </row>
    <row r="49" spans="1:12" x14ac:dyDescent="0.25">
      <c r="A49" t="s">
        <v>367</v>
      </c>
      <c r="B49" s="84">
        <v>0</v>
      </c>
      <c r="C49">
        <f t="shared" ref="C49:L49" si="26">IF(OR(BusinessModel="Vertically Integrated Cost of Service Model",BusinessModel="Vertically Integrated Performance Based Regulatory Model"),0,C84*1000)</f>
        <v>0</v>
      </c>
      <c r="D49">
        <f t="shared" si="26"/>
        <v>0</v>
      </c>
      <c r="E49">
        <f t="shared" si="26"/>
        <v>0</v>
      </c>
      <c r="F49">
        <f t="shared" si="26"/>
        <v>0</v>
      </c>
      <c r="G49">
        <f t="shared" si="26"/>
        <v>0</v>
      </c>
      <c r="H49">
        <f t="shared" si="26"/>
        <v>0</v>
      </c>
      <c r="I49">
        <f t="shared" si="26"/>
        <v>0</v>
      </c>
      <c r="J49">
        <f t="shared" si="26"/>
        <v>0</v>
      </c>
      <c r="K49">
        <f t="shared" si="26"/>
        <v>0</v>
      </c>
      <c r="L49">
        <f t="shared" si="26"/>
        <v>0</v>
      </c>
    </row>
    <row r="51" spans="1:12" x14ac:dyDescent="0.25">
      <c r="A51" s="9" t="s">
        <v>441</v>
      </c>
      <c r="B51" s="9">
        <v>0</v>
      </c>
      <c r="C51" s="9">
        <v>1</v>
      </c>
      <c r="D51" s="9">
        <v>2</v>
      </c>
      <c r="E51" s="9">
        <v>3</v>
      </c>
      <c r="F51" s="9">
        <v>4</v>
      </c>
      <c r="G51" s="9">
        <v>5</v>
      </c>
      <c r="H51" s="9">
        <v>6</v>
      </c>
      <c r="I51" s="9">
        <v>7</v>
      </c>
      <c r="J51" s="9">
        <v>8</v>
      </c>
      <c r="K51" s="9">
        <v>9</v>
      </c>
      <c r="L51" s="9">
        <v>10</v>
      </c>
    </row>
    <row r="52" spans="1:12" x14ac:dyDescent="0.25">
      <c r="A52" t="s">
        <v>3</v>
      </c>
      <c r="B52">
        <v>0</v>
      </c>
      <c r="C52">
        <v>0</v>
      </c>
      <c r="D52">
        <v>0</v>
      </c>
      <c r="E52">
        <v>0</v>
      </c>
      <c r="F52">
        <v>0</v>
      </c>
      <c r="G52">
        <v>0</v>
      </c>
      <c r="H52">
        <v>0</v>
      </c>
      <c r="I52">
        <v>0</v>
      </c>
      <c r="J52">
        <v>0</v>
      </c>
      <c r="K52">
        <v>0</v>
      </c>
      <c r="L52">
        <v>0</v>
      </c>
    </row>
    <row r="53" spans="1:12" x14ac:dyDescent="0.25">
      <c r="A53" t="s">
        <v>2</v>
      </c>
      <c r="B53">
        <v>0</v>
      </c>
      <c r="C53">
        <v>0</v>
      </c>
      <c r="D53">
        <v>0</v>
      </c>
      <c r="E53">
        <v>0</v>
      </c>
      <c r="F53">
        <v>0</v>
      </c>
      <c r="G53">
        <v>0</v>
      </c>
      <c r="H53">
        <v>0</v>
      </c>
      <c r="I53">
        <v>0</v>
      </c>
      <c r="J53">
        <v>0</v>
      </c>
      <c r="K53">
        <v>0</v>
      </c>
      <c r="L53">
        <v>0</v>
      </c>
    </row>
    <row r="54" spans="1:12" x14ac:dyDescent="0.25">
      <c r="A54" t="s">
        <v>239</v>
      </c>
      <c r="B54">
        <v>0</v>
      </c>
      <c r="C54">
        <v>0</v>
      </c>
      <c r="D54">
        <v>0</v>
      </c>
      <c r="E54">
        <v>0</v>
      </c>
      <c r="F54">
        <v>0</v>
      </c>
      <c r="G54">
        <v>0</v>
      </c>
      <c r="H54">
        <v>0</v>
      </c>
      <c r="I54">
        <v>0</v>
      </c>
      <c r="J54">
        <v>0</v>
      </c>
      <c r="K54">
        <v>0</v>
      </c>
      <c r="L54">
        <v>0</v>
      </c>
    </row>
    <row r="55" spans="1:12" x14ac:dyDescent="0.25">
      <c r="A55" t="s">
        <v>1</v>
      </c>
      <c r="B55">
        <v>0</v>
      </c>
      <c r="C55">
        <v>0</v>
      </c>
      <c r="D55">
        <v>0</v>
      </c>
      <c r="E55">
        <v>0</v>
      </c>
      <c r="F55">
        <v>0</v>
      </c>
      <c r="G55">
        <v>0</v>
      </c>
      <c r="H55">
        <v>0</v>
      </c>
      <c r="I55">
        <v>0</v>
      </c>
      <c r="J55">
        <v>0</v>
      </c>
      <c r="K55">
        <v>0</v>
      </c>
      <c r="L55">
        <v>0</v>
      </c>
    </row>
    <row r="56" spans="1:12" x14ac:dyDescent="0.25">
      <c r="A56" t="s">
        <v>238</v>
      </c>
      <c r="B56">
        <v>0</v>
      </c>
      <c r="C56">
        <v>0</v>
      </c>
      <c r="D56">
        <v>0</v>
      </c>
      <c r="E56">
        <v>0</v>
      </c>
      <c r="F56">
        <v>0</v>
      </c>
      <c r="G56">
        <v>0</v>
      </c>
      <c r="H56">
        <v>0</v>
      </c>
      <c r="I56">
        <v>0</v>
      </c>
      <c r="J56">
        <v>0</v>
      </c>
      <c r="K56">
        <v>0</v>
      </c>
      <c r="L56">
        <v>0</v>
      </c>
    </row>
    <row r="57" spans="1:12" x14ac:dyDescent="0.25">
      <c r="A57" t="s">
        <v>280</v>
      </c>
      <c r="B57">
        <v>0</v>
      </c>
      <c r="C57">
        <v>0</v>
      </c>
      <c r="D57">
        <v>0</v>
      </c>
      <c r="E57">
        <v>0</v>
      </c>
      <c r="F57">
        <v>0</v>
      </c>
      <c r="G57">
        <v>0</v>
      </c>
      <c r="H57">
        <v>0</v>
      </c>
      <c r="I57">
        <v>0</v>
      </c>
      <c r="J57">
        <v>0</v>
      </c>
      <c r="K57">
        <v>0</v>
      </c>
      <c r="L57">
        <v>0</v>
      </c>
    </row>
    <row r="58" spans="1:12" x14ac:dyDescent="0.25">
      <c r="A58" t="s">
        <v>439</v>
      </c>
      <c r="B58">
        <v>0</v>
      </c>
      <c r="C58">
        <v>0</v>
      </c>
      <c r="D58">
        <v>0</v>
      </c>
      <c r="E58">
        <v>0</v>
      </c>
      <c r="F58">
        <v>0</v>
      </c>
      <c r="G58">
        <v>0</v>
      </c>
      <c r="H58">
        <v>0</v>
      </c>
      <c r="I58">
        <v>0</v>
      </c>
      <c r="J58">
        <v>0</v>
      </c>
      <c r="K58">
        <v>0</v>
      </c>
      <c r="L58">
        <v>0</v>
      </c>
    </row>
    <row r="59" spans="1:12" x14ac:dyDescent="0.25">
      <c r="A59" t="s">
        <v>548</v>
      </c>
      <c r="B59">
        <v>0</v>
      </c>
      <c r="C59">
        <v>0</v>
      </c>
      <c r="D59">
        <v>0</v>
      </c>
      <c r="E59">
        <v>0</v>
      </c>
      <c r="F59">
        <v>0</v>
      </c>
      <c r="G59">
        <v>0</v>
      </c>
      <c r="H59">
        <v>0</v>
      </c>
      <c r="I59">
        <v>0</v>
      </c>
      <c r="J59">
        <v>0</v>
      </c>
      <c r="K59">
        <v>0</v>
      </c>
      <c r="L59">
        <v>0</v>
      </c>
    </row>
    <row r="61" spans="1:12" x14ac:dyDescent="0.25">
      <c r="A61" s="9" t="s">
        <v>524</v>
      </c>
      <c r="B61" s="9">
        <v>0</v>
      </c>
      <c r="C61" s="9">
        <v>1</v>
      </c>
      <c r="D61" s="9">
        <v>2</v>
      </c>
      <c r="E61" s="9">
        <v>3</v>
      </c>
      <c r="F61" s="9">
        <v>4</v>
      </c>
      <c r="G61" s="9">
        <v>5</v>
      </c>
      <c r="H61" s="9">
        <v>6</v>
      </c>
      <c r="I61" s="9">
        <v>7</v>
      </c>
      <c r="J61" s="9">
        <v>8</v>
      </c>
      <c r="K61" s="9">
        <v>9</v>
      </c>
      <c r="L61" s="9">
        <v>10</v>
      </c>
    </row>
    <row r="62" spans="1:12" x14ac:dyDescent="0.25">
      <c r="A62" t="s">
        <v>4</v>
      </c>
      <c r="B62">
        <v>0</v>
      </c>
      <c r="C62">
        <v>0</v>
      </c>
      <c r="D62">
        <v>0</v>
      </c>
      <c r="E62">
        <v>0</v>
      </c>
      <c r="F62">
        <v>0</v>
      </c>
      <c r="G62">
        <v>0</v>
      </c>
      <c r="H62">
        <v>0</v>
      </c>
      <c r="I62">
        <v>0</v>
      </c>
      <c r="J62">
        <v>0</v>
      </c>
      <c r="K62">
        <v>0</v>
      </c>
      <c r="L62">
        <v>0</v>
      </c>
    </row>
    <row r="63" spans="1:12" x14ac:dyDescent="0.25">
      <c r="A63" t="s">
        <v>6</v>
      </c>
      <c r="B63">
        <v>0</v>
      </c>
      <c r="C63">
        <v>0</v>
      </c>
      <c r="D63">
        <v>0</v>
      </c>
      <c r="E63">
        <v>0</v>
      </c>
      <c r="F63">
        <v>0</v>
      </c>
      <c r="G63">
        <v>0</v>
      </c>
      <c r="H63">
        <v>0</v>
      </c>
      <c r="I63">
        <v>0</v>
      </c>
      <c r="J63">
        <v>0</v>
      </c>
      <c r="K63">
        <v>0</v>
      </c>
      <c r="L63">
        <v>0</v>
      </c>
    </row>
    <row r="64" spans="1:12" x14ac:dyDescent="0.25">
      <c r="A64" t="s">
        <v>5</v>
      </c>
      <c r="B64">
        <v>0</v>
      </c>
      <c r="C64">
        <v>0</v>
      </c>
      <c r="D64">
        <v>0</v>
      </c>
      <c r="E64">
        <v>0</v>
      </c>
      <c r="F64">
        <v>0</v>
      </c>
      <c r="G64">
        <v>0</v>
      </c>
      <c r="H64">
        <v>0</v>
      </c>
      <c r="I64">
        <v>0</v>
      </c>
      <c r="J64">
        <v>0</v>
      </c>
      <c r="K64">
        <v>0</v>
      </c>
      <c r="L64">
        <v>0</v>
      </c>
    </row>
    <row r="66" spans="1:12" x14ac:dyDescent="0.25">
      <c r="A66" s="9" t="s">
        <v>470</v>
      </c>
      <c r="B66" s="9">
        <v>0</v>
      </c>
      <c r="C66" s="9">
        <v>1</v>
      </c>
      <c r="D66" s="9">
        <v>2</v>
      </c>
      <c r="E66" s="9">
        <v>3</v>
      </c>
      <c r="F66" s="9">
        <v>4</v>
      </c>
      <c r="G66" s="9">
        <v>5</v>
      </c>
      <c r="H66" s="9">
        <v>6</v>
      </c>
      <c r="I66" s="9">
        <v>7</v>
      </c>
      <c r="J66" s="9">
        <v>8</v>
      </c>
      <c r="K66" s="9">
        <v>9</v>
      </c>
      <c r="L66" s="9">
        <v>10</v>
      </c>
    </row>
    <row r="67" spans="1:12" x14ac:dyDescent="0.25">
      <c r="A67" t="s">
        <v>7</v>
      </c>
      <c r="B67">
        <v>0</v>
      </c>
      <c r="C67">
        <v>0</v>
      </c>
      <c r="D67">
        <v>0</v>
      </c>
      <c r="E67">
        <v>0</v>
      </c>
      <c r="F67">
        <v>0</v>
      </c>
      <c r="G67">
        <v>0</v>
      </c>
      <c r="H67">
        <v>0</v>
      </c>
      <c r="I67">
        <v>0</v>
      </c>
      <c r="J67">
        <v>0</v>
      </c>
      <c r="K67">
        <v>0</v>
      </c>
      <c r="L67">
        <v>0</v>
      </c>
    </row>
    <row r="68" spans="1:12" x14ac:dyDescent="0.25">
      <c r="A68" t="s">
        <v>8</v>
      </c>
      <c r="B68">
        <v>0</v>
      </c>
      <c r="C68">
        <v>0</v>
      </c>
      <c r="D68">
        <v>0</v>
      </c>
      <c r="E68">
        <v>0</v>
      </c>
      <c r="F68">
        <v>0</v>
      </c>
      <c r="G68">
        <v>0</v>
      </c>
      <c r="H68">
        <v>0</v>
      </c>
      <c r="I68">
        <v>0</v>
      </c>
      <c r="J68">
        <v>0</v>
      </c>
      <c r="K68">
        <v>0</v>
      </c>
      <c r="L68">
        <v>0</v>
      </c>
    </row>
    <row r="69" spans="1:12" x14ac:dyDescent="0.25">
      <c r="A69" t="s">
        <v>13</v>
      </c>
      <c r="B69">
        <v>0</v>
      </c>
      <c r="C69">
        <v>0</v>
      </c>
      <c r="D69">
        <v>0</v>
      </c>
      <c r="E69">
        <v>0</v>
      </c>
      <c r="F69">
        <v>0</v>
      </c>
      <c r="G69">
        <v>0</v>
      </c>
      <c r="H69">
        <v>0</v>
      </c>
      <c r="I69">
        <v>0</v>
      </c>
      <c r="J69">
        <v>0</v>
      </c>
      <c r="K69">
        <v>0</v>
      </c>
      <c r="L69">
        <v>0</v>
      </c>
    </row>
    <row r="70" spans="1:12" x14ac:dyDescent="0.25">
      <c r="A70" t="s">
        <v>9</v>
      </c>
      <c r="B70">
        <v>0</v>
      </c>
      <c r="C70">
        <v>0</v>
      </c>
      <c r="D70">
        <v>0</v>
      </c>
      <c r="E70">
        <v>0</v>
      </c>
      <c r="F70">
        <v>0</v>
      </c>
      <c r="G70">
        <v>0</v>
      </c>
      <c r="H70">
        <v>0</v>
      </c>
      <c r="I70">
        <v>0</v>
      </c>
      <c r="J70">
        <v>0</v>
      </c>
      <c r="K70">
        <v>0</v>
      </c>
      <c r="L70">
        <v>0</v>
      </c>
    </row>
    <row r="71" spans="1:12" x14ac:dyDescent="0.25">
      <c r="A71" t="s">
        <v>10</v>
      </c>
      <c r="B71">
        <v>0</v>
      </c>
      <c r="C71">
        <v>0</v>
      </c>
      <c r="D71">
        <v>0</v>
      </c>
      <c r="E71">
        <v>0</v>
      </c>
      <c r="F71">
        <v>0</v>
      </c>
      <c r="G71">
        <v>0</v>
      </c>
      <c r="H71">
        <v>0</v>
      </c>
      <c r="I71">
        <v>0</v>
      </c>
      <c r="J71">
        <v>0</v>
      </c>
      <c r="K71">
        <v>0</v>
      </c>
      <c r="L71">
        <v>0</v>
      </c>
    </row>
    <row r="72" spans="1:12" x14ac:dyDescent="0.25">
      <c r="A72" t="s">
        <v>11</v>
      </c>
      <c r="B72">
        <v>0</v>
      </c>
      <c r="C72">
        <v>0</v>
      </c>
      <c r="D72">
        <v>0</v>
      </c>
      <c r="E72">
        <v>0</v>
      </c>
      <c r="F72">
        <v>0</v>
      </c>
      <c r="G72">
        <v>0</v>
      </c>
      <c r="H72">
        <v>0</v>
      </c>
      <c r="I72">
        <v>0</v>
      </c>
      <c r="J72">
        <v>0</v>
      </c>
      <c r="K72">
        <v>0</v>
      </c>
      <c r="L72">
        <v>0</v>
      </c>
    </row>
    <row r="73" spans="1:12" x14ac:dyDescent="0.25">
      <c r="A73" t="s">
        <v>513</v>
      </c>
      <c r="B73">
        <v>0</v>
      </c>
      <c r="C73">
        <v>0</v>
      </c>
      <c r="D73">
        <v>0</v>
      </c>
      <c r="E73">
        <v>0</v>
      </c>
      <c r="F73">
        <v>0</v>
      </c>
      <c r="G73">
        <v>0</v>
      </c>
      <c r="H73">
        <v>0</v>
      </c>
      <c r="I73">
        <v>0</v>
      </c>
      <c r="J73">
        <v>0</v>
      </c>
      <c r="K73">
        <v>0</v>
      </c>
      <c r="L73">
        <v>0</v>
      </c>
    </row>
    <row r="74" spans="1:12" x14ac:dyDescent="0.25">
      <c r="A74" t="s">
        <v>367</v>
      </c>
      <c r="B74">
        <v>0</v>
      </c>
      <c r="C74">
        <v>0</v>
      </c>
      <c r="D74">
        <v>0</v>
      </c>
      <c r="E74">
        <v>0</v>
      </c>
      <c r="F74">
        <v>0</v>
      </c>
      <c r="G74">
        <v>0</v>
      </c>
      <c r="H74">
        <v>0</v>
      </c>
      <c r="I74">
        <v>0</v>
      </c>
      <c r="J74">
        <v>0</v>
      </c>
      <c r="K74">
        <v>0</v>
      </c>
      <c r="L74">
        <v>0</v>
      </c>
    </row>
    <row r="76" spans="1:12" x14ac:dyDescent="0.25">
      <c r="A76" s="9" t="s">
        <v>481</v>
      </c>
      <c r="B76" s="9">
        <v>0</v>
      </c>
      <c r="C76" s="9">
        <v>1</v>
      </c>
      <c r="D76" s="9">
        <v>2</v>
      </c>
      <c r="E76" s="9">
        <v>3</v>
      </c>
      <c r="F76" s="9">
        <v>4</v>
      </c>
      <c r="G76" s="9">
        <v>5</v>
      </c>
      <c r="H76" s="9">
        <v>6</v>
      </c>
      <c r="I76" s="9">
        <v>7</v>
      </c>
      <c r="J76" s="9">
        <v>8</v>
      </c>
      <c r="K76" s="9">
        <v>9</v>
      </c>
      <c r="L76" s="9">
        <v>10</v>
      </c>
    </row>
    <row r="77" spans="1:12" x14ac:dyDescent="0.25">
      <c r="A77" t="s">
        <v>7</v>
      </c>
      <c r="B77" s="84">
        <v>0</v>
      </c>
      <c r="C77" s="84">
        <v>0</v>
      </c>
      <c r="D77" s="84">
        <v>0</v>
      </c>
      <c r="E77">
        <v>0</v>
      </c>
      <c r="F77">
        <v>0</v>
      </c>
      <c r="G77">
        <v>0</v>
      </c>
      <c r="H77">
        <v>0</v>
      </c>
      <c r="I77">
        <v>0</v>
      </c>
      <c r="J77">
        <v>0</v>
      </c>
      <c r="K77">
        <v>0</v>
      </c>
      <c r="L77">
        <v>0</v>
      </c>
    </row>
    <row r="78" spans="1:12" x14ac:dyDescent="0.25">
      <c r="A78" t="s">
        <v>8</v>
      </c>
      <c r="B78">
        <v>0</v>
      </c>
      <c r="C78" s="84">
        <v>0</v>
      </c>
      <c r="D78" s="84">
        <v>0</v>
      </c>
      <c r="E78" s="84">
        <v>0</v>
      </c>
      <c r="F78">
        <v>0</v>
      </c>
      <c r="G78" s="84">
        <v>0</v>
      </c>
      <c r="H78">
        <v>0</v>
      </c>
      <c r="I78">
        <v>0</v>
      </c>
      <c r="J78">
        <v>0</v>
      </c>
      <c r="K78">
        <v>0</v>
      </c>
      <c r="L78">
        <v>0</v>
      </c>
    </row>
    <row r="79" spans="1:12" x14ac:dyDescent="0.25">
      <c r="A79" t="s">
        <v>13</v>
      </c>
      <c r="B79">
        <v>0</v>
      </c>
      <c r="C79" s="84">
        <v>0</v>
      </c>
      <c r="D79">
        <v>0</v>
      </c>
      <c r="E79">
        <v>0</v>
      </c>
      <c r="F79">
        <v>0</v>
      </c>
      <c r="G79">
        <v>0</v>
      </c>
      <c r="H79">
        <v>0</v>
      </c>
      <c r="I79">
        <v>0</v>
      </c>
      <c r="J79">
        <v>0</v>
      </c>
      <c r="K79">
        <v>0</v>
      </c>
      <c r="L79">
        <v>0</v>
      </c>
    </row>
    <row r="80" spans="1:12" x14ac:dyDescent="0.25">
      <c r="A80" t="s">
        <v>9</v>
      </c>
      <c r="B80">
        <v>0</v>
      </c>
      <c r="C80" s="84">
        <v>0</v>
      </c>
      <c r="D80" s="84">
        <v>0</v>
      </c>
      <c r="E80">
        <v>0</v>
      </c>
      <c r="F80" s="84">
        <v>0</v>
      </c>
      <c r="G80" s="84">
        <v>0</v>
      </c>
      <c r="H80">
        <v>0</v>
      </c>
      <c r="I80">
        <v>0</v>
      </c>
      <c r="J80">
        <v>0</v>
      </c>
      <c r="K80">
        <v>0</v>
      </c>
      <c r="L80">
        <v>0</v>
      </c>
    </row>
    <row r="81" spans="1:12" x14ac:dyDescent="0.25">
      <c r="A81" t="s">
        <v>10</v>
      </c>
      <c r="B81">
        <v>0</v>
      </c>
      <c r="C81" s="84">
        <v>0</v>
      </c>
      <c r="D81" s="84">
        <v>0</v>
      </c>
      <c r="E81" s="84">
        <v>0</v>
      </c>
      <c r="F81" s="84">
        <v>0</v>
      </c>
      <c r="G81" s="84">
        <v>0</v>
      </c>
      <c r="H81">
        <v>0</v>
      </c>
      <c r="I81">
        <v>0</v>
      </c>
      <c r="J81">
        <v>0</v>
      </c>
      <c r="K81">
        <v>0</v>
      </c>
      <c r="L81">
        <v>0</v>
      </c>
    </row>
    <row r="82" spans="1:12" x14ac:dyDescent="0.25">
      <c r="A82" t="s">
        <v>11</v>
      </c>
      <c r="B82">
        <v>0</v>
      </c>
      <c r="C82">
        <v>0</v>
      </c>
      <c r="D82">
        <v>0</v>
      </c>
      <c r="E82">
        <v>0</v>
      </c>
      <c r="F82">
        <v>0</v>
      </c>
      <c r="G82">
        <v>0</v>
      </c>
      <c r="H82">
        <v>0</v>
      </c>
      <c r="I82">
        <v>0</v>
      </c>
      <c r="J82">
        <v>0</v>
      </c>
      <c r="K82">
        <v>0</v>
      </c>
      <c r="L82">
        <v>0</v>
      </c>
    </row>
    <row r="83" spans="1:12" x14ac:dyDescent="0.25">
      <c r="A83" t="s">
        <v>513</v>
      </c>
      <c r="B83">
        <v>0</v>
      </c>
      <c r="C83" s="84">
        <v>0</v>
      </c>
      <c r="D83" s="84">
        <v>0</v>
      </c>
      <c r="E83" s="84">
        <v>0</v>
      </c>
      <c r="F83" s="84">
        <v>0</v>
      </c>
      <c r="G83">
        <v>0</v>
      </c>
      <c r="H83">
        <v>0</v>
      </c>
      <c r="I83">
        <v>0</v>
      </c>
      <c r="J83">
        <v>0</v>
      </c>
      <c r="K83">
        <v>0</v>
      </c>
      <c r="L83">
        <v>0</v>
      </c>
    </row>
    <row r="84" spans="1:12" x14ac:dyDescent="0.25">
      <c r="A84" t="s">
        <v>367</v>
      </c>
      <c r="B84">
        <v>0</v>
      </c>
      <c r="C84">
        <v>0</v>
      </c>
      <c r="D84">
        <v>0</v>
      </c>
      <c r="E84" s="84">
        <v>0</v>
      </c>
      <c r="F84" s="84">
        <v>0</v>
      </c>
      <c r="G84" s="84">
        <v>0</v>
      </c>
      <c r="H84">
        <v>0</v>
      </c>
      <c r="I84">
        <v>0</v>
      </c>
      <c r="J84">
        <v>0</v>
      </c>
      <c r="K84">
        <v>0</v>
      </c>
      <c r="L84">
        <v>0</v>
      </c>
    </row>
    <row r="86" spans="1:12" x14ac:dyDescent="0.25">
      <c r="A86" s="9" t="s">
        <v>486</v>
      </c>
      <c r="B86" s="9">
        <v>0</v>
      </c>
      <c r="C86" s="9">
        <v>1</v>
      </c>
      <c r="D86" s="9">
        <v>2</v>
      </c>
      <c r="E86" s="9">
        <v>3</v>
      </c>
      <c r="F86" s="9">
        <v>4</v>
      </c>
      <c r="G86" s="9">
        <v>5</v>
      </c>
      <c r="H86" s="9">
        <v>6</v>
      </c>
      <c r="I86" s="9">
        <v>7</v>
      </c>
      <c r="J86" s="9">
        <v>8</v>
      </c>
      <c r="K86" s="9">
        <v>9</v>
      </c>
      <c r="L86" s="9">
        <v>10</v>
      </c>
    </row>
    <row r="87" spans="1:12" x14ac:dyDescent="0.25">
      <c r="A87" t="s">
        <v>7</v>
      </c>
      <c r="B87">
        <v>0</v>
      </c>
      <c r="C87">
        <f>IF(OR('Event Tracker'!$B$20=1,'Event Tracker'!$B$21=1),0,C77/8760/'Game Assumptions'!$G55*1000)</f>
        <v>0</v>
      </c>
      <c r="D87">
        <f>IF(OR('Event Tracker'!$B$20=1,'Event Tracker'!$B$21=1),0,D77/8760/'Game Assumptions'!$G55*1000)</f>
        <v>0</v>
      </c>
      <c r="E87">
        <f>IF(OR('Event Tracker'!$B$20=1,'Event Tracker'!$B$21=1),0,E77/8760/'Game Assumptions'!$G55*1000)</f>
        <v>0</v>
      </c>
      <c r="F87">
        <f>IF(OR('Event Tracker'!$B$20=1,'Event Tracker'!$B$21=1),0,F77/8760/'Game Assumptions'!$G55*1000)</f>
        <v>0</v>
      </c>
      <c r="G87">
        <f>IF(OR('Event Tracker'!$B$20=1,'Event Tracker'!$B$21=1),0,G77/8760/'Game Assumptions'!$G55*1000)</f>
        <v>0</v>
      </c>
      <c r="H87">
        <f>IF(OR('Event Tracker'!$B$20=1,'Event Tracker'!$B$21=1),0,H77/8760/'Game Assumptions'!$G55*1000)</f>
        <v>0</v>
      </c>
      <c r="I87">
        <f>IF(OR('Event Tracker'!$B$20=1,'Event Tracker'!$B$21=1),0,I77/8760/'Game Assumptions'!$G55*1000)</f>
        <v>0</v>
      </c>
      <c r="J87">
        <f>IF(OR('Event Tracker'!$B$20=1,'Event Tracker'!$B$21=1),0,J77/8760/'Game Assumptions'!$G55*1000)</f>
        <v>0</v>
      </c>
      <c r="K87">
        <f>IF(OR('Event Tracker'!$B$20=1,'Event Tracker'!$B$21=1),0,K77/8760/'Game Assumptions'!$G55*1000)</f>
        <v>0</v>
      </c>
      <c r="L87">
        <f>IF(OR('Event Tracker'!$B$20=1,'Event Tracker'!$B$21=1),0,L77/8760/'Game Assumptions'!$G55*1000)</f>
        <v>0</v>
      </c>
    </row>
    <row r="88" spans="1:12" x14ac:dyDescent="0.25">
      <c r="A88" t="s">
        <v>8</v>
      </c>
      <c r="B88">
        <v>0</v>
      </c>
      <c r="C88">
        <f>IF(OR('Event Tracker'!$B$20=1,'Event Tracker'!$B$21=1),0,C78/8760/'Game Assumptions'!$G56*1000)</f>
        <v>0</v>
      </c>
      <c r="D88">
        <f>IF(OR('Event Tracker'!$B$20=1,'Event Tracker'!$B$21=1),0,D78/8760/'Game Assumptions'!$G56*1000)</f>
        <v>0</v>
      </c>
      <c r="E88">
        <f>IF(OR('Event Tracker'!$B$20=1,'Event Tracker'!$B$21=1),0,E78/8760/'Game Assumptions'!$G56*1000)</f>
        <v>0</v>
      </c>
      <c r="F88">
        <f>IF(OR('Event Tracker'!$B$20=1,'Event Tracker'!$B$21=1),0,F78/8760/'Game Assumptions'!$G56*1000)</f>
        <v>0</v>
      </c>
      <c r="G88">
        <f>IF(OR('Event Tracker'!$B$20=1,'Event Tracker'!$B$21=1),0,G78/8760/'Game Assumptions'!$G56*1000)</f>
        <v>0</v>
      </c>
      <c r="H88">
        <f>IF(OR('Event Tracker'!$B$20=1,'Event Tracker'!$B$21=1),0,H78/8760/'Game Assumptions'!$G56*1000)</f>
        <v>0</v>
      </c>
      <c r="I88">
        <f>IF(OR('Event Tracker'!$B$20=1,'Event Tracker'!$B$21=1),0,I78/8760/'Game Assumptions'!$G56*1000)</f>
        <v>0</v>
      </c>
      <c r="J88">
        <f>IF(OR('Event Tracker'!$B$20=1,'Event Tracker'!$B$21=1),0,J78/8760/'Game Assumptions'!$G56*1000)</f>
        <v>0</v>
      </c>
      <c r="K88">
        <f>IF(OR('Event Tracker'!$B$20=1,'Event Tracker'!$B$21=1),0,K78/8760/'Game Assumptions'!$G56*1000)</f>
        <v>0</v>
      </c>
      <c r="L88">
        <f>IF(OR('Event Tracker'!$B$20=1,'Event Tracker'!$B$21=1),0,L78/8760/'Game Assumptions'!$G56*1000)</f>
        <v>0</v>
      </c>
    </row>
    <row r="89" spans="1:12" x14ac:dyDescent="0.25">
      <c r="A89" t="s">
        <v>13</v>
      </c>
      <c r="B89">
        <f>IF(OR('Event Tracker'!$B$20=1,'Event Tracker'!$B$21=1),0,B79/8760/'Game Assumptions'!$G57*1000)</f>
        <v>0</v>
      </c>
      <c r="C89">
        <f>IF(OR('Event Tracker'!$B$20=1,'Event Tracker'!$B$21=1),0,C79/8760/'Game Assumptions'!$G57*1000)</f>
        <v>0</v>
      </c>
      <c r="D89">
        <f>IF(OR('Event Tracker'!$B$20=1,'Event Tracker'!$B$21=1),0,D79/8760/'Game Assumptions'!$G57*1000)</f>
        <v>0</v>
      </c>
      <c r="E89">
        <f>IF(OR('Event Tracker'!$B$20=1,'Event Tracker'!$B$21=1),0,E79/8760/'Game Assumptions'!$G57*1000)</f>
        <v>0</v>
      </c>
      <c r="F89">
        <f>IF(OR('Event Tracker'!$B$20=1,'Event Tracker'!$B$21=1),0,F79/8760/'Game Assumptions'!$G57*1000)</f>
        <v>0</v>
      </c>
      <c r="G89">
        <f>IF(OR('Event Tracker'!$B$20=1,'Event Tracker'!$B$21=1),0,G79/8760/'Game Assumptions'!$G57*1000)</f>
        <v>0</v>
      </c>
      <c r="H89">
        <f>IF(OR('Event Tracker'!$B$20=1,'Event Tracker'!$B$21=1),0,H79/8760/'Game Assumptions'!$G57*1000)</f>
        <v>0</v>
      </c>
      <c r="I89">
        <f>IF(OR('Event Tracker'!$B$20=1,'Event Tracker'!$B$21=1),0,I79/8760/'Game Assumptions'!$G57*1000)</f>
        <v>0</v>
      </c>
      <c r="J89">
        <f>IF(OR('Event Tracker'!$B$20=1,'Event Tracker'!$B$21=1),0,J79/8760/'Game Assumptions'!$G57*1000)</f>
        <v>0</v>
      </c>
      <c r="K89">
        <f>IF(OR('Event Tracker'!$B$20=1,'Event Tracker'!$B$21=1),0,K79/8760/'Game Assumptions'!$G57*1000)</f>
        <v>0</v>
      </c>
      <c r="L89">
        <f>IF(OR('Event Tracker'!$B$20=1,'Event Tracker'!$B$21=1),0,L79/8760/'Game Assumptions'!$G57*1000)</f>
        <v>0</v>
      </c>
    </row>
    <row r="90" spans="1:12" x14ac:dyDescent="0.25">
      <c r="A90" t="s">
        <v>9</v>
      </c>
      <c r="B90">
        <f>IF(OR('Event Tracker'!$B$20=1,'Event Tracker'!$B$21=1),0,B80/8760/'Game Assumptions'!$G58*1000)</f>
        <v>0</v>
      </c>
      <c r="C90">
        <f>IF(OR('Event Tracker'!$B$20=1,'Event Tracker'!$B$21=1),0,C80/8760/'Game Assumptions'!$G58*1000)</f>
        <v>0</v>
      </c>
      <c r="D90">
        <f>IF(OR('Event Tracker'!$B$20=1,'Event Tracker'!$B$21=1),0,D80/8760/'Game Assumptions'!$G58*1000)</f>
        <v>0</v>
      </c>
      <c r="E90">
        <f>IF(OR('Event Tracker'!$B$20=1,'Event Tracker'!$B$21=1),0,E80/8760/'Game Assumptions'!$G58*1000)</f>
        <v>0</v>
      </c>
      <c r="F90">
        <f>IF(OR('Event Tracker'!$B$20=1,'Event Tracker'!$B$21=1),0,F80/8760/'Game Assumptions'!$G58*1000)</f>
        <v>0</v>
      </c>
      <c r="G90">
        <f>IF(OR('Event Tracker'!$B$20=1,'Event Tracker'!$B$21=1),0,G80/8760/'Game Assumptions'!$G58*1000)</f>
        <v>0</v>
      </c>
      <c r="H90">
        <f>IF(OR('Event Tracker'!$B$20=1,'Event Tracker'!$B$21=1),0,H80/8760/'Game Assumptions'!$G58*1000)</f>
        <v>0</v>
      </c>
      <c r="I90">
        <f>IF(OR('Event Tracker'!$B$20=1,'Event Tracker'!$B$21=1),0,I80/8760/'Game Assumptions'!$G58*1000)</f>
        <v>0</v>
      </c>
      <c r="J90">
        <f>IF(OR('Event Tracker'!$B$20=1,'Event Tracker'!$B$21=1),0,J80/8760/'Game Assumptions'!$G58*1000)</f>
        <v>0</v>
      </c>
      <c r="K90">
        <f>IF(OR('Event Tracker'!$B$20=1,'Event Tracker'!$B$21=1),0,K80/8760/'Game Assumptions'!$G58*1000)</f>
        <v>0</v>
      </c>
      <c r="L90">
        <f>IF(OR('Event Tracker'!$B$20=1,'Event Tracker'!$B$21=1),0,L80/8760/'Game Assumptions'!$G58*1000)</f>
        <v>0</v>
      </c>
    </row>
    <row r="91" spans="1:12" x14ac:dyDescent="0.25">
      <c r="A91" t="s">
        <v>10</v>
      </c>
      <c r="B91">
        <f>IF(OR('Event Tracker'!$B$20=1,'Event Tracker'!$B$21=1),0,B81/8760/'Game Assumptions'!$G59*1000)</f>
        <v>0</v>
      </c>
      <c r="C91">
        <f>IF(OR('Event Tracker'!$B$20=1,'Event Tracker'!$B$21=1),0,C81/8760/'Game Assumptions'!$G59*1000)</f>
        <v>0</v>
      </c>
      <c r="D91">
        <f>IF(OR('Event Tracker'!$B$20=1,'Event Tracker'!$B$21=1),0,D81/8760/'Game Assumptions'!$G59*1000)</f>
        <v>0</v>
      </c>
      <c r="E91">
        <f>IF(OR('Event Tracker'!$B$20=1,'Event Tracker'!$B$21=1),0,E81/8760/'Game Assumptions'!$G59*1000)</f>
        <v>0</v>
      </c>
      <c r="F91">
        <f>IF(OR('Event Tracker'!$B$20=1,'Event Tracker'!$B$21=1),0,F81/8760/'Game Assumptions'!$G59*1000)</f>
        <v>0</v>
      </c>
      <c r="G91">
        <f>IF(OR('Event Tracker'!$B$20=1,'Event Tracker'!$B$21=1),0,G81/8760/'Game Assumptions'!$G59*1000)</f>
        <v>0</v>
      </c>
      <c r="H91">
        <f>IF(OR('Event Tracker'!$B$20=1,'Event Tracker'!$B$21=1),0,H81/8760/'Game Assumptions'!$G59*1000)</f>
        <v>0</v>
      </c>
      <c r="I91">
        <f>IF(OR('Event Tracker'!$B$20=1,'Event Tracker'!$B$21=1),0,I81/8760/'Game Assumptions'!$G59*1000)</f>
        <v>0</v>
      </c>
      <c r="J91">
        <f>IF(OR('Event Tracker'!$B$20=1,'Event Tracker'!$B$21=1),0,J81/8760/'Game Assumptions'!$G59*1000)</f>
        <v>0</v>
      </c>
      <c r="K91">
        <f>IF(OR('Event Tracker'!$B$20=1,'Event Tracker'!$B$21=1),0,K81/8760/'Game Assumptions'!$G59*1000)</f>
        <v>0</v>
      </c>
      <c r="L91">
        <f>IF(OR('Event Tracker'!$B$20=1,'Event Tracker'!$B$21=1),0,L81/8760/'Game Assumptions'!$G59*1000)</f>
        <v>0</v>
      </c>
    </row>
    <row r="92" spans="1:12" x14ac:dyDescent="0.25">
      <c r="A92" t="s">
        <v>11</v>
      </c>
      <c r="B92">
        <f>IF(OR('Event Tracker'!$B$20=1,'Event Tracker'!$B$21=1),0,B82/8760/'Game Assumptions'!$G60*1000)</f>
        <v>0</v>
      </c>
      <c r="C92">
        <f>IF(OR('Event Tracker'!$B$20=1,'Event Tracker'!$B$21=1),0,C82/8760/'Game Assumptions'!$G60*1000)</f>
        <v>0</v>
      </c>
      <c r="D92">
        <f>IF(OR('Event Tracker'!$B$20=1,'Event Tracker'!$B$21=1),0,D82/8760/'Game Assumptions'!$G60*1000)</f>
        <v>0</v>
      </c>
      <c r="E92">
        <f>IF(OR('Event Tracker'!$B$20=1,'Event Tracker'!$B$21=1),0,E82/8760/'Game Assumptions'!$G60*1000)</f>
        <v>0</v>
      </c>
      <c r="F92">
        <f>IF(OR('Event Tracker'!$B$20=1,'Event Tracker'!$B$21=1),0,F82/8760/'Game Assumptions'!$G60*1000)</f>
        <v>0</v>
      </c>
      <c r="G92">
        <f>IF(OR('Event Tracker'!$B$20=1,'Event Tracker'!$B$21=1),0,G82/8760/'Game Assumptions'!$G60*1000)</f>
        <v>0</v>
      </c>
      <c r="H92">
        <f>IF(OR('Event Tracker'!$B$20=1,'Event Tracker'!$B$21=1),0,H82/8760/'Game Assumptions'!$G60*1000)</f>
        <v>0</v>
      </c>
      <c r="I92">
        <f>IF(OR('Event Tracker'!$B$20=1,'Event Tracker'!$B$21=1),0,I82/8760/'Game Assumptions'!$G60*1000)</f>
        <v>0</v>
      </c>
      <c r="J92">
        <f>IF(OR('Event Tracker'!$B$20=1,'Event Tracker'!$B$21=1),0,J82/8760/'Game Assumptions'!$G60*1000)</f>
        <v>0</v>
      </c>
      <c r="K92">
        <f>IF(OR('Event Tracker'!$B$20=1,'Event Tracker'!$B$21=1),0,K82/8760/'Game Assumptions'!$G60*1000)</f>
        <v>0</v>
      </c>
      <c r="L92">
        <f>IF(OR('Event Tracker'!$B$20=1,'Event Tracker'!$B$21=1),0,L82/8760/'Game Assumptions'!$G60*1000)</f>
        <v>0</v>
      </c>
    </row>
    <row r="93" spans="1:12" x14ac:dyDescent="0.25">
      <c r="A93" t="s">
        <v>513</v>
      </c>
      <c r="B93">
        <f>IF(OR('Event Tracker'!$B$20=1,'Event Tracker'!$B$21=1),0,B83/8760/'Game Assumptions'!$G61*1000)</f>
        <v>0</v>
      </c>
      <c r="C93">
        <f>IF(OR('Event Tracker'!$B$20=1,'Event Tracker'!$B$21=1),0,C83/8760/'Game Assumptions'!$G61*1000)</f>
        <v>0</v>
      </c>
      <c r="D93">
        <f>IF(OR('Event Tracker'!$B$20=1,'Event Tracker'!$B$21=1),0,D83/8760/'Game Assumptions'!$G61*1000)</f>
        <v>0</v>
      </c>
      <c r="E93">
        <f>IF(OR('Event Tracker'!$B$20=1,'Event Tracker'!$B$21=1),0,E83/8760/'Game Assumptions'!$G61*1000)</f>
        <v>0</v>
      </c>
      <c r="F93">
        <f>IF(OR('Event Tracker'!$B$20=1,'Event Tracker'!$B$21=1),0,F83/8760/'Game Assumptions'!$G61*1000)</f>
        <v>0</v>
      </c>
      <c r="G93">
        <f>IF(OR('Event Tracker'!$B$20=1,'Event Tracker'!$B$21=1),0,G83/8760/'Game Assumptions'!$G61*1000)</f>
        <v>0</v>
      </c>
      <c r="H93">
        <f>IF(OR('Event Tracker'!$B$20=1,'Event Tracker'!$B$21=1),0,H83/8760/'Game Assumptions'!$G61*1000)</f>
        <v>0</v>
      </c>
      <c r="I93">
        <f>IF(OR('Event Tracker'!$B$20=1,'Event Tracker'!$B$21=1),0,I83/8760/'Game Assumptions'!$G61*1000)</f>
        <v>0</v>
      </c>
      <c r="J93">
        <f>IF(OR('Event Tracker'!$B$20=1,'Event Tracker'!$B$21=1),0,J83/8760/'Game Assumptions'!$G61*1000)</f>
        <v>0</v>
      </c>
      <c r="K93">
        <f>IF(OR('Event Tracker'!$B$20=1,'Event Tracker'!$B$21=1),0,K83/8760/'Game Assumptions'!$G61*1000)</f>
        <v>0</v>
      </c>
      <c r="L93">
        <f>IF(OR('Event Tracker'!$B$20=1,'Event Tracker'!$B$21=1),0,L83/8760/'Game Assumptions'!$G61*1000)</f>
        <v>0</v>
      </c>
    </row>
    <row r="94" spans="1:12" x14ac:dyDescent="0.25">
      <c r="A94" t="s">
        <v>367</v>
      </c>
      <c r="B94">
        <f>IF(OR('Event Tracker'!$B$20=1,'Event Tracker'!$B$21=1),0,B84/8760/'Game Assumptions'!$G62*1000)</f>
        <v>0</v>
      </c>
      <c r="C94">
        <f>IF(OR('Event Tracker'!$B$20=1,'Event Tracker'!$B$21=1),0,C84/8760/'Game Assumptions'!$G62*1000)</f>
        <v>0</v>
      </c>
      <c r="D94">
        <f>IF(OR('Event Tracker'!$B$20=1,'Event Tracker'!$B$21=1),0,D84/8760/'Game Assumptions'!$G62*1000)</f>
        <v>0</v>
      </c>
      <c r="E94">
        <f>IF(OR('Event Tracker'!$B$20=1,'Event Tracker'!$B$21=1),0,E84/8760/'Game Assumptions'!$G62*1000)</f>
        <v>0</v>
      </c>
      <c r="F94">
        <f>IF(OR('Event Tracker'!$B$20=1,'Event Tracker'!$B$21=1),0,F84/8760/'Game Assumptions'!$G62*1000)</f>
        <v>0</v>
      </c>
      <c r="G94">
        <f>IF(OR('Event Tracker'!$B$20=1,'Event Tracker'!$B$21=1),0,G84/8760/'Game Assumptions'!$G62*1000)</f>
        <v>0</v>
      </c>
      <c r="H94">
        <f>IF(OR('Event Tracker'!$B$20=1,'Event Tracker'!$B$21=1),0,H84/8760/'Game Assumptions'!$G62*1000)</f>
        <v>0</v>
      </c>
      <c r="I94">
        <f>IF(OR('Event Tracker'!$B$20=1,'Event Tracker'!$B$21=1),0,I84/8760/'Game Assumptions'!$G62*1000)</f>
        <v>0</v>
      </c>
      <c r="J94">
        <f>IF(OR('Event Tracker'!$B$20=1,'Event Tracker'!$B$21=1),0,J84/8760/'Game Assumptions'!$G62*1000)</f>
        <v>0</v>
      </c>
      <c r="K94">
        <f>IF(OR('Event Tracker'!$B$20=1,'Event Tracker'!$B$21=1),0,K84/8760/'Game Assumptions'!$G62*1000)</f>
        <v>0</v>
      </c>
      <c r="L94">
        <f>IF(OR('Event Tracker'!$B$20=1,'Event Tracker'!$B$21=1),0,L84/8760/'Game Assumptions'!$G62*1000)</f>
        <v>0</v>
      </c>
    </row>
    <row r="96" spans="1:12" x14ac:dyDescent="0.25">
      <c r="A96" s="9" t="s">
        <v>490</v>
      </c>
      <c r="B96" s="9">
        <v>0</v>
      </c>
      <c r="C96" s="9">
        <v>1</v>
      </c>
      <c r="D96" s="9">
        <v>2</v>
      </c>
      <c r="E96" s="9">
        <v>3</v>
      </c>
      <c r="F96" s="9">
        <v>4</v>
      </c>
      <c r="G96" s="9">
        <v>5</v>
      </c>
      <c r="H96" s="9">
        <v>6</v>
      </c>
      <c r="I96" s="9">
        <v>7</v>
      </c>
      <c r="J96" s="9">
        <v>8</v>
      </c>
      <c r="K96" s="9">
        <v>9</v>
      </c>
      <c r="L96" s="9">
        <v>10</v>
      </c>
    </row>
    <row r="97" spans="1:12" x14ac:dyDescent="0.25">
      <c r="A97" t="s">
        <v>169</v>
      </c>
      <c r="B97">
        <v>0</v>
      </c>
      <c r="C97">
        <v>0</v>
      </c>
      <c r="D97">
        <v>0</v>
      </c>
      <c r="E97">
        <v>0</v>
      </c>
      <c r="F97">
        <v>0</v>
      </c>
      <c r="G97">
        <v>0</v>
      </c>
      <c r="H97">
        <v>0</v>
      </c>
      <c r="I97">
        <v>0</v>
      </c>
      <c r="J97">
        <v>0</v>
      </c>
      <c r="K97">
        <v>0</v>
      </c>
      <c r="L97">
        <v>0</v>
      </c>
    </row>
    <row r="98" spans="1:12" x14ac:dyDescent="0.25">
      <c r="A98" t="s">
        <v>148</v>
      </c>
      <c r="B98">
        <v>0</v>
      </c>
      <c r="C98">
        <v>0</v>
      </c>
      <c r="D98">
        <v>0</v>
      </c>
      <c r="E98">
        <v>0</v>
      </c>
      <c r="F98">
        <v>0</v>
      </c>
      <c r="G98">
        <v>0</v>
      </c>
      <c r="H98">
        <v>0</v>
      </c>
      <c r="I98">
        <v>0</v>
      </c>
      <c r="J98">
        <v>0</v>
      </c>
      <c r="K98">
        <v>0</v>
      </c>
      <c r="L98">
        <v>0</v>
      </c>
    </row>
    <row r="99" spans="1:12" x14ac:dyDescent="0.25">
      <c r="A99" t="s">
        <v>147</v>
      </c>
      <c r="B99">
        <v>0</v>
      </c>
      <c r="C99">
        <v>0</v>
      </c>
      <c r="D99">
        <v>0</v>
      </c>
      <c r="E99">
        <v>0</v>
      </c>
      <c r="F99">
        <v>0</v>
      </c>
      <c r="G99">
        <v>0</v>
      </c>
      <c r="H99">
        <v>0</v>
      </c>
      <c r="I99">
        <v>0</v>
      </c>
      <c r="J99">
        <v>0</v>
      </c>
      <c r="K99">
        <v>0</v>
      </c>
      <c r="L99">
        <v>0</v>
      </c>
    </row>
    <row r="100" spans="1:12" x14ac:dyDescent="0.25">
      <c r="A100" t="s">
        <v>36</v>
      </c>
      <c r="B100">
        <v>0</v>
      </c>
      <c r="C100" s="84">
        <v>0</v>
      </c>
      <c r="D100" s="84">
        <v>0</v>
      </c>
      <c r="E100" s="84">
        <v>0</v>
      </c>
      <c r="F100" s="84">
        <v>0</v>
      </c>
      <c r="G100" s="84">
        <v>0</v>
      </c>
      <c r="H100">
        <v>0</v>
      </c>
      <c r="I100">
        <v>0</v>
      </c>
      <c r="J100">
        <v>0</v>
      </c>
      <c r="K100">
        <v>0</v>
      </c>
      <c r="L100">
        <v>0</v>
      </c>
    </row>
    <row r="101" spans="1:12" x14ac:dyDescent="0.25">
      <c r="A101" t="s">
        <v>352</v>
      </c>
      <c r="B101">
        <v>0</v>
      </c>
      <c r="C101" s="84">
        <v>0</v>
      </c>
      <c r="D101" s="84">
        <v>0</v>
      </c>
      <c r="E101">
        <v>0</v>
      </c>
      <c r="F101" s="84">
        <v>0</v>
      </c>
      <c r="G101">
        <v>0</v>
      </c>
      <c r="H101">
        <v>0</v>
      </c>
      <c r="I101">
        <v>0</v>
      </c>
      <c r="J101">
        <v>0</v>
      </c>
      <c r="K101">
        <v>0</v>
      </c>
      <c r="L101">
        <v>0</v>
      </c>
    </row>
    <row r="102" spans="1:12" x14ac:dyDescent="0.25">
      <c r="A102" t="s">
        <v>361</v>
      </c>
      <c r="B102">
        <v>0</v>
      </c>
      <c r="C102" s="84">
        <v>0</v>
      </c>
      <c r="D102" s="84">
        <v>0</v>
      </c>
      <c r="E102" s="84">
        <v>0</v>
      </c>
      <c r="F102" s="84">
        <v>0</v>
      </c>
      <c r="G102">
        <v>0</v>
      </c>
      <c r="H102">
        <v>0</v>
      </c>
      <c r="I102">
        <v>0</v>
      </c>
      <c r="J102">
        <v>0</v>
      </c>
      <c r="K102">
        <v>0</v>
      </c>
      <c r="L102">
        <v>0</v>
      </c>
    </row>
    <row r="104" spans="1:12" x14ac:dyDescent="0.25">
      <c r="A104" s="9" t="s">
        <v>531</v>
      </c>
      <c r="B104" s="9">
        <v>0</v>
      </c>
      <c r="C104" s="9">
        <v>1</v>
      </c>
      <c r="D104" s="9">
        <v>2</v>
      </c>
      <c r="E104" s="9">
        <v>3</v>
      </c>
      <c r="F104" s="9">
        <v>4</v>
      </c>
      <c r="G104" s="9">
        <v>5</v>
      </c>
      <c r="H104" s="9">
        <v>6</v>
      </c>
      <c r="I104" s="9">
        <v>7</v>
      </c>
      <c r="J104" s="9">
        <v>8</v>
      </c>
      <c r="K104" s="9">
        <v>9</v>
      </c>
      <c r="L104" s="9">
        <v>10</v>
      </c>
    </row>
    <row r="105" spans="1:12" x14ac:dyDescent="0.25">
      <c r="A105" s="126" t="s">
        <v>380</v>
      </c>
      <c r="B105" s="126"/>
      <c r="C105" s="126"/>
      <c r="D105" s="126"/>
      <c r="E105" s="126"/>
      <c r="F105" s="126"/>
      <c r="G105" s="126"/>
      <c r="H105" s="126"/>
      <c r="I105" s="126"/>
      <c r="J105" s="126"/>
      <c r="K105" s="126"/>
      <c r="L105" s="126"/>
    </row>
    <row r="106" spans="1:12" x14ac:dyDescent="0.25">
      <c r="A106" t="s">
        <v>7</v>
      </c>
      <c r="B106">
        <v>0</v>
      </c>
      <c r="C106">
        <v>0</v>
      </c>
      <c r="D106">
        <v>0</v>
      </c>
      <c r="E106">
        <v>0</v>
      </c>
      <c r="F106">
        <v>0</v>
      </c>
      <c r="G106">
        <v>0</v>
      </c>
      <c r="H106">
        <v>0</v>
      </c>
      <c r="I106">
        <v>0</v>
      </c>
      <c r="J106">
        <v>0</v>
      </c>
      <c r="K106">
        <v>0</v>
      </c>
      <c r="L106">
        <v>0</v>
      </c>
    </row>
    <row r="107" spans="1:12" x14ac:dyDescent="0.25">
      <c r="A107" t="s">
        <v>8</v>
      </c>
      <c r="B107">
        <v>0</v>
      </c>
      <c r="C107">
        <v>0</v>
      </c>
      <c r="D107">
        <v>0</v>
      </c>
      <c r="E107">
        <v>0</v>
      </c>
      <c r="F107">
        <v>0</v>
      </c>
      <c r="G107">
        <v>0</v>
      </c>
      <c r="H107">
        <v>0</v>
      </c>
      <c r="I107">
        <v>0</v>
      </c>
      <c r="J107">
        <v>0</v>
      </c>
      <c r="K107">
        <v>0</v>
      </c>
      <c r="L107">
        <v>0</v>
      </c>
    </row>
    <row r="108" spans="1:12" x14ac:dyDescent="0.25">
      <c r="A108" t="s">
        <v>13</v>
      </c>
      <c r="B108">
        <v>0</v>
      </c>
      <c r="C108">
        <v>0</v>
      </c>
      <c r="D108">
        <v>0</v>
      </c>
      <c r="E108">
        <v>0</v>
      </c>
      <c r="F108">
        <v>0</v>
      </c>
      <c r="G108">
        <v>0</v>
      </c>
      <c r="H108">
        <v>0</v>
      </c>
      <c r="I108">
        <v>0</v>
      </c>
      <c r="J108">
        <v>0</v>
      </c>
      <c r="K108">
        <v>0</v>
      </c>
      <c r="L108">
        <v>0</v>
      </c>
    </row>
    <row r="109" spans="1:12" x14ac:dyDescent="0.25">
      <c r="A109" t="s">
        <v>9</v>
      </c>
      <c r="B109">
        <v>0</v>
      </c>
      <c r="C109">
        <v>0</v>
      </c>
      <c r="D109">
        <v>0</v>
      </c>
      <c r="E109">
        <v>0</v>
      </c>
      <c r="F109">
        <v>0</v>
      </c>
      <c r="G109">
        <v>0</v>
      </c>
      <c r="H109">
        <v>0</v>
      </c>
      <c r="I109">
        <v>0</v>
      </c>
      <c r="J109">
        <v>0</v>
      </c>
      <c r="K109">
        <v>0</v>
      </c>
      <c r="L109">
        <v>0</v>
      </c>
    </row>
    <row r="110" spans="1:12" x14ac:dyDescent="0.25">
      <c r="A110" t="s">
        <v>10</v>
      </c>
      <c r="B110">
        <v>0</v>
      </c>
      <c r="C110">
        <v>0</v>
      </c>
      <c r="D110">
        <v>0</v>
      </c>
      <c r="E110">
        <v>0</v>
      </c>
      <c r="F110">
        <v>0</v>
      </c>
      <c r="G110">
        <v>0</v>
      </c>
      <c r="H110">
        <v>0</v>
      </c>
      <c r="I110">
        <v>0</v>
      </c>
      <c r="J110">
        <v>0</v>
      </c>
      <c r="K110">
        <v>0</v>
      </c>
      <c r="L110">
        <v>0</v>
      </c>
    </row>
    <row r="111" spans="1:12" x14ac:dyDescent="0.25">
      <c r="A111" t="s">
        <v>513</v>
      </c>
      <c r="B111">
        <v>0</v>
      </c>
      <c r="C111">
        <v>0</v>
      </c>
      <c r="D111">
        <v>0</v>
      </c>
      <c r="E111">
        <v>0</v>
      </c>
      <c r="F111">
        <v>0</v>
      </c>
      <c r="G111">
        <v>0</v>
      </c>
      <c r="H111">
        <v>0</v>
      </c>
      <c r="I111">
        <v>0</v>
      </c>
      <c r="J111">
        <v>0</v>
      </c>
      <c r="K111">
        <v>0</v>
      </c>
      <c r="L111">
        <v>0</v>
      </c>
    </row>
    <row r="112" spans="1:12" x14ac:dyDescent="0.25">
      <c r="A112" t="s">
        <v>367</v>
      </c>
      <c r="B112">
        <v>0</v>
      </c>
      <c r="C112">
        <v>0</v>
      </c>
      <c r="D112">
        <v>0</v>
      </c>
      <c r="E112">
        <v>0</v>
      </c>
      <c r="F112">
        <v>0</v>
      </c>
      <c r="G112">
        <v>0</v>
      </c>
      <c r="H112">
        <v>0</v>
      </c>
      <c r="I112">
        <v>0</v>
      </c>
      <c r="J112">
        <v>0</v>
      </c>
      <c r="K112">
        <v>0</v>
      </c>
      <c r="L112">
        <v>0</v>
      </c>
    </row>
    <row r="113" spans="1:12" x14ac:dyDescent="0.25">
      <c r="A113" t="s">
        <v>169</v>
      </c>
      <c r="B113">
        <v>0</v>
      </c>
      <c r="C113">
        <v>0</v>
      </c>
      <c r="D113">
        <v>0</v>
      </c>
      <c r="E113">
        <v>0</v>
      </c>
      <c r="F113">
        <v>0</v>
      </c>
      <c r="G113">
        <v>0</v>
      </c>
      <c r="H113">
        <v>0</v>
      </c>
      <c r="I113">
        <v>0</v>
      </c>
      <c r="J113">
        <v>0</v>
      </c>
      <c r="K113">
        <v>0</v>
      </c>
      <c r="L113">
        <v>0</v>
      </c>
    </row>
    <row r="114" spans="1:12" x14ac:dyDescent="0.25">
      <c r="A114" t="s">
        <v>148</v>
      </c>
      <c r="B114">
        <v>0</v>
      </c>
      <c r="C114">
        <v>0</v>
      </c>
      <c r="D114">
        <v>0</v>
      </c>
      <c r="E114">
        <v>0</v>
      </c>
      <c r="F114">
        <v>0</v>
      </c>
      <c r="G114">
        <v>0</v>
      </c>
      <c r="H114">
        <v>0</v>
      </c>
      <c r="I114">
        <v>0</v>
      </c>
      <c r="J114">
        <v>0</v>
      </c>
      <c r="K114">
        <v>0</v>
      </c>
      <c r="L114">
        <v>0</v>
      </c>
    </row>
    <row r="115" spans="1:12" x14ac:dyDescent="0.25">
      <c r="A115" t="s">
        <v>147</v>
      </c>
      <c r="B115">
        <v>0</v>
      </c>
      <c r="C115">
        <v>0</v>
      </c>
      <c r="D115">
        <v>0</v>
      </c>
      <c r="E115">
        <v>0</v>
      </c>
      <c r="F115">
        <v>0</v>
      </c>
      <c r="G115">
        <v>0</v>
      </c>
      <c r="H115">
        <v>0</v>
      </c>
      <c r="I115">
        <v>0</v>
      </c>
      <c r="J115">
        <v>0</v>
      </c>
      <c r="K115">
        <v>0</v>
      </c>
      <c r="L115">
        <v>0</v>
      </c>
    </row>
    <row r="116" spans="1:12" x14ac:dyDescent="0.25">
      <c r="A116" t="s">
        <v>36</v>
      </c>
      <c r="B116">
        <v>0</v>
      </c>
      <c r="C116">
        <v>0</v>
      </c>
      <c r="D116">
        <v>0</v>
      </c>
      <c r="E116">
        <v>0</v>
      </c>
      <c r="F116">
        <v>0</v>
      </c>
      <c r="G116">
        <v>0</v>
      </c>
      <c r="H116">
        <v>0</v>
      </c>
      <c r="I116">
        <v>0</v>
      </c>
      <c r="J116">
        <v>0</v>
      </c>
      <c r="K116">
        <v>0</v>
      </c>
      <c r="L116">
        <v>0</v>
      </c>
    </row>
    <row r="117" spans="1:12" x14ac:dyDescent="0.25">
      <c r="A117" t="s">
        <v>362</v>
      </c>
      <c r="B117">
        <v>0</v>
      </c>
      <c r="C117">
        <v>0</v>
      </c>
      <c r="D117">
        <v>0</v>
      </c>
      <c r="E117">
        <v>0</v>
      </c>
      <c r="F117">
        <v>0</v>
      </c>
      <c r="G117">
        <v>0</v>
      </c>
      <c r="H117">
        <v>0</v>
      </c>
      <c r="I117">
        <v>0</v>
      </c>
      <c r="J117">
        <v>0</v>
      </c>
      <c r="K117">
        <v>0</v>
      </c>
      <c r="L117">
        <v>0</v>
      </c>
    </row>
    <row r="118" spans="1:12" x14ac:dyDescent="0.25">
      <c r="A118" t="s">
        <v>381</v>
      </c>
      <c r="B118">
        <v>0</v>
      </c>
      <c r="C118">
        <v>0</v>
      </c>
      <c r="D118">
        <v>0</v>
      </c>
      <c r="E118">
        <v>0</v>
      </c>
      <c r="F118">
        <v>0</v>
      </c>
      <c r="G118">
        <v>0</v>
      </c>
      <c r="H118">
        <v>0</v>
      </c>
      <c r="I118">
        <v>0</v>
      </c>
      <c r="J118">
        <v>0</v>
      </c>
      <c r="K118">
        <v>0</v>
      </c>
      <c r="L118">
        <v>0</v>
      </c>
    </row>
    <row r="120" spans="1:12" x14ac:dyDescent="0.25">
      <c r="A120" s="126" t="s">
        <v>379</v>
      </c>
      <c r="B120" s="126"/>
      <c r="C120" s="126"/>
      <c r="D120" s="126"/>
      <c r="E120" s="126"/>
      <c r="F120" s="126"/>
      <c r="G120" s="126"/>
      <c r="H120" s="126"/>
      <c r="I120" s="126"/>
      <c r="J120" s="126"/>
      <c r="K120" s="126"/>
      <c r="L120" s="126"/>
    </row>
    <row r="121" spans="1:12" x14ac:dyDescent="0.25">
      <c r="A121" t="s">
        <v>7</v>
      </c>
      <c r="B121">
        <v>0</v>
      </c>
      <c r="C121">
        <v>0</v>
      </c>
      <c r="D121">
        <v>0</v>
      </c>
      <c r="E121">
        <v>0</v>
      </c>
      <c r="F121">
        <v>0</v>
      </c>
      <c r="G121">
        <v>0</v>
      </c>
      <c r="H121">
        <v>0</v>
      </c>
      <c r="I121">
        <v>0</v>
      </c>
      <c r="J121">
        <v>0</v>
      </c>
      <c r="K121">
        <v>0</v>
      </c>
      <c r="L121">
        <v>0</v>
      </c>
    </row>
    <row r="122" spans="1:12" x14ac:dyDescent="0.25">
      <c r="A122" t="s">
        <v>8</v>
      </c>
      <c r="B122">
        <v>0</v>
      </c>
      <c r="C122">
        <v>0</v>
      </c>
      <c r="D122">
        <v>0</v>
      </c>
      <c r="E122">
        <v>0</v>
      </c>
      <c r="F122">
        <v>0</v>
      </c>
      <c r="G122">
        <v>0</v>
      </c>
      <c r="H122">
        <v>0</v>
      </c>
      <c r="I122">
        <v>0</v>
      </c>
      <c r="J122">
        <v>0</v>
      </c>
      <c r="K122">
        <v>0</v>
      </c>
      <c r="L122">
        <v>0</v>
      </c>
    </row>
    <row r="123" spans="1:12" x14ac:dyDescent="0.25">
      <c r="A123" t="s">
        <v>13</v>
      </c>
      <c r="B123">
        <v>0</v>
      </c>
      <c r="C123">
        <v>0</v>
      </c>
      <c r="D123">
        <v>0</v>
      </c>
      <c r="E123">
        <v>0</v>
      </c>
      <c r="F123">
        <v>0</v>
      </c>
      <c r="G123">
        <v>0</v>
      </c>
      <c r="H123">
        <v>0</v>
      </c>
      <c r="I123">
        <v>0</v>
      </c>
      <c r="J123">
        <v>0</v>
      </c>
      <c r="K123">
        <v>0</v>
      </c>
      <c r="L123">
        <v>0</v>
      </c>
    </row>
    <row r="124" spans="1:12" x14ac:dyDescent="0.25">
      <c r="A124" t="s">
        <v>9</v>
      </c>
      <c r="B124">
        <v>0</v>
      </c>
      <c r="C124">
        <v>0</v>
      </c>
      <c r="D124">
        <v>0</v>
      </c>
      <c r="E124">
        <v>0</v>
      </c>
      <c r="F124">
        <v>0</v>
      </c>
      <c r="G124">
        <v>0</v>
      </c>
      <c r="H124">
        <v>0</v>
      </c>
      <c r="I124">
        <v>0</v>
      </c>
      <c r="J124">
        <v>0</v>
      </c>
      <c r="K124">
        <v>0</v>
      </c>
      <c r="L124">
        <v>0</v>
      </c>
    </row>
    <row r="125" spans="1:12" x14ac:dyDescent="0.25">
      <c r="A125" t="s">
        <v>10</v>
      </c>
      <c r="B125">
        <v>0</v>
      </c>
      <c r="C125">
        <v>0</v>
      </c>
      <c r="D125">
        <v>0</v>
      </c>
      <c r="E125">
        <v>0</v>
      </c>
      <c r="F125">
        <v>0</v>
      </c>
      <c r="G125">
        <v>0</v>
      </c>
      <c r="H125">
        <v>0</v>
      </c>
      <c r="I125">
        <v>0</v>
      </c>
      <c r="J125">
        <v>0</v>
      </c>
      <c r="K125">
        <v>0</v>
      </c>
      <c r="L125">
        <v>0</v>
      </c>
    </row>
    <row r="126" spans="1:12" x14ac:dyDescent="0.25">
      <c r="A126" t="s">
        <v>513</v>
      </c>
      <c r="B126">
        <v>0</v>
      </c>
      <c r="C126">
        <v>0</v>
      </c>
      <c r="D126">
        <v>0</v>
      </c>
      <c r="E126">
        <v>0</v>
      </c>
      <c r="F126">
        <v>0</v>
      </c>
      <c r="G126">
        <v>0</v>
      </c>
      <c r="H126">
        <v>0</v>
      </c>
      <c r="I126">
        <v>0</v>
      </c>
      <c r="J126">
        <v>0</v>
      </c>
      <c r="K126">
        <v>0</v>
      </c>
      <c r="L126">
        <v>0</v>
      </c>
    </row>
    <row r="127" spans="1:12" x14ac:dyDescent="0.25">
      <c r="A127" t="s">
        <v>367</v>
      </c>
      <c r="B127">
        <v>0</v>
      </c>
      <c r="C127">
        <v>0</v>
      </c>
      <c r="D127">
        <v>0</v>
      </c>
      <c r="E127">
        <v>0</v>
      </c>
      <c r="F127">
        <v>0</v>
      </c>
      <c r="G127">
        <v>0</v>
      </c>
      <c r="H127">
        <v>0</v>
      </c>
      <c r="I127">
        <v>0</v>
      </c>
      <c r="J127">
        <v>0</v>
      </c>
      <c r="K127">
        <v>0</v>
      </c>
      <c r="L127">
        <v>0</v>
      </c>
    </row>
    <row r="128" spans="1:12" x14ac:dyDescent="0.25">
      <c r="A128" t="s">
        <v>169</v>
      </c>
      <c r="B128">
        <v>0</v>
      </c>
      <c r="C128">
        <v>0</v>
      </c>
      <c r="D128">
        <v>0</v>
      </c>
      <c r="E128">
        <v>0</v>
      </c>
      <c r="F128">
        <v>0</v>
      </c>
      <c r="G128">
        <v>0</v>
      </c>
      <c r="H128">
        <v>0</v>
      </c>
      <c r="I128">
        <v>0</v>
      </c>
      <c r="J128">
        <v>0</v>
      </c>
      <c r="K128">
        <v>0</v>
      </c>
      <c r="L128">
        <v>0</v>
      </c>
    </row>
    <row r="129" spans="1:12" x14ac:dyDescent="0.25">
      <c r="A129" t="s">
        <v>148</v>
      </c>
      <c r="B129">
        <v>0</v>
      </c>
      <c r="C129">
        <v>0</v>
      </c>
      <c r="D129">
        <v>0</v>
      </c>
      <c r="E129">
        <v>0</v>
      </c>
      <c r="F129">
        <v>0</v>
      </c>
      <c r="G129">
        <v>0</v>
      </c>
      <c r="H129">
        <v>0</v>
      </c>
      <c r="I129">
        <v>0</v>
      </c>
      <c r="J129">
        <v>0</v>
      </c>
      <c r="K129">
        <v>0</v>
      </c>
      <c r="L129">
        <v>0</v>
      </c>
    </row>
    <row r="130" spans="1:12" x14ac:dyDescent="0.25">
      <c r="A130" t="s">
        <v>147</v>
      </c>
      <c r="B130">
        <v>0</v>
      </c>
      <c r="C130">
        <v>0</v>
      </c>
      <c r="D130">
        <v>0</v>
      </c>
      <c r="E130">
        <v>0</v>
      </c>
      <c r="F130">
        <v>0</v>
      </c>
      <c r="G130">
        <v>0</v>
      </c>
      <c r="H130">
        <v>0</v>
      </c>
      <c r="I130">
        <v>0</v>
      </c>
      <c r="J130">
        <v>0</v>
      </c>
      <c r="K130">
        <v>0</v>
      </c>
      <c r="L130">
        <v>0</v>
      </c>
    </row>
    <row r="131" spans="1:12" x14ac:dyDescent="0.25">
      <c r="A131" t="s">
        <v>36</v>
      </c>
      <c r="B131">
        <v>0</v>
      </c>
      <c r="C131">
        <v>0</v>
      </c>
      <c r="D131">
        <v>0</v>
      </c>
      <c r="E131">
        <v>0</v>
      </c>
      <c r="F131">
        <v>0</v>
      </c>
      <c r="G131">
        <v>0</v>
      </c>
      <c r="H131">
        <v>0</v>
      </c>
      <c r="I131">
        <v>0</v>
      </c>
      <c r="J131">
        <v>0</v>
      </c>
      <c r="K131">
        <v>0</v>
      </c>
      <c r="L131">
        <v>0</v>
      </c>
    </row>
    <row r="132" spans="1:12" x14ac:dyDescent="0.25">
      <c r="A132" t="s">
        <v>362</v>
      </c>
      <c r="B132">
        <v>0</v>
      </c>
      <c r="C132">
        <v>0</v>
      </c>
      <c r="D132">
        <v>0</v>
      </c>
      <c r="E132">
        <v>0</v>
      </c>
      <c r="F132">
        <v>0</v>
      </c>
      <c r="G132">
        <v>0</v>
      </c>
      <c r="H132">
        <v>0</v>
      </c>
      <c r="I132">
        <v>0</v>
      </c>
      <c r="J132">
        <v>0</v>
      </c>
      <c r="K132">
        <v>0</v>
      </c>
      <c r="L132">
        <v>0</v>
      </c>
    </row>
    <row r="133" spans="1:12" x14ac:dyDescent="0.25">
      <c r="A133" t="s">
        <v>381</v>
      </c>
      <c r="B133">
        <v>0</v>
      </c>
      <c r="C133">
        <v>0</v>
      </c>
      <c r="D133">
        <v>0</v>
      </c>
      <c r="E133">
        <v>0</v>
      </c>
      <c r="F133">
        <v>0</v>
      </c>
      <c r="G133">
        <v>0</v>
      </c>
      <c r="H133">
        <v>0</v>
      </c>
      <c r="I133">
        <v>0</v>
      </c>
      <c r="J133">
        <v>0</v>
      </c>
      <c r="K133">
        <v>0</v>
      </c>
      <c r="L133">
        <v>0</v>
      </c>
    </row>
    <row r="135" spans="1:12" x14ac:dyDescent="0.25">
      <c r="A135" s="126" t="s">
        <v>382</v>
      </c>
      <c r="B135" s="126"/>
      <c r="C135" s="126"/>
      <c r="D135" s="126"/>
      <c r="E135" s="126"/>
      <c r="F135" s="126"/>
      <c r="G135" s="126"/>
      <c r="H135" s="126"/>
      <c r="I135" s="126"/>
      <c r="J135" s="126"/>
      <c r="K135" s="126"/>
      <c r="L135" s="126"/>
    </row>
    <row r="136" spans="1:12" x14ac:dyDescent="0.25">
      <c r="A136" t="s">
        <v>7</v>
      </c>
      <c r="B136">
        <v>0</v>
      </c>
      <c r="C136">
        <v>0</v>
      </c>
      <c r="D136">
        <v>0</v>
      </c>
      <c r="E136">
        <v>0</v>
      </c>
      <c r="F136">
        <v>0</v>
      </c>
      <c r="G136">
        <v>0</v>
      </c>
      <c r="H136">
        <v>0</v>
      </c>
      <c r="I136">
        <v>0</v>
      </c>
      <c r="J136">
        <v>0</v>
      </c>
      <c r="K136">
        <v>0</v>
      </c>
      <c r="L136">
        <v>0</v>
      </c>
    </row>
    <row r="137" spans="1:12" x14ac:dyDescent="0.25">
      <c r="A137" t="s">
        <v>8</v>
      </c>
      <c r="B137">
        <v>0</v>
      </c>
      <c r="C137">
        <v>0</v>
      </c>
      <c r="D137">
        <v>0</v>
      </c>
      <c r="E137">
        <v>0</v>
      </c>
      <c r="F137">
        <v>0</v>
      </c>
      <c r="G137">
        <v>0</v>
      </c>
      <c r="H137">
        <v>0</v>
      </c>
      <c r="I137">
        <v>0</v>
      </c>
      <c r="J137">
        <v>0</v>
      </c>
      <c r="K137">
        <v>0</v>
      </c>
      <c r="L137">
        <v>0</v>
      </c>
    </row>
    <row r="138" spans="1:12" x14ac:dyDescent="0.25">
      <c r="A138" t="s">
        <v>13</v>
      </c>
      <c r="B138">
        <v>0</v>
      </c>
      <c r="C138">
        <v>0</v>
      </c>
      <c r="D138">
        <v>0</v>
      </c>
      <c r="E138">
        <v>0</v>
      </c>
      <c r="F138">
        <v>0</v>
      </c>
      <c r="G138">
        <v>0</v>
      </c>
      <c r="H138">
        <v>0</v>
      </c>
      <c r="I138">
        <v>0</v>
      </c>
      <c r="J138">
        <v>0</v>
      </c>
      <c r="K138">
        <v>0</v>
      </c>
      <c r="L138">
        <v>0</v>
      </c>
    </row>
    <row r="139" spans="1:12" x14ac:dyDescent="0.25">
      <c r="A139" t="s">
        <v>9</v>
      </c>
      <c r="B139">
        <v>0</v>
      </c>
      <c r="C139">
        <v>0</v>
      </c>
      <c r="D139">
        <v>0</v>
      </c>
      <c r="E139">
        <v>0</v>
      </c>
      <c r="F139">
        <v>0</v>
      </c>
      <c r="G139">
        <v>0</v>
      </c>
      <c r="H139">
        <v>0</v>
      </c>
      <c r="I139">
        <v>0</v>
      </c>
      <c r="J139">
        <v>0</v>
      </c>
      <c r="K139">
        <v>0</v>
      </c>
      <c r="L139">
        <v>0</v>
      </c>
    </row>
    <row r="140" spans="1:12" x14ac:dyDescent="0.25">
      <c r="A140" t="s">
        <v>10</v>
      </c>
      <c r="B140">
        <v>0</v>
      </c>
      <c r="C140">
        <v>0</v>
      </c>
      <c r="D140">
        <v>0</v>
      </c>
      <c r="E140">
        <v>0</v>
      </c>
      <c r="F140">
        <v>0</v>
      </c>
      <c r="G140">
        <v>0</v>
      </c>
      <c r="H140">
        <v>0</v>
      </c>
      <c r="I140">
        <v>0</v>
      </c>
      <c r="J140">
        <v>0</v>
      </c>
      <c r="K140">
        <v>0</v>
      </c>
      <c r="L140">
        <v>0</v>
      </c>
    </row>
    <row r="141" spans="1:12" x14ac:dyDescent="0.25">
      <c r="A141" t="s">
        <v>11</v>
      </c>
      <c r="B141">
        <v>0</v>
      </c>
      <c r="C141">
        <v>0</v>
      </c>
      <c r="D141">
        <v>0</v>
      </c>
      <c r="E141">
        <v>0</v>
      </c>
      <c r="F141">
        <v>0</v>
      </c>
      <c r="G141">
        <v>0</v>
      </c>
      <c r="H141">
        <v>0</v>
      </c>
      <c r="I141">
        <v>0</v>
      </c>
      <c r="J141">
        <v>0</v>
      </c>
      <c r="K141">
        <v>0</v>
      </c>
      <c r="L141">
        <v>0</v>
      </c>
    </row>
    <row r="142" spans="1:12" x14ac:dyDescent="0.25">
      <c r="A142" t="s">
        <v>513</v>
      </c>
      <c r="B142">
        <v>0</v>
      </c>
      <c r="C142">
        <v>0</v>
      </c>
      <c r="D142">
        <v>0</v>
      </c>
      <c r="E142">
        <v>0</v>
      </c>
      <c r="F142">
        <v>0</v>
      </c>
      <c r="G142">
        <v>0</v>
      </c>
      <c r="H142">
        <v>0</v>
      </c>
      <c r="I142">
        <v>0</v>
      </c>
      <c r="J142">
        <v>0</v>
      </c>
      <c r="K142">
        <v>0</v>
      </c>
      <c r="L142">
        <v>0</v>
      </c>
    </row>
    <row r="143" spans="1:12" x14ac:dyDescent="0.25">
      <c r="A143" t="s">
        <v>367</v>
      </c>
      <c r="B143">
        <v>0</v>
      </c>
      <c r="C143">
        <v>0</v>
      </c>
      <c r="D143">
        <v>0</v>
      </c>
      <c r="E143">
        <v>0</v>
      </c>
      <c r="F143">
        <v>0</v>
      </c>
      <c r="G143">
        <v>0</v>
      </c>
      <c r="H143">
        <v>0</v>
      </c>
      <c r="I143">
        <v>0</v>
      </c>
      <c r="J143">
        <v>0</v>
      </c>
      <c r="K143">
        <v>0</v>
      </c>
      <c r="L143">
        <v>0</v>
      </c>
    </row>
    <row r="145" spans="1:12" x14ac:dyDescent="0.25">
      <c r="A145" s="126" t="s">
        <v>74</v>
      </c>
      <c r="B145" s="126"/>
      <c r="C145" s="126"/>
      <c r="D145" s="126"/>
      <c r="E145" s="126"/>
      <c r="F145" s="126"/>
      <c r="G145" s="126"/>
      <c r="H145" s="126"/>
      <c r="I145" s="126"/>
      <c r="J145" s="126"/>
      <c r="K145" s="126"/>
      <c r="L145" s="126"/>
    </row>
    <row r="146" spans="1:12" x14ac:dyDescent="0.25">
      <c r="A146" t="s">
        <v>383</v>
      </c>
      <c r="B146">
        <v>0</v>
      </c>
      <c r="C146">
        <v>0</v>
      </c>
      <c r="D146">
        <v>0</v>
      </c>
      <c r="E146">
        <v>0</v>
      </c>
      <c r="F146">
        <v>0</v>
      </c>
      <c r="G146">
        <v>0</v>
      </c>
      <c r="H146">
        <v>0</v>
      </c>
      <c r="I146">
        <v>0</v>
      </c>
      <c r="J146">
        <v>0</v>
      </c>
      <c r="K146">
        <v>0</v>
      </c>
      <c r="L146">
        <v>0</v>
      </c>
    </row>
    <row r="147" spans="1:12" x14ac:dyDescent="0.25">
      <c r="A147" t="s">
        <v>384</v>
      </c>
      <c r="B147">
        <v>0</v>
      </c>
      <c r="C147">
        <v>0</v>
      </c>
      <c r="D147">
        <v>0</v>
      </c>
      <c r="E147">
        <v>0</v>
      </c>
      <c r="F147">
        <v>0</v>
      </c>
      <c r="G147">
        <v>0</v>
      </c>
      <c r="H147">
        <v>0</v>
      </c>
      <c r="I147">
        <v>0</v>
      </c>
      <c r="J147">
        <v>0</v>
      </c>
      <c r="K147">
        <v>0</v>
      </c>
      <c r="L147">
        <v>0</v>
      </c>
    </row>
  </sheetData>
  <conditionalFormatting sqref="P1">
    <cfRule type="expression" dxfId="2"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M43"/>
  <sheetViews>
    <sheetView topLeftCell="A31" workbookViewId="0">
      <selection activeCell="A6" sqref="A6"/>
    </sheetView>
  </sheetViews>
  <sheetFormatPr defaultRowHeight="15" x14ac:dyDescent="0.25"/>
  <cols>
    <col min="1" max="1" width="50.7109375" bestFit="1" customWidth="1"/>
    <col min="2" max="2" width="10.28515625" customWidth="1"/>
    <col min="4" max="4" width="25.5703125" bestFit="1" customWidth="1"/>
  </cols>
  <sheetData>
    <row r="1" spans="1:13" ht="15.75" thickBot="1" x14ac:dyDescent="0.3">
      <c r="A1" s="9" t="s">
        <v>74</v>
      </c>
      <c r="B1" s="9"/>
      <c r="D1" s="100" t="s">
        <v>73</v>
      </c>
      <c r="E1" s="100">
        <f>Current_Round</f>
        <v>0</v>
      </c>
    </row>
    <row r="2" spans="1:13" ht="15" customHeight="1" x14ac:dyDescent="0.25">
      <c r="A2" t="s">
        <v>383</v>
      </c>
      <c r="B2" s="69">
        <v>0</v>
      </c>
      <c r="H2" s="181"/>
      <c r="I2" s="181"/>
      <c r="J2" s="181"/>
      <c r="K2" s="181"/>
      <c r="L2" s="181"/>
      <c r="M2" s="181"/>
    </row>
    <row r="3" spans="1:13" ht="14.45" customHeight="1" x14ac:dyDescent="0.25">
      <c r="A3" t="s">
        <v>384</v>
      </c>
      <c r="B3" s="182">
        <v>0</v>
      </c>
      <c r="H3" s="181"/>
      <c r="I3" s="181"/>
      <c r="J3" s="181"/>
      <c r="K3" s="181"/>
      <c r="L3" s="181"/>
      <c r="M3" s="181"/>
    </row>
    <row r="4" spans="1:13" ht="14.45" customHeight="1" x14ac:dyDescent="0.25">
      <c r="H4" s="181"/>
      <c r="I4" s="181"/>
      <c r="J4" s="181"/>
      <c r="K4" s="181"/>
      <c r="L4" s="181"/>
      <c r="M4" s="181"/>
    </row>
    <row r="5" spans="1:13" ht="14.45" customHeight="1" x14ac:dyDescent="0.25">
      <c r="A5" s="9" t="s">
        <v>378</v>
      </c>
      <c r="B5" s="9"/>
      <c r="H5" s="181"/>
      <c r="I5" s="181"/>
      <c r="J5" s="181"/>
      <c r="K5" s="181"/>
      <c r="L5" s="181"/>
      <c r="M5" s="181"/>
    </row>
    <row r="6" spans="1:13" ht="14.45" customHeight="1" x14ac:dyDescent="0.25">
      <c r="A6" s="126" t="s">
        <v>380</v>
      </c>
      <c r="B6" s="21"/>
      <c r="H6" s="181"/>
      <c r="I6" s="181"/>
      <c r="J6" s="181"/>
      <c r="K6" s="181"/>
      <c r="L6" s="181"/>
      <c r="M6" s="181"/>
    </row>
    <row r="7" spans="1:13" ht="14.45" customHeight="1" x14ac:dyDescent="0.25">
      <c r="A7" t="s">
        <v>7</v>
      </c>
      <c r="B7">
        <v>0</v>
      </c>
      <c r="H7" s="181"/>
      <c r="I7" s="181"/>
      <c r="J7" s="181"/>
      <c r="K7" s="181"/>
      <c r="L7" s="181"/>
      <c r="M7" s="181"/>
    </row>
    <row r="8" spans="1:13" x14ac:dyDescent="0.25">
      <c r="A8" t="s">
        <v>8</v>
      </c>
      <c r="B8">
        <v>0</v>
      </c>
      <c r="H8" s="181"/>
      <c r="I8" s="181"/>
      <c r="J8" s="181"/>
      <c r="K8" s="181"/>
      <c r="L8" s="181"/>
      <c r="M8" s="181"/>
    </row>
    <row r="9" spans="1:13" x14ac:dyDescent="0.25">
      <c r="A9" t="s">
        <v>13</v>
      </c>
      <c r="B9">
        <v>0</v>
      </c>
    </row>
    <row r="10" spans="1:13" x14ac:dyDescent="0.25">
      <c r="A10" t="s">
        <v>9</v>
      </c>
      <c r="B10">
        <v>0</v>
      </c>
    </row>
    <row r="11" spans="1:13" x14ac:dyDescent="0.25">
      <c r="A11" t="s">
        <v>10</v>
      </c>
      <c r="B11">
        <v>0</v>
      </c>
    </row>
    <row r="12" spans="1:13" x14ac:dyDescent="0.25">
      <c r="A12" t="s">
        <v>532</v>
      </c>
      <c r="B12">
        <v>0</v>
      </c>
    </row>
    <row r="13" spans="1:13" x14ac:dyDescent="0.25">
      <c r="A13" t="s">
        <v>367</v>
      </c>
      <c r="B13">
        <v>0</v>
      </c>
    </row>
    <row r="14" spans="1:13" x14ac:dyDescent="0.25">
      <c r="A14" t="s">
        <v>169</v>
      </c>
      <c r="B14">
        <v>0</v>
      </c>
    </row>
    <row r="15" spans="1:13" x14ac:dyDescent="0.25">
      <c r="A15" t="s">
        <v>148</v>
      </c>
      <c r="B15">
        <v>0</v>
      </c>
    </row>
    <row r="16" spans="1:13" x14ac:dyDescent="0.25">
      <c r="A16" t="s">
        <v>147</v>
      </c>
      <c r="B16">
        <v>0</v>
      </c>
    </row>
    <row r="17" spans="1:2" x14ac:dyDescent="0.25">
      <c r="A17" t="s">
        <v>36</v>
      </c>
      <c r="B17">
        <v>0</v>
      </c>
    </row>
    <row r="18" spans="1:2" x14ac:dyDescent="0.25">
      <c r="A18" t="s">
        <v>362</v>
      </c>
      <c r="B18">
        <v>0</v>
      </c>
    </row>
    <row r="19" spans="1:2" x14ac:dyDescent="0.25">
      <c r="A19" t="s">
        <v>381</v>
      </c>
      <c r="B19">
        <v>0</v>
      </c>
    </row>
    <row r="21" spans="1:2" x14ac:dyDescent="0.25">
      <c r="A21" s="126" t="s">
        <v>379</v>
      </c>
      <c r="B21" s="21"/>
    </row>
    <row r="22" spans="1:2" x14ac:dyDescent="0.25">
      <c r="A22" t="s">
        <v>7</v>
      </c>
      <c r="B22">
        <v>0</v>
      </c>
    </row>
    <row r="23" spans="1:2" x14ac:dyDescent="0.25">
      <c r="A23" t="s">
        <v>8</v>
      </c>
      <c r="B23">
        <v>0</v>
      </c>
    </row>
    <row r="24" spans="1:2" x14ac:dyDescent="0.25">
      <c r="A24" t="s">
        <v>13</v>
      </c>
      <c r="B24">
        <v>0</v>
      </c>
    </row>
    <row r="25" spans="1:2" x14ac:dyDescent="0.25">
      <c r="A25" t="s">
        <v>9</v>
      </c>
      <c r="B25">
        <v>0</v>
      </c>
    </row>
    <row r="26" spans="1:2" x14ac:dyDescent="0.25">
      <c r="A26" t="s">
        <v>10</v>
      </c>
      <c r="B26">
        <v>0</v>
      </c>
    </row>
    <row r="27" spans="1:2" x14ac:dyDescent="0.25">
      <c r="A27" t="s">
        <v>532</v>
      </c>
      <c r="B27">
        <v>0</v>
      </c>
    </row>
    <row r="28" spans="1:2" x14ac:dyDescent="0.25">
      <c r="A28" t="s">
        <v>367</v>
      </c>
      <c r="B28">
        <v>0</v>
      </c>
    </row>
    <row r="29" spans="1:2" x14ac:dyDescent="0.25">
      <c r="A29" t="s">
        <v>169</v>
      </c>
      <c r="B29">
        <v>0</v>
      </c>
    </row>
    <row r="30" spans="1:2" x14ac:dyDescent="0.25">
      <c r="A30" t="s">
        <v>148</v>
      </c>
      <c r="B30">
        <v>0</v>
      </c>
    </row>
    <row r="31" spans="1:2" x14ac:dyDescent="0.25">
      <c r="A31" t="s">
        <v>147</v>
      </c>
      <c r="B31">
        <v>0</v>
      </c>
    </row>
    <row r="32" spans="1:2" x14ac:dyDescent="0.25">
      <c r="A32" t="s">
        <v>36</v>
      </c>
      <c r="B32">
        <v>0</v>
      </c>
    </row>
    <row r="33" spans="1:2" x14ac:dyDescent="0.25">
      <c r="A33" t="s">
        <v>362</v>
      </c>
      <c r="B33">
        <v>0</v>
      </c>
    </row>
    <row r="34" spans="1:2" x14ac:dyDescent="0.25">
      <c r="A34" t="s">
        <v>381</v>
      </c>
      <c r="B34">
        <v>0</v>
      </c>
    </row>
    <row r="36" spans="1:2" x14ac:dyDescent="0.25">
      <c r="A36" s="126" t="s">
        <v>382</v>
      </c>
      <c r="B36" s="126"/>
    </row>
    <row r="37" spans="1:2" x14ac:dyDescent="0.25">
      <c r="A37" t="s">
        <v>7</v>
      </c>
      <c r="B37">
        <v>0</v>
      </c>
    </row>
    <row r="38" spans="1:2" x14ac:dyDescent="0.25">
      <c r="A38" t="s">
        <v>8</v>
      </c>
      <c r="B38">
        <v>0</v>
      </c>
    </row>
    <row r="39" spans="1:2" x14ac:dyDescent="0.25">
      <c r="A39" t="s">
        <v>13</v>
      </c>
      <c r="B39">
        <v>0</v>
      </c>
    </row>
    <row r="40" spans="1:2" x14ac:dyDescent="0.25">
      <c r="A40" t="s">
        <v>9</v>
      </c>
      <c r="B40">
        <v>0</v>
      </c>
    </row>
    <row r="41" spans="1:2" x14ac:dyDescent="0.25">
      <c r="A41" t="s">
        <v>10</v>
      </c>
      <c r="B41">
        <v>0</v>
      </c>
    </row>
    <row r="42" spans="1:2" x14ac:dyDescent="0.25">
      <c r="A42" t="s">
        <v>532</v>
      </c>
      <c r="B42">
        <v>0</v>
      </c>
    </row>
    <row r="43" spans="1:2" x14ac:dyDescent="0.25">
      <c r="A43" t="s">
        <v>367</v>
      </c>
      <c r="B43">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0" tint="-0.249977111117893"/>
  </sheetPr>
  <dimension ref="A1:AE199"/>
  <sheetViews>
    <sheetView topLeftCell="K1" zoomScale="85" zoomScaleNormal="85" workbookViewId="0">
      <selection activeCell="X3" sqref="X3:X42"/>
    </sheetView>
  </sheetViews>
  <sheetFormatPr defaultRowHeight="15" x14ac:dyDescent="0.25"/>
  <cols>
    <col min="1" max="1" width="57.5703125" bestFit="1" customWidth="1"/>
    <col min="2" max="2" width="25.42578125" customWidth="1"/>
    <col min="3" max="3" width="17.5703125" customWidth="1"/>
    <col min="4" max="4" width="30" customWidth="1"/>
    <col min="5" max="5" width="14" bestFit="1" customWidth="1"/>
    <col min="6" max="6" width="13.42578125" bestFit="1" customWidth="1"/>
    <col min="7" max="7" width="20.28515625" bestFit="1" customWidth="1"/>
    <col min="8" max="8" width="50.42578125" bestFit="1" customWidth="1"/>
    <col min="9" max="9" width="12.7109375" customWidth="1"/>
    <col min="10" max="10" width="23.85546875" bestFit="1" customWidth="1"/>
    <col min="12" max="12" width="50.85546875" customWidth="1"/>
    <col min="14" max="14" width="13.5703125" customWidth="1"/>
    <col min="15" max="15" width="20.42578125" bestFit="1" customWidth="1"/>
    <col min="16" max="16" width="16.85546875" bestFit="1" customWidth="1"/>
    <col min="17" max="17" width="14.42578125" bestFit="1" customWidth="1"/>
    <col min="18" max="18" width="14.85546875" bestFit="1" customWidth="1"/>
    <col min="19" max="19" width="15.28515625" bestFit="1" customWidth="1"/>
    <col min="20" max="20" width="18.140625" bestFit="1" customWidth="1"/>
    <col min="21" max="21" width="23.140625" bestFit="1" customWidth="1"/>
    <col min="22" max="22" width="26.28515625" bestFit="1" customWidth="1"/>
    <col min="28" max="28" width="48.42578125" bestFit="1" customWidth="1"/>
    <col min="29" max="29" width="21.140625" customWidth="1"/>
    <col min="31" max="31" width="21.5703125" bestFit="1" customWidth="1"/>
  </cols>
  <sheetData>
    <row r="1" spans="1:31" x14ac:dyDescent="0.25">
      <c r="A1" s="138" t="s">
        <v>34</v>
      </c>
      <c r="B1" s="136" t="s">
        <v>0</v>
      </c>
      <c r="C1" s="136" t="s">
        <v>33</v>
      </c>
      <c r="D1" s="136" t="s">
        <v>508</v>
      </c>
      <c r="E1" s="138" t="s">
        <v>73</v>
      </c>
      <c r="F1" s="136" t="s">
        <v>256</v>
      </c>
      <c r="G1" s="138" t="s">
        <v>434</v>
      </c>
      <c r="H1" s="240" t="s">
        <v>431</v>
      </c>
      <c r="I1" s="240"/>
      <c r="J1" s="238" t="s">
        <v>444</v>
      </c>
      <c r="K1" s="239"/>
      <c r="L1" s="239" t="s">
        <v>484</v>
      </c>
      <c r="M1" s="241"/>
      <c r="N1" s="158" t="s">
        <v>475</v>
      </c>
      <c r="O1" s="158" t="s">
        <v>476</v>
      </c>
      <c r="P1" s="158" t="s">
        <v>477</v>
      </c>
      <c r="Q1" s="158" t="s">
        <v>479</v>
      </c>
      <c r="R1" s="158" t="s">
        <v>478</v>
      </c>
      <c r="S1" s="158" t="s">
        <v>480</v>
      </c>
      <c r="T1" s="158" t="s">
        <v>514</v>
      </c>
      <c r="U1" s="158" t="s">
        <v>482</v>
      </c>
      <c r="V1" s="158" t="s">
        <v>487</v>
      </c>
      <c r="W1" s="163" t="s">
        <v>169</v>
      </c>
      <c r="X1" s="136" t="s">
        <v>148</v>
      </c>
      <c r="Y1" s="136" t="s">
        <v>147</v>
      </c>
      <c r="Z1" s="136" t="s">
        <v>36</v>
      </c>
      <c r="AA1" s="136" t="s">
        <v>352</v>
      </c>
      <c r="AB1" s="162" t="s">
        <v>361</v>
      </c>
      <c r="AC1" s="238" t="s">
        <v>517</v>
      </c>
      <c r="AD1" s="239"/>
      <c r="AE1" s="158" t="s">
        <v>528</v>
      </c>
    </row>
    <row r="2" spans="1:31" x14ac:dyDescent="0.25">
      <c r="A2" s="139" t="s">
        <v>264</v>
      </c>
      <c r="B2" s="137" t="s">
        <v>267</v>
      </c>
      <c r="C2" s="137" t="s">
        <v>267</v>
      </c>
      <c r="D2" s="137" t="s">
        <v>512</v>
      </c>
      <c r="E2" s="145">
        <f>'Event Tracker'!P1</f>
        <v>0</v>
      </c>
      <c r="F2" s="137" t="s">
        <v>257</v>
      </c>
      <c r="G2" s="139" t="s">
        <v>385</v>
      </c>
      <c r="H2" s="137" t="s">
        <v>432</v>
      </c>
      <c r="I2" s="137" t="s">
        <v>433</v>
      </c>
      <c r="J2" s="142" t="s">
        <v>33</v>
      </c>
      <c r="K2" s="157" t="s">
        <v>385</v>
      </c>
      <c r="L2" s="239" t="s">
        <v>485</v>
      </c>
      <c r="M2" s="241"/>
      <c r="N2" s="160">
        <v>0</v>
      </c>
      <c r="O2" s="160">
        <v>0</v>
      </c>
      <c r="P2" s="160">
        <v>0</v>
      </c>
      <c r="Q2" s="160">
        <v>0</v>
      </c>
      <c r="R2" s="160">
        <v>0</v>
      </c>
      <c r="S2" s="160">
        <v>0</v>
      </c>
      <c r="T2" s="160">
        <v>0</v>
      </c>
      <c r="U2" s="160">
        <v>0</v>
      </c>
      <c r="V2" s="137" t="str">
        <f>IF(OR('Event Tracker'!B20=1,'Event Tracker'!B21=1),"Build New Capacity","Contract for Generation")</f>
        <v>Contract for Generation</v>
      </c>
      <c r="W2" s="164">
        <v>0</v>
      </c>
      <c r="X2" s="164">
        <v>0</v>
      </c>
      <c r="Y2" s="164">
        <v>0</v>
      </c>
      <c r="Z2" s="164">
        <v>0</v>
      </c>
      <c r="AA2" s="164">
        <v>0</v>
      </c>
      <c r="AB2" s="164">
        <v>0</v>
      </c>
      <c r="AC2" s="137" t="s">
        <v>516</v>
      </c>
      <c r="AD2" s="139" t="e">
        <f>IF(INDEX(Reliability!$C$54:$L$54,1,Current_Round)&lt;INDEX('Resource Mix and Demand'!$C$25:$L$25,1,Current_Round),1,0)</f>
        <v>#VALUE!</v>
      </c>
      <c r="AE2" s="177">
        <f ca="1">YEAR(TODAY())</f>
        <v>2021</v>
      </c>
    </row>
    <row r="3" spans="1:31" x14ac:dyDescent="0.25">
      <c r="A3" s="139" t="s">
        <v>390</v>
      </c>
      <c r="B3" s="137" t="s">
        <v>2</v>
      </c>
      <c r="C3" s="137" t="s">
        <v>6</v>
      </c>
      <c r="D3" s="137" t="s">
        <v>509</v>
      </c>
      <c r="F3" s="137" t="s">
        <v>37</v>
      </c>
      <c r="G3" s="139" t="s">
        <v>386</v>
      </c>
      <c r="H3" s="137" t="s">
        <v>16</v>
      </c>
      <c r="I3" s="156">
        <f>INDEX('Resource Mix and Demand'!$B$22:$L$33,MATCH(H3,'Resource Mix and Demand'!$A$22:$A$33,0),Current_Round)*IF(OR(BusinessModel=$A$3,BusinessModel=$A$4),1,8760/1000*INDEX('Game Assumptions'!$G$55:$G$62,MATCH(H3,'Game Assumptions'!$F$55:$F$62,0),1))*4</f>
        <v>37843.200000000004</v>
      </c>
      <c r="J3" s="142" t="s">
        <v>445</v>
      </c>
      <c r="K3" s="157" t="s">
        <v>385</v>
      </c>
      <c r="L3" s="142" t="s">
        <v>16</v>
      </c>
      <c r="M3" s="159">
        <v>500</v>
      </c>
      <c r="N3" s="161">
        <f>IF(OR('Event Tracker'!$B$20=1,'Event Tracker'!$B$21=1,),IF(OR(N2&gt;=MaxCoal,N2=""),"",IF(AND(N2&lt;MaxCoal,N2+$M$3&lt;MaxCoal),N2+$M$3,MaxCoal)),IF(OR(N2&gt;=MaxCoal,N2=""),"",IF(AND(N2&lt;MaxCoal,N2+$M$12&lt;MaxCoal),N2+$M$12,MaxCoal)))</f>
        <v>5000</v>
      </c>
      <c r="O3" s="161">
        <f>IF(OR('Event Tracker'!$B$20=1,'Event Tracker'!$B$21=1,),IF(OR(O2&gt;=MaxNatGas,O2=""),"",IF(AND(O2&lt;MaxNatGas,O2+$M$4&lt;MaxNatGas),O2+$M$4,MaxNatGas)),IF(OR(O2&gt;=MaxNatGas,O2=""),"",IF(AND(O2&lt;MaxNatGas,O2+$M$13&lt;MaxNatGas),O2+$M$13,MaxNatGas)))</f>
        <v>5000</v>
      </c>
      <c r="P3" s="161">
        <f>IF(OR('Event Tracker'!$B$20=1,'Event Tracker'!$B$21=1,),IF(OR(P2&gt;=MaxNuclear,P2=""),"",IF(AND(P2&lt;MaxNuclear,P2+$M$5&lt;MaxNuclear),P2+$M$5,MaxNuclear)),IF(OR(P2&gt;=MaxNuclear,P2=""),"",IF(AND(P2&lt;MaxNuclear,P2+$M$14&lt;MaxNuclear),P2+$M$14,MaxNuclear)))</f>
        <v>5000</v>
      </c>
      <c r="Q3" s="161">
        <f>IF(OR('Event Tracker'!$B$20=1,'Event Tracker'!$B$21=1,),IF(OR(Q2&gt;=MaxSolar,Q2=""),"",IF(AND(Q2&lt;MaxSolar,Q2+$M$6&lt;MaxSolar),Q2+$M$6,MaxSolar)),IF(OR(Q2&gt;=MaxSolar,Q2=""),"",IF(AND(Q2&lt;MaxSolar,Q2+$M$15&lt;MaxSolar),Q2+$M$15,MaxSolar)))</f>
        <v>300</v>
      </c>
      <c r="R3" s="161">
        <f>IF(OR('Event Tracker'!$B$20=1,'Event Tracker'!$B$21=1,),IF(OR(R2&gt;=MaxWind,R2=""),"",IF(AND(R2&lt;MaxWind,R2+$M$7&lt;MaxWind),R2+$M$7,MaxWind)),IF(OR(R2&gt;=MaxWind,R2=""),"",IF(AND(R2&lt;MaxWind,R2+$M$16&lt;MaxWind),R2+$M$16,MaxWind)))</f>
        <v>300</v>
      </c>
      <c r="S3" s="161">
        <f>IF(OR('Event Tracker'!$B$20=1,'Event Tracker'!$B$21=1,),IF(OR(S2&gt;=MaxHydro,S2=""),"",IF(AND(S2&lt;MaxHydro,S2+$M$8&lt;MaxHydro),S2+$M$8,MaxHydro)),IF(OR(S2&gt;=MaxHydro,S2=""),"",IF(AND(S2&lt;MaxHydro,S2+$M$17&lt;MaxHydro),S2+$M$17,MaxHydro)))</f>
        <v>300</v>
      </c>
      <c r="T3" s="161">
        <f>IF(OR('Event Tracker'!$B$20=1,'Event Tracker'!$B$21=1,),IF(OR(T2&gt;=MaxEE,T2=""),"",IF(AND(T2&lt;MaxEE,T2+$M$9&lt;MaxEE),T2+$M$9,MaxEE)),IF(OR(T2&gt;=MaxEE,T2=""),"",IF(AND(T2&lt;MaxEE,T2+$M$18&lt;MaxEE),T2+$M$18,MaxEE)))</f>
        <v>300</v>
      </c>
      <c r="U3" s="161">
        <f>IF(OR('Event Tracker'!$B$20=1,'Event Tracker'!$B$21=1,),IF(OR(U2&gt;=MaxSolarDistributed,U2=""),"",IF(AND(U2&lt;MaxSolarDistributed,U2+$M$10&lt;MaxSolarDistributed),U2+$M$10,MaxSolarDistributed)),IF(OR(U2&gt;=MaxSolarDistributed,U2=""),"",IF(AND(U2&lt;MaxSolarDistributed,U2+$M$19&lt;MaxSolarDistributed),U2+$M$19,MaxSolarDistributed)))</f>
        <v>50</v>
      </c>
      <c r="W3" s="165">
        <f t="shared" ref="W3:W42" si="0">IF(OR(W2&gt;=MaxCT,W2=""),"",IF(AND(W2&lt;MaxCT,W2+$M$21&lt;MaxCT),W2+$M$21,MaxCT))</f>
        <v>50</v>
      </c>
      <c r="X3" s="165">
        <f t="shared" ref="X3:X42" si="1">IF(OR(X2&gt;=MaxBatteries,X2=""),"",IF(AND(X2&lt;MaxBatteries,X2+$M$22&lt;MaxBatteries),X2+$M$22,MaxBatteries))</f>
        <v>20</v>
      </c>
      <c r="Y3" s="165">
        <f t="shared" ref="Y3:Y42" si="2">IF(OR(Y2&gt;=MaxPumpedHydro,Y2=""),"",IF(AND(Y2&lt;MaxPumpedHydro,Y2+$M$23&lt;MaxPumpedHydro),Y2+$M$23,MaxPumpedHydro))</f>
        <v>50</v>
      </c>
      <c r="Z3" s="165">
        <f t="shared" ref="Z3:Z42" si="3">IF(OR(Z2&gt;=MaxDR,Z2=""),"",IF(AND(Z2&lt;MaxDR,Z2+$M$24&lt;MaxDR),Z2+$M$24,MaxDR))</f>
        <v>50</v>
      </c>
      <c r="AA3" s="165">
        <f t="shared" ref="AA3:AA42" si="4">IF(OR(AA2&gt;=MaxTransmission,AA2=""),"",IF(AND(AA2&lt;MaxTransmission,AA2+$M$25&lt;MaxTransmission),AA2+$M$25,MaxTransmission))</f>
        <v>500</v>
      </c>
      <c r="AB3" s="165">
        <f t="shared" ref="AB3:AB42" si="5">IF(OR(AB2&gt;=MaxDistribution,AB2=""),"",IF(AND(AB2&lt;MaxDistribution,AB2+$M$26&lt;MaxDistribution),AB2+$M$26,MaxDistribution))</f>
        <v>500</v>
      </c>
      <c r="AC3" s="137" t="s">
        <v>365</v>
      </c>
      <c r="AD3" s="139" t="e">
        <f>IF(INDEX(Reliability!$C$54:$L$54,1,Current_Round)&lt;INDEX('Resource Mix and Demand'!$C$26:$L$26,1,Current_Round),1,0)</f>
        <v>#VALUE!</v>
      </c>
      <c r="AE3" s="178">
        <f ca="1">AE2+2</f>
        <v>2023</v>
      </c>
    </row>
    <row r="4" spans="1:31" x14ac:dyDescent="0.25">
      <c r="A4" s="139" t="s">
        <v>474</v>
      </c>
      <c r="B4" s="137" t="s">
        <v>238</v>
      </c>
      <c r="C4" s="137" t="s">
        <v>5</v>
      </c>
      <c r="D4" s="137" t="str">
        <f>IF(E2&gt;=5,D3,D2)</f>
        <v>Advance to Next Planning Cycle</v>
      </c>
      <c r="F4" s="137" t="s">
        <v>69</v>
      </c>
      <c r="H4" s="137" t="s">
        <v>17</v>
      </c>
      <c r="I4" s="156">
        <f>INDEX('Resource Mix and Demand'!$B$22:$L$33,MATCH(H4,'Resource Mix and Demand'!$A$22:$A$33,0),Current_Round)*IF(OR(BusinessModel=$A$3,BusinessModel=$A$4),1,8760/1000*INDEX('Game Assumptions'!$G$55:$G$62,MATCH(H4,'Game Assumptions'!$F$55:$F$62,0),1))*4</f>
        <v>179948.04566337631</v>
      </c>
      <c r="L4" s="137" t="s">
        <v>17</v>
      </c>
      <c r="M4" s="137">
        <v>500</v>
      </c>
      <c r="N4" s="161">
        <f>IF(OR('Event Tracker'!$B$20=1,'Event Tracker'!$B$21=1,),IF(OR(N3&gt;=MaxCoal,N3=""),"",IF(AND(N3&lt;MaxCoal,N3+$M$3&lt;MaxCoal),N3+$M$3,MaxCoal)),IF(OR(N3&gt;=MaxCoal,N3=""),"",IF(AND(N3&lt;MaxCoal,N3+$M$12&lt;MaxCoal),N3+$M$12,MaxCoal)))</f>
        <v>10000</v>
      </c>
      <c r="O4" s="161">
        <f>IF(OR('Event Tracker'!$B$20=1,'Event Tracker'!$B$21=1,),IF(OR(O3&gt;=MaxNatGas,O3=""),"",IF(AND(O3&lt;MaxNatGas,O3+$M$4&lt;MaxNatGas),O3+$M$4,MaxNatGas)),IF(OR(O3&gt;=MaxNatGas,O3=""),"",IF(AND(O3&lt;MaxNatGas,O3+$M$13&lt;MaxNatGas),O3+$M$13,MaxNatGas)))</f>
        <v>10000</v>
      </c>
      <c r="P4" s="161">
        <f>IF(OR('Event Tracker'!$B$20=1,'Event Tracker'!$B$21=1,),IF(OR(P3&gt;=MaxNuclear,P3=""),"",IF(AND(P3&lt;MaxNuclear,P3+$M$5&lt;MaxNuclear),P3+$M$5,MaxNuclear)),IF(OR(P3&gt;=MaxNuclear,P3=""),"",IF(AND(P3&lt;MaxNuclear,P3+$M$14&lt;MaxNuclear),P3+$M$14,MaxNuclear)))</f>
        <v>10000</v>
      </c>
      <c r="Q4" s="161">
        <f>IF(OR('Event Tracker'!$B$20=1,'Event Tracker'!$B$21=1,),IF(OR(Q3&gt;=MaxSolar,Q3=""),"",IF(AND(Q3&lt;MaxSolar,Q3+$M$6&lt;MaxSolar),Q3+$M$6,MaxSolar)),IF(OR(Q3&gt;=MaxSolar,Q3=""),"",IF(AND(Q3&lt;MaxSolar,Q3+$M$15&lt;MaxSolar),Q3+$M$15,MaxSolar)))</f>
        <v>600</v>
      </c>
      <c r="R4" s="161">
        <f>IF(OR('Event Tracker'!$B$20=1,'Event Tracker'!$B$21=1,),IF(OR(R3&gt;=MaxWind,R3=""),"",IF(AND(R3&lt;MaxWind,R3+$M$7&lt;MaxWind),R3+$M$7,MaxWind)),IF(OR(R3&gt;=MaxWind,R3=""),"",IF(AND(R3&lt;MaxWind,R3+$M$16&lt;MaxWind),R3+$M$16,MaxWind)))</f>
        <v>600</v>
      </c>
      <c r="S4" s="161">
        <f>IF(OR('Event Tracker'!$B$20=1,'Event Tracker'!$B$21=1,),IF(OR(S3&gt;=MaxHydro,S3=""),"",IF(AND(S3&lt;MaxHydro,S3+$M$8&lt;MaxHydro),S3+$M$8,MaxHydro)),IF(OR(S3&gt;=MaxHydro,S3=""),"",IF(AND(S3&lt;MaxHydro,S3+$M$17&lt;MaxHydro),S3+$M$17,MaxHydro)))</f>
        <v>600</v>
      </c>
      <c r="T4" s="161">
        <f>IF(OR('Event Tracker'!$B$20=1,'Event Tracker'!$B$21=1,),IF(OR(T3&gt;=MaxEE,T3=""),"",IF(AND(T3&lt;MaxEE,T3+$M$9&lt;MaxEE),T3+$M$9,MaxEE)),IF(OR(T3&gt;=MaxEE,T3=""),"",IF(AND(T3&lt;MaxEE,T3+$M$18&lt;MaxEE),T3+$M$18,MaxEE)))</f>
        <v>600</v>
      </c>
      <c r="U4" s="161">
        <f>IF(OR('Event Tracker'!$B$20=1,'Event Tracker'!$B$21=1,),IF(OR(U3&gt;=MaxSolarDistributed,U3=""),"",IF(AND(U3&lt;MaxSolarDistributed,U3+$M$10&lt;MaxSolarDistributed),U3+$M$10,MaxSolarDistributed)),IF(OR(U3&gt;=MaxSolarDistributed,U3=""),"",IF(AND(U3&lt;MaxSolarDistributed,U3+$M$19&lt;MaxSolarDistributed),U3+$M$19,MaxSolarDistributed)))</f>
        <v>100</v>
      </c>
      <c r="W4" s="165">
        <f t="shared" si="0"/>
        <v>100</v>
      </c>
      <c r="X4" s="165">
        <f t="shared" si="1"/>
        <v>40</v>
      </c>
      <c r="Y4" s="165">
        <f t="shared" si="2"/>
        <v>100</v>
      </c>
      <c r="Z4" s="165">
        <f t="shared" si="3"/>
        <v>100</v>
      </c>
      <c r="AA4" s="165">
        <f t="shared" si="4"/>
        <v>1000</v>
      </c>
      <c r="AB4" s="165">
        <f t="shared" si="5"/>
        <v>1000</v>
      </c>
      <c r="AC4" s="137" t="s">
        <v>367</v>
      </c>
      <c r="AD4" s="139" t="e">
        <f>IF(INDEX(Reliability!$C$55:$L$55,1,Current_Round)&lt;INDEX('Resource Mix and Demand'!$C$27:$L$27,1,Current_Round),1,0)</f>
        <v>#VALUE!</v>
      </c>
      <c r="AE4" s="178">
        <f t="shared" ref="AE4:AE6" ca="1" si="6">AE3+2</f>
        <v>2025</v>
      </c>
    </row>
    <row r="5" spans="1:31" x14ac:dyDescent="0.25">
      <c r="A5" s="139" t="s">
        <v>391</v>
      </c>
      <c r="B5" s="137" t="s">
        <v>239</v>
      </c>
      <c r="C5" s="137" t="s">
        <v>4</v>
      </c>
      <c r="F5" s="137" t="s">
        <v>70</v>
      </c>
      <c r="H5" s="137" t="s">
        <v>18</v>
      </c>
      <c r="I5" s="156">
        <f>INDEX('Resource Mix and Demand'!$B$22:$L$33,MATCH(H5,'Resource Mix and Demand'!$A$22:$A$33,0),Current_Round)*IF(OR(BusinessModel=$A$3,BusinessModel=$A$4),1,8760/1000*INDEX('Game Assumptions'!$G$55:$G$62,MATCH(H5,'Game Assumptions'!$F$55:$F$62,0),1))*4</f>
        <v>32727.360000000004</v>
      </c>
      <c r="L5" s="137" t="s">
        <v>18</v>
      </c>
      <c r="M5" s="137">
        <v>500</v>
      </c>
      <c r="N5" s="161">
        <f>IF(OR('Event Tracker'!$B$20=1,'Event Tracker'!$B$21=1,),IF(OR(N4&gt;=MaxCoal,N4=""),"",IF(AND(N4&lt;MaxCoal,N4+$M$3&lt;MaxCoal),N4+$M$3,MaxCoal)),IF(OR(N4&gt;=MaxCoal,N4=""),"",IF(AND(N4&lt;MaxCoal,N4+$M$12&lt;MaxCoal),N4+$M$12,MaxCoal)))</f>
        <v>15000</v>
      </c>
      <c r="O5" s="161">
        <f>IF(OR('Event Tracker'!$B$20=1,'Event Tracker'!$B$21=1,),IF(OR(O4&gt;=MaxNatGas,O4=""),"",IF(AND(O4&lt;MaxNatGas,O4+$M$4&lt;MaxNatGas),O4+$M$4,MaxNatGas)),IF(OR(O4&gt;=MaxNatGas,O4=""),"",IF(AND(O4&lt;MaxNatGas,O4+$M$13&lt;MaxNatGas),O4+$M$13,MaxNatGas)))</f>
        <v>15000</v>
      </c>
      <c r="P5" s="161">
        <f>IF(OR('Event Tracker'!$B$20=1,'Event Tracker'!$B$21=1,),IF(OR(P4&gt;=MaxNuclear,P4=""),"",IF(AND(P4&lt;MaxNuclear,P4+$M$5&lt;MaxNuclear),P4+$M$5,MaxNuclear)),IF(OR(P4&gt;=MaxNuclear,P4=""),"",IF(AND(P4&lt;MaxNuclear,P4+$M$14&lt;MaxNuclear),P4+$M$14,MaxNuclear)))</f>
        <v>15000</v>
      </c>
      <c r="Q5" s="161">
        <f>IF(OR('Event Tracker'!$B$20=1,'Event Tracker'!$B$21=1,),IF(OR(Q4&gt;=MaxSolar,Q4=""),"",IF(AND(Q4&lt;MaxSolar,Q4+$M$6&lt;MaxSolar),Q4+$M$6,MaxSolar)),IF(OR(Q4&gt;=MaxSolar,Q4=""),"",IF(AND(Q4&lt;MaxSolar,Q4+$M$15&lt;MaxSolar),Q4+$M$15,MaxSolar)))</f>
        <v>900</v>
      </c>
      <c r="R5" s="161">
        <f>IF(OR('Event Tracker'!$B$20=1,'Event Tracker'!$B$21=1,),IF(OR(R4&gt;=MaxWind,R4=""),"",IF(AND(R4&lt;MaxWind,R4+$M$7&lt;MaxWind),R4+$M$7,MaxWind)),IF(OR(R4&gt;=MaxWind,R4=""),"",IF(AND(R4&lt;MaxWind,R4+$M$16&lt;MaxWind),R4+$M$16,MaxWind)))</f>
        <v>900</v>
      </c>
      <c r="S5" s="161">
        <f>IF(OR('Event Tracker'!$B$20=1,'Event Tracker'!$B$21=1,),IF(OR(S4&gt;=MaxHydro,S4=""),"",IF(AND(S4&lt;MaxHydro,S4+$M$8&lt;MaxHydro),S4+$M$8,MaxHydro)),IF(OR(S4&gt;=MaxHydro,S4=""),"",IF(AND(S4&lt;MaxHydro,S4+$M$17&lt;MaxHydro),S4+$M$17,MaxHydro)))</f>
        <v>900</v>
      </c>
      <c r="T5" s="161">
        <f>IF(OR('Event Tracker'!$B$20=1,'Event Tracker'!$B$21=1,),IF(OR(T4&gt;=MaxEE,T4=""),"",IF(AND(T4&lt;MaxEE,T4+$M$9&lt;MaxEE),T4+$M$9,MaxEE)),IF(OR(T4&gt;=MaxEE,T4=""),"",IF(AND(T4&lt;MaxEE,T4+$M$18&lt;MaxEE),T4+$M$18,MaxEE)))</f>
        <v>900</v>
      </c>
      <c r="U5" s="161">
        <f>IF(OR('Event Tracker'!$B$20=1,'Event Tracker'!$B$21=1,),IF(OR(U4&gt;=MaxSolarDistributed,U4=""),"",IF(AND(U4&lt;MaxSolarDistributed,U4+$M$10&lt;MaxSolarDistributed),U4+$M$10,MaxSolarDistributed)),IF(OR(U4&gt;=MaxSolarDistributed,U4=""),"",IF(AND(U4&lt;MaxSolarDistributed,U4+$M$19&lt;MaxSolarDistributed),U4+$M$19,MaxSolarDistributed)))</f>
        <v>150</v>
      </c>
      <c r="W5" s="165">
        <f t="shared" si="0"/>
        <v>150</v>
      </c>
      <c r="X5" s="165" t="str">
        <f t="shared" si="1"/>
        <v/>
      </c>
      <c r="Y5" s="165">
        <f t="shared" si="2"/>
        <v>150</v>
      </c>
      <c r="Z5" s="165">
        <f t="shared" si="3"/>
        <v>150</v>
      </c>
      <c r="AA5" s="165">
        <f t="shared" si="4"/>
        <v>1500</v>
      </c>
      <c r="AB5" s="165">
        <f t="shared" si="5"/>
        <v>1500</v>
      </c>
      <c r="AC5" s="137" t="s">
        <v>513</v>
      </c>
      <c r="AD5" s="139" t="e">
        <f>IF(INDEX('Resource Mix and Demand'!$C$57:$L$57,1,Current_Round)&lt;INDEX('Resource Mix and Demand'!$C$42:$L$42,1,Current_Round),1,0)</f>
        <v>#VALUE!</v>
      </c>
      <c r="AE5" s="178">
        <f t="shared" ca="1" si="6"/>
        <v>2027</v>
      </c>
    </row>
    <row r="6" spans="1:31" x14ac:dyDescent="0.25">
      <c r="A6" s="137" t="s">
        <v>389</v>
      </c>
      <c r="B6" s="137" t="s">
        <v>3</v>
      </c>
      <c r="C6" s="137" t="s">
        <v>337</v>
      </c>
      <c r="F6" s="137" t="s">
        <v>71</v>
      </c>
      <c r="H6" s="137" t="s">
        <v>364</v>
      </c>
      <c r="I6" s="156">
        <f>INDEX('Resource Mix and Demand'!$B$22:$L$33,MATCH(H6,'Resource Mix and Demand'!$A$22:$A$33,0),Current_Round)*IF(OR(BusinessModel=$A$3,BusinessModel=$A$4),1,8760/1000*INDEX('Game Assumptions'!$G$55:$G$62,MATCH(H6,'Game Assumptions'!$F$55:$F$62,0),1))*4</f>
        <v>7846.6927381985433</v>
      </c>
      <c r="L6" s="137" t="s">
        <v>364</v>
      </c>
      <c r="M6" s="137">
        <v>100</v>
      </c>
      <c r="N6" s="161">
        <f>IF(OR('Event Tracker'!$B$20=1,'Event Tracker'!$B$21=1,),IF(OR(N5&gt;=MaxCoal,N5=""),"",IF(AND(N5&lt;MaxCoal,N5+$M$3&lt;MaxCoal),N5+$M$3,MaxCoal)),IF(OR(N5&gt;=MaxCoal,N5=""),"",IF(AND(N5&lt;MaxCoal,N5+$M$12&lt;MaxCoal),N5+$M$12,MaxCoal)))</f>
        <v>20000</v>
      </c>
      <c r="O6" s="161">
        <f>IF(OR('Event Tracker'!$B$20=1,'Event Tracker'!$B$21=1,),IF(OR(O5&gt;=MaxNatGas,O5=""),"",IF(AND(O5&lt;MaxNatGas,O5+$M$4&lt;MaxNatGas),O5+$M$4,MaxNatGas)),IF(OR(O5&gt;=MaxNatGas,O5=""),"",IF(AND(O5&lt;MaxNatGas,O5+$M$13&lt;MaxNatGas),O5+$M$13,MaxNatGas)))</f>
        <v>20000</v>
      </c>
      <c r="P6" s="161">
        <f>IF(OR('Event Tracker'!$B$20=1,'Event Tracker'!$B$21=1,),IF(OR(P5&gt;=MaxNuclear,P5=""),"",IF(AND(P5&lt;MaxNuclear,P5+$M$5&lt;MaxNuclear),P5+$M$5,MaxNuclear)),IF(OR(P5&gt;=MaxNuclear,P5=""),"",IF(AND(P5&lt;MaxNuclear,P5+$M$14&lt;MaxNuclear),P5+$M$14,MaxNuclear)))</f>
        <v>20000</v>
      </c>
      <c r="Q6" s="161">
        <f>IF(OR('Event Tracker'!$B$20=1,'Event Tracker'!$B$21=1,),IF(OR(Q5&gt;=MaxSolar,Q5=""),"",IF(AND(Q5&lt;MaxSolar,Q5+$M$6&lt;MaxSolar),Q5+$M$6,MaxSolar)),IF(OR(Q5&gt;=MaxSolar,Q5=""),"",IF(AND(Q5&lt;MaxSolar,Q5+$M$15&lt;MaxSolar),Q5+$M$15,MaxSolar)))</f>
        <v>1200</v>
      </c>
      <c r="R6" s="161">
        <f>IF(OR('Event Tracker'!$B$20=1,'Event Tracker'!$B$21=1,),IF(OR(R5&gt;=MaxWind,R5=""),"",IF(AND(R5&lt;MaxWind,R5+$M$7&lt;MaxWind),R5+$M$7,MaxWind)),IF(OR(R5&gt;=MaxWind,R5=""),"",IF(AND(R5&lt;MaxWind,R5+$M$16&lt;MaxWind),R5+$M$16,MaxWind)))</f>
        <v>1200</v>
      </c>
      <c r="S6" s="161">
        <f>IF(OR('Event Tracker'!$B$20=1,'Event Tracker'!$B$21=1,),IF(OR(S5&gt;=MaxHydro,S5=""),"",IF(AND(S5&lt;MaxHydro,S5+$M$8&lt;MaxHydro),S5+$M$8,MaxHydro)),IF(OR(S5&gt;=MaxHydro,S5=""),"",IF(AND(S5&lt;MaxHydro,S5+$M$17&lt;MaxHydro),S5+$M$17,MaxHydro)))</f>
        <v>1200</v>
      </c>
      <c r="T6" s="161">
        <f>IF(OR('Event Tracker'!$B$20=1,'Event Tracker'!$B$21=1,),IF(OR(T5&gt;=MaxEE,T5=""),"",IF(AND(T5&lt;MaxEE,T5+$M$9&lt;MaxEE),T5+$M$9,MaxEE)),IF(OR(T5&gt;=MaxEE,T5=""),"",IF(AND(T5&lt;MaxEE,T5+$M$18&lt;MaxEE),T5+$M$18,MaxEE)))</f>
        <v>1200</v>
      </c>
      <c r="U6" s="161">
        <f>IF(OR('Event Tracker'!$B$20=1,'Event Tracker'!$B$21=1,),IF(OR(U5&gt;=MaxSolarDistributed,U5=""),"",IF(AND(U5&lt;MaxSolarDistributed,U5+$M$10&lt;MaxSolarDistributed),U5+$M$10,MaxSolarDistributed)),IF(OR(U5&gt;=MaxSolarDistributed,U5=""),"",IF(AND(U5&lt;MaxSolarDistributed,U5+$M$19&lt;MaxSolarDistributed),U5+$M$19,MaxSolarDistributed)))</f>
        <v>200</v>
      </c>
      <c r="W6" s="165">
        <f t="shared" si="0"/>
        <v>200</v>
      </c>
      <c r="X6" s="165" t="str">
        <f t="shared" si="1"/>
        <v/>
      </c>
      <c r="Y6" s="165">
        <f t="shared" si="2"/>
        <v>200</v>
      </c>
      <c r="Z6" s="165">
        <f t="shared" si="3"/>
        <v>200</v>
      </c>
      <c r="AA6" s="165">
        <f t="shared" si="4"/>
        <v>2000</v>
      </c>
      <c r="AB6" s="165">
        <f t="shared" si="5"/>
        <v>2000</v>
      </c>
      <c r="AE6" s="178">
        <f t="shared" ca="1" si="6"/>
        <v>2029</v>
      </c>
    </row>
    <row r="7" spans="1:31" x14ac:dyDescent="0.25">
      <c r="B7" s="137" t="s">
        <v>1</v>
      </c>
      <c r="F7" s="137" t="s">
        <v>72</v>
      </c>
      <c r="H7" s="137" t="s">
        <v>365</v>
      </c>
      <c r="I7" s="156">
        <f>INDEX('Resource Mix and Demand'!$B$22:$L$33,MATCH(H7,'Resource Mix and Demand'!$A$22:$A$33,0),Current_Round)*IF(OR(BusinessModel=$A$3,BusinessModel=$A$4),1,8760/1000*INDEX('Game Assumptions'!$G$55:$G$62,MATCH(H7,'Game Assumptions'!$F$55:$F$62,0),1))*4</f>
        <v>13307.114294570998</v>
      </c>
      <c r="L7" s="137" t="s">
        <v>365</v>
      </c>
      <c r="M7" s="137">
        <v>100</v>
      </c>
      <c r="N7" s="161">
        <f>IF(OR('Event Tracker'!$B$20=1,'Event Tracker'!$B$21=1,),IF(OR(N6&gt;=MaxCoal,N6=""),"",IF(AND(N6&lt;MaxCoal,N6+$M$3&lt;MaxCoal),N6+$M$3,MaxCoal)),IF(OR(N6&gt;=MaxCoal,N6=""),"",IF(AND(N6&lt;MaxCoal,N6+$M$12&lt;MaxCoal),N6+$M$12,MaxCoal)))</f>
        <v>25000</v>
      </c>
      <c r="O7" s="161">
        <f>IF(OR('Event Tracker'!$B$20=1,'Event Tracker'!$B$21=1,),IF(OR(O6&gt;=MaxNatGas,O6=""),"",IF(AND(O6&lt;MaxNatGas,O6+$M$4&lt;MaxNatGas),O6+$M$4,MaxNatGas)),IF(OR(O6&gt;=MaxNatGas,O6=""),"",IF(AND(O6&lt;MaxNatGas,O6+$M$13&lt;MaxNatGas),O6+$M$13,MaxNatGas)))</f>
        <v>25000</v>
      </c>
      <c r="P7" s="161">
        <f>IF(OR('Event Tracker'!$B$20=1,'Event Tracker'!$B$21=1,),IF(OR(P6&gt;=MaxNuclear,P6=""),"",IF(AND(P6&lt;MaxNuclear,P6+$M$5&lt;MaxNuclear),P6+$M$5,MaxNuclear)),IF(OR(P6&gt;=MaxNuclear,P6=""),"",IF(AND(P6&lt;MaxNuclear,P6+$M$14&lt;MaxNuclear),P6+$M$14,MaxNuclear)))</f>
        <v>25000</v>
      </c>
      <c r="Q7" s="161">
        <f>IF(OR('Event Tracker'!$B$20=1,'Event Tracker'!$B$21=1,),IF(OR(Q6&gt;=MaxSolar,Q6=""),"",IF(AND(Q6&lt;MaxSolar,Q6+$M$6&lt;MaxSolar),Q6+$M$6,MaxSolar)),IF(OR(Q6&gt;=MaxSolar,Q6=""),"",IF(AND(Q6&lt;MaxSolar,Q6+$M$15&lt;MaxSolar),Q6+$M$15,MaxSolar)))</f>
        <v>1500</v>
      </c>
      <c r="R7" s="161">
        <f>IF(OR('Event Tracker'!$B$20=1,'Event Tracker'!$B$21=1,),IF(OR(R6&gt;=MaxWind,R6=""),"",IF(AND(R6&lt;MaxWind,R6+$M$7&lt;MaxWind),R6+$M$7,MaxWind)),IF(OR(R6&gt;=MaxWind,R6=""),"",IF(AND(R6&lt;MaxWind,R6+$M$16&lt;MaxWind),R6+$M$16,MaxWind)))</f>
        <v>1500</v>
      </c>
      <c r="S7" s="161">
        <f>IF(OR('Event Tracker'!$B$20=1,'Event Tracker'!$B$21=1,),IF(OR(S6&gt;=MaxHydro,S6=""),"",IF(AND(S6&lt;MaxHydro,S6+$M$8&lt;MaxHydro),S6+$M$8,MaxHydro)),IF(OR(S6&gt;=MaxHydro,S6=""),"",IF(AND(S6&lt;MaxHydro,S6+$M$17&lt;MaxHydro),S6+$M$17,MaxHydro)))</f>
        <v>1500</v>
      </c>
      <c r="T7" s="161">
        <f>IF(OR('Event Tracker'!$B$20=1,'Event Tracker'!$B$21=1,),IF(OR(T6&gt;=MaxEE,T6=""),"",IF(AND(T6&lt;MaxEE,T6+$M$9&lt;MaxEE),T6+$M$9,MaxEE)),IF(OR(T6&gt;=MaxEE,T6=""),"",IF(AND(T6&lt;MaxEE,T6+$M$18&lt;MaxEE),T6+$M$18,MaxEE)))</f>
        <v>1500</v>
      </c>
      <c r="U7" s="161">
        <f>IF(OR('Event Tracker'!$B$20=1,'Event Tracker'!$B$21=1,),IF(OR(U6&gt;=MaxSolarDistributed,U6=""),"",IF(AND(U6&lt;MaxSolarDistributed,U6+$M$10&lt;MaxSolarDistributed),U6+$M$10,MaxSolarDistributed)),IF(OR(U6&gt;=MaxSolarDistributed,U6=""),"",IF(AND(U6&lt;MaxSolarDistributed,U6+$M$19&lt;MaxSolarDistributed),U6+$M$19,MaxSolarDistributed)))</f>
        <v>250</v>
      </c>
      <c r="W7" s="165">
        <f t="shared" si="0"/>
        <v>250</v>
      </c>
      <c r="X7" s="165" t="str">
        <f t="shared" si="1"/>
        <v/>
      </c>
      <c r="Y7" s="165">
        <f t="shared" si="2"/>
        <v>250</v>
      </c>
      <c r="Z7" s="165" t="str">
        <f t="shared" si="3"/>
        <v/>
      </c>
      <c r="AA7" s="165">
        <f t="shared" si="4"/>
        <v>2500</v>
      </c>
      <c r="AB7" s="165">
        <f t="shared" si="5"/>
        <v>2500</v>
      </c>
    </row>
    <row r="8" spans="1:31" x14ac:dyDescent="0.25">
      <c r="B8" s="137" t="s">
        <v>280</v>
      </c>
      <c r="F8" s="137" t="s">
        <v>258</v>
      </c>
      <c r="H8" s="137" t="s">
        <v>366</v>
      </c>
      <c r="I8" s="156">
        <f>INDEX('Resource Mix and Demand'!$B$22:$L$33,MATCH(H8,'Resource Mix and Demand'!$A$22:$A$33,0),Current_Round)*IF(OR(BusinessModel=$A$3,BusinessModel=$A$4),1,8760/1000*INDEX('Game Assumptions'!$G$55:$G$62,MATCH(H8,'Game Assumptions'!$F$55:$F$62,0),1))*4</f>
        <v>2405.1455999999998</v>
      </c>
      <c r="L8" s="137" t="s">
        <v>366</v>
      </c>
      <c r="M8" s="137">
        <v>100</v>
      </c>
      <c r="N8" s="161">
        <f>IF(OR('Event Tracker'!$B$20=1,'Event Tracker'!$B$21=1,),IF(OR(N7&gt;=MaxCoal,N7=""),"",IF(AND(N7&lt;MaxCoal,N7+$M$3&lt;MaxCoal),N7+$M$3,MaxCoal)),IF(OR(N7&gt;=MaxCoal,N7=""),"",IF(AND(N7&lt;MaxCoal,N7+$M$12&lt;MaxCoal),N7+$M$12,MaxCoal)))</f>
        <v>30000</v>
      </c>
      <c r="O8" s="161">
        <f>IF(OR('Event Tracker'!$B$20=1,'Event Tracker'!$B$21=1,),IF(OR(O7&gt;=MaxNatGas,O7=""),"",IF(AND(O7&lt;MaxNatGas,O7+$M$4&lt;MaxNatGas),O7+$M$4,MaxNatGas)),IF(OR(O7&gt;=MaxNatGas,O7=""),"",IF(AND(O7&lt;MaxNatGas,O7+$M$13&lt;MaxNatGas),O7+$M$13,MaxNatGas)))</f>
        <v>30000</v>
      </c>
      <c r="P8" s="161">
        <f>IF(OR('Event Tracker'!$B$20=1,'Event Tracker'!$B$21=1,),IF(OR(P7&gt;=MaxNuclear,P7=""),"",IF(AND(P7&lt;MaxNuclear,P7+$M$5&lt;MaxNuclear),P7+$M$5,MaxNuclear)),IF(OR(P7&gt;=MaxNuclear,P7=""),"",IF(AND(P7&lt;MaxNuclear,P7+$M$14&lt;MaxNuclear),P7+$M$14,MaxNuclear)))</f>
        <v>30000</v>
      </c>
      <c r="Q8" s="161">
        <f>IF(OR('Event Tracker'!$B$20=1,'Event Tracker'!$B$21=1,),IF(OR(Q7&gt;=MaxSolar,Q7=""),"",IF(AND(Q7&lt;MaxSolar,Q7+$M$6&lt;MaxSolar),Q7+$M$6,MaxSolar)),IF(OR(Q7&gt;=MaxSolar,Q7=""),"",IF(AND(Q7&lt;MaxSolar,Q7+$M$15&lt;MaxSolar),Q7+$M$15,MaxSolar)))</f>
        <v>1800</v>
      </c>
      <c r="R8" s="161">
        <f>IF(OR('Event Tracker'!$B$20=1,'Event Tracker'!$B$21=1,),IF(OR(R7&gt;=MaxWind,R7=""),"",IF(AND(R7&lt;MaxWind,R7+$M$7&lt;MaxWind),R7+$M$7,MaxWind)),IF(OR(R7&gt;=MaxWind,R7=""),"",IF(AND(R7&lt;MaxWind,R7+$M$16&lt;MaxWind),R7+$M$16,MaxWind)))</f>
        <v>1800</v>
      </c>
      <c r="S8" s="161">
        <f>IF(OR('Event Tracker'!$B$20=1,'Event Tracker'!$B$21=1,),IF(OR(S7&gt;=MaxHydro,S7=""),"",IF(AND(S7&lt;MaxHydro,S7+$M$8&lt;MaxHydro),S7+$M$8,MaxHydro)),IF(OR(S7&gt;=MaxHydro,S7=""),"",IF(AND(S7&lt;MaxHydro,S7+$M$17&lt;MaxHydro),S7+$M$17,MaxHydro)))</f>
        <v>1800</v>
      </c>
      <c r="T8" s="161">
        <f>IF(OR('Event Tracker'!$B$20=1,'Event Tracker'!$B$21=1,),IF(OR(T7&gt;=MaxEE,T7=""),"",IF(AND(T7&lt;MaxEE,T7+$M$9&lt;MaxEE),T7+$M$9,MaxEE)),IF(OR(T7&gt;=MaxEE,T7=""),"",IF(AND(T7&lt;MaxEE,T7+$M$18&lt;MaxEE),T7+$M$18,MaxEE)))</f>
        <v>1800</v>
      </c>
      <c r="U8" s="161">
        <f>IF(OR('Event Tracker'!$B$20=1,'Event Tracker'!$B$21=1,),IF(OR(U7&gt;=MaxSolarDistributed,U7=""),"",IF(AND(U7&lt;MaxSolarDistributed,U7+$M$10&lt;MaxSolarDistributed),U7+$M$10,MaxSolarDistributed)),IF(OR(U7&gt;=MaxSolarDistributed,U7=""),"",IF(AND(U7&lt;MaxSolarDistributed,U7+$M$19&lt;MaxSolarDistributed),U7+$M$19,MaxSolarDistributed)))</f>
        <v>300</v>
      </c>
      <c r="W8" s="165">
        <f t="shared" si="0"/>
        <v>300</v>
      </c>
      <c r="X8" s="165" t="str">
        <f t="shared" si="1"/>
        <v/>
      </c>
      <c r="Y8" s="165">
        <f t="shared" si="2"/>
        <v>300</v>
      </c>
      <c r="Z8" s="165" t="str">
        <f t="shared" si="3"/>
        <v/>
      </c>
      <c r="AA8" s="165">
        <f t="shared" si="4"/>
        <v>3000</v>
      </c>
      <c r="AB8" s="165">
        <f t="shared" si="5"/>
        <v>3000</v>
      </c>
    </row>
    <row r="9" spans="1:31" x14ac:dyDescent="0.25">
      <c r="B9" s="137" t="s">
        <v>439</v>
      </c>
      <c r="F9" s="137" t="s">
        <v>259</v>
      </c>
      <c r="H9" s="137" t="s">
        <v>12</v>
      </c>
      <c r="I9" s="156">
        <f>INDEX('Resource Mix and Demand'!$B$22:$L$33,MATCH(H9,'Resource Mix and Demand'!$A$22:$A$33,0),Current_Round)*IF(OR(BusinessModel=$A$3,BusinessModel=$A$4),1,8760/1000*INDEX('Game Assumptions'!$G$55:$G$62,MATCH(H9,'Game Assumptions'!$F$55:$F$62,0),1))*4</f>
        <v>36569.132421251139</v>
      </c>
      <c r="L9" s="137" t="s">
        <v>513</v>
      </c>
      <c r="M9" s="137">
        <v>100</v>
      </c>
      <c r="N9" s="161">
        <f>IF(OR('Event Tracker'!$B$20=1,'Event Tracker'!$B$21=1,),IF(OR(N8&gt;=MaxCoal,N8=""),"",IF(AND(N8&lt;MaxCoal,N8+$M$3&lt;MaxCoal),N8+$M$3,MaxCoal)),IF(OR(N8&gt;=MaxCoal,N8=""),"",IF(AND(N8&lt;MaxCoal,N8+$M$12&lt;MaxCoal),N8+$M$12,MaxCoal)))</f>
        <v>35000</v>
      </c>
      <c r="O9" s="161">
        <f>IF(OR('Event Tracker'!$B$20=1,'Event Tracker'!$B$21=1,),IF(OR(O8&gt;=MaxNatGas,O8=""),"",IF(AND(O8&lt;MaxNatGas,O8+$M$4&lt;MaxNatGas),O8+$M$4,MaxNatGas)),IF(OR(O8&gt;=MaxNatGas,O8=""),"",IF(AND(O8&lt;MaxNatGas,O8+$M$13&lt;MaxNatGas),O8+$M$13,MaxNatGas)))</f>
        <v>35000</v>
      </c>
      <c r="P9" s="161">
        <f>IF(OR('Event Tracker'!$B$20=1,'Event Tracker'!$B$21=1,),IF(OR(P8&gt;=MaxNuclear,P8=""),"",IF(AND(P8&lt;MaxNuclear,P8+$M$5&lt;MaxNuclear),P8+$M$5,MaxNuclear)),IF(OR(P8&gt;=MaxNuclear,P8=""),"",IF(AND(P8&lt;MaxNuclear,P8+$M$14&lt;MaxNuclear),P8+$M$14,MaxNuclear)))</f>
        <v>32727.360000000004</v>
      </c>
      <c r="Q9" s="161">
        <f>IF(OR('Event Tracker'!$B$20=1,'Event Tracker'!$B$21=1,),IF(OR(Q8&gt;=MaxSolar,Q8=""),"",IF(AND(Q8&lt;MaxSolar,Q8+$M$6&lt;MaxSolar),Q8+$M$6,MaxSolar)),IF(OR(Q8&gt;=MaxSolar,Q8=""),"",IF(AND(Q8&lt;MaxSolar,Q8+$M$15&lt;MaxSolar),Q8+$M$15,MaxSolar)))</f>
        <v>2100</v>
      </c>
      <c r="R9" s="161">
        <f>IF(OR('Event Tracker'!$B$20=1,'Event Tracker'!$B$21=1,),IF(OR(R8&gt;=MaxWind,R8=""),"",IF(AND(R8&lt;MaxWind,R8+$M$7&lt;MaxWind),R8+$M$7,MaxWind)),IF(OR(R8&gt;=MaxWind,R8=""),"",IF(AND(R8&lt;MaxWind,R8+$M$16&lt;MaxWind),R8+$M$16,MaxWind)))</f>
        <v>2100</v>
      </c>
      <c r="S9" s="161">
        <f>IF(OR('Event Tracker'!$B$20=1,'Event Tracker'!$B$21=1,),IF(OR(S8&gt;=MaxHydro,S8=""),"",IF(AND(S8&lt;MaxHydro,S8+$M$8&lt;MaxHydro),S8+$M$8,MaxHydro)),IF(OR(S8&gt;=MaxHydro,S8=""),"",IF(AND(S8&lt;MaxHydro,S8+$M$17&lt;MaxHydro),S8+$M$17,MaxHydro)))</f>
        <v>2100</v>
      </c>
      <c r="T9" s="161">
        <f>IF(OR('Event Tracker'!$B$20=1,'Event Tracker'!$B$21=1,),IF(OR(T8&gt;=MaxEE,T8=""),"",IF(AND(T8&lt;MaxEE,T8+$M$9&lt;MaxEE),T8+$M$9,MaxEE)),IF(OR(T8&gt;=MaxEE,T8=""),"",IF(AND(T8&lt;MaxEE,T8+$M$18&lt;MaxEE),T8+$M$18,MaxEE)))</f>
        <v>2100</v>
      </c>
      <c r="U9" s="161">
        <f>IF(OR('Event Tracker'!$B$20=1,'Event Tracker'!$B$21=1,),IF(OR(U8&gt;=MaxSolarDistributed,U8=""),"",IF(AND(U8&lt;MaxSolarDistributed,U8+$M$10&lt;MaxSolarDistributed),U8+$M$10,MaxSolarDistributed)),IF(OR(U8&gt;=MaxSolarDistributed,U8=""),"",IF(AND(U8&lt;MaxSolarDistributed,U8+$M$19&lt;MaxSolarDistributed),U8+$M$19,MaxSolarDistributed)))</f>
        <v>350</v>
      </c>
      <c r="W9" s="165">
        <f t="shared" si="0"/>
        <v>350</v>
      </c>
      <c r="X9" s="165" t="str">
        <f t="shared" si="1"/>
        <v/>
      </c>
      <c r="Y9" s="165">
        <f t="shared" si="2"/>
        <v>350</v>
      </c>
      <c r="Z9" s="165" t="str">
        <f t="shared" si="3"/>
        <v/>
      </c>
      <c r="AA9" s="165">
        <f t="shared" si="4"/>
        <v>3500</v>
      </c>
      <c r="AB9" s="165">
        <f t="shared" si="5"/>
        <v>3500</v>
      </c>
    </row>
    <row r="10" spans="1:31" x14ac:dyDescent="0.25">
      <c r="B10" s="142" t="s">
        <v>548</v>
      </c>
      <c r="F10" s="137" t="s">
        <v>260</v>
      </c>
      <c r="H10" s="137" t="s">
        <v>367</v>
      </c>
      <c r="I10" s="156">
        <f>INDEX('Resource Mix and Demand'!$B$22:$L$33,MATCH(H10,'Resource Mix and Demand'!$A$22:$A$33,0),Current_Round)*IF(OR(BusinessModel=$A$3,BusinessModel=$A$4),1,8760/1000*INDEX('Game Assumptions'!$G$55:$G$62,MATCH(H10,'Game Assumptions'!$F$55:$F$62,0),1))*4</f>
        <v>4208.6479077565482</v>
      </c>
      <c r="L10" s="137" t="s">
        <v>367</v>
      </c>
      <c r="M10" s="137">
        <v>25</v>
      </c>
      <c r="N10" s="161">
        <f>IF(OR('Event Tracker'!$B$20=1,'Event Tracker'!$B$21=1,),IF(OR(N9&gt;=MaxCoal,N9=""),"",IF(AND(N9&lt;MaxCoal,N9+$M$3&lt;MaxCoal),N9+$M$3,MaxCoal)),IF(OR(N9&gt;=MaxCoal,N9=""),"",IF(AND(N9&lt;MaxCoal,N9+$M$12&lt;MaxCoal),N9+$M$12,MaxCoal)))</f>
        <v>37843.200000000004</v>
      </c>
      <c r="O10" s="161">
        <f>IF(OR('Event Tracker'!$B$20=1,'Event Tracker'!$B$21=1,),IF(OR(O9&gt;=MaxNatGas,O9=""),"",IF(AND(O9&lt;MaxNatGas,O9+$M$4&lt;MaxNatGas),O9+$M$4,MaxNatGas)),IF(OR(O9&gt;=MaxNatGas,O9=""),"",IF(AND(O9&lt;MaxNatGas,O9+$M$13&lt;MaxNatGas),O9+$M$13,MaxNatGas)))</f>
        <v>40000</v>
      </c>
      <c r="P10" s="161" t="str">
        <f>IF(OR('Event Tracker'!$B$20=1,'Event Tracker'!$B$21=1,),IF(OR(P9&gt;=MaxNuclear,P9=""),"",IF(AND(P9&lt;MaxNuclear,P9+$M$5&lt;MaxNuclear),P9+$M$5,MaxNuclear)),IF(OR(P9&gt;=MaxNuclear,P9=""),"",IF(AND(P9&lt;MaxNuclear,P9+$M$14&lt;MaxNuclear),P9+$M$14,MaxNuclear)))</f>
        <v/>
      </c>
      <c r="Q10" s="161">
        <f>IF(OR('Event Tracker'!$B$20=1,'Event Tracker'!$B$21=1,),IF(OR(Q9&gt;=MaxSolar,Q9=""),"",IF(AND(Q9&lt;MaxSolar,Q9+$M$6&lt;MaxSolar),Q9+$M$6,MaxSolar)),IF(OR(Q9&gt;=MaxSolar,Q9=""),"",IF(AND(Q9&lt;MaxSolar,Q9+$M$15&lt;MaxSolar),Q9+$M$15,MaxSolar)))</f>
        <v>2400</v>
      </c>
      <c r="R10" s="161">
        <f>IF(OR('Event Tracker'!$B$20=1,'Event Tracker'!$B$21=1,),IF(OR(R9&gt;=MaxWind,R9=""),"",IF(AND(R9&lt;MaxWind,R9+$M$7&lt;MaxWind),R9+$M$7,MaxWind)),IF(OR(R9&gt;=MaxWind,R9=""),"",IF(AND(R9&lt;MaxWind,R9+$M$16&lt;MaxWind),R9+$M$16,MaxWind)))</f>
        <v>2400</v>
      </c>
      <c r="S10" s="161">
        <f>IF(OR('Event Tracker'!$B$20=1,'Event Tracker'!$B$21=1,),IF(OR(S9&gt;=MaxHydro,S9=""),"",IF(AND(S9&lt;MaxHydro,S9+$M$8&lt;MaxHydro),S9+$M$8,MaxHydro)),IF(OR(S9&gt;=MaxHydro,S9=""),"",IF(AND(S9&lt;MaxHydro,S9+$M$17&lt;MaxHydro),S9+$M$17,MaxHydro)))</f>
        <v>2400</v>
      </c>
      <c r="T10" s="161">
        <f>IF(OR('Event Tracker'!$B$20=1,'Event Tracker'!$B$21=1,),IF(OR(T9&gt;=MaxEE,T9=""),"",IF(AND(T9&lt;MaxEE,T9+$M$9&lt;MaxEE),T9+$M$9,MaxEE)),IF(OR(T9&gt;=MaxEE,T9=""),"",IF(AND(T9&lt;MaxEE,T9+$M$18&lt;MaxEE),T9+$M$18,MaxEE)))</f>
        <v>2400</v>
      </c>
      <c r="U10" s="161">
        <f>IF(OR('Event Tracker'!$B$20=1,'Event Tracker'!$B$21=1,),IF(OR(U9&gt;=MaxSolarDistributed,U9=""),"",IF(AND(U9&lt;MaxSolarDistributed,U9+$M$10&lt;MaxSolarDistributed),U9+$M$10,MaxSolarDistributed)),IF(OR(U9&gt;=MaxSolarDistributed,U9=""),"",IF(AND(U9&lt;MaxSolarDistributed,U9+$M$19&lt;MaxSolarDistributed),U9+$M$19,MaxSolarDistributed)))</f>
        <v>400</v>
      </c>
      <c r="W10" s="165">
        <f t="shared" si="0"/>
        <v>400</v>
      </c>
      <c r="X10" s="165" t="str">
        <f t="shared" si="1"/>
        <v/>
      </c>
      <c r="Y10" s="165">
        <f t="shared" si="2"/>
        <v>400</v>
      </c>
      <c r="Z10" s="165" t="str">
        <f t="shared" si="3"/>
        <v/>
      </c>
      <c r="AA10" s="165">
        <f t="shared" si="4"/>
        <v>4000</v>
      </c>
      <c r="AB10" s="165">
        <f t="shared" si="5"/>
        <v>4000</v>
      </c>
    </row>
    <row r="11" spans="1:31" x14ac:dyDescent="0.25">
      <c r="B11" s="190" t="s">
        <v>338</v>
      </c>
      <c r="F11" s="137" t="s">
        <v>261</v>
      </c>
      <c r="H11" s="137" t="s">
        <v>169</v>
      </c>
      <c r="I11" s="141">
        <f>(INDEX(Reliability!$B$19:$L$25,MATCH('Game Properties'!H11,Reliability!$A$19:$A$25,0),Current_Round))*4</f>
        <v>1200</v>
      </c>
      <c r="L11" s="239" t="s">
        <v>395</v>
      </c>
      <c r="M11" s="241"/>
      <c r="N11" s="161" t="str">
        <f>IF(OR('Event Tracker'!$B$20=1,'Event Tracker'!$B$21=1,),IF(OR(N10&gt;=MaxCoal,N10=""),"",IF(AND(N10&lt;MaxCoal,N10+$M$3&lt;MaxCoal),N10+$M$3,MaxCoal)),IF(OR(N10&gt;=MaxCoal,N10=""),"",IF(AND(N10&lt;MaxCoal,N10+$M$12&lt;MaxCoal),N10+$M$12,MaxCoal)))</f>
        <v/>
      </c>
      <c r="O11" s="161">
        <f>IF(OR('Event Tracker'!$B$20=1,'Event Tracker'!$B$21=1,),IF(OR(O10&gt;=MaxNatGas,O10=""),"",IF(AND(O10&lt;MaxNatGas,O10+$M$4&lt;MaxNatGas),O10+$M$4,MaxNatGas)),IF(OR(O10&gt;=MaxNatGas,O10=""),"",IF(AND(O10&lt;MaxNatGas,O10+$M$13&lt;MaxNatGas),O10+$M$13,MaxNatGas)))</f>
        <v>45000</v>
      </c>
      <c r="P11" s="161" t="str">
        <f>IF(OR('Event Tracker'!$B$20=1,'Event Tracker'!$B$21=1,),IF(OR(P10&gt;=MaxNuclear,P10=""),"",IF(AND(P10&lt;MaxNuclear,P10+$M$5&lt;MaxNuclear),P10+$M$5,MaxNuclear)),IF(OR(P10&gt;=MaxNuclear,P10=""),"",IF(AND(P10&lt;MaxNuclear,P10+$M$14&lt;MaxNuclear),P10+$M$14,MaxNuclear)))</f>
        <v/>
      </c>
      <c r="Q11" s="161">
        <f>IF(OR('Event Tracker'!$B$20=1,'Event Tracker'!$B$21=1,),IF(OR(Q10&gt;=MaxSolar,Q10=""),"",IF(AND(Q10&lt;MaxSolar,Q10+$M$6&lt;MaxSolar),Q10+$M$6,MaxSolar)),IF(OR(Q10&gt;=MaxSolar,Q10=""),"",IF(AND(Q10&lt;MaxSolar,Q10+$M$15&lt;MaxSolar),Q10+$M$15,MaxSolar)))</f>
        <v>2700</v>
      </c>
      <c r="R11" s="161">
        <f>IF(OR('Event Tracker'!$B$20=1,'Event Tracker'!$B$21=1,),IF(OR(R10&gt;=MaxWind,R10=""),"",IF(AND(R10&lt;MaxWind,R10+$M$7&lt;MaxWind),R10+$M$7,MaxWind)),IF(OR(R10&gt;=MaxWind,R10=""),"",IF(AND(R10&lt;MaxWind,R10+$M$16&lt;MaxWind),R10+$M$16,MaxWind)))</f>
        <v>2700</v>
      </c>
      <c r="S11" s="161">
        <f>IF(OR('Event Tracker'!$B$20=1,'Event Tracker'!$B$21=1,),IF(OR(S10&gt;=MaxHydro,S10=""),"",IF(AND(S10&lt;MaxHydro,S10+$M$8&lt;MaxHydro),S10+$M$8,MaxHydro)),IF(OR(S10&gt;=MaxHydro,S10=""),"",IF(AND(S10&lt;MaxHydro,S10+$M$17&lt;MaxHydro),S10+$M$17,MaxHydro)))</f>
        <v>2405.1455999999998</v>
      </c>
      <c r="T11" s="161">
        <f>IF(OR('Event Tracker'!$B$20=1,'Event Tracker'!$B$21=1,),IF(OR(T10&gt;=MaxEE,T10=""),"",IF(AND(T10&lt;MaxEE,T10+$M$9&lt;MaxEE),T10+$M$9,MaxEE)),IF(OR(T10&gt;=MaxEE,T10=""),"",IF(AND(T10&lt;MaxEE,T10+$M$18&lt;MaxEE),T10+$M$18,MaxEE)))</f>
        <v>2700</v>
      </c>
      <c r="U11" s="161">
        <f>IF(OR('Event Tracker'!$B$20=1,'Event Tracker'!$B$21=1,),IF(OR(U10&gt;=MaxSolarDistributed,U10=""),"",IF(AND(U10&lt;MaxSolarDistributed,U10+$M$10&lt;MaxSolarDistributed),U10+$M$10,MaxSolarDistributed)),IF(OR(U10&gt;=MaxSolarDistributed,U10=""),"",IF(AND(U10&lt;MaxSolarDistributed,U10+$M$19&lt;MaxSolarDistributed),U10+$M$19,MaxSolarDistributed)))</f>
        <v>450</v>
      </c>
      <c r="W11" s="165">
        <f t="shared" si="0"/>
        <v>450</v>
      </c>
      <c r="X11" s="165" t="str">
        <f t="shared" si="1"/>
        <v/>
      </c>
      <c r="Y11" s="165">
        <f t="shared" si="2"/>
        <v>450</v>
      </c>
      <c r="Z11" s="165" t="str">
        <f t="shared" si="3"/>
        <v/>
      </c>
      <c r="AA11" s="165">
        <f t="shared" si="4"/>
        <v>4500</v>
      </c>
      <c r="AB11" s="165">
        <f t="shared" si="5"/>
        <v>4500</v>
      </c>
    </row>
    <row r="12" spans="1:31" x14ac:dyDescent="0.25">
      <c r="F12" s="137" t="s">
        <v>262</v>
      </c>
      <c r="H12" s="137" t="s">
        <v>148</v>
      </c>
      <c r="I12" s="141">
        <f>(INDEX(Reliability!$B$19:$L$25,MATCH('Game Properties'!H12,Reliability!$A$19:$A$25,0),Current_Round))*4</f>
        <v>40</v>
      </c>
      <c r="L12" s="137" t="s">
        <v>16</v>
      </c>
      <c r="M12" s="137">
        <v>5000</v>
      </c>
      <c r="N12" s="161" t="str">
        <f>IF(OR('Event Tracker'!$B$20=1,'Event Tracker'!$B$21=1,),IF(OR(N11&gt;=MaxCoal,N11=""),"",IF(AND(N11&lt;MaxCoal,N11+$M$3&lt;MaxCoal),N11+$M$3,MaxCoal)),IF(OR(N11&gt;=MaxCoal,N11=""),"",IF(AND(N11&lt;MaxCoal,N11+$M$12&lt;MaxCoal),N11+$M$12,MaxCoal)))</f>
        <v/>
      </c>
      <c r="O12" s="161">
        <f>IF(OR('Event Tracker'!$B$20=1,'Event Tracker'!$B$21=1,),IF(OR(O11&gt;=MaxNatGas,O11=""),"",IF(AND(O11&lt;MaxNatGas,O11+$M$4&lt;MaxNatGas),O11+$M$4,MaxNatGas)),IF(OR(O11&gt;=MaxNatGas,O11=""),"",IF(AND(O11&lt;MaxNatGas,O11+$M$13&lt;MaxNatGas),O11+$M$13,MaxNatGas)))</f>
        <v>50000</v>
      </c>
      <c r="P12" s="161" t="str">
        <f>IF(OR('Event Tracker'!$B$20=1,'Event Tracker'!$B$21=1,),IF(OR(P11&gt;=MaxNuclear,P11=""),"",IF(AND(P11&lt;MaxNuclear,P11+$M$5&lt;MaxNuclear),P11+$M$5,MaxNuclear)),IF(OR(P11&gt;=MaxNuclear,P11=""),"",IF(AND(P11&lt;MaxNuclear,P11+$M$14&lt;MaxNuclear),P11+$M$14,MaxNuclear)))</f>
        <v/>
      </c>
      <c r="Q12" s="161">
        <f>IF(OR('Event Tracker'!$B$20=1,'Event Tracker'!$B$21=1,),IF(OR(Q11&gt;=MaxSolar,Q11=""),"",IF(AND(Q11&lt;MaxSolar,Q11+$M$6&lt;MaxSolar),Q11+$M$6,MaxSolar)),IF(OR(Q11&gt;=MaxSolar,Q11=""),"",IF(AND(Q11&lt;MaxSolar,Q11+$M$15&lt;MaxSolar),Q11+$M$15,MaxSolar)))</f>
        <v>3000</v>
      </c>
      <c r="R12" s="161">
        <f>IF(OR('Event Tracker'!$B$20=1,'Event Tracker'!$B$21=1,),IF(OR(R11&gt;=MaxWind,R11=""),"",IF(AND(R11&lt;MaxWind,R11+$M$7&lt;MaxWind),R11+$M$7,MaxWind)),IF(OR(R11&gt;=MaxWind,R11=""),"",IF(AND(R11&lt;MaxWind,R11+$M$16&lt;MaxWind),R11+$M$16,MaxWind)))</f>
        <v>3000</v>
      </c>
      <c r="S12" s="161" t="str">
        <f>IF(OR('Event Tracker'!$B$20=1,'Event Tracker'!$B$21=1,),IF(OR(S11&gt;=MaxHydro,S11=""),"",IF(AND(S11&lt;MaxHydro,S11+$M$8&lt;MaxHydro),S11+$M$8,MaxHydro)),IF(OR(S11&gt;=MaxHydro,S11=""),"",IF(AND(S11&lt;MaxHydro,S11+$M$17&lt;MaxHydro),S11+$M$17,MaxHydro)))</f>
        <v/>
      </c>
      <c r="T12" s="161">
        <f>IF(OR('Event Tracker'!$B$20=1,'Event Tracker'!$B$21=1,),IF(OR(T11&gt;=MaxEE,T11=""),"",IF(AND(T11&lt;MaxEE,T11+$M$9&lt;MaxEE),T11+$M$9,MaxEE)),IF(OR(T11&gt;=MaxEE,T11=""),"",IF(AND(T11&lt;MaxEE,T11+$M$18&lt;MaxEE),T11+$M$18,MaxEE)))</f>
        <v>3000</v>
      </c>
      <c r="U12" s="161">
        <f>IF(OR('Event Tracker'!$B$20=1,'Event Tracker'!$B$21=1,),IF(OR(U11&gt;=MaxSolarDistributed,U11=""),"",IF(AND(U11&lt;MaxSolarDistributed,U11+$M$10&lt;MaxSolarDistributed),U11+$M$10,MaxSolarDistributed)),IF(OR(U11&gt;=MaxSolarDistributed,U11=""),"",IF(AND(U11&lt;MaxSolarDistributed,U11+$M$19&lt;MaxSolarDistributed),U11+$M$19,MaxSolarDistributed)))</f>
        <v>500</v>
      </c>
      <c r="W12" s="165">
        <f t="shared" si="0"/>
        <v>500</v>
      </c>
      <c r="X12" s="165" t="str">
        <f t="shared" si="1"/>
        <v/>
      </c>
      <c r="Y12" s="165">
        <f t="shared" si="2"/>
        <v>500</v>
      </c>
      <c r="Z12" s="165" t="str">
        <f t="shared" si="3"/>
        <v/>
      </c>
      <c r="AA12" s="165">
        <f t="shared" si="4"/>
        <v>5000</v>
      </c>
      <c r="AB12" s="165">
        <f t="shared" si="5"/>
        <v>5000</v>
      </c>
    </row>
    <row r="13" spans="1:31" x14ac:dyDescent="0.25">
      <c r="F13" s="137" t="s">
        <v>264</v>
      </c>
      <c r="H13" s="137" t="s">
        <v>147</v>
      </c>
      <c r="I13" s="141">
        <f>(INDEX(Reliability!$B$19:$L$25,MATCH('Game Properties'!H13,Reliability!$A$19:$A$25,0),Current_Round))*4</f>
        <v>800</v>
      </c>
      <c r="L13" s="137" t="s">
        <v>17</v>
      </c>
      <c r="M13" s="137">
        <v>5000</v>
      </c>
      <c r="N13" s="161" t="str">
        <f>IF(OR('Event Tracker'!$B$20=1,'Event Tracker'!$B$21=1,),IF(OR(N12&gt;=MaxCoal,N12=""),"",IF(AND(N12&lt;MaxCoal,N12+$M$3&lt;MaxCoal),N12+$M$3,MaxCoal)),IF(OR(N12&gt;=MaxCoal,N12=""),"",IF(AND(N12&lt;MaxCoal,N12+$M$12&lt;MaxCoal),N12+$M$12,MaxCoal)))</f>
        <v/>
      </c>
      <c r="O13" s="161">
        <f>IF(OR('Event Tracker'!$B$20=1,'Event Tracker'!$B$21=1,),IF(OR(O12&gt;=MaxNatGas,O12=""),"",IF(AND(O12&lt;MaxNatGas,O12+$M$4&lt;MaxNatGas),O12+$M$4,MaxNatGas)),IF(OR(O12&gt;=MaxNatGas,O12=""),"",IF(AND(O12&lt;MaxNatGas,O12+$M$13&lt;MaxNatGas),O12+$M$13,MaxNatGas)))</f>
        <v>55000</v>
      </c>
      <c r="P13" s="161" t="str">
        <f>IF(OR('Event Tracker'!$B$20=1,'Event Tracker'!$B$21=1,),IF(OR(P12&gt;=MaxNuclear,P12=""),"",IF(AND(P12&lt;MaxNuclear,P12+$M$5&lt;MaxNuclear),P12+$M$5,MaxNuclear)),IF(OR(P12&gt;=MaxNuclear,P12=""),"",IF(AND(P12&lt;MaxNuclear,P12+$M$14&lt;MaxNuclear),P12+$M$14,MaxNuclear)))</f>
        <v/>
      </c>
      <c r="Q13" s="161">
        <f>IF(OR('Event Tracker'!$B$20=1,'Event Tracker'!$B$21=1,),IF(OR(Q12&gt;=MaxSolar,Q12=""),"",IF(AND(Q12&lt;MaxSolar,Q12+$M$6&lt;MaxSolar),Q12+$M$6,MaxSolar)),IF(OR(Q12&gt;=MaxSolar,Q12=""),"",IF(AND(Q12&lt;MaxSolar,Q12+$M$15&lt;MaxSolar),Q12+$M$15,MaxSolar)))</f>
        <v>3300</v>
      </c>
      <c r="R13" s="161">
        <f>IF(OR('Event Tracker'!$B$20=1,'Event Tracker'!$B$21=1,),IF(OR(R12&gt;=MaxWind,R12=""),"",IF(AND(R12&lt;MaxWind,R12+$M$7&lt;MaxWind),R12+$M$7,MaxWind)),IF(OR(R12&gt;=MaxWind,R12=""),"",IF(AND(R12&lt;MaxWind,R12+$M$16&lt;MaxWind),R12+$M$16,MaxWind)))</f>
        <v>3300</v>
      </c>
      <c r="S13" s="161" t="str">
        <f>IF(OR('Event Tracker'!$B$20=1,'Event Tracker'!$B$21=1,),IF(OR(S12&gt;=MaxHydro,S12=""),"",IF(AND(S12&lt;MaxHydro,S12+$M$8&lt;MaxHydro),S12+$M$8,MaxHydro)),IF(OR(S12&gt;=MaxHydro,S12=""),"",IF(AND(S12&lt;MaxHydro,S12+$M$17&lt;MaxHydro),S12+$M$17,MaxHydro)))</f>
        <v/>
      </c>
      <c r="T13" s="161">
        <f>IF(OR('Event Tracker'!$B$20=1,'Event Tracker'!$B$21=1,),IF(OR(T12&gt;=MaxEE,T12=""),"",IF(AND(T12&lt;MaxEE,T12+$M$9&lt;MaxEE),T12+$M$9,MaxEE)),IF(OR(T12&gt;=MaxEE,T12=""),"",IF(AND(T12&lt;MaxEE,T12+$M$18&lt;MaxEE),T12+$M$18,MaxEE)))</f>
        <v>3300</v>
      </c>
      <c r="U13" s="161">
        <f>IF(OR('Event Tracker'!$B$20=1,'Event Tracker'!$B$21=1,),IF(OR(U12&gt;=MaxSolarDistributed,U12=""),"",IF(AND(U12&lt;MaxSolarDistributed,U12+$M$10&lt;MaxSolarDistributed),U12+$M$10,MaxSolarDistributed)),IF(OR(U12&gt;=MaxSolarDistributed,U12=""),"",IF(AND(U12&lt;MaxSolarDistributed,U12+$M$19&lt;MaxSolarDistributed),U12+$M$19,MaxSolarDistributed)))</f>
        <v>550</v>
      </c>
      <c r="W13" s="165">
        <f t="shared" si="0"/>
        <v>550</v>
      </c>
      <c r="X13" s="165" t="str">
        <f t="shared" si="1"/>
        <v/>
      </c>
      <c r="Y13" s="165">
        <f t="shared" si="2"/>
        <v>550</v>
      </c>
      <c r="Z13" s="165" t="str">
        <f t="shared" si="3"/>
        <v/>
      </c>
      <c r="AA13" s="165">
        <f t="shared" si="4"/>
        <v>5500</v>
      </c>
      <c r="AB13" s="165">
        <f t="shared" si="5"/>
        <v>5500</v>
      </c>
    </row>
    <row r="14" spans="1:31" x14ac:dyDescent="0.25">
      <c r="H14" s="137" t="s">
        <v>36</v>
      </c>
      <c r="I14" s="141">
        <f>MIN((INDEX(Reliability!$B$19:$L$25,MATCH('Game Properties'!H14,Reliability!$A$19:$A$25,0),Current_Round))*2,MAX(INDEX(Reliability!$B$62:$L$62,1,Current_Round+1)*'Game Assumptions'!B193-INDEX(Reliability!$B$22:$L$22,1,Current_Round),0))</f>
        <v>200</v>
      </c>
      <c r="L14" s="137" t="s">
        <v>18</v>
      </c>
      <c r="M14" s="137">
        <v>5000</v>
      </c>
      <c r="N14" s="161" t="str">
        <f>IF(OR('Event Tracker'!$B$20=1,'Event Tracker'!$B$21=1,),IF(OR(N13&gt;=MaxCoal,N13=""),"",IF(AND(N13&lt;MaxCoal,N13+$M$3&lt;MaxCoal),N13+$M$3,MaxCoal)),IF(OR(N13&gt;=MaxCoal,N13=""),"",IF(AND(N13&lt;MaxCoal,N13+$M$12&lt;MaxCoal),N13+$M$12,MaxCoal)))</f>
        <v/>
      </c>
      <c r="O14" s="161">
        <f>IF(OR('Event Tracker'!$B$20=1,'Event Tracker'!$B$21=1,),IF(OR(O13&gt;=MaxNatGas,O13=""),"",IF(AND(O13&lt;MaxNatGas,O13+$M$4&lt;MaxNatGas),O13+$M$4,MaxNatGas)),IF(OR(O13&gt;=MaxNatGas,O13=""),"",IF(AND(O13&lt;MaxNatGas,O13+$M$13&lt;MaxNatGas),O13+$M$13,MaxNatGas)))</f>
        <v>60000</v>
      </c>
      <c r="P14" s="161" t="str">
        <f>IF(OR('Event Tracker'!$B$20=1,'Event Tracker'!$B$21=1,),IF(OR(P13&gt;=MaxNuclear,P13=""),"",IF(AND(P13&lt;MaxNuclear,P13+$M$5&lt;MaxNuclear),P13+$M$5,MaxNuclear)),IF(OR(P13&gt;=MaxNuclear,P13=""),"",IF(AND(P13&lt;MaxNuclear,P13+$M$14&lt;MaxNuclear),P13+$M$14,MaxNuclear)))</f>
        <v/>
      </c>
      <c r="Q14" s="161">
        <f>IF(OR('Event Tracker'!$B$20=1,'Event Tracker'!$B$21=1,),IF(OR(Q13&gt;=MaxSolar,Q13=""),"",IF(AND(Q13&lt;MaxSolar,Q13+$M$6&lt;MaxSolar),Q13+$M$6,MaxSolar)),IF(OR(Q13&gt;=MaxSolar,Q13=""),"",IF(AND(Q13&lt;MaxSolar,Q13+$M$15&lt;MaxSolar),Q13+$M$15,MaxSolar)))</f>
        <v>3600</v>
      </c>
      <c r="R14" s="161">
        <f>IF(OR('Event Tracker'!$B$20=1,'Event Tracker'!$B$21=1,),IF(OR(R13&gt;=MaxWind,R13=""),"",IF(AND(R13&lt;MaxWind,R13+$M$7&lt;MaxWind),R13+$M$7,MaxWind)),IF(OR(R13&gt;=MaxWind,R13=""),"",IF(AND(R13&lt;MaxWind,R13+$M$16&lt;MaxWind),R13+$M$16,MaxWind)))</f>
        <v>3600</v>
      </c>
      <c r="S14" s="161" t="str">
        <f>IF(OR('Event Tracker'!$B$20=1,'Event Tracker'!$B$21=1,),IF(OR(S13&gt;=MaxHydro,S13=""),"",IF(AND(S13&lt;MaxHydro,S13+$M$8&lt;MaxHydro),S13+$M$8,MaxHydro)),IF(OR(S13&gt;=MaxHydro,S13=""),"",IF(AND(S13&lt;MaxHydro,S13+$M$17&lt;MaxHydro),S13+$M$17,MaxHydro)))</f>
        <v/>
      </c>
      <c r="T14" s="161">
        <f>IF(OR('Event Tracker'!$B$20=1,'Event Tracker'!$B$21=1,),IF(OR(T13&gt;=MaxEE,T13=""),"",IF(AND(T13&lt;MaxEE,T13+$M$9&lt;MaxEE),T13+$M$9,MaxEE)),IF(OR(T13&gt;=MaxEE,T13=""),"",IF(AND(T13&lt;MaxEE,T13+$M$18&lt;MaxEE),T13+$M$18,MaxEE)))</f>
        <v>3600</v>
      </c>
      <c r="U14" s="161">
        <f>IF(OR('Event Tracker'!$B$20=1,'Event Tracker'!$B$21=1,),IF(OR(U13&gt;=MaxSolarDistributed,U13=""),"",IF(AND(U13&lt;MaxSolarDistributed,U13+$M$10&lt;MaxSolarDistributed),U13+$M$10,MaxSolarDistributed)),IF(OR(U13&gt;=MaxSolarDistributed,U13=""),"",IF(AND(U13&lt;MaxSolarDistributed,U13+$M$19&lt;MaxSolarDistributed),U13+$M$19,MaxSolarDistributed)))</f>
        <v>600</v>
      </c>
      <c r="W14" s="165">
        <f t="shared" si="0"/>
        <v>600</v>
      </c>
      <c r="X14" s="165" t="str">
        <f t="shared" si="1"/>
        <v/>
      </c>
      <c r="Y14" s="165">
        <f t="shared" si="2"/>
        <v>600</v>
      </c>
      <c r="Z14" s="165" t="str">
        <f t="shared" si="3"/>
        <v/>
      </c>
      <c r="AA14" s="165">
        <f t="shared" si="4"/>
        <v>6000</v>
      </c>
      <c r="AB14" s="165">
        <f t="shared" si="5"/>
        <v>6000</v>
      </c>
    </row>
    <row r="15" spans="1:31" x14ac:dyDescent="0.25">
      <c r="H15" s="137" t="s">
        <v>352</v>
      </c>
      <c r="I15" s="141">
        <f>(INDEX(Reliability!$B$41:$L$41,1,Current_Round))*2</f>
        <v>10000</v>
      </c>
      <c r="L15" s="137" t="s">
        <v>364</v>
      </c>
      <c r="M15" s="137">
        <v>300</v>
      </c>
      <c r="N15" s="161" t="str">
        <f>IF(OR('Event Tracker'!$B$20=1,'Event Tracker'!$B$21=1,),IF(OR(N14&gt;=MaxCoal,N14=""),"",IF(AND(N14&lt;MaxCoal,N14+$M$3&lt;MaxCoal),N14+$M$3,MaxCoal)),IF(OR(N14&gt;=MaxCoal,N14=""),"",IF(AND(N14&lt;MaxCoal,N14+$M$12&lt;MaxCoal),N14+$M$12,MaxCoal)))</f>
        <v/>
      </c>
      <c r="O15" s="161">
        <f>IF(OR('Event Tracker'!$B$20=1,'Event Tracker'!$B$21=1,),IF(OR(O14&gt;=MaxNatGas,O14=""),"",IF(AND(O14&lt;MaxNatGas,O14+$M$4&lt;MaxNatGas),O14+$M$4,MaxNatGas)),IF(OR(O14&gt;=MaxNatGas,O14=""),"",IF(AND(O14&lt;MaxNatGas,O14+$M$13&lt;MaxNatGas),O14+$M$13,MaxNatGas)))</f>
        <v>65000</v>
      </c>
      <c r="P15" s="161" t="str">
        <f>IF(OR('Event Tracker'!$B$20=1,'Event Tracker'!$B$21=1,),IF(OR(P14&gt;=MaxNuclear,P14=""),"",IF(AND(P14&lt;MaxNuclear,P14+$M$5&lt;MaxNuclear),P14+$M$5,MaxNuclear)),IF(OR(P14&gt;=MaxNuclear,P14=""),"",IF(AND(P14&lt;MaxNuclear,P14+$M$14&lt;MaxNuclear),P14+$M$14,MaxNuclear)))</f>
        <v/>
      </c>
      <c r="Q15" s="161">
        <f>IF(OR('Event Tracker'!$B$20=1,'Event Tracker'!$B$21=1,),IF(OR(Q14&gt;=MaxSolar,Q14=""),"",IF(AND(Q14&lt;MaxSolar,Q14+$M$6&lt;MaxSolar),Q14+$M$6,MaxSolar)),IF(OR(Q14&gt;=MaxSolar,Q14=""),"",IF(AND(Q14&lt;MaxSolar,Q14+$M$15&lt;MaxSolar),Q14+$M$15,MaxSolar)))</f>
        <v>3900</v>
      </c>
      <c r="R15" s="161">
        <f>IF(OR('Event Tracker'!$B$20=1,'Event Tracker'!$B$21=1,),IF(OR(R14&gt;=MaxWind,R14=""),"",IF(AND(R14&lt;MaxWind,R14+$M$7&lt;MaxWind),R14+$M$7,MaxWind)),IF(OR(R14&gt;=MaxWind,R14=""),"",IF(AND(R14&lt;MaxWind,R14+$M$16&lt;MaxWind),R14+$M$16,MaxWind)))</f>
        <v>3900</v>
      </c>
      <c r="S15" s="161" t="str">
        <f>IF(OR('Event Tracker'!$B$20=1,'Event Tracker'!$B$21=1,),IF(OR(S14&gt;=MaxHydro,S14=""),"",IF(AND(S14&lt;MaxHydro,S14+$M$8&lt;MaxHydro),S14+$M$8,MaxHydro)),IF(OR(S14&gt;=MaxHydro,S14=""),"",IF(AND(S14&lt;MaxHydro,S14+$M$17&lt;MaxHydro),S14+$M$17,MaxHydro)))</f>
        <v/>
      </c>
      <c r="T15" s="161">
        <f>IF(OR('Event Tracker'!$B$20=1,'Event Tracker'!$B$21=1,),IF(OR(T14&gt;=MaxEE,T14=""),"",IF(AND(T14&lt;MaxEE,T14+$M$9&lt;MaxEE),T14+$M$9,MaxEE)),IF(OR(T14&gt;=MaxEE,T14=""),"",IF(AND(T14&lt;MaxEE,T14+$M$18&lt;MaxEE),T14+$M$18,MaxEE)))</f>
        <v>3900</v>
      </c>
      <c r="U15" s="161">
        <f>IF(OR('Event Tracker'!$B$20=1,'Event Tracker'!$B$21=1,),IF(OR(U14&gt;=MaxSolarDistributed,U14=""),"",IF(AND(U14&lt;MaxSolarDistributed,U14+$M$10&lt;MaxSolarDistributed),U14+$M$10,MaxSolarDistributed)),IF(OR(U14&gt;=MaxSolarDistributed,U14=""),"",IF(AND(U14&lt;MaxSolarDistributed,U14+$M$19&lt;MaxSolarDistributed),U14+$M$19,MaxSolarDistributed)))</f>
        <v>650</v>
      </c>
      <c r="W15" s="165">
        <f t="shared" si="0"/>
        <v>650</v>
      </c>
      <c r="X15" s="165" t="str">
        <f t="shared" si="1"/>
        <v/>
      </c>
      <c r="Y15" s="165">
        <f t="shared" si="2"/>
        <v>650</v>
      </c>
      <c r="Z15" s="165" t="str">
        <f t="shared" si="3"/>
        <v/>
      </c>
      <c r="AA15" s="165">
        <f t="shared" si="4"/>
        <v>6500</v>
      </c>
      <c r="AB15" s="165">
        <f t="shared" si="5"/>
        <v>6500</v>
      </c>
    </row>
    <row r="16" spans="1:31" x14ac:dyDescent="0.25">
      <c r="H16" s="140" t="s">
        <v>361</v>
      </c>
      <c r="I16" s="141">
        <f>(INDEX(Reliability!$B$41:$L$41,1,Current_Round))*2</f>
        <v>10000</v>
      </c>
      <c r="L16" s="137" t="s">
        <v>365</v>
      </c>
      <c r="M16" s="137">
        <v>300</v>
      </c>
      <c r="N16" s="161" t="str">
        <f>IF(OR('Event Tracker'!$B$20=1,'Event Tracker'!$B$21=1,),IF(OR(N15&gt;=MaxCoal,N15=""),"",IF(AND(N15&lt;MaxCoal,N15+$M$3&lt;MaxCoal),N15+$M$3,MaxCoal)),IF(OR(N15&gt;=MaxCoal,N15=""),"",IF(AND(N15&lt;MaxCoal,N15+$M$12&lt;MaxCoal),N15+$M$12,MaxCoal)))</f>
        <v/>
      </c>
      <c r="O16" s="161">
        <f>IF(OR('Event Tracker'!$B$20=1,'Event Tracker'!$B$21=1,),IF(OR(O15&gt;=MaxNatGas,O15=""),"",IF(AND(O15&lt;MaxNatGas,O15+$M$4&lt;MaxNatGas),O15+$M$4,MaxNatGas)),IF(OR(O15&gt;=MaxNatGas,O15=""),"",IF(AND(O15&lt;MaxNatGas,O15+$M$13&lt;MaxNatGas),O15+$M$13,MaxNatGas)))</f>
        <v>70000</v>
      </c>
      <c r="P16" s="161" t="str">
        <f>IF(OR('Event Tracker'!$B$20=1,'Event Tracker'!$B$21=1,),IF(OR(P15&gt;=MaxNuclear,P15=""),"",IF(AND(P15&lt;MaxNuclear,P15+$M$5&lt;MaxNuclear),P15+$M$5,MaxNuclear)),IF(OR(P15&gt;=MaxNuclear,P15=""),"",IF(AND(P15&lt;MaxNuclear,P15+$M$14&lt;MaxNuclear),P15+$M$14,MaxNuclear)))</f>
        <v/>
      </c>
      <c r="Q16" s="161">
        <f>IF(OR('Event Tracker'!$B$20=1,'Event Tracker'!$B$21=1,),IF(OR(Q15&gt;=MaxSolar,Q15=""),"",IF(AND(Q15&lt;MaxSolar,Q15+$M$6&lt;MaxSolar),Q15+$M$6,MaxSolar)),IF(OR(Q15&gt;=MaxSolar,Q15=""),"",IF(AND(Q15&lt;MaxSolar,Q15+$M$15&lt;MaxSolar),Q15+$M$15,MaxSolar)))</f>
        <v>4200</v>
      </c>
      <c r="R16" s="161">
        <f>IF(OR('Event Tracker'!$B$20=1,'Event Tracker'!$B$21=1,),IF(OR(R15&gt;=MaxWind,R15=""),"",IF(AND(R15&lt;MaxWind,R15+$M$7&lt;MaxWind),R15+$M$7,MaxWind)),IF(OR(R15&gt;=MaxWind,R15=""),"",IF(AND(R15&lt;MaxWind,R15+$M$16&lt;MaxWind),R15+$M$16,MaxWind)))</f>
        <v>4200</v>
      </c>
      <c r="S16" s="161" t="str">
        <f>IF(OR('Event Tracker'!$B$20=1,'Event Tracker'!$B$21=1,),IF(OR(S15&gt;=MaxHydro,S15=""),"",IF(AND(S15&lt;MaxHydro,S15+$M$8&lt;MaxHydro),S15+$M$8,MaxHydro)),IF(OR(S15&gt;=MaxHydro,S15=""),"",IF(AND(S15&lt;MaxHydro,S15+$M$17&lt;MaxHydro),S15+$M$17,MaxHydro)))</f>
        <v/>
      </c>
      <c r="T16" s="161">
        <f>IF(OR('Event Tracker'!$B$20=1,'Event Tracker'!$B$21=1,),IF(OR(T15&gt;=MaxEE,T15=""),"",IF(AND(T15&lt;MaxEE,T15+$M$9&lt;MaxEE),T15+$M$9,MaxEE)),IF(OR(T15&gt;=MaxEE,T15=""),"",IF(AND(T15&lt;MaxEE,T15+$M$18&lt;MaxEE),T15+$M$18,MaxEE)))</f>
        <v>4200</v>
      </c>
      <c r="U16" s="161">
        <f>IF(OR('Event Tracker'!$B$20=1,'Event Tracker'!$B$21=1,),IF(OR(U15&gt;=MaxSolarDistributed,U15=""),"",IF(AND(U15&lt;MaxSolarDistributed,U15+$M$10&lt;MaxSolarDistributed),U15+$M$10,MaxSolarDistributed)),IF(OR(U15&gt;=MaxSolarDistributed,U15=""),"",IF(AND(U15&lt;MaxSolarDistributed,U15+$M$19&lt;MaxSolarDistributed),U15+$M$19,MaxSolarDistributed)))</f>
        <v>700</v>
      </c>
      <c r="W16" s="165">
        <f t="shared" si="0"/>
        <v>700</v>
      </c>
      <c r="X16" s="165" t="str">
        <f t="shared" si="1"/>
        <v/>
      </c>
      <c r="Y16" s="165">
        <f t="shared" si="2"/>
        <v>700</v>
      </c>
      <c r="Z16" s="165" t="str">
        <f t="shared" si="3"/>
        <v/>
      </c>
      <c r="AA16" s="165">
        <f t="shared" si="4"/>
        <v>7000</v>
      </c>
      <c r="AB16" s="165">
        <f t="shared" si="5"/>
        <v>7000</v>
      </c>
    </row>
    <row r="17" spans="12:28" x14ac:dyDescent="0.25">
      <c r="L17" s="137" t="s">
        <v>366</v>
      </c>
      <c r="M17" s="137">
        <v>300</v>
      </c>
      <c r="N17" s="161" t="str">
        <f>IF(OR('Event Tracker'!$B$20=1,'Event Tracker'!$B$21=1,),IF(OR(N16&gt;=MaxCoal,N16=""),"",IF(AND(N16&lt;MaxCoal,N16+$M$3&lt;MaxCoal),N16+$M$3,MaxCoal)),IF(OR(N16&gt;=MaxCoal,N16=""),"",IF(AND(N16&lt;MaxCoal,N16+$M$12&lt;MaxCoal),N16+$M$12,MaxCoal)))</f>
        <v/>
      </c>
      <c r="O17" s="161">
        <f>IF(OR('Event Tracker'!$B$20=1,'Event Tracker'!$B$21=1,),IF(OR(O16&gt;=MaxNatGas,O16=""),"",IF(AND(O16&lt;MaxNatGas,O16+$M$4&lt;MaxNatGas),O16+$M$4,MaxNatGas)),IF(OR(O16&gt;=MaxNatGas,O16=""),"",IF(AND(O16&lt;MaxNatGas,O16+$M$13&lt;MaxNatGas),O16+$M$13,MaxNatGas)))</f>
        <v>75000</v>
      </c>
      <c r="P17" s="161" t="str">
        <f>IF(OR('Event Tracker'!$B$20=1,'Event Tracker'!$B$21=1,),IF(OR(P16&gt;=MaxNuclear,P16=""),"",IF(AND(P16&lt;MaxNuclear,P16+$M$5&lt;MaxNuclear),P16+$M$5,MaxNuclear)),IF(OR(P16&gt;=MaxNuclear,P16=""),"",IF(AND(P16&lt;MaxNuclear,P16+$M$14&lt;MaxNuclear),P16+$M$14,MaxNuclear)))</f>
        <v/>
      </c>
      <c r="Q17" s="161">
        <f>IF(OR('Event Tracker'!$B$20=1,'Event Tracker'!$B$21=1,),IF(OR(Q16&gt;=MaxSolar,Q16=""),"",IF(AND(Q16&lt;MaxSolar,Q16+$M$6&lt;MaxSolar),Q16+$M$6,MaxSolar)),IF(OR(Q16&gt;=MaxSolar,Q16=""),"",IF(AND(Q16&lt;MaxSolar,Q16+$M$15&lt;MaxSolar),Q16+$M$15,MaxSolar)))</f>
        <v>4500</v>
      </c>
      <c r="R17" s="161">
        <f>IF(OR('Event Tracker'!$B$20=1,'Event Tracker'!$B$21=1,),IF(OR(R16&gt;=MaxWind,R16=""),"",IF(AND(R16&lt;MaxWind,R16+$M$7&lt;MaxWind),R16+$M$7,MaxWind)),IF(OR(R16&gt;=MaxWind,R16=""),"",IF(AND(R16&lt;MaxWind,R16+$M$16&lt;MaxWind),R16+$M$16,MaxWind)))</f>
        <v>4500</v>
      </c>
      <c r="S17" s="161" t="str">
        <f>IF(OR('Event Tracker'!$B$20=1,'Event Tracker'!$B$21=1,),IF(OR(S16&gt;=MaxHydro,S16=""),"",IF(AND(S16&lt;MaxHydro,S16+$M$8&lt;MaxHydro),S16+$M$8,MaxHydro)),IF(OR(S16&gt;=MaxHydro,S16=""),"",IF(AND(S16&lt;MaxHydro,S16+$M$17&lt;MaxHydro),S16+$M$17,MaxHydro)))</f>
        <v/>
      </c>
      <c r="T17" s="161">
        <f>IF(OR('Event Tracker'!$B$20=1,'Event Tracker'!$B$21=1,),IF(OR(T16&gt;=MaxEE,T16=""),"",IF(AND(T16&lt;MaxEE,T16+$M$9&lt;MaxEE),T16+$M$9,MaxEE)),IF(OR(T16&gt;=MaxEE,T16=""),"",IF(AND(T16&lt;MaxEE,T16+$M$18&lt;MaxEE),T16+$M$18,MaxEE)))</f>
        <v>4500</v>
      </c>
      <c r="U17" s="161">
        <f>IF(OR('Event Tracker'!$B$20=1,'Event Tracker'!$B$21=1,),IF(OR(U16&gt;=MaxSolarDistributed,U16=""),"",IF(AND(U16&lt;MaxSolarDistributed,U16+$M$10&lt;MaxSolarDistributed),U16+$M$10,MaxSolarDistributed)),IF(OR(U16&gt;=MaxSolarDistributed,U16=""),"",IF(AND(U16&lt;MaxSolarDistributed,U16+$M$19&lt;MaxSolarDistributed),U16+$M$19,MaxSolarDistributed)))</f>
        <v>750</v>
      </c>
      <c r="W17" s="165">
        <f t="shared" si="0"/>
        <v>750</v>
      </c>
      <c r="X17" s="165" t="str">
        <f t="shared" si="1"/>
        <v/>
      </c>
      <c r="Y17" s="165">
        <f t="shared" si="2"/>
        <v>750</v>
      </c>
      <c r="Z17" s="165" t="str">
        <f t="shared" si="3"/>
        <v/>
      </c>
      <c r="AA17" s="165">
        <f t="shared" si="4"/>
        <v>7500</v>
      </c>
      <c r="AB17" s="165">
        <f t="shared" si="5"/>
        <v>7500</v>
      </c>
    </row>
    <row r="18" spans="12:28" x14ac:dyDescent="0.25">
      <c r="L18" s="137" t="s">
        <v>513</v>
      </c>
      <c r="M18" s="137">
        <v>300</v>
      </c>
      <c r="N18" s="161" t="str">
        <f>IF(OR('Event Tracker'!$B$20=1,'Event Tracker'!$B$21=1,),IF(OR(N17&gt;=MaxCoal,N17=""),"",IF(AND(N17&lt;MaxCoal,N17+$M$3&lt;MaxCoal),N17+$M$3,MaxCoal)),IF(OR(N17&gt;=MaxCoal,N17=""),"",IF(AND(N17&lt;MaxCoal,N17+$M$12&lt;MaxCoal),N17+$M$12,MaxCoal)))</f>
        <v/>
      </c>
      <c r="O18" s="161">
        <f>IF(OR('Event Tracker'!$B$20=1,'Event Tracker'!$B$21=1,),IF(OR(O17&gt;=MaxNatGas,O17=""),"",IF(AND(O17&lt;MaxNatGas,O17+$M$4&lt;MaxNatGas),O17+$M$4,MaxNatGas)),IF(OR(O17&gt;=MaxNatGas,O17=""),"",IF(AND(O17&lt;MaxNatGas,O17+$M$13&lt;MaxNatGas),O17+$M$13,MaxNatGas)))</f>
        <v>80000</v>
      </c>
      <c r="P18" s="161" t="str">
        <f>IF(OR('Event Tracker'!$B$20=1,'Event Tracker'!$B$21=1,),IF(OR(P17&gt;=MaxNuclear,P17=""),"",IF(AND(P17&lt;MaxNuclear,P17+$M$5&lt;MaxNuclear),P17+$M$5,MaxNuclear)),IF(OR(P17&gt;=MaxNuclear,P17=""),"",IF(AND(P17&lt;MaxNuclear,P17+$M$14&lt;MaxNuclear),P17+$M$14,MaxNuclear)))</f>
        <v/>
      </c>
      <c r="Q18" s="161">
        <f>IF(OR('Event Tracker'!$B$20=1,'Event Tracker'!$B$21=1,),IF(OR(Q17&gt;=MaxSolar,Q17=""),"",IF(AND(Q17&lt;MaxSolar,Q17+$M$6&lt;MaxSolar),Q17+$M$6,MaxSolar)),IF(OR(Q17&gt;=MaxSolar,Q17=""),"",IF(AND(Q17&lt;MaxSolar,Q17+$M$15&lt;MaxSolar),Q17+$M$15,MaxSolar)))</f>
        <v>4800</v>
      </c>
      <c r="R18" s="161">
        <f>IF(OR('Event Tracker'!$B$20=1,'Event Tracker'!$B$21=1,),IF(OR(R17&gt;=MaxWind,R17=""),"",IF(AND(R17&lt;MaxWind,R17+$M$7&lt;MaxWind),R17+$M$7,MaxWind)),IF(OR(R17&gt;=MaxWind,R17=""),"",IF(AND(R17&lt;MaxWind,R17+$M$16&lt;MaxWind),R17+$M$16,MaxWind)))</f>
        <v>4800</v>
      </c>
      <c r="S18" s="161" t="str">
        <f>IF(OR('Event Tracker'!$B$20=1,'Event Tracker'!$B$21=1,),IF(OR(S17&gt;=MaxHydro,S17=""),"",IF(AND(S17&lt;MaxHydro,S17+$M$8&lt;MaxHydro),S17+$M$8,MaxHydro)),IF(OR(S17&gt;=MaxHydro,S17=""),"",IF(AND(S17&lt;MaxHydro,S17+$M$17&lt;MaxHydro),S17+$M$17,MaxHydro)))</f>
        <v/>
      </c>
      <c r="T18" s="161">
        <f>IF(OR('Event Tracker'!$B$20=1,'Event Tracker'!$B$21=1,),IF(OR(T17&gt;=MaxEE,T17=""),"",IF(AND(T17&lt;MaxEE,T17+$M$9&lt;MaxEE),T17+$M$9,MaxEE)),IF(OR(T17&gt;=MaxEE,T17=""),"",IF(AND(T17&lt;MaxEE,T17+$M$18&lt;MaxEE),T17+$M$18,MaxEE)))</f>
        <v>4800</v>
      </c>
      <c r="U18" s="161">
        <f>IF(OR('Event Tracker'!$B$20=1,'Event Tracker'!$B$21=1,),IF(OR(U17&gt;=MaxSolarDistributed,U17=""),"",IF(AND(U17&lt;MaxSolarDistributed,U17+$M$10&lt;MaxSolarDistributed),U17+$M$10,MaxSolarDistributed)),IF(OR(U17&gt;=MaxSolarDistributed,U17=""),"",IF(AND(U17&lt;MaxSolarDistributed,U17+$M$19&lt;MaxSolarDistributed),U17+$M$19,MaxSolarDistributed)))</f>
        <v>800</v>
      </c>
      <c r="W18" s="165">
        <f t="shared" si="0"/>
        <v>800</v>
      </c>
      <c r="X18" s="165" t="str">
        <f t="shared" si="1"/>
        <v/>
      </c>
      <c r="Y18" s="165">
        <f t="shared" si="2"/>
        <v>800</v>
      </c>
      <c r="Z18" s="165" t="str">
        <f t="shared" si="3"/>
        <v/>
      </c>
      <c r="AA18" s="165">
        <f t="shared" si="4"/>
        <v>8000</v>
      </c>
      <c r="AB18" s="165">
        <f t="shared" si="5"/>
        <v>8000</v>
      </c>
    </row>
    <row r="19" spans="12:28" x14ac:dyDescent="0.25">
      <c r="L19" s="137" t="s">
        <v>367</v>
      </c>
      <c r="M19" s="137">
        <v>50</v>
      </c>
      <c r="N19" s="161" t="str">
        <f>IF(OR('Event Tracker'!$B$20=1,'Event Tracker'!$B$21=1,),IF(OR(N18&gt;=MaxCoal,N18=""),"",IF(AND(N18&lt;MaxCoal,N18+$M$3&lt;MaxCoal),N18+$M$3,MaxCoal)),IF(OR(N18&gt;=MaxCoal,N18=""),"",IF(AND(N18&lt;MaxCoal,N18+$M$12&lt;MaxCoal),N18+$M$12,MaxCoal)))</f>
        <v/>
      </c>
      <c r="O19" s="161">
        <f>IF(OR('Event Tracker'!$B$20=1,'Event Tracker'!$B$21=1,),IF(OR(O18&gt;=MaxNatGas,O18=""),"",IF(AND(O18&lt;MaxNatGas,O18+$M$4&lt;MaxNatGas),O18+$M$4,MaxNatGas)),IF(OR(O18&gt;=MaxNatGas,O18=""),"",IF(AND(O18&lt;MaxNatGas,O18+$M$13&lt;MaxNatGas),O18+$M$13,MaxNatGas)))</f>
        <v>85000</v>
      </c>
      <c r="P19" s="161" t="str">
        <f>IF(OR('Event Tracker'!$B$20=1,'Event Tracker'!$B$21=1,),IF(OR(P18&gt;=MaxNuclear,P18=""),"",IF(AND(P18&lt;MaxNuclear,P18+$M$5&lt;MaxNuclear),P18+$M$5,MaxNuclear)),IF(OR(P18&gt;=MaxNuclear,P18=""),"",IF(AND(P18&lt;MaxNuclear,P18+$M$14&lt;MaxNuclear),P18+$M$14,MaxNuclear)))</f>
        <v/>
      </c>
      <c r="Q19" s="161">
        <f>IF(OR('Event Tracker'!$B$20=1,'Event Tracker'!$B$21=1,),IF(OR(Q18&gt;=MaxSolar,Q18=""),"",IF(AND(Q18&lt;MaxSolar,Q18+$M$6&lt;MaxSolar),Q18+$M$6,MaxSolar)),IF(OR(Q18&gt;=MaxSolar,Q18=""),"",IF(AND(Q18&lt;MaxSolar,Q18+$M$15&lt;MaxSolar),Q18+$M$15,MaxSolar)))</f>
        <v>5100</v>
      </c>
      <c r="R19" s="161">
        <f>IF(OR('Event Tracker'!$B$20=1,'Event Tracker'!$B$21=1,),IF(OR(R18&gt;=MaxWind,R18=""),"",IF(AND(R18&lt;MaxWind,R18+$M$7&lt;MaxWind),R18+$M$7,MaxWind)),IF(OR(R18&gt;=MaxWind,R18=""),"",IF(AND(R18&lt;MaxWind,R18+$M$16&lt;MaxWind),R18+$M$16,MaxWind)))</f>
        <v>5100</v>
      </c>
      <c r="S19" s="161" t="str">
        <f>IF(OR('Event Tracker'!$B$20=1,'Event Tracker'!$B$21=1,),IF(OR(S18&gt;=MaxHydro,S18=""),"",IF(AND(S18&lt;MaxHydro,S18+$M$8&lt;MaxHydro),S18+$M$8,MaxHydro)),IF(OR(S18&gt;=MaxHydro,S18=""),"",IF(AND(S18&lt;MaxHydro,S18+$M$17&lt;MaxHydro),S18+$M$17,MaxHydro)))</f>
        <v/>
      </c>
      <c r="T19" s="161">
        <f>IF(OR('Event Tracker'!$B$20=1,'Event Tracker'!$B$21=1,),IF(OR(T18&gt;=MaxEE,T18=""),"",IF(AND(T18&lt;MaxEE,T18+$M$9&lt;MaxEE),T18+$M$9,MaxEE)),IF(OR(T18&gt;=MaxEE,T18=""),"",IF(AND(T18&lt;MaxEE,T18+$M$18&lt;MaxEE),T18+$M$18,MaxEE)))</f>
        <v>5100</v>
      </c>
      <c r="U19" s="161">
        <f>IF(OR('Event Tracker'!$B$20=1,'Event Tracker'!$B$21=1,),IF(OR(U18&gt;=MaxSolarDistributed,U18=""),"",IF(AND(U18&lt;MaxSolarDistributed,U18+$M$10&lt;MaxSolarDistributed),U18+$M$10,MaxSolarDistributed)),IF(OR(U18&gt;=MaxSolarDistributed,U18=""),"",IF(AND(U18&lt;MaxSolarDistributed,U18+$M$19&lt;MaxSolarDistributed),U18+$M$19,MaxSolarDistributed)))</f>
        <v>850</v>
      </c>
      <c r="W19" s="165">
        <f t="shared" si="0"/>
        <v>850</v>
      </c>
      <c r="X19" s="165" t="str">
        <f t="shared" si="1"/>
        <v/>
      </c>
      <c r="Y19" s="165" t="str">
        <f t="shared" si="2"/>
        <v/>
      </c>
      <c r="Z19" s="165" t="str">
        <f t="shared" si="3"/>
        <v/>
      </c>
      <c r="AA19" s="165">
        <f t="shared" si="4"/>
        <v>8500</v>
      </c>
      <c r="AB19" s="165">
        <f t="shared" si="5"/>
        <v>8500</v>
      </c>
    </row>
    <row r="20" spans="12:28" x14ac:dyDescent="0.25">
      <c r="L20" s="238" t="s">
        <v>488</v>
      </c>
      <c r="M20" s="238"/>
      <c r="N20" s="161" t="str">
        <f>IF(OR('Event Tracker'!$B$20=1,'Event Tracker'!$B$21=1,),IF(OR(N19&gt;=MaxCoal,N19=""),"",IF(AND(N19&lt;MaxCoal,N19+$M$3&lt;MaxCoal),N19+$M$3,MaxCoal)),IF(OR(N19&gt;=MaxCoal,N19=""),"",IF(AND(N19&lt;MaxCoal,N19+$M$12&lt;MaxCoal),N19+$M$12,MaxCoal)))</f>
        <v/>
      </c>
      <c r="O20" s="161">
        <f>IF(OR('Event Tracker'!$B$20=1,'Event Tracker'!$B$21=1,),IF(OR(O19&gt;=MaxNatGas,O19=""),"",IF(AND(O19&lt;MaxNatGas,O19+$M$4&lt;MaxNatGas),O19+$M$4,MaxNatGas)),IF(OR(O19&gt;=MaxNatGas,O19=""),"",IF(AND(O19&lt;MaxNatGas,O19+$M$13&lt;MaxNatGas),O19+$M$13,MaxNatGas)))</f>
        <v>90000</v>
      </c>
      <c r="P20" s="161" t="str">
        <f>IF(OR('Event Tracker'!$B$20=1,'Event Tracker'!$B$21=1,),IF(OR(P19&gt;=MaxNuclear,P19=""),"",IF(AND(P19&lt;MaxNuclear,P19+$M$5&lt;MaxNuclear),P19+$M$5,MaxNuclear)),IF(OR(P19&gt;=MaxNuclear,P19=""),"",IF(AND(P19&lt;MaxNuclear,P19+$M$14&lt;MaxNuclear),P19+$M$14,MaxNuclear)))</f>
        <v/>
      </c>
      <c r="Q20" s="161">
        <f>IF(OR('Event Tracker'!$B$20=1,'Event Tracker'!$B$21=1,),IF(OR(Q19&gt;=MaxSolar,Q19=""),"",IF(AND(Q19&lt;MaxSolar,Q19+$M$6&lt;MaxSolar),Q19+$M$6,MaxSolar)),IF(OR(Q19&gt;=MaxSolar,Q19=""),"",IF(AND(Q19&lt;MaxSolar,Q19+$M$15&lt;MaxSolar),Q19+$M$15,MaxSolar)))</f>
        <v>5400</v>
      </c>
      <c r="R20" s="161">
        <f>IF(OR('Event Tracker'!$B$20=1,'Event Tracker'!$B$21=1,),IF(OR(R19&gt;=MaxWind,R19=""),"",IF(AND(R19&lt;MaxWind,R19+$M$7&lt;MaxWind),R19+$M$7,MaxWind)),IF(OR(R19&gt;=MaxWind,R19=""),"",IF(AND(R19&lt;MaxWind,R19+$M$16&lt;MaxWind),R19+$M$16,MaxWind)))</f>
        <v>5400</v>
      </c>
      <c r="S20" s="161" t="str">
        <f>IF(OR('Event Tracker'!$B$20=1,'Event Tracker'!$B$21=1,),IF(OR(S19&gt;=MaxHydro,S19=""),"",IF(AND(S19&lt;MaxHydro,S19+$M$8&lt;MaxHydro),S19+$M$8,MaxHydro)),IF(OR(S19&gt;=MaxHydro,S19=""),"",IF(AND(S19&lt;MaxHydro,S19+$M$17&lt;MaxHydro),S19+$M$17,MaxHydro)))</f>
        <v/>
      </c>
      <c r="T20" s="161">
        <f>IF(OR('Event Tracker'!$B$20=1,'Event Tracker'!$B$21=1,),IF(OR(T19&gt;=MaxEE,T19=""),"",IF(AND(T19&lt;MaxEE,T19+$M$9&lt;MaxEE),T19+$M$9,MaxEE)),IF(OR(T19&gt;=MaxEE,T19=""),"",IF(AND(T19&lt;MaxEE,T19+$M$18&lt;MaxEE),T19+$M$18,MaxEE)))</f>
        <v>5400</v>
      </c>
      <c r="U20" s="161">
        <f>IF(OR('Event Tracker'!$B$20=1,'Event Tracker'!$B$21=1,),IF(OR(U19&gt;=MaxSolarDistributed,U19=""),"",IF(AND(U19&lt;MaxSolarDistributed,U19+$M$10&lt;MaxSolarDistributed),U19+$M$10,MaxSolarDistributed)),IF(OR(U19&gt;=MaxSolarDistributed,U19=""),"",IF(AND(U19&lt;MaxSolarDistributed,U19+$M$19&lt;MaxSolarDistributed),U19+$M$19,MaxSolarDistributed)))</f>
        <v>900</v>
      </c>
      <c r="W20" s="165">
        <f t="shared" si="0"/>
        <v>900</v>
      </c>
      <c r="X20" s="165" t="str">
        <f t="shared" si="1"/>
        <v/>
      </c>
      <c r="Y20" s="165" t="str">
        <f t="shared" si="2"/>
        <v/>
      </c>
      <c r="Z20" s="165" t="str">
        <f t="shared" si="3"/>
        <v/>
      </c>
      <c r="AA20" s="165">
        <f t="shared" si="4"/>
        <v>9000</v>
      </c>
      <c r="AB20" s="165">
        <f t="shared" si="5"/>
        <v>9000</v>
      </c>
    </row>
    <row r="21" spans="12:28" x14ac:dyDescent="0.25">
      <c r="L21" s="137" t="s">
        <v>169</v>
      </c>
      <c r="M21" s="142">
        <v>50</v>
      </c>
      <c r="N21" s="161" t="str">
        <f>IF(OR('Event Tracker'!$B$20=1,'Event Tracker'!$B$21=1,),IF(OR(N20&gt;=MaxCoal,N20=""),"",IF(AND(N20&lt;MaxCoal,N20+$M$3&lt;MaxCoal),N20+$M$3,MaxCoal)),IF(OR(N20&gt;=MaxCoal,N20=""),"",IF(AND(N20&lt;MaxCoal,N20+$M$12&lt;MaxCoal),N20+$M$12,MaxCoal)))</f>
        <v/>
      </c>
      <c r="O21" s="161">
        <f>IF(OR('Event Tracker'!$B$20=1,'Event Tracker'!$B$21=1,),IF(OR(O20&gt;=MaxNatGas,O20=""),"",IF(AND(O20&lt;MaxNatGas,O20+$M$4&lt;MaxNatGas),O20+$M$4,MaxNatGas)),IF(OR(O20&gt;=MaxNatGas,O20=""),"",IF(AND(O20&lt;MaxNatGas,O20+$M$13&lt;MaxNatGas),O20+$M$13,MaxNatGas)))</f>
        <v>95000</v>
      </c>
      <c r="P21" s="161" t="str">
        <f>IF(OR('Event Tracker'!$B$20=1,'Event Tracker'!$B$21=1,),IF(OR(P20&gt;=MaxNuclear,P20=""),"",IF(AND(P20&lt;MaxNuclear,P20+$M$5&lt;MaxNuclear),P20+$M$5,MaxNuclear)),IF(OR(P20&gt;=MaxNuclear,P20=""),"",IF(AND(P20&lt;MaxNuclear,P20+$M$14&lt;MaxNuclear),P20+$M$14,MaxNuclear)))</f>
        <v/>
      </c>
      <c r="Q21" s="161">
        <f>IF(OR('Event Tracker'!$B$20=1,'Event Tracker'!$B$21=1,),IF(OR(Q20&gt;=MaxSolar,Q20=""),"",IF(AND(Q20&lt;MaxSolar,Q20+$M$6&lt;MaxSolar),Q20+$M$6,MaxSolar)),IF(OR(Q20&gt;=MaxSolar,Q20=""),"",IF(AND(Q20&lt;MaxSolar,Q20+$M$15&lt;MaxSolar),Q20+$M$15,MaxSolar)))</f>
        <v>5700</v>
      </c>
      <c r="R21" s="161">
        <f>IF(OR('Event Tracker'!$B$20=1,'Event Tracker'!$B$21=1,),IF(OR(R20&gt;=MaxWind,R20=""),"",IF(AND(R20&lt;MaxWind,R20+$M$7&lt;MaxWind),R20+$M$7,MaxWind)),IF(OR(R20&gt;=MaxWind,R20=""),"",IF(AND(R20&lt;MaxWind,R20+$M$16&lt;MaxWind),R20+$M$16,MaxWind)))</f>
        <v>5700</v>
      </c>
      <c r="S21" s="161" t="str">
        <f>IF(OR('Event Tracker'!$B$20=1,'Event Tracker'!$B$21=1,),IF(OR(S20&gt;=MaxHydro,S20=""),"",IF(AND(S20&lt;MaxHydro,S20+$M$8&lt;MaxHydro),S20+$M$8,MaxHydro)),IF(OR(S20&gt;=MaxHydro,S20=""),"",IF(AND(S20&lt;MaxHydro,S20+$M$17&lt;MaxHydro),S20+$M$17,MaxHydro)))</f>
        <v/>
      </c>
      <c r="T21" s="161">
        <f>IF(OR('Event Tracker'!$B$20=1,'Event Tracker'!$B$21=1,),IF(OR(T20&gt;=MaxEE,T20=""),"",IF(AND(T20&lt;MaxEE,T20+$M$9&lt;MaxEE),T20+$M$9,MaxEE)),IF(OR(T20&gt;=MaxEE,T20=""),"",IF(AND(T20&lt;MaxEE,T20+$M$18&lt;MaxEE),T20+$M$18,MaxEE)))</f>
        <v>5700</v>
      </c>
      <c r="U21" s="161">
        <f>IF(OR('Event Tracker'!$B$20=1,'Event Tracker'!$B$21=1,),IF(OR(U20&gt;=MaxSolarDistributed,U20=""),"",IF(AND(U20&lt;MaxSolarDistributed,U20+$M$10&lt;MaxSolarDistributed),U20+$M$10,MaxSolarDistributed)),IF(OR(U20&gt;=MaxSolarDistributed,U20=""),"",IF(AND(U20&lt;MaxSolarDistributed,U20+$M$19&lt;MaxSolarDistributed),U20+$M$19,MaxSolarDistributed)))</f>
        <v>950</v>
      </c>
      <c r="W21" s="165">
        <f t="shared" si="0"/>
        <v>950</v>
      </c>
      <c r="X21" s="165" t="str">
        <f t="shared" si="1"/>
        <v/>
      </c>
      <c r="Y21" s="165" t="str">
        <f t="shared" si="2"/>
        <v/>
      </c>
      <c r="Z21" s="165" t="str">
        <f t="shared" si="3"/>
        <v/>
      </c>
      <c r="AA21" s="165">
        <f t="shared" si="4"/>
        <v>9500</v>
      </c>
      <c r="AB21" s="165">
        <f t="shared" si="5"/>
        <v>9500</v>
      </c>
    </row>
    <row r="22" spans="12:28" x14ac:dyDescent="0.25">
      <c r="L22" s="137" t="s">
        <v>148</v>
      </c>
      <c r="M22" s="142">
        <v>20</v>
      </c>
      <c r="N22" s="161" t="str">
        <f>IF(OR('Event Tracker'!$B$20=1,'Event Tracker'!$B$21=1,),IF(OR(N21&gt;=MaxCoal,N21=""),"",IF(AND(N21&lt;MaxCoal,N21+$M$3&lt;MaxCoal),N21+$M$3,MaxCoal)),IF(OR(N21&gt;=MaxCoal,N21=""),"",IF(AND(N21&lt;MaxCoal,N21+$M$12&lt;MaxCoal),N21+$M$12,MaxCoal)))</f>
        <v/>
      </c>
      <c r="O22" s="161">
        <f>IF(OR('Event Tracker'!$B$20=1,'Event Tracker'!$B$21=1,),IF(OR(O21&gt;=MaxNatGas,O21=""),"",IF(AND(O21&lt;MaxNatGas,O21+$M$4&lt;MaxNatGas),O21+$M$4,MaxNatGas)),IF(OR(O21&gt;=MaxNatGas,O21=""),"",IF(AND(O21&lt;MaxNatGas,O21+$M$13&lt;MaxNatGas),O21+$M$13,MaxNatGas)))</f>
        <v>100000</v>
      </c>
      <c r="P22" s="161" t="str">
        <f>IF(OR('Event Tracker'!$B$20=1,'Event Tracker'!$B$21=1,),IF(OR(P21&gt;=MaxNuclear,P21=""),"",IF(AND(P21&lt;MaxNuclear,P21+$M$5&lt;MaxNuclear),P21+$M$5,MaxNuclear)),IF(OR(P21&gt;=MaxNuclear,P21=""),"",IF(AND(P21&lt;MaxNuclear,P21+$M$14&lt;MaxNuclear),P21+$M$14,MaxNuclear)))</f>
        <v/>
      </c>
      <c r="Q22" s="161">
        <f>IF(OR('Event Tracker'!$B$20=1,'Event Tracker'!$B$21=1,),IF(OR(Q21&gt;=MaxSolar,Q21=""),"",IF(AND(Q21&lt;MaxSolar,Q21+$M$6&lt;MaxSolar),Q21+$M$6,MaxSolar)),IF(OR(Q21&gt;=MaxSolar,Q21=""),"",IF(AND(Q21&lt;MaxSolar,Q21+$M$15&lt;MaxSolar),Q21+$M$15,MaxSolar)))</f>
        <v>6000</v>
      </c>
      <c r="R22" s="161">
        <f>IF(OR('Event Tracker'!$B$20=1,'Event Tracker'!$B$21=1,),IF(OR(R21&gt;=MaxWind,R21=""),"",IF(AND(R21&lt;MaxWind,R21+$M$7&lt;MaxWind),R21+$M$7,MaxWind)),IF(OR(R21&gt;=MaxWind,R21=""),"",IF(AND(R21&lt;MaxWind,R21+$M$16&lt;MaxWind),R21+$M$16,MaxWind)))</f>
        <v>6000</v>
      </c>
      <c r="S22" s="161" t="str">
        <f>IF(OR('Event Tracker'!$B$20=1,'Event Tracker'!$B$21=1,),IF(OR(S21&gt;=MaxHydro,S21=""),"",IF(AND(S21&lt;MaxHydro,S21+$M$8&lt;MaxHydro),S21+$M$8,MaxHydro)),IF(OR(S21&gt;=MaxHydro,S21=""),"",IF(AND(S21&lt;MaxHydro,S21+$M$17&lt;MaxHydro),S21+$M$17,MaxHydro)))</f>
        <v/>
      </c>
      <c r="T22" s="161">
        <f>IF(OR('Event Tracker'!$B$20=1,'Event Tracker'!$B$21=1,),IF(OR(T21&gt;=MaxEE,T21=""),"",IF(AND(T21&lt;MaxEE,T21+$M$9&lt;MaxEE),T21+$M$9,MaxEE)),IF(OR(T21&gt;=MaxEE,T21=""),"",IF(AND(T21&lt;MaxEE,T21+$M$18&lt;MaxEE),T21+$M$18,MaxEE)))</f>
        <v>6000</v>
      </c>
      <c r="U22" s="161">
        <f>IF(OR('Event Tracker'!$B$20=1,'Event Tracker'!$B$21=1,),IF(OR(U21&gt;=MaxSolarDistributed,U21=""),"",IF(AND(U21&lt;MaxSolarDistributed,U21+$M$10&lt;MaxSolarDistributed),U21+$M$10,MaxSolarDistributed)),IF(OR(U21&gt;=MaxSolarDistributed,U21=""),"",IF(AND(U21&lt;MaxSolarDistributed,U21+$M$19&lt;MaxSolarDistributed),U21+$M$19,MaxSolarDistributed)))</f>
        <v>1000</v>
      </c>
      <c r="W22" s="165">
        <f t="shared" si="0"/>
        <v>1000</v>
      </c>
      <c r="X22" s="165" t="str">
        <f t="shared" si="1"/>
        <v/>
      </c>
      <c r="Y22" s="165" t="str">
        <f t="shared" si="2"/>
        <v/>
      </c>
      <c r="Z22" s="165" t="str">
        <f t="shared" si="3"/>
        <v/>
      </c>
      <c r="AA22" s="165">
        <f t="shared" si="4"/>
        <v>10000</v>
      </c>
      <c r="AB22" s="165">
        <f t="shared" si="5"/>
        <v>10000</v>
      </c>
    </row>
    <row r="23" spans="12:28" x14ac:dyDescent="0.25">
      <c r="L23" s="137" t="s">
        <v>147</v>
      </c>
      <c r="M23" s="142">
        <v>50</v>
      </c>
      <c r="N23" s="161" t="str">
        <f>IF(OR('Event Tracker'!$B$20=1,'Event Tracker'!$B$21=1,),IF(OR(N22&gt;=MaxCoal,N22=""),"",IF(AND(N22&lt;MaxCoal,N22+$M$3&lt;MaxCoal),N22+$M$3,MaxCoal)),IF(OR(N22&gt;=MaxCoal,N22=""),"",IF(AND(N22&lt;MaxCoal,N22+$M$12&lt;MaxCoal),N22+$M$12,MaxCoal)))</f>
        <v/>
      </c>
      <c r="O23" s="161">
        <f>IF(OR('Event Tracker'!$B$20=1,'Event Tracker'!$B$21=1,),IF(OR(O22&gt;=MaxNatGas,O22=""),"",IF(AND(O22&lt;MaxNatGas,O22+$M$4&lt;MaxNatGas),O22+$M$4,MaxNatGas)),IF(OR(O22&gt;=MaxNatGas,O22=""),"",IF(AND(O22&lt;MaxNatGas,O22+$M$13&lt;MaxNatGas),O22+$M$13,MaxNatGas)))</f>
        <v>105000</v>
      </c>
      <c r="P23" s="161" t="str">
        <f>IF(OR('Event Tracker'!$B$20=1,'Event Tracker'!$B$21=1,),IF(OR(P22&gt;=MaxNuclear,P22=""),"",IF(AND(P22&lt;MaxNuclear,P22+$M$5&lt;MaxNuclear),P22+$M$5,MaxNuclear)),IF(OR(P22&gt;=MaxNuclear,P22=""),"",IF(AND(P22&lt;MaxNuclear,P22+$M$14&lt;MaxNuclear),P22+$M$14,MaxNuclear)))</f>
        <v/>
      </c>
      <c r="Q23" s="161">
        <f>IF(OR('Event Tracker'!$B$20=1,'Event Tracker'!$B$21=1,),IF(OR(Q22&gt;=MaxSolar,Q22=""),"",IF(AND(Q22&lt;MaxSolar,Q22+$M$6&lt;MaxSolar),Q22+$M$6,MaxSolar)),IF(OR(Q22&gt;=MaxSolar,Q22=""),"",IF(AND(Q22&lt;MaxSolar,Q22+$M$15&lt;MaxSolar),Q22+$M$15,MaxSolar)))</f>
        <v>6300</v>
      </c>
      <c r="R23" s="161">
        <f>IF(OR('Event Tracker'!$B$20=1,'Event Tracker'!$B$21=1,),IF(OR(R22&gt;=MaxWind,R22=""),"",IF(AND(R22&lt;MaxWind,R22+$M$7&lt;MaxWind),R22+$M$7,MaxWind)),IF(OR(R22&gt;=MaxWind,R22=""),"",IF(AND(R22&lt;MaxWind,R22+$M$16&lt;MaxWind),R22+$M$16,MaxWind)))</f>
        <v>6300</v>
      </c>
      <c r="S23" s="161" t="str">
        <f>IF(OR('Event Tracker'!$B$20=1,'Event Tracker'!$B$21=1,),IF(OR(S22&gt;=MaxHydro,S22=""),"",IF(AND(S22&lt;MaxHydro,S22+$M$8&lt;MaxHydro),S22+$M$8,MaxHydro)),IF(OR(S22&gt;=MaxHydro,S22=""),"",IF(AND(S22&lt;MaxHydro,S22+$M$17&lt;MaxHydro),S22+$M$17,MaxHydro)))</f>
        <v/>
      </c>
      <c r="T23" s="161">
        <f>IF(OR('Event Tracker'!$B$20=1,'Event Tracker'!$B$21=1,),IF(OR(T22&gt;=MaxEE,T22=""),"",IF(AND(T22&lt;MaxEE,T22+$M$9&lt;MaxEE),T22+$M$9,MaxEE)),IF(OR(T22&gt;=MaxEE,T22=""),"",IF(AND(T22&lt;MaxEE,T22+$M$18&lt;MaxEE),T22+$M$18,MaxEE)))</f>
        <v>6300</v>
      </c>
      <c r="U23" s="161">
        <f>IF(OR('Event Tracker'!$B$20=1,'Event Tracker'!$B$21=1,),IF(OR(U22&gt;=MaxSolarDistributed,U22=""),"",IF(AND(U22&lt;MaxSolarDistributed,U22+$M$10&lt;MaxSolarDistributed),U22+$M$10,MaxSolarDistributed)),IF(OR(U22&gt;=MaxSolarDistributed,U22=""),"",IF(AND(U22&lt;MaxSolarDistributed,U22+$M$19&lt;MaxSolarDistributed),U22+$M$19,MaxSolarDistributed)))</f>
        <v>1050</v>
      </c>
      <c r="W23" s="165">
        <f t="shared" si="0"/>
        <v>1050</v>
      </c>
      <c r="X23" s="165" t="str">
        <f t="shared" si="1"/>
        <v/>
      </c>
      <c r="Y23" s="165" t="str">
        <f t="shared" si="2"/>
        <v/>
      </c>
      <c r="Z23" s="165" t="str">
        <f t="shared" si="3"/>
        <v/>
      </c>
      <c r="AA23" s="165" t="str">
        <f t="shared" si="4"/>
        <v/>
      </c>
      <c r="AB23" s="165" t="str">
        <f t="shared" si="5"/>
        <v/>
      </c>
    </row>
    <row r="24" spans="12:28" x14ac:dyDescent="0.25">
      <c r="L24" s="137" t="s">
        <v>36</v>
      </c>
      <c r="M24" s="142">
        <v>50</v>
      </c>
      <c r="N24" s="161" t="str">
        <f>IF(OR('Event Tracker'!$B$20=1,'Event Tracker'!$B$21=1,),IF(OR(N23&gt;=MaxCoal,N23=""),"",IF(AND(N23&lt;MaxCoal,N23+$M$3&lt;MaxCoal),N23+$M$3,MaxCoal)),IF(OR(N23&gt;=MaxCoal,N23=""),"",IF(AND(N23&lt;MaxCoal,N23+$M$12&lt;MaxCoal),N23+$M$12,MaxCoal)))</f>
        <v/>
      </c>
      <c r="O24" s="161">
        <f>IF(OR('Event Tracker'!$B$20=1,'Event Tracker'!$B$21=1,),IF(OR(O23&gt;=MaxNatGas,O23=""),"",IF(AND(O23&lt;MaxNatGas,O23+$M$4&lt;MaxNatGas),O23+$M$4,MaxNatGas)),IF(OR(O23&gt;=MaxNatGas,O23=""),"",IF(AND(O23&lt;MaxNatGas,O23+$M$13&lt;MaxNatGas),O23+$M$13,MaxNatGas)))</f>
        <v>110000</v>
      </c>
      <c r="P24" s="161" t="str">
        <f>IF(OR('Event Tracker'!$B$20=1,'Event Tracker'!$B$21=1,),IF(OR(P23&gt;=MaxNuclear,P23=""),"",IF(AND(P23&lt;MaxNuclear,P23+$M$5&lt;MaxNuclear),P23+$M$5,MaxNuclear)),IF(OR(P23&gt;=MaxNuclear,P23=""),"",IF(AND(P23&lt;MaxNuclear,P23+$M$14&lt;MaxNuclear),P23+$M$14,MaxNuclear)))</f>
        <v/>
      </c>
      <c r="Q24" s="161">
        <f>IF(OR('Event Tracker'!$B$20=1,'Event Tracker'!$B$21=1,),IF(OR(Q23&gt;=MaxSolar,Q23=""),"",IF(AND(Q23&lt;MaxSolar,Q23+$M$6&lt;MaxSolar),Q23+$M$6,MaxSolar)),IF(OR(Q23&gt;=MaxSolar,Q23=""),"",IF(AND(Q23&lt;MaxSolar,Q23+$M$15&lt;MaxSolar),Q23+$M$15,MaxSolar)))</f>
        <v>6600</v>
      </c>
      <c r="R24" s="161">
        <f>IF(OR('Event Tracker'!$B$20=1,'Event Tracker'!$B$21=1,),IF(OR(R23&gt;=MaxWind,R23=""),"",IF(AND(R23&lt;MaxWind,R23+$M$7&lt;MaxWind),R23+$M$7,MaxWind)),IF(OR(R23&gt;=MaxWind,R23=""),"",IF(AND(R23&lt;MaxWind,R23+$M$16&lt;MaxWind),R23+$M$16,MaxWind)))</f>
        <v>6600</v>
      </c>
      <c r="S24" s="161" t="str">
        <f>IF(OR('Event Tracker'!$B$20=1,'Event Tracker'!$B$21=1,),IF(OR(S23&gt;=MaxHydro,S23=""),"",IF(AND(S23&lt;MaxHydro,S23+$M$8&lt;MaxHydro),S23+$M$8,MaxHydro)),IF(OR(S23&gt;=MaxHydro,S23=""),"",IF(AND(S23&lt;MaxHydro,S23+$M$17&lt;MaxHydro),S23+$M$17,MaxHydro)))</f>
        <v/>
      </c>
      <c r="T24" s="161">
        <f>IF(OR('Event Tracker'!$B$20=1,'Event Tracker'!$B$21=1,),IF(OR(T23&gt;=MaxEE,T23=""),"",IF(AND(T23&lt;MaxEE,T23+$M$9&lt;MaxEE),T23+$M$9,MaxEE)),IF(OR(T23&gt;=MaxEE,T23=""),"",IF(AND(T23&lt;MaxEE,T23+$M$18&lt;MaxEE),T23+$M$18,MaxEE)))</f>
        <v>6600</v>
      </c>
      <c r="U24" s="161">
        <f>IF(OR('Event Tracker'!$B$20=1,'Event Tracker'!$B$21=1,),IF(OR(U23&gt;=MaxSolarDistributed,U23=""),"",IF(AND(U23&lt;MaxSolarDistributed,U23+$M$10&lt;MaxSolarDistributed),U23+$M$10,MaxSolarDistributed)),IF(OR(U23&gt;=MaxSolarDistributed,U23=""),"",IF(AND(U23&lt;MaxSolarDistributed,U23+$M$19&lt;MaxSolarDistributed),U23+$M$19,MaxSolarDistributed)))</f>
        <v>1100</v>
      </c>
      <c r="W24" s="165">
        <f t="shared" si="0"/>
        <v>1100</v>
      </c>
      <c r="X24" s="165" t="str">
        <f t="shared" si="1"/>
        <v/>
      </c>
      <c r="Y24" s="165" t="str">
        <f t="shared" si="2"/>
        <v/>
      </c>
      <c r="Z24" s="165" t="str">
        <f t="shared" si="3"/>
        <v/>
      </c>
      <c r="AA24" s="165" t="str">
        <f t="shared" si="4"/>
        <v/>
      </c>
      <c r="AB24" s="165" t="str">
        <f t="shared" si="5"/>
        <v/>
      </c>
    </row>
    <row r="25" spans="12:28" x14ac:dyDescent="0.25">
      <c r="L25" s="137" t="s">
        <v>352</v>
      </c>
      <c r="M25" s="142">
        <v>500</v>
      </c>
      <c r="N25" s="161" t="str">
        <f>IF(OR('Event Tracker'!$B$20=1,'Event Tracker'!$B$21=1,),IF(OR(N24&gt;=MaxCoal,N24=""),"",IF(AND(N24&lt;MaxCoal,N24+$M$3&lt;MaxCoal),N24+$M$3,MaxCoal)),IF(OR(N24&gt;=MaxCoal,N24=""),"",IF(AND(N24&lt;MaxCoal,N24+$M$12&lt;MaxCoal),N24+$M$12,MaxCoal)))</f>
        <v/>
      </c>
      <c r="O25" s="161">
        <f>IF(OR('Event Tracker'!$B$20=1,'Event Tracker'!$B$21=1,),IF(OR(O24&gt;=MaxNatGas,O24=""),"",IF(AND(O24&lt;MaxNatGas,O24+$M$4&lt;MaxNatGas),O24+$M$4,MaxNatGas)),IF(OR(O24&gt;=MaxNatGas,O24=""),"",IF(AND(O24&lt;MaxNatGas,O24+$M$13&lt;MaxNatGas),O24+$M$13,MaxNatGas)))</f>
        <v>115000</v>
      </c>
      <c r="P25" s="161" t="str">
        <f>IF(OR('Event Tracker'!$B$20=1,'Event Tracker'!$B$21=1,),IF(OR(P24&gt;=MaxNuclear,P24=""),"",IF(AND(P24&lt;MaxNuclear,P24+$M$5&lt;MaxNuclear),P24+$M$5,MaxNuclear)),IF(OR(P24&gt;=MaxNuclear,P24=""),"",IF(AND(P24&lt;MaxNuclear,P24+$M$14&lt;MaxNuclear),P24+$M$14,MaxNuclear)))</f>
        <v/>
      </c>
      <c r="Q25" s="161">
        <f>IF(OR('Event Tracker'!$B$20=1,'Event Tracker'!$B$21=1,),IF(OR(Q24&gt;=MaxSolar,Q24=""),"",IF(AND(Q24&lt;MaxSolar,Q24+$M$6&lt;MaxSolar),Q24+$M$6,MaxSolar)),IF(OR(Q24&gt;=MaxSolar,Q24=""),"",IF(AND(Q24&lt;MaxSolar,Q24+$M$15&lt;MaxSolar),Q24+$M$15,MaxSolar)))</f>
        <v>6900</v>
      </c>
      <c r="R25" s="161">
        <f>IF(OR('Event Tracker'!$B$20=1,'Event Tracker'!$B$21=1,),IF(OR(R24&gt;=MaxWind,R24=""),"",IF(AND(R24&lt;MaxWind,R24+$M$7&lt;MaxWind),R24+$M$7,MaxWind)),IF(OR(R24&gt;=MaxWind,R24=""),"",IF(AND(R24&lt;MaxWind,R24+$M$16&lt;MaxWind),R24+$M$16,MaxWind)))</f>
        <v>6900</v>
      </c>
      <c r="S25" s="161" t="str">
        <f>IF(OR('Event Tracker'!$B$20=1,'Event Tracker'!$B$21=1,),IF(OR(S24&gt;=MaxHydro,S24=""),"",IF(AND(S24&lt;MaxHydro,S24+$M$8&lt;MaxHydro),S24+$M$8,MaxHydro)),IF(OR(S24&gt;=MaxHydro,S24=""),"",IF(AND(S24&lt;MaxHydro,S24+$M$17&lt;MaxHydro),S24+$M$17,MaxHydro)))</f>
        <v/>
      </c>
      <c r="T25" s="161">
        <f>IF(OR('Event Tracker'!$B$20=1,'Event Tracker'!$B$21=1,),IF(OR(T24&gt;=MaxEE,T24=""),"",IF(AND(T24&lt;MaxEE,T24+$M$9&lt;MaxEE),T24+$M$9,MaxEE)),IF(OR(T24&gt;=MaxEE,T24=""),"",IF(AND(T24&lt;MaxEE,T24+$M$18&lt;MaxEE),T24+$M$18,MaxEE)))</f>
        <v>6900</v>
      </c>
      <c r="U25" s="161">
        <f>IF(OR('Event Tracker'!$B$20=1,'Event Tracker'!$B$21=1,),IF(OR(U24&gt;=MaxSolarDistributed,U24=""),"",IF(AND(U24&lt;MaxSolarDistributed,U24+$M$10&lt;MaxSolarDistributed),U24+$M$10,MaxSolarDistributed)),IF(OR(U24&gt;=MaxSolarDistributed,U24=""),"",IF(AND(U24&lt;MaxSolarDistributed,U24+$M$19&lt;MaxSolarDistributed),U24+$M$19,MaxSolarDistributed)))</f>
        <v>1150</v>
      </c>
      <c r="W25" s="165">
        <f t="shared" si="0"/>
        <v>1150</v>
      </c>
      <c r="X25" s="165" t="str">
        <f t="shared" si="1"/>
        <v/>
      </c>
      <c r="Y25" s="165" t="str">
        <f t="shared" si="2"/>
        <v/>
      </c>
      <c r="Z25" s="165" t="str">
        <f t="shared" si="3"/>
        <v/>
      </c>
      <c r="AA25" s="165" t="str">
        <f t="shared" si="4"/>
        <v/>
      </c>
      <c r="AB25" s="165" t="str">
        <f t="shared" si="5"/>
        <v/>
      </c>
    </row>
    <row r="26" spans="12:28" x14ac:dyDescent="0.25">
      <c r="L26" s="140" t="s">
        <v>361</v>
      </c>
      <c r="M26" s="142">
        <v>500</v>
      </c>
      <c r="N26" s="161" t="str">
        <f>IF(OR('Event Tracker'!$B$20=1,'Event Tracker'!$B$21=1,),IF(OR(N25&gt;=MaxCoal,N25=""),"",IF(AND(N25&lt;MaxCoal,N25+$M$3&lt;MaxCoal),N25+$M$3,MaxCoal)),IF(OR(N25&gt;=MaxCoal,N25=""),"",IF(AND(N25&lt;MaxCoal,N25+$M$12&lt;MaxCoal),N25+$M$12,MaxCoal)))</f>
        <v/>
      </c>
      <c r="O26" s="161">
        <f>IF(OR('Event Tracker'!$B$20=1,'Event Tracker'!$B$21=1,),IF(OR(O25&gt;=MaxNatGas,O25=""),"",IF(AND(O25&lt;MaxNatGas,O25+$M$4&lt;MaxNatGas),O25+$M$4,MaxNatGas)),IF(OR(O25&gt;=MaxNatGas,O25=""),"",IF(AND(O25&lt;MaxNatGas,O25+$M$13&lt;MaxNatGas),O25+$M$13,MaxNatGas)))</f>
        <v>120000</v>
      </c>
      <c r="P26" s="161" t="str">
        <f>IF(OR('Event Tracker'!$B$20=1,'Event Tracker'!$B$21=1,),IF(OR(P25&gt;=MaxNuclear,P25=""),"",IF(AND(P25&lt;MaxNuclear,P25+$M$5&lt;MaxNuclear),P25+$M$5,MaxNuclear)),IF(OR(P25&gt;=MaxNuclear,P25=""),"",IF(AND(P25&lt;MaxNuclear,P25+$M$14&lt;MaxNuclear),P25+$M$14,MaxNuclear)))</f>
        <v/>
      </c>
      <c r="Q26" s="161">
        <f>IF(OR('Event Tracker'!$B$20=1,'Event Tracker'!$B$21=1,),IF(OR(Q25&gt;=MaxSolar,Q25=""),"",IF(AND(Q25&lt;MaxSolar,Q25+$M$6&lt;MaxSolar),Q25+$M$6,MaxSolar)),IF(OR(Q25&gt;=MaxSolar,Q25=""),"",IF(AND(Q25&lt;MaxSolar,Q25+$M$15&lt;MaxSolar),Q25+$M$15,MaxSolar)))</f>
        <v>7200</v>
      </c>
      <c r="R26" s="161">
        <f>IF(OR('Event Tracker'!$B$20=1,'Event Tracker'!$B$21=1,),IF(OR(R25&gt;=MaxWind,R25=""),"",IF(AND(R25&lt;MaxWind,R25+$M$7&lt;MaxWind),R25+$M$7,MaxWind)),IF(OR(R25&gt;=MaxWind,R25=""),"",IF(AND(R25&lt;MaxWind,R25+$M$16&lt;MaxWind),R25+$M$16,MaxWind)))</f>
        <v>7200</v>
      </c>
      <c r="S26" s="161" t="str">
        <f>IF(OR('Event Tracker'!$B$20=1,'Event Tracker'!$B$21=1,),IF(OR(S25&gt;=MaxHydro,S25=""),"",IF(AND(S25&lt;MaxHydro,S25+$M$8&lt;MaxHydro),S25+$M$8,MaxHydro)),IF(OR(S25&gt;=MaxHydro,S25=""),"",IF(AND(S25&lt;MaxHydro,S25+$M$17&lt;MaxHydro),S25+$M$17,MaxHydro)))</f>
        <v/>
      </c>
      <c r="T26" s="161">
        <f>IF(OR('Event Tracker'!$B$20=1,'Event Tracker'!$B$21=1,),IF(OR(T25&gt;=MaxEE,T25=""),"",IF(AND(T25&lt;MaxEE,T25+$M$9&lt;MaxEE),T25+$M$9,MaxEE)),IF(OR(T25&gt;=MaxEE,T25=""),"",IF(AND(T25&lt;MaxEE,T25+$M$18&lt;MaxEE),T25+$M$18,MaxEE)))</f>
        <v>7200</v>
      </c>
      <c r="U26" s="161">
        <f>IF(OR('Event Tracker'!$B$20=1,'Event Tracker'!$B$21=1,),IF(OR(U25&gt;=MaxSolarDistributed,U25=""),"",IF(AND(U25&lt;MaxSolarDistributed,U25+$M$10&lt;MaxSolarDistributed),U25+$M$10,MaxSolarDistributed)),IF(OR(U25&gt;=MaxSolarDistributed,U25=""),"",IF(AND(U25&lt;MaxSolarDistributed,U25+$M$19&lt;MaxSolarDistributed),U25+$M$19,MaxSolarDistributed)))</f>
        <v>1200</v>
      </c>
      <c r="W26" s="165">
        <f t="shared" si="0"/>
        <v>1200</v>
      </c>
      <c r="X26" s="165" t="str">
        <f t="shared" si="1"/>
        <v/>
      </c>
      <c r="Y26" s="165" t="str">
        <f t="shared" si="2"/>
        <v/>
      </c>
      <c r="Z26" s="165" t="str">
        <f t="shared" si="3"/>
        <v/>
      </c>
      <c r="AA26" s="165" t="str">
        <f t="shared" si="4"/>
        <v/>
      </c>
      <c r="AB26" s="165" t="str">
        <f t="shared" si="5"/>
        <v/>
      </c>
    </row>
    <row r="27" spans="12:28" x14ac:dyDescent="0.25">
      <c r="N27" s="161" t="str">
        <f>IF(OR('Event Tracker'!$B$20=1,'Event Tracker'!$B$21=1,),IF(OR(N26&gt;=MaxCoal,N26=""),"",IF(AND(N26&lt;MaxCoal,N26+$M$3&lt;MaxCoal),N26+$M$3,MaxCoal)),IF(OR(N26&gt;=MaxCoal,N26=""),"",IF(AND(N26&lt;MaxCoal,N26+$M$12&lt;MaxCoal),N26+$M$12,MaxCoal)))</f>
        <v/>
      </c>
      <c r="O27" s="161">
        <f>IF(OR('Event Tracker'!$B$20=1,'Event Tracker'!$B$21=1,),IF(OR(O26&gt;=MaxNatGas,O26=""),"",IF(AND(O26&lt;MaxNatGas,O26+$M$4&lt;MaxNatGas),O26+$M$4,MaxNatGas)),IF(OR(O26&gt;=MaxNatGas,O26=""),"",IF(AND(O26&lt;MaxNatGas,O26+$M$13&lt;MaxNatGas),O26+$M$13,MaxNatGas)))</f>
        <v>125000</v>
      </c>
      <c r="P27" s="161" t="str">
        <f>IF(OR('Event Tracker'!$B$20=1,'Event Tracker'!$B$21=1,),IF(OR(P26&gt;=MaxNuclear,P26=""),"",IF(AND(P26&lt;MaxNuclear,P26+$M$5&lt;MaxNuclear),P26+$M$5,MaxNuclear)),IF(OR(P26&gt;=MaxNuclear,P26=""),"",IF(AND(P26&lt;MaxNuclear,P26+$M$14&lt;MaxNuclear),P26+$M$14,MaxNuclear)))</f>
        <v/>
      </c>
      <c r="Q27" s="161">
        <f>IF(OR('Event Tracker'!$B$20=1,'Event Tracker'!$B$21=1,),IF(OR(Q26&gt;=MaxSolar,Q26=""),"",IF(AND(Q26&lt;MaxSolar,Q26+$M$6&lt;MaxSolar),Q26+$M$6,MaxSolar)),IF(OR(Q26&gt;=MaxSolar,Q26=""),"",IF(AND(Q26&lt;MaxSolar,Q26+$M$15&lt;MaxSolar),Q26+$M$15,MaxSolar)))</f>
        <v>7500</v>
      </c>
      <c r="R27" s="161">
        <f>IF(OR('Event Tracker'!$B$20=1,'Event Tracker'!$B$21=1,),IF(OR(R26&gt;=MaxWind,R26=""),"",IF(AND(R26&lt;MaxWind,R26+$M$7&lt;MaxWind),R26+$M$7,MaxWind)),IF(OR(R26&gt;=MaxWind,R26=""),"",IF(AND(R26&lt;MaxWind,R26+$M$16&lt;MaxWind),R26+$M$16,MaxWind)))</f>
        <v>7500</v>
      </c>
      <c r="S27" s="161" t="str">
        <f>IF(OR('Event Tracker'!$B$20=1,'Event Tracker'!$B$21=1,),IF(OR(S26&gt;=MaxHydro,S26=""),"",IF(AND(S26&lt;MaxHydro,S26+$M$8&lt;MaxHydro),S26+$M$8,MaxHydro)),IF(OR(S26&gt;=MaxHydro,S26=""),"",IF(AND(S26&lt;MaxHydro,S26+$M$17&lt;MaxHydro),S26+$M$17,MaxHydro)))</f>
        <v/>
      </c>
      <c r="T27" s="161">
        <f>IF(OR('Event Tracker'!$B$20=1,'Event Tracker'!$B$21=1,),IF(OR(T26&gt;=MaxEE,T26=""),"",IF(AND(T26&lt;MaxEE,T26+$M$9&lt;MaxEE),T26+$M$9,MaxEE)),IF(OR(T26&gt;=MaxEE,T26=""),"",IF(AND(T26&lt;MaxEE,T26+$M$18&lt;MaxEE),T26+$M$18,MaxEE)))</f>
        <v>7500</v>
      </c>
      <c r="U27" s="161">
        <f>IF(OR('Event Tracker'!$B$20=1,'Event Tracker'!$B$21=1,),IF(OR(U26&gt;=MaxSolarDistributed,U26=""),"",IF(AND(U26&lt;MaxSolarDistributed,U26+$M$10&lt;MaxSolarDistributed),U26+$M$10,MaxSolarDistributed)),IF(OR(U26&gt;=MaxSolarDistributed,U26=""),"",IF(AND(U26&lt;MaxSolarDistributed,U26+$M$19&lt;MaxSolarDistributed),U26+$M$19,MaxSolarDistributed)))</f>
        <v>1250</v>
      </c>
      <c r="W27" s="165" t="str">
        <f t="shared" si="0"/>
        <v/>
      </c>
      <c r="X27" s="165" t="str">
        <f t="shared" si="1"/>
        <v/>
      </c>
      <c r="Y27" s="165" t="str">
        <f t="shared" si="2"/>
        <v/>
      </c>
      <c r="Z27" s="165" t="str">
        <f t="shared" si="3"/>
        <v/>
      </c>
      <c r="AA27" s="165" t="str">
        <f t="shared" si="4"/>
        <v/>
      </c>
      <c r="AB27" s="165" t="str">
        <f t="shared" si="5"/>
        <v/>
      </c>
    </row>
    <row r="28" spans="12:28" x14ac:dyDescent="0.25">
      <c r="N28" s="161" t="str">
        <f>IF(OR('Event Tracker'!$B$20=1,'Event Tracker'!$B$21=1,),IF(OR(N27&gt;=MaxCoal,N27=""),"",IF(AND(N27&lt;MaxCoal,N27+$M$3&lt;MaxCoal),N27+$M$3,MaxCoal)),IF(OR(N27&gt;=MaxCoal,N27=""),"",IF(AND(N27&lt;MaxCoal,N27+$M$12&lt;MaxCoal),N27+$M$12,MaxCoal)))</f>
        <v/>
      </c>
      <c r="O28" s="161">
        <f>IF(OR('Event Tracker'!$B$20=1,'Event Tracker'!$B$21=1,),IF(OR(O27&gt;=MaxNatGas,O27=""),"",IF(AND(O27&lt;MaxNatGas,O27+$M$4&lt;MaxNatGas),O27+$M$4,MaxNatGas)),IF(OR(O27&gt;=MaxNatGas,O27=""),"",IF(AND(O27&lt;MaxNatGas,O27+$M$13&lt;MaxNatGas),O27+$M$13,MaxNatGas)))</f>
        <v>130000</v>
      </c>
      <c r="P28" s="161" t="str">
        <f>IF(OR('Event Tracker'!$B$20=1,'Event Tracker'!$B$21=1,),IF(OR(P27&gt;=MaxNuclear,P27=""),"",IF(AND(P27&lt;MaxNuclear,P27+$M$5&lt;MaxNuclear),P27+$M$5,MaxNuclear)),IF(OR(P27&gt;=MaxNuclear,P27=""),"",IF(AND(P27&lt;MaxNuclear,P27+$M$14&lt;MaxNuclear),P27+$M$14,MaxNuclear)))</f>
        <v/>
      </c>
      <c r="Q28" s="161">
        <f>IF(OR('Event Tracker'!$B$20=1,'Event Tracker'!$B$21=1,),IF(OR(Q27&gt;=MaxSolar,Q27=""),"",IF(AND(Q27&lt;MaxSolar,Q27+$M$6&lt;MaxSolar),Q27+$M$6,MaxSolar)),IF(OR(Q27&gt;=MaxSolar,Q27=""),"",IF(AND(Q27&lt;MaxSolar,Q27+$M$15&lt;MaxSolar),Q27+$M$15,MaxSolar)))</f>
        <v>7800</v>
      </c>
      <c r="R28" s="161">
        <f>IF(OR('Event Tracker'!$B$20=1,'Event Tracker'!$B$21=1,),IF(OR(R27&gt;=MaxWind,R27=""),"",IF(AND(R27&lt;MaxWind,R27+$M$7&lt;MaxWind),R27+$M$7,MaxWind)),IF(OR(R27&gt;=MaxWind,R27=""),"",IF(AND(R27&lt;MaxWind,R27+$M$16&lt;MaxWind),R27+$M$16,MaxWind)))</f>
        <v>7800</v>
      </c>
      <c r="S28" s="161" t="str">
        <f>IF(OR('Event Tracker'!$B$20=1,'Event Tracker'!$B$21=1,),IF(OR(S27&gt;=MaxHydro,S27=""),"",IF(AND(S27&lt;MaxHydro,S27+$M$8&lt;MaxHydro),S27+$M$8,MaxHydro)),IF(OR(S27&gt;=MaxHydro,S27=""),"",IF(AND(S27&lt;MaxHydro,S27+$M$17&lt;MaxHydro),S27+$M$17,MaxHydro)))</f>
        <v/>
      </c>
      <c r="T28" s="161">
        <f>IF(OR('Event Tracker'!$B$20=1,'Event Tracker'!$B$21=1,),IF(OR(T27&gt;=MaxEE,T27=""),"",IF(AND(T27&lt;MaxEE,T27+$M$9&lt;MaxEE),T27+$M$9,MaxEE)),IF(OR(T27&gt;=MaxEE,T27=""),"",IF(AND(T27&lt;MaxEE,T27+$M$18&lt;MaxEE),T27+$M$18,MaxEE)))</f>
        <v>7800</v>
      </c>
      <c r="U28" s="161">
        <f>IF(OR('Event Tracker'!$B$20=1,'Event Tracker'!$B$21=1,),IF(OR(U27&gt;=MaxSolarDistributed,U27=""),"",IF(AND(U27&lt;MaxSolarDistributed,U27+$M$10&lt;MaxSolarDistributed),U27+$M$10,MaxSolarDistributed)),IF(OR(U27&gt;=MaxSolarDistributed,U27=""),"",IF(AND(U27&lt;MaxSolarDistributed,U27+$M$19&lt;MaxSolarDistributed),U27+$M$19,MaxSolarDistributed)))</f>
        <v>1300</v>
      </c>
      <c r="W28" s="165" t="str">
        <f t="shared" si="0"/>
        <v/>
      </c>
      <c r="X28" s="165" t="str">
        <f t="shared" si="1"/>
        <v/>
      </c>
      <c r="Y28" s="165" t="str">
        <f t="shared" si="2"/>
        <v/>
      </c>
      <c r="Z28" s="165" t="str">
        <f t="shared" si="3"/>
        <v/>
      </c>
      <c r="AA28" s="165" t="str">
        <f t="shared" si="4"/>
        <v/>
      </c>
      <c r="AB28" s="165" t="str">
        <f t="shared" si="5"/>
        <v/>
      </c>
    </row>
    <row r="29" spans="12:28" x14ac:dyDescent="0.25">
      <c r="N29" s="161" t="str">
        <f>IF(OR('Event Tracker'!$B$20=1,'Event Tracker'!$B$21=1,),IF(OR(N28&gt;=MaxCoal,N28=""),"",IF(AND(N28&lt;MaxCoal,N28+$M$3&lt;MaxCoal),N28+$M$3,MaxCoal)),IF(OR(N28&gt;=MaxCoal,N28=""),"",IF(AND(N28&lt;MaxCoal,N28+$M$12&lt;MaxCoal),N28+$M$12,MaxCoal)))</f>
        <v/>
      </c>
      <c r="O29" s="161">
        <f>IF(OR('Event Tracker'!$B$20=1,'Event Tracker'!$B$21=1,),IF(OR(O28&gt;=MaxNatGas,O28=""),"",IF(AND(O28&lt;MaxNatGas,O28+$M$4&lt;MaxNatGas),O28+$M$4,MaxNatGas)),IF(OR(O28&gt;=MaxNatGas,O28=""),"",IF(AND(O28&lt;MaxNatGas,O28+$M$13&lt;MaxNatGas),O28+$M$13,MaxNatGas)))</f>
        <v>135000</v>
      </c>
      <c r="P29" s="161" t="str">
        <f>IF(OR('Event Tracker'!$B$20=1,'Event Tracker'!$B$21=1,),IF(OR(P28&gt;=MaxNuclear,P28=""),"",IF(AND(P28&lt;MaxNuclear,P28+$M$5&lt;MaxNuclear),P28+$M$5,MaxNuclear)),IF(OR(P28&gt;=MaxNuclear,P28=""),"",IF(AND(P28&lt;MaxNuclear,P28+$M$14&lt;MaxNuclear),P28+$M$14,MaxNuclear)))</f>
        <v/>
      </c>
      <c r="Q29" s="161">
        <f>IF(OR('Event Tracker'!$B$20=1,'Event Tracker'!$B$21=1,),IF(OR(Q28&gt;=MaxSolar,Q28=""),"",IF(AND(Q28&lt;MaxSolar,Q28+$M$6&lt;MaxSolar),Q28+$M$6,MaxSolar)),IF(OR(Q28&gt;=MaxSolar,Q28=""),"",IF(AND(Q28&lt;MaxSolar,Q28+$M$15&lt;MaxSolar),Q28+$M$15,MaxSolar)))</f>
        <v>7846.6927381985433</v>
      </c>
      <c r="R29" s="161">
        <f>IF(OR('Event Tracker'!$B$20=1,'Event Tracker'!$B$21=1,),IF(OR(R28&gt;=MaxWind,R28=""),"",IF(AND(R28&lt;MaxWind,R28+$M$7&lt;MaxWind),R28+$M$7,MaxWind)),IF(OR(R28&gt;=MaxWind,R28=""),"",IF(AND(R28&lt;MaxWind,R28+$M$16&lt;MaxWind),R28+$M$16,MaxWind)))</f>
        <v>8100</v>
      </c>
      <c r="S29" s="161" t="str">
        <f>IF(OR('Event Tracker'!$B$20=1,'Event Tracker'!$B$21=1,),IF(OR(S28&gt;=MaxHydro,S28=""),"",IF(AND(S28&lt;MaxHydro,S28+$M$8&lt;MaxHydro),S28+$M$8,MaxHydro)),IF(OR(S28&gt;=MaxHydro,S28=""),"",IF(AND(S28&lt;MaxHydro,S28+$M$17&lt;MaxHydro),S28+$M$17,MaxHydro)))</f>
        <v/>
      </c>
      <c r="T29" s="161">
        <f>IF(OR('Event Tracker'!$B$20=1,'Event Tracker'!$B$21=1,),IF(OR(T28&gt;=MaxEE,T28=""),"",IF(AND(T28&lt;MaxEE,T28+$M$9&lt;MaxEE),T28+$M$9,MaxEE)),IF(OR(T28&gt;=MaxEE,T28=""),"",IF(AND(T28&lt;MaxEE,T28+$M$18&lt;MaxEE),T28+$M$18,MaxEE)))</f>
        <v>8100</v>
      </c>
      <c r="U29" s="161">
        <f>IF(OR('Event Tracker'!$B$20=1,'Event Tracker'!$B$21=1,),IF(OR(U28&gt;=MaxSolarDistributed,U28=""),"",IF(AND(U28&lt;MaxSolarDistributed,U28+$M$10&lt;MaxSolarDistributed),U28+$M$10,MaxSolarDistributed)),IF(OR(U28&gt;=MaxSolarDistributed,U28=""),"",IF(AND(U28&lt;MaxSolarDistributed,U28+$M$19&lt;MaxSolarDistributed),U28+$M$19,MaxSolarDistributed)))</f>
        <v>1350</v>
      </c>
      <c r="W29" s="165" t="str">
        <f t="shared" si="0"/>
        <v/>
      </c>
      <c r="X29" s="165" t="str">
        <f t="shared" si="1"/>
        <v/>
      </c>
      <c r="Y29" s="165" t="str">
        <f t="shared" si="2"/>
        <v/>
      </c>
      <c r="Z29" s="165" t="str">
        <f t="shared" si="3"/>
        <v/>
      </c>
      <c r="AA29" s="165" t="str">
        <f t="shared" si="4"/>
        <v/>
      </c>
      <c r="AB29" s="165" t="str">
        <f t="shared" si="5"/>
        <v/>
      </c>
    </row>
    <row r="30" spans="12:28" x14ac:dyDescent="0.25">
      <c r="N30" s="161" t="str">
        <f>IF(OR('Event Tracker'!$B$20=1,'Event Tracker'!$B$21=1,),IF(OR(N29&gt;=MaxCoal,N29=""),"",IF(AND(N29&lt;MaxCoal,N29+$M$3&lt;MaxCoal),N29+$M$3,MaxCoal)),IF(OR(N29&gt;=MaxCoal,N29=""),"",IF(AND(N29&lt;MaxCoal,N29+$M$12&lt;MaxCoal),N29+$M$12,MaxCoal)))</f>
        <v/>
      </c>
      <c r="O30" s="161">
        <f>IF(OR('Event Tracker'!$B$20=1,'Event Tracker'!$B$21=1,),IF(OR(O29&gt;=MaxNatGas,O29=""),"",IF(AND(O29&lt;MaxNatGas,O29+$M$4&lt;MaxNatGas),O29+$M$4,MaxNatGas)),IF(OR(O29&gt;=MaxNatGas,O29=""),"",IF(AND(O29&lt;MaxNatGas,O29+$M$13&lt;MaxNatGas),O29+$M$13,MaxNatGas)))</f>
        <v>140000</v>
      </c>
      <c r="P30" s="161" t="str">
        <f>IF(OR('Event Tracker'!$B$20=1,'Event Tracker'!$B$21=1,),IF(OR(P29&gt;=MaxNuclear,P29=""),"",IF(AND(P29&lt;MaxNuclear,P29+$M$5&lt;MaxNuclear),P29+$M$5,MaxNuclear)),IF(OR(P29&gt;=MaxNuclear,P29=""),"",IF(AND(P29&lt;MaxNuclear,P29+$M$14&lt;MaxNuclear),P29+$M$14,MaxNuclear)))</f>
        <v/>
      </c>
      <c r="Q30" s="161" t="str">
        <f>IF(OR('Event Tracker'!$B$20=1,'Event Tracker'!$B$21=1,),IF(OR(Q29&gt;=MaxSolar,Q29=""),"",IF(AND(Q29&lt;MaxSolar,Q29+$M$6&lt;MaxSolar),Q29+$M$6,MaxSolar)),IF(OR(Q29&gt;=MaxSolar,Q29=""),"",IF(AND(Q29&lt;MaxSolar,Q29+$M$15&lt;MaxSolar),Q29+$M$15,MaxSolar)))</f>
        <v/>
      </c>
      <c r="R30" s="161">
        <f>IF(OR('Event Tracker'!$B$20=1,'Event Tracker'!$B$21=1,),IF(OR(R29&gt;=MaxWind,R29=""),"",IF(AND(R29&lt;MaxWind,R29+$M$7&lt;MaxWind),R29+$M$7,MaxWind)),IF(OR(R29&gt;=MaxWind,R29=""),"",IF(AND(R29&lt;MaxWind,R29+$M$16&lt;MaxWind),R29+$M$16,MaxWind)))</f>
        <v>8400</v>
      </c>
      <c r="S30" s="161" t="str">
        <f>IF(OR('Event Tracker'!$B$20=1,'Event Tracker'!$B$21=1,),IF(OR(S29&gt;=MaxHydro,S29=""),"",IF(AND(S29&lt;MaxHydro,S29+$M$8&lt;MaxHydro),S29+$M$8,MaxHydro)),IF(OR(S29&gt;=MaxHydro,S29=""),"",IF(AND(S29&lt;MaxHydro,S29+$M$17&lt;MaxHydro),S29+$M$17,MaxHydro)))</f>
        <v/>
      </c>
      <c r="T30" s="161">
        <f>IF(OR('Event Tracker'!$B$20=1,'Event Tracker'!$B$21=1,),IF(OR(T29&gt;=MaxEE,T29=""),"",IF(AND(T29&lt;MaxEE,T29+$M$9&lt;MaxEE),T29+$M$9,MaxEE)),IF(OR(T29&gt;=MaxEE,T29=""),"",IF(AND(T29&lt;MaxEE,T29+$M$18&lt;MaxEE),T29+$M$18,MaxEE)))</f>
        <v>8400</v>
      </c>
      <c r="U30" s="161">
        <f>IF(OR('Event Tracker'!$B$20=1,'Event Tracker'!$B$21=1,),IF(OR(U29&gt;=MaxSolarDistributed,U29=""),"",IF(AND(U29&lt;MaxSolarDistributed,U29+$M$10&lt;MaxSolarDistributed),U29+$M$10,MaxSolarDistributed)),IF(OR(U29&gt;=MaxSolarDistributed,U29=""),"",IF(AND(U29&lt;MaxSolarDistributed,U29+$M$19&lt;MaxSolarDistributed),U29+$M$19,MaxSolarDistributed)))</f>
        <v>1400</v>
      </c>
      <c r="W30" s="165" t="str">
        <f t="shared" si="0"/>
        <v/>
      </c>
      <c r="X30" s="165" t="str">
        <f t="shared" si="1"/>
        <v/>
      </c>
      <c r="Y30" s="165" t="str">
        <f t="shared" si="2"/>
        <v/>
      </c>
      <c r="Z30" s="165" t="str">
        <f t="shared" si="3"/>
        <v/>
      </c>
      <c r="AA30" s="165" t="str">
        <f t="shared" si="4"/>
        <v/>
      </c>
      <c r="AB30" s="165" t="str">
        <f t="shared" si="5"/>
        <v/>
      </c>
    </row>
    <row r="31" spans="12:28" x14ac:dyDescent="0.25">
      <c r="N31" s="161" t="str">
        <f>IF(OR('Event Tracker'!$B$20=1,'Event Tracker'!$B$21=1,),IF(OR(N30&gt;=MaxCoal,N30=""),"",IF(AND(N30&lt;MaxCoal,N30+$M$3&lt;MaxCoal),N30+$M$3,MaxCoal)),IF(OR(N30&gt;=MaxCoal,N30=""),"",IF(AND(N30&lt;MaxCoal,N30+$M$12&lt;MaxCoal),N30+$M$12,MaxCoal)))</f>
        <v/>
      </c>
      <c r="O31" s="161">
        <f>IF(OR('Event Tracker'!$B$20=1,'Event Tracker'!$B$21=1,),IF(OR(O30&gt;=MaxNatGas,O30=""),"",IF(AND(O30&lt;MaxNatGas,O30+$M$4&lt;MaxNatGas),O30+$M$4,MaxNatGas)),IF(OR(O30&gt;=MaxNatGas,O30=""),"",IF(AND(O30&lt;MaxNatGas,O30+$M$13&lt;MaxNatGas),O30+$M$13,MaxNatGas)))</f>
        <v>145000</v>
      </c>
      <c r="P31" s="161" t="str">
        <f>IF(OR('Event Tracker'!$B$20=1,'Event Tracker'!$B$21=1,),IF(OR(P30&gt;=MaxNuclear,P30=""),"",IF(AND(P30&lt;MaxNuclear,P30+$M$5&lt;MaxNuclear),P30+$M$5,MaxNuclear)),IF(OR(P30&gt;=MaxNuclear,P30=""),"",IF(AND(P30&lt;MaxNuclear,P30+$M$14&lt;MaxNuclear),P30+$M$14,MaxNuclear)))</f>
        <v/>
      </c>
      <c r="Q31" s="161" t="str">
        <f>IF(OR('Event Tracker'!$B$20=1,'Event Tracker'!$B$21=1,),IF(OR(Q30&gt;=MaxSolar,Q30=""),"",IF(AND(Q30&lt;MaxSolar,Q30+$M$6&lt;MaxSolar),Q30+$M$6,MaxSolar)),IF(OR(Q30&gt;=MaxSolar,Q30=""),"",IF(AND(Q30&lt;MaxSolar,Q30+$M$15&lt;MaxSolar),Q30+$M$15,MaxSolar)))</f>
        <v/>
      </c>
      <c r="R31" s="161">
        <f>IF(OR('Event Tracker'!$B$20=1,'Event Tracker'!$B$21=1,),IF(OR(R30&gt;=MaxWind,R30=""),"",IF(AND(R30&lt;MaxWind,R30+$M$7&lt;MaxWind),R30+$M$7,MaxWind)),IF(OR(R30&gt;=MaxWind,R30=""),"",IF(AND(R30&lt;MaxWind,R30+$M$16&lt;MaxWind),R30+$M$16,MaxWind)))</f>
        <v>8700</v>
      </c>
      <c r="S31" s="161" t="str">
        <f>IF(OR('Event Tracker'!$B$20=1,'Event Tracker'!$B$21=1,),IF(OR(S30&gt;=MaxHydro,S30=""),"",IF(AND(S30&lt;MaxHydro,S30+$M$8&lt;MaxHydro),S30+$M$8,MaxHydro)),IF(OR(S30&gt;=MaxHydro,S30=""),"",IF(AND(S30&lt;MaxHydro,S30+$M$17&lt;MaxHydro),S30+$M$17,MaxHydro)))</f>
        <v/>
      </c>
      <c r="T31" s="161">
        <f>IF(OR('Event Tracker'!$B$20=1,'Event Tracker'!$B$21=1,),IF(OR(T30&gt;=MaxEE,T30=""),"",IF(AND(T30&lt;MaxEE,T30+$M$9&lt;MaxEE),T30+$M$9,MaxEE)),IF(OR(T30&gt;=MaxEE,T30=""),"",IF(AND(T30&lt;MaxEE,T30+$M$18&lt;MaxEE),T30+$M$18,MaxEE)))</f>
        <v>8700</v>
      </c>
      <c r="U31" s="161">
        <f>IF(OR('Event Tracker'!$B$20=1,'Event Tracker'!$B$21=1,),IF(OR(U30&gt;=MaxSolarDistributed,U30=""),"",IF(AND(U30&lt;MaxSolarDistributed,U30+$M$10&lt;MaxSolarDistributed),U30+$M$10,MaxSolarDistributed)),IF(OR(U30&gt;=MaxSolarDistributed,U30=""),"",IF(AND(U30&lt;MaxSolarDistributed,U30+$M$19&lt;MaxSolarDistributed),U30+$M$19,MaxSolarDistributed)))</f>
        <v>1450</v>
      </c>
      <c r="W31" s="165" t="str">
        <f t="shared" si="0"/>
        <v/>
      </c>
      <c r="X31" s="165" t="str">
        <f t="shared" si="1"/>
        <v/>
      </c>
      <c r="Y31" s="165" t="str">
        <f t="shared" si="2"/>
        <v/>
      </c>
      <c r="Z31" s="165" t="str">
        <f t="shared" si="3"/>
        <v/>
      </c>
      <c r="AA31" s="165" t="str">
        <f t="shared" si="4"/>
        <v/>
      </c>
      <c r="AB31" s="165" t="str">
        <f t="shared" si="5"/>
        <v/>
      </c>
    </row>
    <row r="32" spans="12:28" x14ac:dyDescent="0.25">
      <c r="N32" s="161" t="str">
        <f>IF(OR('Event Tracker'!$B$20=1,'Event Tracker'!$B$21=1,),IF(OR(N31&gt;=MaxCoal,N31=""),"",IF(AND(N31&lt;MaxCoal,N31+$M$3&lt;MaxCoal),N31+$M$3,MaxCoal)),IF(OR(N31&gt;=MaxCoal,N31=""),"",IF(AND(N31&lt;MaxCoal,N31+$M$12&lt;MaxCoal),N31+$M$12,MaxCoal)))</f>
        <v/>
      </c>
      <c r="O32" s="161">
        <f>IF(OR('Event Tracker'!$B$20=1,'Event Tracker'!$B$21=1,),IF(OR(O31&gt;=MaxNatGas,O31=""),"",IF(AND(O31&lt;MaxNatGas,O31+$M$4&lt;MaxNatGas),O31+$M$4,MaxNatGas)),IF(OR(O31&gt;=MaxNatGas,O31=""),"",IF(AND(O31&lt;MaxNatGas,O31+$M$13&lt;MaxNatGas),O31+$M$13,MaxNatGas)))</f>
        <v>150000</v>
      </c>
      <c r="P32" s="161" t="str">
        <f>IF(OR('Event Tracker'!$B$20=1,'Event Tracker'!$B$21=1,),IF(OR(P31&gt;=MaxNuclear,P31=""),"",IF(AND(P31&lt;MaxNuclear,P31+$M$5&lt;MaxNuclear),P31+$M$5,MaxNuclear)),IF(OR(P31&gt;=MaxNuclear,P31=""),"",IF(AND(P31&lt;MaxNuclear,P31+$M$14&lt;MaxNuclear),P31+$M$14,MaxNuclear)))</f>
        <v/>
      </c>
      <c r="Q32" s="161" t="str">
        <f>IF(OR('Event Tracker'!$B$20=1,'Event Tracker'!$B$21=1,),IF(OR(Q31&gt;=MaxSolar,Q31=""),"",IF(AND(Q31&lt;MaxSolar,Q31+$M$6&lt;MaxSolar),Q31+$M$6,MaxSolar)),IF(OR(Q31&gt;=MaxSolar,Q31=""),"",IF(AND(Q31&lt;MaxSolar,Q31+$M$15&lt;MaxSolar),Q31+$M$15,MaxSolar)))</f>
        <v/>
      </c>
      <c r="R32" s="161">
        <f>IF(OR('Event Tracker'!$B$20=1,'Event Tracker'!$B$21=1,),IF(OR(R31&gt;=MaxWind,R31=""),"",IF(AND(R31&lt;MaxWind,R31+$M$7&lt;MaxWind),R31+$M$7,MaxWind)),IF(OR(R31&gt;=MaxWind,R31=""),"",IF(AND(R31&lt;MaxWind,R31+$M$16&lt;MaxWind),R31+$M$16,MaxWind)))</f>
        <v>9000</v>
      </c>
      <c r="S32" s="161" t="str">
        <f>IF(OR('Event Tracker'!$B$20=1,'Event Tracker'!$B$21=1,),IF(OR(S31&gt;=MaxHydro,S31=""),"",IF(AND(S31&lt;MaxHydro,S31+$M$8&lt;MaxHydro),S31+$M$8,MaxHydro)),IF(OR(S31&gt;=MaxHydro,S31=""),"",IF(AND(S31&lt;MaxHydro,S31+$M$17&lt;MaxHydro),S31+$M$17,MaxHydro)))</f>
        <v/>
      </c>
      <c r="T32" s="161">
        <f>IF(OR('Event Tracker'!$B$20=1,'Event Tracker'!$B$21=1,),IF(OR(T31&gt;=MaxEE,T31=""),"",IF(AND(T31&lt;MaxEE,T31+$M$9&lt;MaxEE),T31+$M$9,MaxEE)),IF(OR(T31&gt;=MaxEE,T31=""),"",IF(AND(T31&lt;MaxEE,T31+$M$18&lt;MaxEE),T31+$M$18,MaxEE)))</f>
        <v>9000</v>
      </c>
      <c r="U32" s="161">
        <f>IF(OR('Event Tracker'!$B$20=1,'Event Tracker'!$B$21=1,),IF(OR(U31&gt;=MaxSolarDistributed,U31=""),"",IF(AND(U31&lt;MaxSolarDistributed,U31+$M$10&lt;MaxSolarDistributed),U31+$M$10,MaxSolarDistributed)),IF(OR(U31&gt;=MaxSolarDistributed,U31=""),"",IF(AND(U31&lt;MaxSolarDistributed,U31+$M$19&lt;MaxSolarDistributed),U31+$M$19,MaxSolarDistributed)))</f>
        <v>1500</v>
      </c>
      <c r="W32" s="165" t="str">
        <f t="shared" si="0"/>
        <v/>
      </c>
      <c r="X32" s="165" t="str">
        <f t="shared" si="1"/>
        <v/>
      </c>
      <c r="Y32" s="165" t="str">
        <f t="shared" si="2"/>
        <v/>
      </c>
      <c r="Z32" s="165" t="str">
        <f t="shared" si="3"/>
        <v/>
      </c>
      <c r="AA32" s="165" t="str">
        <f t="shared" si="4"/>
        <v/>
      </c>
      <c r="AB32" s="165" t="str">
        <f t="shared" si="5"/>
        <v/>
      </c>
    </row>
    <row r="33" spans="14:28" x14ac:dyDescent="0.25">
      <c r="N33" s="161" t="str">
        <f>IF(OR('Event Tracker'!$B$20=1,'Event Tracker'!$B$21=1,),IF(OR(N32&gt;=MaxCoal,N32=""),"",IF(AND(N32&lt;MaxCoal,N32+$M$3&lt;MaxCoal),N32+$M$3,MaxCoal)),IF(OR(N32&gt;=MaxCoal,N32=""),"",IF(AND(N32&lt;MaxCoal,N32+$M$12&lt;MaxCoal),N32+$M$12,MaxCoal)))</f>
        <v/>
      </c>
      <c r="O33" s="161">
        <f>IF(OR('Event Tracker'!$B$20=1,'Event Tracker'!$B$21=1,),IF(OR(O32&gt;=MaxNatGas,O32=""),"",IF(AND(O32&lt;MaxNatGas,O32+$M$4&lt;MaxNatGas),O32+$M$4,MaxNatGas)),IF(OR(O32&gt;=MaxNatGas,O32=""),"",IF(AND(O32&lt;MaxNatGas,O32+$M$13&lt;MaxNatGas),O32+$M$13,MaxNatGas)))</f>
        <v>155000</v>
      </c>
      <c r="P33" s="161" t="str">
        <f>IF(OR('Event Tracker'!$B$20=1,'Event Tracker'!$B$21=1,),IF(OR(P32&gt;=MaxNuclear,P32=""),"",IF(AND(P32&lt;MaxNuclear,P32+$M$5&lt;MaxNuclear),P32+$M$5,MaxNuclear)),IF(OR(P32&gt;=MaxNuclear,P32=""),"",IF(AND(P32&lt;MaxNuclear,P32+$M$14&lt;MaxNuclear),P32+$M$14,MaxNuclear)))</f>
        <v/>
      </c>
      <c r="Q33" s="161" t="str">
        <f>IF(OR('Event Tracker'!$B$20=1,'Event Tracker'!$B$21=1,),IF(OR(Q32&gt;=MaxSolar,Q32=""),"",IF(AND(Q32&lt;MaxSolar,Q32+$M$6&lt;MaxSolar),Q32+$M$6,MaxSolar)),IF(OR(Q32&gt;=MaxSolar,Q32=""),"",IF(AND(Q32&lt;MaxSolar,Q32+$M$15&lt;MaxSolar),Q32+$M$15,MaxSolar)))</f>
        <v/>
      </c>
      <c r="R33" s="161">
        <f>IF(OR('Event Tracker'!$B$20=1,'Event Tracker'!$B$21=1,),IF(OR(R32&gt;=MaxWind,R32=""),"",IF(AND(R32&lt;MaxWind,R32+$M$7&lt;MaxWind),R32+$M$7,MaxWind)),IF(OR(R32&gt;=MaxWind,R32=""),"",IF(AND(R32&lt;MaxWind,R32+$M$16&lt;MaxWind),R32+$M$16,MaxWind)))</f>
        <v>9300</v>
      </c>
      <c r="S33" s="161" t="str">
        <f>IF(OR('Event Tracker'!$B$20=1,'Event Tracker'!$B$21=1,),IF(OR(S32&gt;=MaxHydro,S32=""),"",IF(AND(S32&lt;MaxHydro,S32+$M$8&lt;MaxHydro),S32+$M$8,MaxHydro)),IF(OR(S32&gt;=MaxHydro,S32=""),"",IF(AND(S32&lt;MaxHydro,S32+$M$17&lt;MaxHydro),S32+$M$17,MaxHydro)))</f>
        <v/>
      </c>
      <c r="T33" s="161">
        <f>IF(OR('Event Tracker'!$B$20=1,'Event Tracker'!$B$21=1,),IF(OR(T32&gt;=MaxEE,T32=""),"",IF(AND(T32&lt;MaxEE,T32+$M$9&lt;MaxEE),T32+$M$9,MaxEE)),IF(OR(T32&gt;=MaxEE,T32=""),"",IF(AND(T32&lt;MaxEE,T32+$M$18&lt;MaxEE),T32+$M$18,MaxEE)))</f>
        <v>9300</v>
      </c>
      <c r="U33" s="161">
        <f>IF(OR('Event Tracker'!$B$20=1,'Event Tracker'!$B$21=1,),IF(OR(U32&gt;=MaxSolarDistributed,U32=""),"",IF(AND(U32&lt;MaxSolarDistributed,U32+$M$10&lt;MaxSolarDistributed),U32+$M$10,MaxSolarDistributed)),IF(OR(U32&gt;=MaxSolarDistributed,U32=""),"",IF(AND(U32&lt;MaxSolarDistributed,U32+$M$19&lt;MaxSolarDistributed),U32+$M$19,MaxSolarDistributed)))</f>
        <v>1550</v>
      </c>
      <c r="W33" s="165" t="str">
        <f t="shared" si="0"/>
        <v/>
      </c>
      <c r="X33" s="165" t="str">
        <f t="shared" si="1"/>
        <v/>
      </c>
      <c r="Y33" s="165" t="str">
        <f t="shared" si="2"/>
        <v/>
      </c>
      <c r="Z33" s="165" t="str">
        <f t="shared" si="3"/>
        <v/>
      </c>
      <c r="AA33" s="165" t="str">
        <f t="shared" si="4"/>
        <v/>
      </c>
      <c r="AB33" s="165" t="str">
        <f t="shared" si="5"/>
        <v/>
      </c>
    </row>
    <row r="34" spans="14:28" x14ac:dyDescent="0.25">
      <c r="N34" s="161" t="str">
        <f>IF(OR('Event Tracker'!$B$20=1,'Event Tracker'!$B$21=1,),IF(OR(N33&gt;=MaxCoal,N33=""),"",IF(AND(N33&lt;MaxCoal,N33+$M$3&lt;MaxCoal),N33+$M$3,MaxCoal)),IF(OR(N33&gt;=MaxCoal,N33=""),"",IF(AND(N33&lt;MaxCoal,N33+$M$12&lt;MaxCoal),N33+$M$12,MaxCoal)))</f>
        <v/>
      </c>
      <c r="O34" s="161">
        <f>IF(OR('Event Tracker'!$B$20=1,'Event Tracker'!$B$21=1,),IF(OR(O33&gt;=MaxNatGas,O33=""),"",IF(AND(O33&lt;MaxNatGas,O33+$M$4&lt;MaxNatGas),O33+$M$4,MaxNatGas)),IF(OR(O33&gt;=MaxNatGas,O33=""),"",IF(AND(O33&lt;MaxNatGas,O33+$M$13&lt;MaxNatGas),O33+$M$13,MaxNatGas)))</f>
        <v>160000</v>
      </c>
      <c r="P34" s="161" t="str">
        <f>IF(OR('Event Tracker'!$B$20=1,'Event Tracker'!$B$21=1,),IF(OR(P33&gt;=MaxNuclear,P33=""),"",IF(AND(P33&lt;MaxNuclear,P33+$M$5&lt;MaxNuclear),P33+$M$5,MaxNuclear)),IF(OR(P33&gt;=MaxNuclear,P33=""),"",IF(AND(P33&lt;MaxNuclear,P33+$M$14&lt;MaxNuclear),P33+$M$14,MaxNuclear)))</f>
        <v/>
      </c>
      <c r="Q34" s="161" t="str">
        <f>IF(OR('Event Tracker'!$B$20=1,'Event Tracker'!$B$21=1,),IF(OR(Q33&gt;=MaxSolar,Q33=""),"",IF(AND(Q33&lt;MaxSolar,Q33+$M$6&lt;MaxSolar),Q33+$M$6,MaxSolar)),IF(OR(Q33&gt;=MaxSolar,Q33=""),"",IF(AND(Q33&lt;MaxSolar,Q33+$M$15&lt;MaxSolar),Q33+$M$15,MaxSolar)))</f>
        <v/>
      </c>
      <c r="R34" s="161">
        <f>IF(OR('Event Tracker'!$B$20=1,'Event Tracker'!$B$21=1,),IF(OR(R33&gt;=MaxWind,R33=""),"",IF(AND(R33&lt;MaxWind,R33+$M$7&lt;MaxWind),R33+$M$7,MaxWind)),IF(OR(R33&gt;=MaxWind,R33=""),"",IF(AND(R33&lt;MaxWind,R33+$M$16&lt;MaxWind),R33+$M$16,MaxWind)))</f>
        <v>9600</v>
      </c>
      <c r="S34" s="161" t="str">
        <f>IF(OR('Event Tracker'!$B$20=1,'Event Tracker'!$B$21=1,),IF(OR(S33&gt;=MaxHydro,S33=""),"",IF(AND(S33&lt;MaxHydro,S33+$M$8&lt;MaxHydro),S33+$M$8,MaxHydro)),IF(OR(S33&gt;=MaxHydro,S33=""),"",IF(AND(S33&lt;MaxHydro,S33+$M$17&lt;MaxHydro),S33+$M$17,MaxHydro)))</f>
        <v/>
      </c>
      <c r="T34" s="161">
        <f>IF(OR('Event Tracker'!$B$20=1,'Event Tracker'!$B$21=1,),IF(OR(T33&gt;=MaxEE,T33=""),"",IF(AND(T33&lt;MaxEE,T33+$M$9&lt;MaxEE),T33+$M$9,MaxEE)),IF(OR(T33&gt;=MaxEE,T33=""),"",IF(AND(T33&lt;MaxEE,T33+$M$18&lt;MaxEE),T33+$M$18,MaxEE)))</f>
        <v>9600</v>
      </c>
      <c r="U34" s="161">
        <f>IF(OR('Event Tracker'!$B$20=1,'Event Tracker'!$B$21=1,),IF(OR(U33&gt;=MaxSolarDistributed,U33=""),"",IF(AND(U33&lt;MaxSolarDistributed,U33+$M$10&lt;MaxSolarDistributed),U33+$M$10,MaxSolarDistributed)),IF(OR(U33&gt;=MaxSolarDistributed,U33=""),"",IF(AND(U33&lt;MaxSolarDistributed,U33+$M$19&lt;MaxSolarDistributed),U33+$M$19,MaxSolarDistributed)))</f>
        <v>1600</v>
      </c>
      <c r="W34" s="165" t="str">
        <f t="shared" si="0"/>
        <v/>
      </c>
      <c r="X34" s="165" t="str">
        <f t="shared" si="1"/>
        <v/>
      </c>
      <c r="Y34" s="165" t="str">
        <f t="shared" si="2"/>
        <v/>
      </c>
      <c r="Z34" s="165" t="str">
        <f t="shared" si="3"/>
        <v/>
      </c>
      <c r="AA34" s="165" t="str">
        <f t="shared" si="4"/>
        <v/>
      </c>
      <c r="AB34" s="165" t="str">
        <f t="shared" si="5"/>
        <v/>
      </c>
    </row>
    <row r="35" spans="14:28" x14ac:dyDescent="0.25">
      <c r="N35" s="161" t="str">
        <f>IF(OR('Event Tracker'!$B$20=1,'Event Tracker'!$B$21=1,),IF(OR(N34&gt;=MaxCoal,N34=""),"",IF(AND(N34&lt;MaxCoal,N34+$M$3&lt;MaxCoal),N34+$M$3,MaxCoal)),IF(OR(N34&gt;=MaxCoal,N34=""),"",IF(AND(N34&lt;MaxCoal,N34+$M$12&lt;MaxCoal),N34+$M$12,MaxCoal)))</f>
        <v/>
      </c>
      <c r="O35" s="161">
        <f>IF(OR('Event Tracker'!$B$20=1,'Event Tracker'!$B$21=1,),IF(OR(O34&gt;=MaxNatGas,O34=""),"",IF(AND(O34&lt;MaxNatGas,O34+$M$4&lt;MaxNatGas),O34+$M$4,MaxNatGas)),IF(OR(O34&gt;=MaxNatGas,O34=""),"",IF(AND(O34&lt;MaxNatGas,O34+$M$13&lt;MaxNatGas),O34+$M$13,MaxNatGas)))</f>
        <v>165000</v>
      </c>
      <c r="P35" s="161" t="str">
        <f>IF(OR('Event Tracker'!$B$20=1,'Event Tracker'!$B$21=1,),IF(OR(P34&gt;=MaxNuclear,P34=""),"",IF(AND(P34&lt;MaxNuclear,P34+$M$5&lt;MaxNuclear),P34+$M$5,MaxNuclear)),IF(OR(P34&gt;=MaxNuclear,P34=""),"",IF(AND(P34&lt;MaxNuclear,P34+$M$14&lt;MaxNuclear),P34+$M$14,MaxNuclear)))</f>
        <v/>
      </c>
      <c r="Q35" s="161" t="str">
        <f>IF(OR('Event Tracker'!$B$20=1,'Event Tracker'!$B$21=1,),IF(OR(Q34&gt;=MaxSolar,Q34=""),"",IF(AND(Q34&lt;MaxSolar,Q34+$M$6&lt;MaxSolar),Q34+$M$6,MaxSolar)),IF(OR(Q34&gt;=MaxSolar,Q34=""),"",IF(AND(Q34&lt;MaxSolar,Q34+$M$15&lt;MaxSolar),Q34+$M$15,MaxSolar)))</f>
        <v/>
      </c>
      <c r="R35" s="161">
        <f>IF(OR('Event Tracker'!$B$20=1,'Event Tracker'!$B$21=1,),IF(OR(R34&gt;=MaxWind,R34=""),"",IF(AND(R34&lt;MaxWind,R34+$M$7&lt;MaxWind),R34+$M$7,MaxWind)),IF(OR(R34&gt;=MaxWind,R34=""),"",IF(AND(R34&lt;MaxWind,R34+$M$16&lt;MaxWind),R34+$M$16,MaxWind)))</f>
        <v>9900</v>
      </c>
      <c r="S35" s="161" t="str">
        <f>IF(OR('Event Tracker'!$B$20=1,'Event Tracker'!$B$21=1,),IF(OR(S34&gt;=MaxHydro,S34=""),"",IF(AND(S34&lt;MaxHydro,S34+$M$8&lt;MaxHydro),S34+$M$8,MaxHydro)),IF(OR(S34&gt;=MaxHydro,S34=""),"",IF(AND(S34&lt;MaxHydro,S34+$M$17&lt;MaxHydro),S34+$M$17,MaxHydro)))</f>
        <v/>
      </c>
      <c r="T35" s="161">
        <f>IF(OR('Event Tracker'!$B$20=1,'Event Tracker'!$B$21=1,),IF(OR(T34&gt;=MaxEE,T34=""),"",IF(AND(T34&lt;MaxEE,T34+$M$9&lt;MaxEE),T34+$M$9,MaxEE)),IF(OR(T34&gt;=MaxEE,T34=""),"",IF(AND(T34&lt;MaxEE,T34+$M$18&lt;MaxEE),T34+$M$18,MaxEE)))</f>
        <v>9900</v>
      </c>
      <c r="U35" s="161">
        <f>IF(OR('Event Tracker'!$B$20=1,'Event Tracker'!$B$21=1,),IF(OR(U34&gt;=MaxSolarDistributed,U34=""),"",IF(AND(U34&lt;MaxSolarDistributed,U34+$M$10&lt;MaxSolarDistributed),U34+$M$10,MaxSolarDistributed)),IF(OR(U34&gt;=MaxSolarDistributed,U34=""),"",IF(AND(U34&lt;MaxSolarDistributed,U34+$M$19&lt;MaxSolarDistributed),U34+$M$19,MaxSolarDistributed)))</f>
        <v>1650</v>
      </c>
      <c r="W35" s="165" t="str">
        <f t="shared" si="0"/>
        <v/>
      </c>
      <c r="X35" s="165" t="str">
        <f t="shared" si="1"/>
        <v/>
      </c>
      <c r="Y35" s="165" t="str">
        <f t="shared" si="2"/>
        <v/>
      </c>
      <c r="Z35" s="165" t="str">
        <f t="shared" si="3"/>
        <v/>
      </c>
      <c r="AA35" s="165" t="str">
        <f t="shared" si="4"/>
        <v/>
      </c>
      <c r="AB35" s="165" t="str">
        <f t="shared" si="5"/>
        <v/>
      </c>
    </row>
    <row r="36" spans="14:28" x14ac:dyDescent="0.25">
      <c r="N36" s="161" t="str">
        <f>IF(OR('Event Tracker'!$B$20=1,'Event Tracker'!$B$21=1,),IF(OR(N35&gt;=MaxCoal,N35=""),"",IF(AND(N35&lt;MaxCoal,N35+$M$3&lt;MaxCoal),N35+$M$3,MaxCoal)),IF(OR(N35&gt;=MaxCoal,N35=""),"",IF(AND(N35&lt;MaxCoal,N35+$M$12&lt;MaxCoal),N35+$M$12,MaxCoal)))</f>
        <v/>
      </c>
      <c r="O36" s="161">
        <f>IF(OR('Event Tracker'!$B$20=1,'Event Tracker'!$B$21=1,),IF(OR(O35&gt;=MaxNatGas,O35=""),"",IF(AND(O35&lt;MaxNatGas,O35+$M$4&lt;MaxNatGas),O35+$M$4,MaxNatGas)),IF(OR(O35&gt;=MaxNatGas,O35=""),"",IF(AND(O35&lt;MaxNatGas,O35+$M$13&lt;MaxNatGas),O35+$M$13,MaxNatGas)))</f>
        <v>170000</v>
      </c>
      <c r="P36" s="161" t="str">
        <f>IF(OR('Event Tracker'!$B$20=1,'Event Tracker'!$B$21=1,),IF(OR(P35&gt;=MaxNuclear,P35=""),"",IF(AND(P35&lt;MaxNuclear,P35+$M$5&lt;MaxNuclear),P35+$M$5,MaxNuclear)),IF(OR(P35&gt;=MaxNuclear,P35=""),"",IF(AND(P35&lt;MaxNuclear,P35+$M$14&lt;MaxNuclear),P35+$M$14,MaxNuclear)))</f>
        <v/>
      </c>
      <c r="Q36" s="161" t="str">
        <f>IF(OR('Event Tracker'!$B$20=1,'Event Tracker'!$B$21=1,),IF(OR(Q35&gt;=MaxSolar,Q35=""),"",IF(AND(Q35&lt;MaxSolar,Q35+$M$6&lt;MaxSolar),Q35+$M$6,MaxSolar)),IF(OR(Q35&gt;=MaxSolar,Q35=""),"",IF(AND(Q35&lt;MaxSolar,Q35+$M$15&lt;MaxSolar),Q35+$M$15,MaxSolar)))</f>
        <v/>
      </c>
      <c r="R36" s="161">
        <f>IF(OR('Event Tracker'!$B$20=1,'Event Tracker'!$B$21=1,),IF(OR(R35&gt;=MaxWind,R35=""),"",IF(AND(R35&lt;MaxWind,R35+$M$7&lt;MaxWind),R35+$M$7,MaxWind)),IF(OR(R35&gt;=MaxWind,R35=""),"",IF(AND(R35&lt;MaxWind,R35+$M$16&lt;MaxWind),R35+$M$16,MaxWind)))</f>
        <v>10200</v>
      </c>
      <c r="S36" s="161" t="str">
        <f>IF(OR('Event Tracker'!$B$20=1,'Event Tracker'!$B$21=1,),IF(OR(S35&gt;=MaxHydro,S35=""),"",IF(AND(S35&lt;MaxHydro,S35+$M$8&lt;MaxHydro),S35+$M$8,MaxHydro)),IF(OR(S35&gt;=MaxHydro,S35=""),"",IF(AND(S35&lt;MaxHydro,S35+$M$17&lt;MaxHydro),S35+$M$17,MaxHydro)))</f>
        <v/>
      </c>
      <c r="T36" s="161">
        <f>IF(OR('Event Tracker'!$B$20=1,'Event Tracker'!$B$21=1,),IF(OR(T35&gt;=MaxEE,T35=""),"",IF(AND(T35&lt;MaxEE,T35+$M$9&lt;MaxEE),T35+$M$9,MaxEE)),IF(OR(T35&gt;=MaxEE,T35=""),"",IF(AND(T35&lt;MaxEE,T35+$M$18&lt;MaxEE),T35+$M$18,MaxEE)))</f>
        <v>10200</v>
      </c>
      <c r="U36" s="161">
        <f>IF(OR('Event Tracker'!$B$20=1,'Event Tracker'!$B$21=1,),IF(OR(U35&gt;=MaxSolarDistributed,U35=""),"",IF(AND(U35&lt;MaxSolarDistributed,U35+$M$10&lt;MaxSolarDistributed),U35+$M$10,MaxSolarDistributed)),IF(OR(U35&gt;=MaxSolarDistributed,U35=""),"",IF(AND(U35&lt;MaxSolarDistributed,U35+$M$19&lt;MaxSolarDistributed),U35+$M$19,MaxSolarDistributed)))</f>
        <v>1700</v>
      </c>
      <c r="W36" s="165" t="str">
        <f t="shared" si="0"/>
        <v/>
      </c>
      <c r="X36" s="165" t="str">
        <f t="shared" si="1"/>
        <v/>
      </c>
      <c r="Y36" s="165" t="str">
        <f t="shared" si="2"/>
        <v/>
      </c>
      <c r="Z36" s="165" t="str">
        <f t="shared" si="3"/>
        <v/>
      </c>
      <c r="AA36" s="165" t="str">
        <f t="shared" si="4"/>
        <v/>
      </c>
      <c r="AB36" s="165" t="str">
        <f t="shared" si="5"/>
        <v/>
      </c>
    </row>
    <row r="37" spans="14:28" x14ac:dyDescent="0.25">
      <c r="N37" s="161" t="str">
        <f>IF(OR('Event Tracker'!$B$20=1,'Event Tracker'!$B$21=1,),IF(OR(N36&gt;=MaxCoal,N36=""),"",IF(AND(N36&lt;MaxCoal,N36+$M$3&lt;MaxCoal),N36+$M$3,MaxCoal)),IF(OR(N36&gt;=MaxCoal,N36=""),"",IF(AND(N36&lt;MaxCoal,N36+$M$12&lt;MaxCoal),N36+$M$12,MaxCoal)))</f>
        <v/>
      </c>
      <c r="O37" s="161">
        <f>IF(OR('Event Tracker'!$B$20=1,'Event Tracker'!$B$21=1,),IF(OR(O36&gt;=MaxNatGas,O36=""),"",IF(AND(O36&lt;MaxNatGas,O36+$M$4&lt;MaxNatGas),O36+$M$4,MaxNatGas)),IF(OR(O36&gt;=MaxNatGas,O36=""),"",IF(AND(O36&lt;MaxNatGas,O36+$M$13&lt;MaxNatGas),O36+$M$13,MaxNatGas)))</f>
        <v>175000</v>
      </c>
      <c r="P37" s="161" t="str">
        <f>IF(OR('Event Tracker'!$B$20=1,'Event Tracker'!$B$21=1,),IF(OR(P36&gt;=MaxNuclear,P36=""),"",IF(AND(P36&lt;MaxNuclear,P36+$M$5&lt;MaxNuclear),P36+$M$5,MaxNuclear)),IF(OR(P36&gt;=MaxNuclear,P36=""),"",IF(AND(P36&lt;MaxNuclear,P36+$M$14&lt;MaxNuclear),P36+$M$14,MaxNuclear)))</f>
        <v/>
      </c>
      <c r="Q37" s="161" t="str">
        <f>IF(OR('Event Tracker'!$B$20=1,'Event Tracker'!$B$21=1,),IF(OR(Q36&gt;=MaxSolar,Q36=""),"",IF(AND(Q36&lt;MaxSolar,Q36+$M$6&lt;MaxSolar),Q36+$M$6,MaxSolar)),IF(OR(Q36&gt;=MaxSolar,Q36=""),"",IF(AND(Q36&lt;MaxSolar,Q36+$M$15&lt;MaxSolar),Q36+$M$15,MaxSolar)))</f>
        <v/>
      </c>
      <c r="R37" s="161">
        <f>IF(OR('Event Tracker'!$B$20=1,'Event Tracker'!$B$21=1,),IF(OR(R36&gt;=MaxWind,R36=""),"",IF(AND(R36&lt;MaxWind,R36+$M$7&lt;MaxWind),R36+$M$7,MaxWind)),IF(OR(R36&gt;=MaxWind,R36=""),"",IF(AND(R36&lt;MaxWind,R36+$M$16&lt;MaxWind),R36+$M$16,MaxWind)))</f>
        <v>10500</v>
      </c>
      <c r="S37" s="161" t="str">
        <f>IF(OR('Event Tracker'!$B$20=1,'Event Tracker'!$B$21=1,),IF(OR(S36&gt;=MaxHydro,S36=""),"",IF(AND(S36&lt;MaxHydro,S36+$M$8&lt;MaxHydro),S36+$M$8,MaxHydro)),IF(OR(S36&gt;=MaxHydro,S36=""),"",IF(AND(S36&lt;MaxHydro,S36+$M$17&lt;MaxHydro),S36+$M$17,MaxHydro)))</f>
        <v/>
      </c>
      <c r="T37" s="161">
        <f>IF(OR('Event Tracker'!$B$20=1,'Event Tracker'!$B$21=1,),IF(OR(T36&gt;=MaxEE,T36=""),"",IF(AND(T36&lt;MaxEE,T36+$M$9&lt;MaxEE),T36+$M$9,MaxEE)),IF(OR(T36&gt;=MaxEE,T36=""),"",IF(AND(T36&lt;MaxEE,T36+$M$18&lt;MaxEE),T36+$M$18,MaxEE)))</f>
        <v>10500</v>
      </c>
      <c r="U37" s="161">
        <f>IF(OR('Event Tracker'!$B$20=1,'Event Tracker'!$B$21=1,),IF(OR(U36&gt;=MaxSolarDistributed,U36=""),"",IF(AND(U36&lt;MaxSolarDistributed,U36+$M$10&lt;MaxSolarDistributed),U36+$M$10,MaxSolarDistributed)),IF(OR(U36&gt;=MaxSolarDistributed,U36=""),"",IF(AND(U36&lt;MaxSolarDistributed,U36+$M$19&lt;MaxSolarDistributed),U36+$M$19,MaxSolarDistributed)))</f>
        <v>1750</v>
      </c>
      <c r="W37" s="165" t="str">
        <f t="shared" si="0"/>
        <v/>
      </c>
      <c r="X37" s="165" t="str">
        <f t="shared" si="1"/>
        <v/>
      </c>
      <c r="Y37" s="165" t="str">
        <f t="shared" si="2"/>
        <v/>
      </c>
      <c r="Z37" s="165" t="str">
        <f t="shared" si="3"/>
        <v/>
      </c>
      <c r="AA37" s="165" t="str">
        <f t="shared" si="4"/>
        <v/>
      </c>
      <c r="AB37" s="165" t="str">
        <f t="shared" si="5"/>
        <v/>
      </c>
    </row>
    <row r="38" spans="14:28" x14ac:dyDescent="0.25">
      <c r="N38" s="161" t="str">
        <f>IF(OR('Event Tracker'!$B$20=1,'Event Tracker'!$B$21=1,),IF(OR(N37&gt;=MaxCoal,N37=""),"",IF(AND(N37&lt;MaxCoal,N37+$M$3&lt;MaxCoal),N37+$M$3,MaxCoal)),IF(OR(N37&gt;=MaxCoal,N37=""),"",IF(AND(N37&lt;MaxCoal,N37+$M$12&lt;MaxCoal),N37+$M$12,MaxCoal)))</f>
        <v/>
      </c>
      <c r="O38" s="161">
        <f>IF(OR('Event Tracker'!$B$20=1,'Event Tracker'!$B$21=1,),IF(OR(O37&gt;=MaxNatGas,O37=""),"",IF(AND(O37&lt;MaxNatGas,O37+$M$4&lt;MaxNatGas),O37+$M$4,MaxNatGas)),IF(OR(O37&gt;=MaxNatGas,O37=""),"",IF(AND(O37&lt;MaxNatGas,O37+$M$13&lt;MaxNatGas),O37+$M$13,MaxNatGas)))</f>
        <v>179948.04566337631</v>
      </c>
      <c r="P38" s="161" t="str">
        <f>IF(OR('Event Tracker'!$B$20=1,'Event Tracker'!$B$21=1,),IF(OR(P37&gt;=MaxNuclear,P37=""),"",IF(AND(P37&lt;MaxNuclear,P37+$M$5&lt;MaxNuclear),P37+$M$5,MaxNuclear)),IF(OR(P37&gt;=MaxNuclear,P37=""),"",IF(AND(P37&lt;MaxNuclear,P37+$M$14&lt;MaxNuclear),P37+$M$14,MaxNuclear)))</f>
        <v/>
      </c>
      <c r="Q38" s="161" t="str">
        <f>IF(OR('Event Tracker'!$B$20=1,'Event Tracker'!$B$21=1,),IF(OR(Q37&gt;=MaxSolar,Q37=""),"",IF(AND(Q37&lt;MaxSolar,Q37+$M$6&lt;MaxSolar),Q37+$M$6,MaxSolar)),IF(OR(Q37&gt;=MaxSolar,Q37=""),"",IF(AND(Q37&lt;MaxSolar,Q37+$M$15&lt;MaxSolar),Q37+$M$15,MaxSolar)))</f>
        <v/>
      </c>
      <c r="R38" s="161">
        <f>IF(OR('Event Tracker'!$B$20=1,'Event Tracker'!$B$21=1,),IF(OR(R37&gt;=MaxWind,R37=""),"",IF(AND(R37&lt;MaxWind,R37+$M$7&lt;MaxWind),R37+$M$7,MaxWind)),IF(OR(R37&gt;=MaxWind,R37=""),"",IF(AND(R37&lt;MaxWind,R37+$M$16&lt;MaxWind),R37+$M$16,MaxWind)))</f>
        <v>10800</v>
      </c>
      <c r="S38" s="161" t="str">
        <f>IF(OR('Event Tracker'!$B$20=1,'Event Tracker'!$B$21=1,),IF(OR(S37&gt;=MaxHydro,S37=""),"",IF(AND(S37&lt;MaxHydro,S37+$M$8&lt;MaxHydro),S37+$M$8,MaxHydro)),IF(OR(S37&gt;=MaxHydro,S37=""),"",IF(AND(S37&lt;MaxHydro,S37+$M$17&lt;MaxHydro),S37+$M$17,MaxHydro)))</f>
        <v/>
      </c>
      <c r="T38" s="161">
        <f>IF(OR('Event Tracker'!$B$20=1,'Event Tracker'!$B$21=1,),IF(OR(T37&gt;=MaxEE,T37=""),"",IF(AND(T37&lt;MaxEE,T37+$M$9&lt;MaxEE),T37+$M$9,MaxEE)),IF(OR(T37&gt;=MaxEE,T37=""),"",IF(AND(T37&lt;MaxEE,T37+$M$18&lt;MaxEE),T37+$M$18,MaxEE)))</f>
        <v>10800</v>
      </c>
      <c r="U38" s="161">
        <f>IF(OR('Event Tracker'!$B$20=1,'Event Tracker'!$B$21=1,),IF(OR(U37&gt;=MaxSolarDistributed,U37=""),"",IF(AND(U37&lt;MaxSolarDistributed,U37+$M$10&lt;MaxSolarDistributed),U37+$M$10,MaxSolarDistributed)),IF(OR(U37&gt;=MaxSolarDistributed,U37=""),"",IF(AND(U37&lt;MaxSolarDistributed,U37+$M$19&lt;MaxSolarDistributed),U37+$M$19,MaxSolarDistributed)))</f>
        <v>1800</v>
      </c>
      <c r="W38" s="165" t="str">
        <f t="shared" si="0"/>
        <v/>
      </c>
      <c r="X38" s="165" t="str">
        <f t="shared" si="1"/>
        <v/>
      </c>
      <c r="Y38" s="165" t="str">
        <f t="shared" si="2"/>
        <v/>
      </c>
      <c r="Z38" s="165" t="str">
        <f t="shared" si="3"/>
        <v/>
      </c>
      <c r="AA38" s="165" t="str">
        <f t="shared" si="4"/>
        <v/>
      </c>
      <c r="AB38" s="165" t="str">
        <f t="shared" si="5"/>
        <v/>
      </c>
    </row>
    <row r="39" spans="14:28" x14ac:dyDescent="0.25">
      <c r="N39" s="161" t="str">
        <f>IF(OR('Event Tracker'!$B$20=1,'Event Tracker'!$B$21=1,),IF(OR(N38&gt;=MaxCoal,N38=""),"",IF(AND(N38&lt;MaxCoal,N38+$M$3&lt;MaxCoal),N38+$M$3,MaxCoal)),IF(OR(N38&gt;=MaxCoal,N38=""),"",IF(AND(N38&lt;MaxCoal,N38+$M$12&lt;MaxCoal),N38+$M$12,MaxCoal)))</f>
        <v/>
      </c>
      <c r="O39" s="161" t="str">
        <f>IF(OR('Event Tracker'!$B$20=1,'Event Tracker'!$B$21=1,),IF(OR(O38&gt;=MaxNatGas,O38=""),"",IF(AND(O38&lt;MaxNatGas,O38+$M$4&lt;MaxNatGas),O38+$M$4,MaxNatGas)),IF(OR(O38&gt;=MaxNatGas,O38=""),"",IF(AND(O38&lt;MaxNatGas,O38+$M$13&lt;MaxNatGas),O38+$M$13,MaxNatGas)))</f>
        <v/>
      </c>
      <c r="P39" s="161" t="str">
        <f>IF(OR('Event Tracker'!$B$20=1,'Event Tracker'!$B$21=1,),IF(OR(P38&gt;=MaxNuclear,P38=""),"",IF(AND(P38&lt;MaxNuclear,P38+$M$5&lt;MaxNuclear),P38+$M$5,MaxNuclear)),IF(OR(P38&gt;=MaxNuclear,P38=""),"",IF(AND(P38&lt;MaxNuclear,P38+$M$14&lt;MaxNuclear),P38+$M$14,MaxNuclear)))</f>
        <v/>
      </c>
      <c r="Q39" s="161" t="str">
        <f>IF(OR('Event Tracker'!$B$20=1,'Event Tracker'!$B$21=1,),IF(OR(Q38&gt;=MaxSolar,Q38=""),"",IF(AND(Q38&lt;MaxSolar,Q38+$M$6&lt;MaxSolar),Q38+$M$6,MaxSolar)),IF(OR(Q38&gt;=MaxSolar,Q38=""),"",IF(AND(Q38&lt;MaxSolar,Q38+$M$15&lt;MaxSolar),Q38+$M$15,MaxSolar)))</f>
        <v/>
      </c>
      <c r="R39" s="161">
        <f>IF(OR('Event Tracker'!$B$20=1,'Event Tracker'!$B$21=1,),IF(OR(R38&gt;=MaxWind,R38=""),"",IF(AND(R38&lt;MaxWind,R38+$M$7&lt;MaxWind),R38+$M$7,MaxWind)),IF(OR(R38&gt;=MaxWind,R38=""),"",IF(AND(R38&lt;MaxWind,R38+$M$16&lt;MaxWind),R38+$M$16,MaxWind)))</f>
        <v>11100</v>
      </c>
      <c r="S39" s="161" t="str">
        <f>IF(OR('Event Tracker'!$B$20=1,'Event Tracker'!$B$21=1,),IF(OR(S38&gt;=MaxHydro,S38=""),"",IF(AND(S38&lt;MaxHydro,S38+$M$8&lt;MaxHydro),S38+$M$8,MaxHydro)),IF(OR(S38&gt;=MaxHydro,S38=""),"",IF(AND(S38&lt;MaxHydro,S38+$M$17&lt;MaxHydro),S38+$M$17,MaxHydro)))</f>
        <v/>
      </c>
      <c r="T39" s="161">
        <f>IF(OR('Event Tracker'!$B$20=1,'Event Tracker'!$B$21=1,),IF(OR(T38&gt;=MaxEE,T38=""),"",IF(AND(T38&lt;MaxEE,T38+$M$9&lt;MaxEE),T38+$M$9,MaxEE)),IF(OR(T38&gt;=MaxEE,T38=""),"",IF(AND(T38&lt;MaxEE,T38+$M$18&lt;MaxEE),T38+$M$18,MaxEE)))</f>
        <v>11100</v>
      </c>
      <c r="U39" s="161">
        <f>IF(OR('Event Tracker'!$B$20=1,'Event Tracker'!$B$21=1,),IF(OR(U38&gt;=MaxSolarDistributed,U38=""),"",IF(AND(U38&lt;MaxSolarDistributed,U38+$M$10&lt;MaxSolarDistributed),U38+$M$10,MaxSolarDistributed)),IF(OR(U38&gt;=MaxSolarDistributed,U38=""),"",IF(AND(U38&lt;MaxSolarDistributed,U38+$M$19&lt;MaxSolarDistributed),U38+$M$19,MaxSolarDistributed)))</f>
        <v>1850</v>
      </c>
      <c r="W39" s="165" t="str">
        <f t="shared" si="0"/>
        <v/>
      </c>
      <c r="X39" s="165" t="str">
        <f t="shared" si="1"/>
        <v/>
      </c>
      <c r="Y39" s="165" t="str">
        <f t="shared" si="2"/>
        <v/>
      </c>
      <c r="Z39" s="165" t="str">
        <f t="shared" si="3"/>
        <v/>
      </c>
      <c r="AA39" s="165" t="str">
        <f t="shared" si="4"/>
        <v/>
      </c>
      <c r="AB39" s="165" t="str">
        <f t="shared" si="5"/>
        <v/>
      </c>
    </row>
    <row r="40" spans="14:28" x14ac:dyDescent="0.25">
      <c r="N40" s="161" t="str">
        <f>IF(OR('Event Tracker'!$B$20=1,'Event Tracker'!$B$21=1,),IF(OR(N39&gt;=MaxCoal,N39=""),"",IF(AND(N39&lt;MaxCoal,N39+$M$3&lt;MaxCoal),N39+$M$3,MaxCoal)),IF(OR(N39&gt;=MaxCoal,N39=""),"",IF(AND(N39&lt;MaxCoal,N39+$M$12&lt;MaxCoal),N39+$M$12,MaxCoal)))</f>
        <v/>
      </c>
      <c r="O40" s="161" t="str">
        <f>IF(OR('Event Tracker'!$B$20=1,'Event Tracker'!$B$21=1,),IF(OR(O39&gt;=MaxNatGas,O39=""),"",IF(AND(O39&lt;MaxNatGas,O39+$M$4&lt;MaxNatGas),O39+$M$4,MaxNatGas)),IF(OR(O39&gt;=MaxNatGas,O39=""),"",IF(AND(O39&lt;MaxNatGas,O39+$M$13&lt;MaxNatGas),O39+$M$13,MaxNatGas)))</f>
        <v/>
      </c>
      <c r="P40" s="161" t="str">
        <f>IF(OR('Event Tracker'!$B$20=1,'Event Tracker'!$B$21=1,),IF(OR(P39&gt;=MaxNuclear,P39=""),"",IF(AND(P39&lt;MaxNuclear,P39+$M$5&lt;MaxNuclear),P39+$M$5,MaxNuclear)),IF(OR(P39&gt;=MaxNuclear,P39=""),"",IF(AND(P39&lt;MaxNuclear,P39+$M$14&lt;MaxNuclear),P39+$M$14,MaxNuclear)))</f>
        <v/>
      </c>
      <c r="Q40" s="161" t="str">
        <f>IF(OR('Event Tracker'!$B$20=1,'Event Tracker'!$B$21=1,),IF(OR(Q39&gt;=MaxSolar,Q39=""),"",IF(AND(Q39&lt;MaxSolar,Q39+$M$6&lt;MaxSolar),Q39+$M$6,MaxSolar)),IF(OR(Q39&gt;=MaxSolar,Q39=""),"",IF(AND(Q39&lt;MaxSolar,Q39+$M$15&lt;MaxSolar),Q39+$M$15,MaxSolar)))</f>
        <v/>
      </c>
      <c r="R40" s="161">
        <f>IF(OR('Event Tracker'!$B$20=1,'Event Tracker'!$B$21=1,),IF(OR(R39&gt;=MaxWind,R39=""),"",IF(AND(R39&lt;MaxWind,R39+$M$7&lt;MaxWind),R39+$M$7,MaxWind)),IF(OR(R39&gt;=MaxWind,R39=""),"",IF(AND(R39&lt;MaxWind,R39+$M$16&lt;MaxWind),R39+$M$16,MaxWind)))</f>
        <v>11400</v>
      </c>
      <c r="S40" s="161" t="str">
        <f>IF(OR('Event Tracker'!$B$20=1,'Event Tracker'!$B$21=1,),IF(OR(S39&gt;=MaxHydro,S39=""),"",IF(AND(S39&lt;MaxHydro,S39+$M$8&lt;MaxHydro),S39+$M$8,MaxHydro)),IF(OR(S39&gt;=MaxHydro,S39=""),"",IF(AND(S39&lt;MaxHydro,S39+$M$17&lt;MaxHydro),S39+$M$17,MaxHydro)))</f>
        <v/>
      </c>
      <c r="T40" s="161">
        <f>IF(OR('Event Tracker'!$B$20=1,'Event Tracker'!$B$21=1,),IF(OR(T39&gt;=MaxEE,T39=""),"",IF(AND(T39&lt;MaxEE,T39+$M$9&lt;MaxEE),T39+$M$9,MaxEE)),IF(OR(T39&gt;=MaxEE,T39=""),"",IF(AND(T39&lt;MaxEE,T39+$M$18&lt;MaxEE),T39+$M$18,MaxEE)))</f>
        <v>11400</v>
      </c>
      <c r="U40" s="161">
        <f>IF(OR('Event Tracker'!$B$20=1,'Event Tracker'!$B$21=1,),IF(OR(U39&gt;=MaxSolarDistributed,U39=""),"",IF(AND(U39&lt;MaxSolarDistributed,U39+$M$10&lt;MaxSolarDistributed),U39+$M$10,MaxSolarDistributed)),IF(OR(U39&gt;=MaxSolarDistributed,U39=""),"",IF(AND(U39&lt;MaxSolarDistributed,U39+$M$19&lt;MaxSolarDistributed),U39+$M$19,MaxSolarDistributed)))</f>
        <v>1900</v>
      </c>
      <c r="W40" s="165" t="str">
        <f t="shared" si="0"/>
        <v/>
      </c>
      <c r="X40" s="165" t="str">
        <f t="shared" si="1"/>
        <v/>
      </c>
      <c r="Y40" s="165" t="str">
        <f t="shared" si="2"/>
        <v/>
      </c>
      <c r="Z40" s="165" t="str">
        <f t="shared" si="3"/>
        <v/>
      </c>
      <c r="AA40" s="165" t="str">
        <f t="shared" si="4"/>
        <v/>
      </c>
      <c r="AB40" s="165" t="str">
        <f t="shared" si="5"/>
        <v/>
      </c>
    </row>
    <row r="41" spans="14:28" x14ac:dyDescent="0.25">
      <c r="N41" s="161" t="str">
        <f>IF(OR('Event Tracker'!$B$20=1,'Event Tracker'!$B$21=1,),IF(OR(N40&gt;=MaxCoal,N40=""),"",IF(AND(N40&lt;MaxCoal,N40+$M$3&lt;MaxCoal),N40+$M$3,MaxCoal)),IF(OR(N40&gt;=MaxCoal,N40=""),"",IF(AND(N40&lt;MaxCoal,N40+$M$12&lt;MaxCoal),N40+$M$12,MaxCoal)))</f>
        <v/>
      </c>
      <c r="O41" s="161" t="str">
        <f>IF(OR('Event Tracker'!$B$20=1,'Event Tracker'!$B$21=1,),IF(OR(O40&gt;=MaxNatGas,O40=""),"",IF(AND(O40&lt;MaxNatGas,O40+$M$4&lt;MaxNatGas),O40+$M$4,MaxNatGas)),IF(OR(O40&gt;=MaxNatGas,O40=""),"",IF(AND(O40&lt;MaxNatGas,O40+$M$13&lt;MaxNatGas),O40+$M$13,MaxNatGas)))</f>
        <v/>
      </c>
      <c r="P41" s="161" t="str">
        <f>IF(OR('Event Tracker'!$B$20=1,'Event Tracker'!$B$21=1,),IF(OR(P40&gt;=MaxNuclear,P40=""),"",IF(AND(P40&lt;MaxNuclear,P40+$M$5&lt;MaxNuclear),P40+$M$5,MaxNuclear)),IF(OR(P40&gt;=MaxNuclear,P40=""),"",IF(AND(P40&lt;MaxNuclear,P40+$M$14&lt;MaxNuclear),P40+$M$14,MaxNuclear)))</f>
        <v/>
      </c>
      <c r="Q41" s="161" t="str">
        <f>IF(OR('Event Tracker'!$B$20=1,'Event Tracker'!$B$21=1,),IF(OR(Q40&gt;=MaxSolar,Q40=""),"",IF(AND(Q40&lt;MaxSolar,Q40+$M$6&lt;MaxSolar),Q40+$M$6,MaxSolar)),IF(OR(Q40&gt;=MaxSolar,Q40=""),"",IF(AND(Q40&lt;MaxSolar,Q40+$M$15&lt;MaxSolar),Q40+$M$15,MaxSolar)))</f>
        <v/>
      </c>
      <c r="R41" s="161">
        <f>IF(OR('Event Tracker'!$B$20=1,'Event Tracker'!$B$21=1,),IF(OR(R40&gt;=MaxWind,R40=""),"",IF(AND(R40&lt;MaxWind,R40+$M$7&lt;MaxWind),R40+$M$7,MaxWind)),IF(OR(R40&gt;=MaxWind,R40=""),"",IF(AND(R40&lt;MaxWind,R40+$M$16&lt;MaxWind),R40+$M$16,MaxWind)))</f>
        <v>11700</v>
      </c>
      <c r="S41" s="161" t="str">
        <f>IF(OR('Event Tracker'!$B$20=1,'Event Tracker'!$B$21=1,),IF(OR(S40&gt;=MaxHydro,S40=""),"",IF(AND(S40&lt;MaxHydro,S40+$M$8&lt;MaxHydro),S40+$M$8,MaxHydro)),IF(OR(S40&gt;=MaxHydro,S40=""),"",IF(AND(S40&lt;MaxHydro,S40+$M$17&lt;MaxHydro),S40+$M$17,MaxHydro)))</f>
        <v/>
      </c>
      <c r="T41" s="161">
        <f>IF(OR('Event Tracker'!$B$20=1,'Event Tracker'!$B$21=1,),IF(OR(T40&gt;=MaxEE,T40=""),"",IF(AND(T40&lt;MaxEE,T40+$M$9&lt;MaxEE),T40+$M$9,MaxEE)),IF(OR(T40&gt;=MaxEE,T40=""),"",IF(AND(T40&lt;MaxEE,T40+$M$18&lt;MaxEE),T40+$M$18,MaxEE)))</f>
        <v>11700</v>
      </c>
      <c r="U41" s="161">
        <f>IF(OR('Event Tracker'!$B$20=1,'Event Tracker'!$B$21=1,),IF(OR(U40&gt;=MaxSolarDistributed,U40=""),"",IF(AND(U40&lt;MaxSolarDistributed,U40+$M$10&lt;MaxSolarDistributed),U40+$M$10,MaxSolarDistributed)),IF(OR(U40&gt;=MaxSolarDistributed,U40=""),"",IF(AND(U40&lt;MaxSolarDistributed,U40+$M$19&lt;MaxSolarDistributed),U40+$M$19,MaxSolarDistributed)))</f>
        <v>1950</v>
      </c>
      <c r="W41" s="165" t="str">
        <f t="shared" si="0"/>
        <v/>
      </c>
      <c r="X41" s="165" t="str">
        <f t="shared" si="1"/>
        <v/>
      </c>
      <c r="Y41" s="165" t="str">
        <f t="shared" si="2"/>
        <v/>
      </c>
      <c r="Z41" s="165" t="str">
        <f t="shared" si="3"/>
        <v/>
      </c>
      <c r="AA41" s="165" t="str">
        <f t="shared" si="4"/>
        <v/>
      </c>
      <c r="AB41" s="165" t="str">
        <f t="shared" si="5"/>
        <v/>
      </c>
    </row>
    <row r="42" spans="14:28" x14ac:dyDescent="0.25">
      <c r="N42" s="161" t="str">
        <f>IF(OR('Event Tracker'!$B$20=1,'Event Tracker'!$B$21=1,),IF(OR(N41&gt;=MaxCoal,N41=""),"",IF(AND(N41&lt;MaxCoal,N41+$M$3&lt;MaxCoal),N41+$M$3,MaxCoal)),IF(OR(N41&gt;=MaxCoal,N41=""),"",IF(AND(N41&lt;MaxCoal,N41+$M$12&lt;MaxCoal),N41+$M$12,MaxCoal)))</f>
        <v/>
      </c>
      <c r="O42" s="161" t="str">
        <f>IF(OR('Event Tracker'!$B$20=1,'Event Tracker'!$B$21=1,),IF(OR(O41&gt;=MaxNatGas,O41=""),"",IF(AND(O41&lt;MaxNatGas,O41+$M$4&lt;MaxNatGas),O41+$M$4,MaxNatGas)),IF(OR(O41&gt;=MaxNatGas,O41=""),"",IF(AND(O41&lt;MaxNatGas,O41+$M$13&lt;MaxNatGas),O41+$M$13,MaxNatGas)))</f>
        <v/>
      </c>
      <c r="P42" s="161" t="str">
        <f>IF(OR('Event Tracker'!$B$20=1,'Event Tracker'!$B$21=1,),IF(OR(P41&gt;=MaxNuclear,P41=""),"",IF(AND(P41&lt;MaxNuclear,P41+$M$5&lt;MaxNuclear),P41+$M$5,MaxNuclear)),IF(OR(P41&gt;=MaxNuclear,P41=""),"",IF(AND(P41&lt;MaxNuclear,P41+$M$14&lt;MaxNuclear),P41+$M$14,MaxNuclear)))</f>
        <v/>
      </c>
      <c r="Q42" s="161" t="str">
        <f>IF(OR('Event Tracker'!$B$20=1,'Event Tracker'!$B$21=1,),IF(OR(Q41&gt;=MaxSolar,Q41=""),"",IF(AND(Q41&lt;MaxSolar,Q41+$M$6&lt;MaxSolar),Q41+$M$6,MaxSolar)),IF(OR(Q41&gt;=MaxSolar,Q41=""),"",IF(AND(Q41&lt;MaxSolar,Q41+$M$15&lt;MaxSolar),Q41+$M$15,MaxSolar)))</f>
        <v/>
      </c>
      <c r="R42" s="161">
        <f>IF(OR('Event Tracker'!$B$20=1,'Event Tracker'!$B$21=1,),IF(OR(R41&gt;=MaxWind,R41=""),"",IF(AND(R41&lt;MaxWind,R41+$M$7&lt;MaxWind),R41+$M$7,MaxWind)),IF(OR(R41&gt;=MaxWind,R41=""),"",IF(AND(R41&lt;MaxWind,R41+$M$16&lt;MaxWind),R41+$M$16,MaxWind)))</f>
        <v>12000</v>
      </c>
      <c r="S42" s="161" t="str">
        <f>IF(OR('Event Tracker'!$B$20=1,'Event Tracker'!$B$21=1,),IF(OR(S41&gt;=MaxHydro,S41=""),"",IF(AND(S41&lt;MaxHydro,S41+$M$8&lt;MaxHydro),S41+$M$8,MaxHydro)),IF(OR(S41&gt;=MaxHydro,S41=""),"",IF(AND(S41&lt;MaxHydro,S41+$M$17&lt;MaxHydro),S41+$M$17,MaxHydro)))</f>
        <v/>
      </c>
      <c r="T42" s="161">
        <f>IF(OR('Event Tracker'!$B$20=1,'Event Tracker'!$B$21=1,),IF(OR(T41&gt;=MaxEE,T41=""),"",IF(AND(T41&lt;MaxEE,T41+$M$9&lt;MaxEE),T41+$M$9,MaxEE)),IF(OR(T41&gt;=MaxEE,T41=""),"",IF(AND(T41&lt;MaxEE,T41+$M$18&lt;MaxEE),T41+$M$18,MaxEE)))</f>
        <v>12000</v>
      </c>
      <c r="U42" s="161">
        <f>IF(OR('Event Tracker'!$B$20=1,'Event Tracker'!$B$21=1,),IF(OR(U41&gt;=MaxSolarDistributed,U41=""),"",IF(AND(U41&lt;MaxSolarDistributed,U41+$M$10&lt;MaxSolarDistributed),U41+$M$10,MaxSolarDistributed)),IF(OR(U41&gt;=MaxSolarDistributed,U41=""),"",IF(AND(U41&lt;MaxSolarDistributed,U41+$M$19&lt;MaxSolarDistributed),U41+$M$19,MaxSolarDistributed)))</f>
        <v>2000</v>
      </c>
      <c r="W42" s="165" t="str">
        <f t="shared" si="0"/>
        <v/>
      </c>
      <c r="X42" s="165" t="str">
        <f t="shared" si="1"/>
        <v/>
      </c>
      <c r="Y42" s="165" t="str">
        <f t="shared" si="2"/>
        <v/>
      </c>
      <c r="Z42" s="165" t="str">
        <f t="shared" si="3"/>
        <v/>
      </c>
      <c r="AA42" s="165" t="str">
        <f t="shared" si="4"/>
        <v/>
      </c>
      <c r="AB42" s="165" t="str">
        <f t="shared" si="5"/>
        <v/>
      </c>
    </row>
    <row r="43" spans="14:28" x14ac:dyDescent="0.25">
      <c r="N43" s="84"/>
      <c r="O43" s="161" t="str">
        <f>IF(OR('Event Tracker'!$B$20=1,'Event Tracker'!$B$21=1,),IF(OR(O42&gt;=MaxNatGas,O42=""),"",IF(AND(O42&lt;MaxNatGas,O42+$M$4&lt;MaxNatGas),O42+$M$4,MaxNatGas)),IF(OR(O42&gt;=MaxNatGas,O42=""),"",IF(AND(O42&lt;MaxNatGas,O42+$M$13&lt;MaxNatGas),O42+$M$13,MaxNatGas)))</f>
        <v/>
      </c>
      <c r="P43" s="84"/>
      <c r="Q43" s="84"/>
      <c r="R43" s="84"/>
      <c r="S43" s="84"/>
      <c r="T43" s="84"/>
      <c r="U43" s="84"/>
    </row>
    <row r="44" spans="14:28" x14ac:dyDescent="0.25">
      <c r="O44" s="161" t="str">
        <f>IF(OR('Event Tracker'!$B$20=1,'Event Tracker'!$B$21=1,),IF(OR(O43&gt;=MaxNatGas,O43=""),"",IF(AND(O43&lt;MaxNatGas,O43+$M$4&lt;MaxNatGas),O43+$M$4,MaxNatGas)),IF(OR(O43&gt;=MaxNatGas,O43=""),"",IF(AND(O43&lt;MaxNatGas,O43+$M$13&lt;MaxNatGas),O43+$M$13,MaxNatGas)))</f>
        <v/>
      </c>
    </row>
    <row r="45" spans="14:28" x14ac:dyDescent="0.25">
      <c r="O45" s="161" t="str">
        <f>IF(OR('Event Tracker'!$B$20=1,'Event Tracker'!$B$21=1,),IF(OR(O44&gt;=MaxNatGas,O44=""),"",IF(AND(O44&lt;MaxNatGas,O44+$M$4&lt;MaxNatGas),O44+$M$4,MaxNatGas)),IF(OR(O44&gt;=MaxNatGas,O44=""),"",IF(AND(O44&lt;MaxNatGas,O44+$M$13&lt;MaxNatGas),O44+$M$13,MaxNatGas)))</f>
        <v/>
      </c>
    </row>
    <row r="46" spans="14:28" x14ac:dyDescent="0.25">
      <c r="O46" s="161" t="str">
        <f>IF(OR('Event Tracker'!$B$20=1,'Event Tracker'!$B$21=1,),IF(OR(O45&gt;=MaxNatGas,O45=""),"",IF(AND(O45&lt;MaxNatGas,O45+$M$4&lt;MaxNatGas),O45+$M$4,MaxNatGas)),IF(OR(O45&gt;=MaxNatGas,O45=""),"",IF(AND(O45&lt;MaxNatGas,O45+$M$13&lt;MaxNatGas),O45+$M$13,MaxNatGas)))</f>
        <v/>
      </c>
    </row>
    <row r="47" spans="14:28" x14ac:dyDescent="0.25">
      <c r="O47" s="161" t="str">
        <f>IF(OR('Event Tracker'!$B$20=1,'Event Tracker'!$B$21=1,),IF(OR(O46&gt;=MaxNatGas,O46=""),"",IF(AND(O46&lt;MaxNatGas,O46+$M$4&lt;MaxNatGas),O46+$M$4,MaxNatGas)),IF(OR(O46&gt;=MaxNatGas,O46=""),"",IF(AND(O46&lt;MaxNatGas,O46+$M$13&lt;MaxNatGas),O46+$M$13,MaxNatGas)))</f>
        <v/>
      </c>
    </row>
    <row r="48" spans="14:28" x14ac:dyDescent="0.25">
      <c r="O48" s="161" t="str">
        <f>IF(OR('Event Tracker'!$B$20=1,'Event Tracker'!$B$21=1,),IF(OR(O47&gt;=MaxNatGas,O47=""),"",IF(AND(O47&lt;MaxNatGas,O47+$M$4&lt;MaxNatGas),O47+$M$4,MaxNatGas)),IF(OR(O47&gt;=MaxNatGas,O47=""),"",IF(AND(O47&lt;MaxNatGas,O47+$M$13&lt;MaxNatGas),O47+$M$13,MaxNatGas)))</f>
        <v/>
      </c>
    </row>
    <row r="49" spans="15:15" x14ac:dyDescent="0.25">
      <c r="O49" s="161" t="str">
        <f>IF(OR('Event Tracker'!$B$20=1,'Event Tracker'!$B$21=1,),IF(OR(O48&gt;=MaxNatGas,O48=""),"",IF(AND(O48&lt;MaxNatGas,O48+$M$4&lt;MaxNatGas),O48+$M$4,MaxNatGas)),IF(OR(O48&gt;=MaxNatGas,O48=""),"",IF(AND(O48&lt;MaxNatGas,O48+$M$13&lt;MaxNatGas),O48+$M$13,MaxNatGas)))</f>
        <v/>
      </c>
    </row>
    <row r="50" spans="15:15" x14ac:dyDescent="0.25">
      <c r="O50" s="161" t="str">
        <f>IF(OR('Event Tracker'!$B$20=1,'Event Tracker'!$B$21=1,),IF(OR(O49&gt;=MaxNatGas,O49=""),"",IF(AND(O49&lt;MaxNatGas,O49+$M$4&lt;MaxNatGas),O49+$M$4,MaxNatGas)),IF(OR(O49&gt;=MaxNatGas,O49=""),"",IF(AND(O49&lt;MaxNatGas,O49+$M$13&lt;MaxNatGas),O49+$M$13,MaxNatGas)))</f>
        <v/>
      </c>
    </row>
    <row r="51" spans="15:15" x14ac:dyDescent="0.25">
      <c r="O51" s="161" t="str">
        <f>IF(OR('Event Tracker'!$B$20=1,'Event Tracker'!$B$21=1,),IF(OR(O50&gt;=MaxNatGas,O50=""),"",IF(AND(O50&lt;MaxNatGas,O50+$M$4&lt;MaxNatGas),O50+$M$4,MaxNatGas)),IF(OR(O50&gt;=MaxNatGas,O50=""),"",IF(AND(O50&lt;MaxNatGas,O50+$M$13&lt;MaxNatGas),O50+$M$13,MaxNatGas)))</f>
        <v/>
      </c>
    </row>
    <row r="52" spans="15:15" x14ac:dyDescent="0.25">
      <c r="O52" s="161" t="str">
        <f>IF(OR('Event Tracker'!$B$20=1,'Event Tracker'!$B$21=1,),IF(OR(O51&gt;=MaxNatGas,O51=""),"",IF(AND(O51&lt;MaxNatGas,O51+$M$4&lt;MaxNatGas),O51+$M$4,MaxNatGas)),IF(OR(O51&gt;=MaxNatGas,O51=""),"",IF(AND(O51&lt;MaxNatGas,O51+$M$13&lt;MaxNatGas),O51+$M$13,MaxNatGas)))</f>
        <v/>
      </c>
    </row>
    <row r="53" spans="15:15" x14ac:dyDescent="0.25">
      <c r="O53" s="161" t="str">
        <f>IF(OR('Event Tracker'!$B$20=1,'Event Tracker'!$B$21=1,),IF(OR(O52&gt;=MaxNatGas,O52=""),"",IF(AND(O52&lt;MaxNatGas,O52+$M$4&lt;MaxNatGas),O52+$M$4,MaxNatGas)),IF(OR(O52&gt;=MaxNatGas,O52=""),"",IF(AND(O52&lt;MaxNatGas,O52+$M$13&lt;MaxNatGas),O52+$M$13,MaxNatGas)))</f>
        <v/>
      </c>
    </row>
    <row r="54" spans="15:15" x14ac:dyDescent="0.25">
      <c r="O54" s="161" t="str">
        <f>IF(OR('Event Tracker'!$B$20=1,'Event Tracker'!$B$21=1,),IF(OR(O53&gt;=MaxNatGas,O53=""),"",IF(AND(O53&lt;MaxNatGas,O53+$M$4&lt;MaxNatGas),O53+$M$4,MaxNatGas)),IF(OR(O53&gt;=MaxNatGas,O53=""),"",IF(AND(O53&lt;MaxNatGas,O53+$M$13&lt;MaxNatGas),O53+$M$13,MaxNatGas)))</f>
        <v/>
      </c>
    </row>
    <row r="55" spans="15:15" x14ac:dyDescent="0.25">
      <c r="O55" s="161" t="str">
        <f>IF(OR('Event Tracker'!$B$20=1,'Event Tracker'!$B$21=1,),IF(OR(O54&gt;=MaxNatGas,O54=""),"",IF(AND(O54&lt;MaxNatGas,O54+$M$4&lt;MaxNatGas),O54+$M$4,MaxNatGas)),IF(OR(O54&gt;=MaxNatGas,O54=""),"",IF(AND(O54&lt;MaxNatGas,O54+$M$13&lt;MaxNatGas),O54+$M$13,MaxNatGas)))</f>
        <v/>
      </c>
    </row>
    <row r="56" spans="15:15" x14ac:dyDescent="0.25">
      <c r="O56" s="161" t="str">
        <f>IF(OR('Event Tracker'!$B$20=1,'Event Tracker'!$B$21=1,),IF(OR(O55&gt;=MaxNatGas,O55=""),"",IF(AND(O55&lt;MaxNatGas,O55+$M$4&lt;MaxNatGas),O55+$M$4,MaxNatGas)),IF(OR(O55&gt;=MaxNatGas,O55=""),"",IF(AND(O55&lt;MaxNatGas,O55+$M$13&lt;MaxNatGas),O55+$M$13,MaxNatGas)))</f>
        <v/>
      </c>
    </row>
    <row r="57" spans="15:15" x14ac:dyDescent="0.25">
      <c r="O57" s="161" t="str">
        <f>IF(OR('Event Tracker'!$B$20=1,'Event Tracker'!$B$21=1,),IF(OR(O56&gt;=MaxNatGas,O56=""),"",IF(AND(O56&lt;MaxNatGas,O56+$M$4&lt;MaxNatGas),O56+$M$4,MaxNatGas)),IF(OR(O56&gt;=MaxNatGas,O56=""),"",IF(AND(O56&lt;MaxNatGas,O56+$M$13&lt;MaxNatGas),O56+$M$13,MaxNatGas)))</f>
        <v/>
      </c>
    </row>
    <row r="58" spans="15:15" x14ac:dyDescent="0.25">
      <c r="O58" s="161" t="str">
        <f>IF(OR('Event Tracker'!$B$20=1,'Event Tracker'!$B$21=1,),IF(OR(O57&gt;=MaxNatGas,O57=""),"",IF(AND(O57&lt;MaxNatGas,O57+$M$4&lt;MaxNatGas),O57+$M$4,MaxNatGas)),IF(OR(O57&gt;=MaxNatGas,O57=""),"",IF(AND(O57&lt;MaxNatGas,O57+$M$13&lt;MaxNatGas),O57+$M$13,MaxNatGas)))</f>
        <v/>
      </c>
    </row>
    <row r="59" spans="15:15" x14ac:dyDescent="0.25">
      <c r="O59" s="161" t="str">
        <f>IF(OR('Event Tracker'!$B$20=1,'Event Tracker'!$B$21=1,),IF(OR(O58&gt;=MaxNatGas,O58=""),"",IF(AND(O58&lt;MaxNatGas,O58+$M$4&lt;MaxNatGas),O58+$M$4,MaxNatGas)),IF(OR(O58&gt;=MaxNatGas,O58=""),"",IF(AND(O58&lt;MaxNatGas,O58+$M$13&lt;MaxNatGas),O58+$M$13,MaxNatGas)))</f>
        <v/>
      </c>
    </row>
    <row r="60" spans="15:15" x14ac:dyDescent="0.25">
      <c r="O60" s="161" t="str">
        <f>IF(OR('Event Tracker'!$B$20=1,'Event Tracker'!$B$21=1,),IF(OR(O59&gt;=MaxNatGas,O59=""),"",IF(AND(O59&lt;MaxNatGas,O59+$M$4&lt;MaxNatGas),O59+$M$4,MaxNatGas)),IF(OR(O59&gt;=MaxNatGas,O59=""),"",IF(AND(O59&lt;MaxNatGas,O59+$M$13&lt;MaxNatGas),O59+$M$13,MaxNatGas)))</f>
        <v/>
      </c>
    </row>
    <row r="61" spans="15:15" x14ac:dyDescent="0.25">
      <c r="O61" s="161" t="str">
        <f>IF(OR('Event Tracker'!$B$20=1,'Event Tracker'!$B$21=1,),IF(OR(O60&gt;=MaxNatGas,O60=""),"",IF(AND(O60&lt;MaxNatGas,O60+$M$4&lt;MaxNatGas),O60+$M$4,MaxNatGas)),IF(OR(O60&gt;=MaxNatGas,O60=""),"",IF(AND(O60&lt;MaxNatGas,O60+$M$13&lt;MaxNatGas),O60+$M$13,MaxNatGas)))</f>
        <v/>
      </c>
    </row>
    <row r="62" spans="15:15" x14ac:dyDescent="0.25">
      <c r="O62" s="161" t="str">
        <f>IF(OR('Event Tracker'!$B$20=1,'Event Tracker'!$B$21=1,),IF(OR(O61&gt;=MaxNatGas,O61=""),"",IF(AND(O61&lt;MaxNatGas,O61+$M$4&lt;MaxNatGas),O61+$M$4,MaxNatGas)),IF(OR(O61&gt;=MaxNatGas,O61=""),"",IF(AND(O61&lt;MaxNatGas,O61+$M$13&lt;MaxNatGas),O61+$M$13,MaxNatGas)))</f>
        <v/>
      </c>
    </row>
    <row r="63" spans="15:15" x14ac:dyDescent="0.25">
      <c r="O63" s="161" t="str">
        <f>IF(OR('Event Tracker'!$B$20=1,'Event Tracker'!$B$21=1,),IF(OR(O62&gt;=MaxNatGas,O62=""),"",IF(AND(O62&lt;MaxNatGas,O62+$M$4&lt;MaxNatGas),O62+$M$4,MaxNatGas)),IF(OR(O62&gt;=MaxNatGas,O62=""),"",IF(AND(O62&lt;MaxNatGas,O62+$M$13&lt;MaxNatGas),O62+$M$13,MaxNatGas)))</f>
        <v/>
      </c>
    </row>
    <row r="64" spans="15:15" x14ac:dyDescent="0.25">
      <c r="O64" s="161" t="str">
        <f>IF(OR('Event Tracker'!$B$20=1,'Event Tracker'!$B$21=1,),IF(OR(O63&gt;=MaxNatGas,O63=""),"",IF(AND(O63&lt;MaxNatGas,O63+$M$4&lt;MaxNatGas),O63+$M$4,MaxNatGas)),IF(OR(O63&gt;=MaxNatGas,O63=""),"",IF(AND(O63&lt;MaxNatGas,O63+$M$13&lt;MaxNatGas),O63+$M$13,MaxNatGas)))</f>
        <v/>
      </c>
    </row>
    <row r="65" spans="15:15" x14ac:dyDescent="0.25">
      <c r="O65" s="161" t="str">
        <f>IF(OR('Event Tracker'!$B$20=1,'Event Tracker'!$B$21=1,),IF(OR(O64&gt;=MaxNatGas,O64=""),"",IF(AND(O64&lt;MaxNatGas,O64+$M$4&lt;MaxNatGas),O64+$M$4,MaxNatGas)),IF(OR(O64&gt;=MaxNatGas,O64=""),"",IF(AND(O64&lt;MaxNatGas,O64+$M$13&lt;MaxNatGas),O64+$M$13,MaxNatGas)))</f>
        <v/>
      </c>
    </row>
    <row r="66" spans="15:15" x14ac:dyDescent="0.25">
      <c r="O66" s="161" t="str">
        <f>IF(OR('Event Tracker'!$B$20=1,'Event Tracker'!$B$21=1,),IF(OR(O65&gt;=MaxNatGas,O65=""),"",IF(AND(O65&lt;MaxNatGas,O65+$M$4&lt;MaxNatGas),O65+$M$4,MaxNatGas)),IF(OR(O65&gt;=MaxNatGas,O65=""),"",IF(AND(O65&lt;MaxNatGas,O65+$M$13&lt;MaxNatGas),O65+$M$13,MaxNatGas)))</f>
        <v/>
      </c>
    </row>
    <row r="67" spans="15:15" x14ac:dyDescent="0.25">
      <c r="O67" s="161" t="str">
        <f>IF(OR('Event Tracker'!$B$20=1,'Event Tracker'!$B$21=1,),IF(OR(O66&gt;=MaxNatGas,O66=""),"",IF(AND(O66&lt;MaxNatGas,O66+$M$4&lt;MaxNatGas),O66+$M$4,MaxNatGas)),IF(OR(O66&gt;=MaxNatGas,O66=""),"",IF(AND(O66&lt;MaxNatGas,O66+$M$13&lt;MaxNatGas),O66+$M$13,MaxNatGas)))</f>
        <v/>
      </c>
    </row>
    <row r="68" spans="15:15" x14ac:dyDescent="0.25">
      <c r="O68" s="161" t="str">
        <f>IF(OR('Event Tracker'!$B$20=1,'Event Tracker'!$B$21=1,),IF(OR(O67&gt;=MaxNatGas,O67=""),"",IF(AND(O67&lt;MaxNatGas,O67+$M$4&lt;MaxNatGas),O67+$M$4,MaxNatGas)),IF(OR(O67&gt;=MaxNatGas,O67=""),"",IF(AND(O67&lt;MaxNatGas,O67+$M$13&lt;MaxNatGas),O67+$M$13,MaxNatGas)))</f>
        <v/>
      </c>
    </row>
    <row r="69" spans="15:15" x14ac:dyDescent="0.25">
      <c r="O69" s="161" t="str">
        <f>IF(OR('Event Tracker'!$B$20=1,'Event Tracker'!$B$21=1,),IF(OR(O68&gt;=MaxNatGas,O68=""),"",IF(AND(O68&lt;MaxNatGas,O68+$M$4&lt;MaxNatGas),O68+$M$4,MaxNatGas)),IF(OR(O68&gt;=MaxNatGas,O68=""),"",IF(AND(O68&lt;MaxNatGas,O68+$M$13&lt;MaxNatGas),O68+$M$13,MaxNatGas)))</f>
        <v/>
      </c>
    </row>
    <row r="70" spans="15:15" x14ac:dyDescent="0.25">
      <c r="O70" s="161" t="str">
        <f>IF(OR('Event Tracker'!$B$20=1,'Event Tracker'!$B$21=1,),IF(OR(O69&gt;=MaxNatGas,O69=""),"",IF(AND(O69&lt;MaxNatGas,O69+$M$4&lt;MaxNatGas),O69+$M$4,MaxNatGas)),IF(OR(O69&gt;=MaxNatGas,O69=""),"",IF(AND(O69&lt;MaxNatGas,O69+$M$13&lt;MaxNatGas),O69+$M$13,MaxNatGas)))</f>
        <v/>
      </c>
    </row>
    <row r="71" spans="15:15" x14ac:dyDescent="0.25">
      <c r="O71" s="161" t="str">
        <f>IF(OR('Event Tracker'!$B$20=1,'Event Tracker'!$B$21=1,),IF(OR(O70&gt;=MaxNatGas,O70=""),"",IF(AND(O70&lt;MaxNatGas,O70+$M$4&lt;MaxNatGas),O70+$M$4,MaxNatGas)),IF(OR(O70&gt;=MaxNatGas,O70=""),"",IF(AND(O70&lt;MaxNatGas,O70+$M$13&lt;MaxNatGas),O70+$M$13,MaxNatGas)))</f>
        <v/>
      </c>
    </row>
    <row r="72" spans="15:15" x14ac:dyDescent="0.25">
      <c r="O72" s="161" t="str">
        <f>IF(OR('Event Tracker'!$B$20=1,'Event Tracker'!$B$21=1,),IF(OR(O71&gt;=MaxNatGas,O71=""),"",IF(AND(O71&lt;MaxNatGas,O71+$M$4&lt;MaxNatGas),O71+$M$4,MaxNatGas)),IF(OR(O71&gt;=MaxNatGas,O71=""),"",IF(AND(O71&lt;MaxNatGas,O71+$M$13&lt;MaxNatGas),O71+$M$13,MaxNatGas)))</f>
        <v/>
      </c>
    </row>
    <row r="73" spans="15:15" x14ac:dyDescent="0.25">
      <c r="O73" s="161" t="str">
        <f>IF(OR('Event Tracker'!$B$20=1,'Event Tracker'!$B$21=1,),IF(OR(O72&gt;=MaxNatGas,O72=""),"",IF(AND(O72&lt;MaxNatGas,O72+$M$4&lt;MaxNatGas),O72+$M$4,MaxNatGas)),IF(OR(O72&gt;=MaxNatGas,O72=""),"",IF(AND(O72&lt;MaxNatGas,O72+$M$13&lt;MaxNatGas),O72+$M$13,MaxNatGas)))</f>
        <v/>
      </c>
    </row>
    <row r="74" spans="15:15" x14ac:dyDescent="0.25">
      <c r="O74" s="161" t="str">
        <f>IF(OR('Event Tracker'!$B$20=1,'Event Tracker'!$B$21=1,),IF(OR(O73&gt;=MaxNatGas,O73=""),"",IF(AND(O73&lt;MaxNatGas,O73+$M$4&lt;MaxNatGas),O73+$M$4,MaxNatGas)),IF(OR(O73&gt;=MaxNatGas,O73=""),"",IF(AND(O73&lt;MaxNatGas,O73+$M$13&lt;MaxNatGas),O73+$M$13,MaxNatGas)))</f>
        <v/>
      </c>
    </row>
    <row r="75" spans="15:15" x14ac:dyDescent="0.25">
      <c r="O75" s="161" t="str">
        <f>IF(OR('Event Tracker'!$B$20=1,'Event Tracker'!$B$21=1,),IF(OR(O74&gt;=MaxNatGas,O74=""),"",IF(AND(O74&lt;MaxNatGas,O74+$M$4&lt;MaxNatGas),O74+$M$4,MaxNatGas)),IF(OR(O74&gt;=MaxNatGas,O74=""),"",IF(AND(O74&lt;MaxNatGas,O74+$M$13&lt;MaxNatGas),O74+$M$13,MaxNatGas)))</f>
        <v/>
      </c>
    </row>
    <row r="76" spans="15:15" x14ac:dyDescent="0.25">
      <c r="O76" s="161" t="str">
        <f>IF(OR('Event Tracker'!$B$20=1,'Event Tracker'!$B$21=1,),IF(OR(O75&gt;=MaxNatGas,O75=""),"",IF(AND(O75&lt;MaxNatGas,O75+$M$4&lt;MaxNatGas),O75+$M$4,MaxNatGas)),IF(OR(O75&gt;=MaxNatGas,O75=""),"",IF(AND(O75&lt;MaxNatGas,O75+$M$13&lt;MaxNatGas),O75+$M$13,MaxNatGas)))</f>
        <v/>
      </c>
    </row>
    <row r="77" spans="15:15" x14ac:dyDescent="0.25">
      <c r="O77" s="161" t="str">
        <f>IF(OR('Event Tracker'!$B$20=1,'Event Tracker'!$B$21=1,),IF(OR(O76&gt;=MaxNatGas,O76=""),"",IF(AND(O76&lt;MaxNatGas,O76+$M$4&lt;MaxNatGas),O76+$M$4,MaxNatGas)),IF(OR(O76&gt;=MaxNatGas,O76=""),"",IF(AND(O76&lt;MaxNatGas,O76+$M$13&lt;MaxNatGas),O76+$M$13,MaxNatGas)))</f>
        <v/>
      </c>
    </row>
    <row r="78" spans="15:15" x14ac:dyDescent="0.25">
      <c r="O78" s="161" t="str">
        <f>IF(OR('Event Tracker'!$B$20=1,'Event Tracker'!$B$21=1,),IF(OR(O77&gt;=MaxNatGas,O77=""),"",IF(AND(O77&lt;MaxNatGas,O77+$M$4&lt;MaxNatGas),O77+$M$4,MaxNatGas)),IF(OR(O77&gt;=MaxNatGas,O77=""),"",IF(AND(O77&lt;MaxNatGas,O77+$M$13&lt;MaxNatGas),O77+$M$13,MaxNatGas)))</f>
        <v/>
      </c>
    </row>
    <row r="79" spans="15:15" x14ac:dyDescent="0.25">
      <c r="O79" s="161" t="str">
        <f>IF(OR('Event Tracker'!$B$20=1,'Event Tracker'!$B$21=1,),IF(OR(O78&gt;=MaxNatGas,O78=""),"",IF(AND(O78&lt;MaxNatGas,O78+$M$4&lt;MaxNatGas),O78+$M$4,MaxNatGas)),IF(OR(O78&gt;=MaxNatGas,O78=""),"",IF(AND(O78&lt;MaxNatGas,O78+$M$13&lt;MaxNatGas),O78+$M$13,MaxNatGas)))</f>
        <v/>
      </c>
    </row>
    <row r="80" spans="15:15" x14ac:dyDescent="0.25">
      <c r="O80" s="161" t="str">
        <f>IF(OR('Event Tracker'!$B$20=1,'Event Tracker'!$B$21=1,),IF(OR(O79&gt;=MaxNatGas,O79=""),"",IF(AND(O79&lt;MaxNatGas,O79+$M$4&lt;MaxNatGas),O79+$M$4,MaxNatGas)),IF(OR(O79&gt;=MaxNatGas,O79=""),"",IF(AND(O79&lt;MaxNatGas,O79+$M$13&lt;MaxNatGas),O79+$M$13,MaxNatGas)))</f>
        <v/>
      </c>
    </row>
    <row r="81" spans="15:15" x14ac:dyDescent="0.25">
      <c r="O81" s="161" t="str">
        <f>IF(OR('Event Tracker'!$B$20=1,'Event Tracker'!$B$21=1,),IF(OR(O80&gt;=MaxNatGas,O80=""),"",IF(AND(O80&lt;MaxNatGas,O80+$M$4&lt;MaxNatGas),O80+$M$4,MaxNatGas)),IF(OR(O80&gt;=MaxNatGas,O80=""),"",IF(AND(O80&lt;MaxNatGas,O80+$M$13&lt;MaxNatGas),O80+$M$13,MaxNatGas)))</f>
        <v/>
      </c>
    </row>
    <row r="82" spans="15:15" x14ac:dyDescent="0.25">
      <c r="O82" s="161" t="str">
        <f>IF(OR('Event Tracker'!$B$20=1,'Event Tracker'!$B$21=1,),IF(OR(O81&gt;=MaxNatGas,O81=""),"",IF(AND(O81&lt;MaxNatGas,O81+$M$4&lt;MaxNatGas),O81+$M$4,MaxNatGas)),IF(OR(O81&gt;=MaxNatGas,O81=""),"",IF(AND(O81&lt;MaxNatGas,O81+$M$13&lt;MaxNatGas),O81+$M$13,MaxNatGas)))</f>
        <v/>
      </c>
    </row>
    <row r="83" spans="15:15" x14ac:dyDescent="0.25">
      <c r="O83" s="161" t="str">
        <f>IF(OR('Event Tracker'!$B$20=1,'Event Tracker'!$B$21=1,),IF(OR(O82&gt;=MaxNatGas,O82=""),"",IF(AND(O82&lt;MaxNatGas,O82+$M$4&lt;MaxNatGas),O82+$M$4,MaxNatGas)),IF(OR(O82&gt;=MaxNatGas,O82=""),"",IF(AND(O82&lt;MaxNatGas,O82+$M$13&lt;MaxNatGas),O82+$M$13,MaxNatGas)))</f>
        <v/>
      </c>
    </row>
    <row r="84" spans="15:15" x14ac:dyDescent="0.25">
      <c r="O84" s="161" t="str">
        <f>IF(OR('Event Tracker'!$B$20=1,'Event Tracker'!$B$21=1,),IF(OR(O83&gt;=MaxNatGas,O83=""),"",IF(AND(O83&lt;MaxNatGas,O83+$M$4&lt;MaxNatGas),O83+$M$4,MaxNatGas)),IF(OR(O83&gt;=MaxNatGas,O83=""),"",IF(AND(O83&lt;MaxNatGas,O83+$M$13&lt;MaxNatGas),O83+$M$13,MaxNatGas)))</f>
        <v/>
      </c>
    </row>
    <row r="85" spans="15:15" x14ac:dyDescent="0.25">
      <c r="O85" s="161" t="str">
        <f>IF(OR('Event Tracker'!$B$20=1,'Event Tracker'!$B$21=1,),IF(OR(O84&gt;=MaxNatGas,O84=""),"",IF(AND(O84&lt;MaxNatGas,O84+$M$4&lt;MaxNatGas),O84+$M$4,MaxNatGas)),IF(OR(O84&gt;=MaxNatGas,O84=""),"",IF(AND(O84&lt;MaxNatGas,O84+$M$13&lt;MaxNatGas),O84+$M$13,MaxNatGas)))</f>
        <v/>
      </c>
    </row>
    <row r="86" spans="15:15" x14ac:dyDescent="0.25">
      <c r="O86" s="161" t="str">
        <f>IF(OR('Event Tracker'!$B$20=1,'Event Tracker'!$B$21=1,),IF(OR(O85&gt;=MaxNatGas,O85=""),"",IF(AND(O85&lt;MaxNatGas,O85+$M$4&lt;MaxNatGas),O85+$M$4,MaxNatGas)),IF(OR(O85&gt;=MaxNatGas,O85=""),"",IF(AND(O85&lt;MaxNatGas,O85+$M$13&lt;MaxNatGas),O85+$M$13,MaxNatGas)))</f>
        <v/>
      </c>
    </row>
    <row r="87" spans="15:15" x14ac:dyDescent="0.25">
      <c r="O87" s="161" t="str">
        <f>IF(OR('Event Tracker'!$B$20=1,'Event Tracker'!$B$21=1,),IF(OR(O86&gt;=MaxNatGas,O86=""),"",IF(AND(O86&lt;MaxNatGas,O86+$M$4&lt;MaxNatGas),O86+$M$4,MaxNatGas)),IF(OR(O86&gt;=MaxNatGas,O86=""),"",IF(AND(O86&lt;MaxNatGas,O86+$M$13&lt;MaxNatGas),O86+$M$13,MaxNatGas)))</f>
        <v/>
      </c>
    </row>
    <row r="88" spans="15:15" x14ac:dyDescent="0.25">
      <c r="O88" s="161" t="str">
        <f>IF(OR('Event Tracker'!$B$20=1,'Event Tracker'!$B$21=1,),IF(OR(O87&gt;=MaxNatGas,O87=""),"",IF(AND(O87&lt;MaxNatGas,O87+$M$4&lt;MaxNatGas),O87+$M$4,MaxNatGas)),IF(OR(O87&gt;=MaxNatGas,O87=""),"",IF(AND(O87&lt;MaxNatGas,O87+$M$13&lt;MaxNatGas),O87+$M$13,MaxNatGas)))</f>
        <v/>
      </c>
    </row>
    <row r="89" spans="15:15" x14ac:dyDescent="0.25">
      <c r="O89" s="161" t="str">
        <f>IF(OR('Event Tracker'!$B$20=1,'Event Tracker'!$B$21=1,),IF(OR(O88&gt;=MaxNatGas,O88=""),"",IF(AND(O88&lt;MaxNatGas,O88+$M$4&lt;MaxNatGas),O88+$M$4,MaxNatGas)),IF(OR(O88&gt;=MaxNatGas,O88=""),"",IF(AND(O88&lt;MaxNatGas,O88+$M$13&lt;MaxNatGas),O88+$M$13,MaxNatGas)))</f>
        <v/>
      </c>
    </row>
    <row r="90" spans="15:15" x14ac:dyDescent="0.25">
      <c r="O90" s="161" t="str">
        <f>IF(OR('Event Tracker'!$B$20=1,'Event Tracker'!$B$21=1,),IF(OR(O89&gt;=MaxNatGas,O89=""),"",IF(AND(O89&lt;MaxNatGas,O89+$M$4&lt;MaxNatGas),O89+$M$4,MaxNatGas)),IF(OR(O89&gt;=MaxNatGas,O89=""),"",IF(AND(O89&lt;MaxNatGas,O89+$M$13&lt;MaxNatGas),O89+$M$13,MaxNatGas)))</f>
        <v/>
      </c>
    </row>
    <row r="91" spans="15:15" x14ac:dyDescent="0.25">
      <c r="O91" s="161" t="str">
        <f>IF(OR('Event Tracker'!$B$20=1,'Event Tracker'!$B$21=1,),IF(OR(O90&gt;=MaxNatGas,O90=""),"",IF(AND(O90&lt;MaxNatGas,O90+$M$4&lt;MaxNatGas),O90+$M$4,MaxNatGas)),IF(OR(O90&gt;=MaxNatGas,O90=""),"",IF(AND(O90&lt;MaxNatGas,O90+$M$13&lt;MaxNatGas),O90+$M$13,MaxNatGas)))</f>
        <v/>
      </c>
    </row>
    <row r="92" spans="15:15" x14ac:dyDescent="0.25">
      <c r="O92" s="161" t="str">
        <f>IF(OR('Event Tracker'!$B$20=1,'Event Tracker'!$B$21=1,),IF(OR(O91&gt;=MaxNatGas,O91=""),"",IF(AND(O91&lt;MaxNatGas,O91+$M$4&lt;MaxNatGas),O91+$M$4,MaxNatGas)),IF(OR(O91&gt;=MaxNatGas,O91=""),"",IF(AND(O91&lt;MaxNatGas,O91+$M$13&lt;MaxNatGas),O91+$M$13,MaxNatGas)))</f>
        <v/>
      </c>
    </row>
    <row r="93" spans="15:15" x14ac:dyDescent="0.25">
      <c r="O93" s="161" t="str">
        <f>IF(OR('Event Tracker'!$B$20=1,'Event Tracker'!$B$21=1,),IF(OR(O92&gt;=MaxNatGas,O92=""),"",IF(AND(O92&lt;MaxNatGas,O92+$M$4&lt;MaxNatGas),O92+$M$4,MaxNatGas)),IF(OR(O92&gt;=MaxNatGas,O92=""),"",IF(AND(O92&lt;MaxNatGas,O92+$M$13&lt;MaxNatGas),O92+$M$13,MaxNatGas)))</f>
        <v/>
      </c>
    </row>
    <row r="94" spans="15:15" x14ac:dyDescent="0.25">
      <c r="O94" s="161" t="str">
        <f>IF(OR('Event Tracker'!$B$20=1,'Event Tracker'!$B$21=1,),IF(OR(O93&gt;=MaxNatGas,O93=""),"",IF(AND(O93&lt;MaxNatGas,O93+$M$4&lt;MaxNatGas),O93+$M$4,MaxNatGas)),IF(OR(O93&gt;=MaxNatGas,O93=""),"",IF(AND(O93&lt;MaxNatGas,O93+$M$13&lt;MaxNatGas),O93+$M$13,MaxNatGas)))</f>
        <v/>
      </c>
    </row>
    <row r="95" spans="15:15" x14ac:dyDescent="0.25">
      <c r="O95" s="161" t="str">
        <f>IF(OR('Event Tracker'!$B$20=1,'Event Tracker'!$B$21=1,),IF(OR(O94&gt;=MaxNatGas,O94=""),"",IF(AND(O94&lt;MaxNatGas,O94+$M$4&lt;MaxNatGas),O94+$M$4,MaxNatGas)),IF(OR(O94&gt;=MaxNatGas,O94=""),"",IF(AND(O94&lt;MaxNatGas,O94+$M$13&lt;MaxNatGas),O94+$M$13,MaxNatGas)))</f>
        <v/>
      </c>
    </row>
    <row r="96" spans="15:15" x14ac:dyDescent="0.25">
      <c r="O96" s="161" t="str">
        <f>IF(OR('Event Tracker'!$B$20=1,'Event Tracker'!$B$21=1,),IF(OR(O95&gt;=MaxNatGas,O95=""),"",IF(AND(O95&lt;MaxNatGas,O95+$M$4&lt;MaxNatGas),O95+$M$4,MaxNatGas)),IF(OR(O95&gt;=MaxNatGas,O95=""),"",IF(AND(O95&lt;MaxNatGas,O95+$M$13&lt;MaxNatGas),O95+$M$13,MaxNatGas)))</f>
        <v/>
      </c>
    </row>
    <row r="97" spans="15:15" x14ac:dyDescent="0.25">
      <c r="O97" s="161" t="str">
        <f>IF(OR('Event Tracker'!$B$20=1,'Event Tracker'!$B$21=1,),IF(OR(O96&gt;=MaxNatGas,O96=""),"",IF(AND(O96&lt;MaxNatGas,O96+$M$4&lt;MaxNatGas),O96+$M$4,MaxNatGas)),IF(OR(O96&gt;=MaxNatGas,O96=""),"",IF(AND(O96&lt;MaxNatGas,O96+$M$13&lt;MaxNatGas),O96+$M$13,MaxNatGas)))</f>
        <v/>
      </c>
    </row>
    <row r="98" spans="15:15" x14ac:dyDescent="0.25">
      <c r="O98" s="161" t="str">
        <f>IF(OR('Event Tracker'!$B$20=1,'Event Tracker'!$B$21=1,),IF(OR(O97&gt;=MaxNatGas,O97=""),"",IF(AND(O97&lt;MaxNatGas,O97+$M$4&lt;MaxNatGas),O97+$M$4,MaxNatGas)),IF(OR(O97&gt;=MaxNatGas,O97=""),"",IF(AND(O97&lt;MaxNatGas,O97+$M$13&lt;MaxNatGas),O97+$M$13,MaxNatGas)))</f>
        <v/>
      </c>
    </row>
    <row r="99" spans="15:15" x14ac:dyDescent="0.25">
      <c r="O99" s="161" t="str">
        <f>IF(OR('Event Tracker'!$B$20=1,'Event Tracker'!$B$21=1,),IF(OR(O98&gt;=MaxNatGas,O98=""),"",IF(AND(O98&lt;MaxNatGas,O98+$M$4&lt;MaxNatGas),O98+$M$4,MaxNatGas)),IF(OR(O98&gt;=MaxNatGas,O98=""),"",IF(AND(O98&lt;MaxNatGas,O98+$M$13&lt;MaxNatGas),O98+$M$13,MaxNatGas)))</f>
        <v/>
      </c>
    </row>
    <row r="100" spans="15:15" x14ac:dyDescent="0.25">
      <c r="O100" s="161" t="str">
        <f>IF(OR('Event Tracker'!$B$20=1,'Event Tracker'!$B$21=1,),IF(OR(O99&gt;=MaxNatGas,O99=""),"",IF(AND(O99&lt;MaxNatGas,O99+$M$4&lt;MaxNatGas),O99+$M$4,MaxNatGas)),IF(OR(O99&gt;=MaxNatGas,O99=""),"",IF(AND(O99&lt;MaxNatGas,O99+$M$13&lt;MaxNatGas),O99+$M$13,MaxNatGas)))</f>
        <v/>
      </c>
    </row>
    <row r="101" spans="15:15" x14ac:dyDescent="0.25">
      <c r="O101" s="161" t="str">
        <f>IF(OR('Event Tracker'!$B$20=1,'Event Tracker'!$B$21=1,),IF(OR(O100&gt;=MaxNatGas,O100=""),"",IF(AND(O100&lt;MaxNatGas,O100+$M$4&lt;MaxNatGas),O100+$M$4,MaxNatGas)),IF(OR(O100&gt;=MaxNatGas,O100=""),"",IF(AND(O100&lt;MaxNatGas,O100+$M$13&lt;MaxNatGas),O100+$M$13,MaxNatGas)))</f>
        <v/>
      </c>
    </row>
    <row r="102" spans="15:15" x14ac:dyDescent="0.25">
      <c r="O102" s="161" t="str">
        <f>IF(OR('Event Tracker'!$B$20=1,'Event Tracker'!$B$21=1,),IF(OR(O101&gt;=MaxNatGas,O101=""),"",IF(AND(O101&lt;MaxNatGas,O101+$M$4&lt;MaxNatGas),O101+$M$4,MaxNatGas)),IF(OR(O101&gt;=MaxNatGas,O101=""),"",IF(AND(O101&lt;MaxNatGas,O101+$M$13&lt;MaxNatGas),O101+$M$13,MaxNatGas)))</f>
        <v/>
      </c>
    </row>
    <row r="103" spans="15:15" x14ac:dyDescent="0.25">
      <c r="O103" s="161" t="str">
        <f>IF(OR('Event Tracker'!$B$20=1,'Event Tracker'!$B$21=1,),IF(OR(O102&gt;=MaxNatGas,O102=""),"",IF(AND(O102&lt;MaxNatGas,O102+$M$4&lt;MaxNatGas),O102+$M$4,MaxNatGas)),IF(OR(O102&gt;=MaxNatGas,O102=""),"",IF(AND(O102&lt;MaxNatGas,O102+$M$13&lt;MaxNatGas),O102+$M$13,MaxNatGas)))</f>
        <v/>
      </c>
    </row>
    <row r="104" spans="15:15" x14ac:dyDescent="0.25">
      <c r="O104" s="161" t="str">
        <f>IF(OR('Event Tracker'!$B$20=1,'Event Tracker'!$B$21=1,),IF(OR(O103&gt;=MaxNatGas,O103=""),"",IF(AND(O103&lt;MaxNatGas,O103+$M$4&lt;MaxNatGas),O103+$M$4,MaxNatGas)),IF(OR(O103&gt;=MaxNatGas,O103=""),"",IF(AND(O103&lt;MaxNatGas,O103+$M$13&lt;MaxNatGas),O103+$M$13,MaxNatGas)))</f>
        <v/>
      </c>
    </row>
    <row r="105" spans="15:15" x14ac:dyDescent="0.25">
      <c r="O105" s="161" t="str">
        <f>IF(OR('Event Tracker'!$B$20=1,'Event Tracker'!$B$21=1,),IF(OR(O104&gt;=MaxNatGas,O104=""),"",IF(AND(O104&lt;MaxNatGas,O104+$M$4&lt;MaxNatGas),O104+$M$4,MaxNatGas)),IF(OR(O104&gt;=MaxNatGas,O104=""),"",IF(AND(O104&lt;MaxNatGas,O104+$M$13&lt;MaxNatGas),O104+$M$13,MaxNatGas)))</f>
        <v/>
      </c>
    </row>
    <row r="106" spans="15:15" x14ac:dyDescent="0.25">
      <c r="O106" s="161" t="str">
        <f>IF(OR('Event Tracker'!$B$20=1,'Event Tracker'!$B$21=1,),IF(OR(O105&gt;=MaxNatGas,O105=""),"",IF(AND(O105&lt;MaxNatGas,O105+$M$4&lt;MaxNatGas),O105+$M$4,MaxNatGas)),IF(OR(O105&gt;=MaxNatGas,O105=""),"",IF(AND(O105&lt;MaxNatGas,O105+$M$13&lt;MaxNatGas),O105+$M$13,MaxNatGas)))</f>
        <v/>
      </c>
    </row>
    <row r="107" spans="15:15" x14ac:dyDescent="0.25">
      <c r="O107" s="161" t="str">
        <f>IF(OR('Event Tracker'!$B$20=1,'Event Tracker'!$B$21=1,),IF(OR(O106&gt;=MaxNatGas,O106=""),"",IF(AND(O106&lt;MaxNatGas,O106+$M$4&lt;MaxNatGas),O106+$M$4,MaxNatGas)),IF(OR(O106&gt;=MaxNatGas,O106=""),"",IF(AND(O106&lt;MaxNatGas,O106+$M$13&lt;MaxNatGas),O106+$M$13,MaxNatGas)))</f>
        <v/>
      </c>
    </row>
    <row r="108" spans="15:15" x14ac:dyDescent="0.25">
      <c r="O108" s="161" t="str">
        <f>IF(OR('Event Tracker'!$B$20=1,'Event Tracker'!$B$21=1,),IF(OR(O107&gt;=MaxNatGas,O107=""),"",IF(AND(O107&lt;MaxNatGas,O107+$M$4&lt;MaxNatGas),O107+$M$4,MaxNatGas)),IF(OR(O107&gt;=MaxNatGas,O107=""),"",IF(AND(O107&lt;MaxNatGas,O107+$M$13&lt;MaxNatGas),O107+$M$13,MaxNatGas)))</f>
        <v/>
      </c>
    </row>
    <row r="109" spans="15:15" x14ac:dyDescent="0.25">
      <c r="O109" s="161" t="str">
        <f>IF(OR('Event Tracker'!$B$20=1,'Event Tracker'!$B$21=1,),IF(OR(O108&gt;=MaxNatGas,O108=""),"",IF(AND(O108&lt;MaxNatGas,O108+$M$4&lt;MaxNatGas),O108+$M$4,MaxNatGas)),IF(OR(O108&gt;=MaxNatGas,O108=""),"",IF(AND(O108&lt;MaxNatGas,O108+$M$13&lt;MaxNatGas),O108+$M$13,MaxNatGas)))</f>
        <v/>
      </c>
    </row>
    <row r="110" spans="15:15" x14ac:dyDescent="0.25">
      <c r="O110" s="161" t="str">
        <f>IF(OR('Event Tracker'!$B$20=1,'Event Tracker'!$B$21=1,),IF(OR(O109&gt;=MaxNatGas,O109=""),"",IF(AND(O109&lt;MaxNatGas,O109+$M$4&lt;MaxNatGas),O109+$M$4,MaxNatGas)),IF(OR(O109&gt;=MaxNatGas,O109=""),"",IF(AND(O109&lt;MaxNatGas,O109+$M$13&lt;MaxNatGas),O109+$M$13,MaxNatGas)))</f>
        <v/>
      </c>
    </row>
    <row r="111" spans="15:15" x14ac:dyDescent="0.25">
      <c r="O111" s="161" t="str">
        <f>IF(OR('Event Tracker'!$B$20=1,'Event Tracker'!$B$21=1,),IF(OR(O110&gt;=MaxNatGas,O110=""),"",IF(AND(O110&lt;MaxNatGas,O110+$M$4&lt;MaxNatGas),O110+$M$4,MaxNatGas)),IF(OR(O110&gt;=MaxNatGas,O110=""),"",IF(AND(O110&lt;MaxNatGas,O110+$M$13&lt;MaxNatGas),O110+$M$13,MaxNatGas)))</f>
        <v/>
      </c>
    </row>
    <row r="112" spans="15:15" x14ac:dyDescent="0.25">
      <c r="O112" s="161" t="str">
        <f>IF(OR('Event Tracker'!$B$20=1,'Event Tracker'!$B$21=1,),IF(OR(O111&gt;=MaxNatGas,O111=""),"",IF(AND(O111&lt;MaxNatGas,O111+$M$4&lt;MaxNatGas),O111+$M$4,MaxNatGas)),IF(OR(O111&gt;=MaxNatGas,O111=""),"",IF(AND(O111&lt;MaxNatGas,O111+$M$13&lt;MaxNatGas),O111+$M$13,MaxNatGas)))</f>
        <v/>
      </c>
    </row>
    <row r="113" spans="15:15" x14ac:dyDescent="0.25">
      <c r="O113" s="161" t="str">
        <f>IF(OR('Event Tracker'!$B$20=1,'Event Tracker'!$B$21=1,),IF(OR(O112&gt;=MaxNatGas,O112=""),"",IF(AND(O112&lt;MaxNatGas,O112+$M$4&lt;MaxNatGas),O112+$M$4,MaxNatGas)),IF(OR(O112&gt;=MaxNatGas,O112=""),"",IF(AND(O112&lt;MaxNatGas,O112+$M$13&lt;MaxNatGas),O112+$M$13,MaxNatGas)))</f>
        <v/>
      </c>
    </row>
    <row r="114" spans="15:15" x14ac:dyDescent="0.25">
      <c r="O114" s="161" t="str">
        <f>IF(OR('Event Tracker'!$B$20=1,'Event Tracker'!$B$21=1,),IF(OR(O113&gt;=MaxNatGas,O113=""),"",IF(AND(O113&lt;MaxNatGas,O113+$M$4&lt;MaxNatGas),O113+$M$4,MaxNatGas)),IF(OR(O113&gt;=MaxNatGas,O113=""),"",IF(AND(O113&lt;MaxNatGas,O113+$M$13&lt;MaxNatGas),O113+$M$13,MaxNatGas)))</f>
        <v/>
      </c>
    </row>
    <row r="115" spans="15:15" x14ac:dyDescent="0.25">
      <c r="O115" s="161" t="str">
        <f>IF(OR('Event Tracker'!$B$20=1,'Event Tracker'!$B$21=1,),IF(OR(O114&gt;=MaxNatGas,O114=""),"",IF(AND(O114&lt;MaxNatGas,O114+$M$4&lt;MaxNatGas),O114+$M$4,MaxNatGas)),IF(OR(O114&gt;=MaxNatGas,O114=""),"",IF(AND(O114&lt;MaxNatGas,O114+$M$13&lt;MaxNatGas),O114+$M$13,MaxNatGas)))</f>
        <v/>
      </c>
    </row>
    <row r="116" spans="15:15" x14ac:dyDescent="0.25">
      <c r="O116" s="161" t="str">
        <f>IF(OR('Event Tracker'!$B$20=1,'Event Tracker'!$B$21=1,),IF(OR(O115&gt;=MaxNatGas,O115=""),"",IF(AND(O115&lt;MaxNatGas,O115+$M$4&lt;MaxNatGas),O115+$M$4,MaxNatGas)),IF(OR(O115&gt;=MaxNatGas,O115=""),"",IF(AND(O115&lt;MaxNatGas,O115+$M$13&lt;MaxNatGas),O115+$M$13,MaxNatGas)))</f>
        <v/>
      </c>
    </row>
    <row r="117" spans="15:15" x14ac:dyDescent="0.25">
      <c r="O117" s="161" t="str">
        <f>IF(OR('Event Tracker'!$B$20=1,'Event Tracker'!$B$21=1,),IF(OR(O116&gt;=MaxNatGas,O116=""),"",IF(AND(O116&lt;MaxNatGas,O116+$M$4&lt;MaxNatGas),O116+$M$4,MaxNatGas)),IF(OR(O116&gt;=MaxNatGas,O116=""),"",IF(AND(O116&lt;MaxNatGas,O116+$M$13&lt;MaxNatGas),O116+$M$13,MaxNatGas)))</f>
        <v/>
      </c>
    </row>
    <row r="118" spans="15:15" x14ac:dyDescent="0.25">
      <c r="O118" s="161" t="str">
        <f>IF(OR('Event Tracker'!$B$20=1,'Event Tracker'!$B$21=1,),IF(OR(O117&gt;=MaxNatGas,O117=""),"",IF(AND(O117&lt;MaxNatGas,O117+$M$4&lt;MaxNatGas),O117+$M$4,MaxNatGas)),IF(OR(O117&gt;=MaxNatGas,O117=""),"",IF(AND(O117&lt;MaxNatGas,O117+$M$13&lt;MaxNatGas),O117+$M$13,MaxNatGas)))</f>
        <v/>
      </c>
    </row>
    <row r="119" spans="15:15" x14ac:dyDescent="0.25">
      <c r="O119" s="161" t="str">
        <f>IF(OR('Event Tracker'!$B$20=1,'Event Tracker'!$B$21=1,),IF(OR(O118&gt;=MaxNatGas,O118=""),"",IF(AND(O118&lt;MaxNatGas,O118+$M$4&lt;MaxNatGas),O118+$M$4,MaxNatGas)),IF(OR(O118&gt;=MaxNatGas,O118=""),"",IF(AND(O118&lt;MaxNatGas,O118+$M$13&lt;MaxNatGas),O118+$M$13,MaxNatGas)))</f>
        <v/>
      </c>
    </row>
    <row r="120" spans="15:15" x14ac:dyDescent="0.25">
      <c r="O120" s="161" t="str">
        <f>IF(OR('Event Tracker'!$B$20=1,'Event Tracker'!$B$21=1,),IF(OR(O119&gt;=MaxNatGas,O119=""),"",IF(AND(O119&lt;MaxNatGas,O119+$M$4&lt;MaxNatGas),O119+$M$4,MaxNatGas)),IF(OR(O119&gt;=MaxNatGas,O119=""),"",IF(AND(O119&lt;MaxNatGas,O119+$M$13&lt;MaxNatGas),O119+$M$13,MaxNatGas)))</f>
        <v/>
      </c>
    </row>
    <row r="121" spans="15:15" x14ac:dyDescent="0.25">
      <c r="O121" s="161" t="str">
        <f>IF(OR('Event Tracker'!$B$20=1,'Event Tracker'!$B$21=1,),IF(OR(O120&gt;=MaxNatGas,O120=""),"",IF(AND(O120&lt;MaxNatGas,O120+$M$4&lt;MaxNatGas),O120+$M$4,MaxNatGas)),IF(OR(O120&gt;=MaxNatGas,O120=""),"",IF(AND(O120&lt;MaxNatGas,O120+$M$13&lt;MaxNatGas),O120+$M$13,MaxNatGas)))</f>
        <v/>
      </c>
    </row>
    <row r="122" spans="15:15" x14ac:dyDescent="0.25">
      <c r="O122" s="161" t="str">
        <f>IF(OR('Event Tracker'!$B$20=1,'Event Tracker'!$B$21=1,),IF(OR(O121&gt;=MaxNatGas,O121=""),"",IF(AND(O121&lt;MaxNatGas,O121+$M$4&lt;MaxNatGas),O121+$M$4,MaxNatGas)),IF(OR(O121&gt;=MaxNatGas,O121=""),"",IF(AND(O121&lt;MaxNatGas,O121+$M$13&lt;MaxNatGas),O121+$M$13,MaxNatGas)))</f>
        <v/>
      </c>
    </row>
    <row r="123" spans="15:15" x14ac:dyDescent="0.25">
      <c r="O123" s="161" t="str">
        <f>IF(OR('Event Tracker'!$B$20=1,'Event Tracker'!$B$21=1,),IF(OR(O122&gt;=MaxNatGas,O122=""),"",IF(AND(O122&lt;MaxNatGas,O122+$M$4&lt;MaxNatGas),O122+$M$4,MaxNatGas)),IF(OR(O122&gt;=MaxNatGas,O122=""),"",IF(AND(O122&lt;MaxNatGas,O122+$M$13&lt;MaxNatGas),O122+$M$13,MaxNatGas)))</f>
        <v/>
      </c>
    </row>
    <row r="124" spans="15:15" x14ac:dyDescent="0.25">
      <c r="O124" s="161" t="str">
        <f>IF(OR('Event Tracker'!$B$20=1,'Event Tracker'!$B$21=1,),IF(OR(O123&gt;=MaxNatGas,O123=""),"",IF(AND(O123&lt;MaxNatGas,O123+$M$4&lt;MaxNatGas),O123+$M$4,MaxNatGas)),IF(OR(O123&gt;=MaxNatGas,O123=""),"",IF(AND(O123&lt;MaxNatGas,O123+$M$13&lt;MaxNatGas),O123+$M$13,MaxNatGas)))</f>
        <v/>
      </c>
    </row>
    <row r="125" spans="15:15" x14ac:dyDescent="0.25">
      <c r="O125" s="161" t="str">
        <f>IF(OR('Event Tracker'!$B$20=1,'Event Tracker'!$B$21=1,),IF(OR(O124&gt;=MaxNatGas,O124=""),"",IF(AND(O124&lt;MaxNatGas,O124+$M$4&lt;MaxNatGas),O124+$M$4,MaxNatGas)),IF(OR(O124&gt;=MaxNatGas,O124=""),"",IF(AND(O124&lt;MaxNatGas,O124+$M$13&lt;MaxNatGas),O124+$M$13,MaxNatGas)))</f>
        <v/>
      </c>
    </row>
    <row r="126" spans="15:15" x14ac:dyDescent="0.25">
      <c r="O126" s="161" t="str">
        <f>IF(OR('Event Tracker'!$B$20=1,'Event Tracker'!$B$21=1,),IF(OR(O125&gt;=MaxNatGas,O125=""),"",IF(AND(O125&lt;MaxNatGas,O125+$M$4&lt;MaxNatGas),O125+$M$4,MaxNatGas)),IF(OR(O125&gt;=MaxNatGas,O125=""),"",IF(AND(O125&lt;MaxNatGas,O125+$M$13&lt;MaxNatGas),O125+$M$13,MaxNatGas)))</f>
        <v/>
      </c>
    </row>
    <row r="127" spans="15:15" x14ac:dyDescent="0.25">
      <c r="O127" s="161" t="str">
        <f>IF(OR('Event Tracker'!$B$20=1,'Event Tracker'!$B$21=1,),IF(OR(O126&gt;=MaxNatGas,O126=""),"",IF(AND(O126&lt;MaxNatGas,O126+$M$4&lt;MaxNatGas),O126+$M$4,MaxNatGas)),IF(OR(O126&gt;=MaxNatGas,O126=""),"",IF(AND(O126&lt;MaxNatGas,O126+$M$13&lt;MaxNatGas),O126+$M$13,MaxNatGas)))</f>
        <v/>
      </c>
    </row>
    <row r="128" spans="15:15" x14ac:dyDescent="0.25">
      <c r="O128" s="161" t="str">
        <f>IF(OR('Event Tracker'!$B$20=1,'Event Tracker'!$B$21=1,),IF(OR(O127&gt;=MaxNatGas,O127=""),"",IF(AND(O127&lt;MaxNatGas,O127+$M$4&lt;MaxNatGas),O127+$M$4,MaxNatGas)),IF(OR(O127&gt;=MaxNatGas,O127=""),"",IF(AND(O127&lt;MaxNatGas,O127+$M$13&lt;MaxNatGas),O127+$M$13,MaxNatGas)))</f>
        <v/>
      </c>
    </row>
    <row r="129" spans="15:15" x14ac:dyDescent="0.25">
      <c r="O129" s="161" t="str">
        <f>IF(OR('Event Tracker'!$B$20=1,'Event Tracker'!$B$21=1,),IF(OR(O128&gt;=MaxNatGas,O128=""),"",IF(AND(O128&lt;MaxNatGas,O128+$M$4&lt;MaxNatGas),O128+$M$4,MaxNatGas)),IF(OR(O128&gt;=MaxNatGas,O128=""),"",IF(AND(O128&lt;MaxNatGas,O128+$M$13&lt;MaxNatGas),O128+$M$13,MaxNatGas)))</f>
        <v/>
      </c>
    </row>
    <row r="130" spans="15:15" x14ac:dyDescent="0.25">
      <c r="O130" s="161" t="str">
        <f>IF(OR('Event Tracker'!$B$20=1,'Event Tracker'!$B$21=1,),IF(OR(O129&gt;=MaxNatGas,O129=""),"",IF(AND(O129&lt;MaxNatGas,O129+$M$4&lt;MaxNatGas),O129+$M$4,MaxNatGas)),IF(OR(O129&gt;=MaxNatGas,O129=""),"",IF(AND(O129&lt;MaxNatGas,O129+$M$13&lt;MaxNatGas),O129+$M$13,MaxNatGas)))</f>
        <v/>
      </c>
    </row>
    <row r="131" spans="15:15" x14ac:dyDescent="0.25">
      <c r="O131" s="161" t="str">
        <f>IF(OR('Event Tracker'!$B$20=1,'Event Tracker'!$B$21=1,),IF(OR(O130&gt;=MaxNatGas,O130=""),"",IF(AND(O130&lt;MaxNatGas,O130+$M$4&lt;MaxNatGas),O130+$M$4,MaxNatGas)),IF(OR(O130&gt;=MaxNatGas,O130=""),"",IF(AND(O130&lt;MaxNatGas,O130+$M$13&lt;MaxNatGas),O130+$M$13,MaxNatGas)))</f>
        <v/>
      </c>
    </row>
    <row r="132" spans="15:15" x14ac:dyDescent="0.25">
      <c r="O132" s="161" t="str">
        <f>IF(OR('Event Tracker'!$B$20=1,'Event Tracker'!$B$21=1,),IF(OR(O131&gt;=MaxNatGas,O131=""),"",IF(AND(O131&lt;MaxNatGas,O131+$M$4&lt;MaxNatGas),O131+$M$4,MaxNatGas)),IF(OR(O131&gt;=MaxNatGas,O131=""),"",IF(AND(O131&lt;MaxNatGas,O131+$M$13&lt;MaxNatGas),O131+$M$13,MaxNatGas)))</f>
        <v/>
      </c>
    </row>
    <row r="133" spans="15:15" x14ac:dyDescent="0.25">
      <c r="O133" s="161" t="str">
        <f>IF(OR('Event Tracker'!$B$20=1,'Event Tracker'!$B$21=1,),IF(OR(O132&gt;=MaxNatGas,O132=""),"",IF(AND(O132&lt;MaxNatGas,O132+$M$4&lt;MaxNatGas),O132+$M$4,MaxNatGas)),IF(OR(O132&gt;=MaxNatGas,O132=""),"",IF(AND(O132&lt;MaxNatGas,O132+$M$13&lt;MaxNatGas),O132+$M$13,MaxNatGas)))</f>
        <v/>
      </c>
    </row>
    <row r="134" spans="15:15" x14ac:dyDescent="0.25">
      <c r="O134" s="161" t="str">
        <f>IF(OR('Event Tracker'!$B$20=1,'Event Tracker'!$B$21=1,),IF(OR(O133&gt;=MaxNatGas,O133=""),"",IF(AND(O133&lt;MaxNatGas,O133+$M$4&lt;MaxNatGas),O133+$M$4,MaxNatGas)),IF(OR(O133&gt;=MaxNatGas,O133=""),"",IF(AND(O133&lt;MaxNatGas,O133+$M$13&lt;MaxNatGas),O133+$M$13,MaxNatGas)))</f>
        <v/>
      </c>
    </row>
    <row r="135" spans="15:15" x14ac:dyDescent="0.25">
      <c r="O135" s="161" t="str">
        <f>IF(OR('Event Tracker'!$B$20=1,'Event Tracker'!$B$21=1,),IF(OR(O134&gt;=MaxNatGas,O134=""),"",IF(AND(O134&lt;MaxNatGas,O134+$M$4&lt;MaxNatGas),O134+$M$4,MaxNatGas)),IF(OR(O134&gt;=MaxNatGas,O134=""),"",IF(AND(O134&lt;MaxNatGas,O134+$M$13&lt;MaxNatGas),O134+$M$13,MaxNatGas)))</f>
        <v/>
      </c>
    </row>
    <row r="136" spans="15:15" x14ac:dyDescent="0.25">
      <c r="O136" s="161" t="str">
        <f>IF(OR('Event Tracker'!$B$20=1,'Event Tracker'!$B$21=1,),IF(OR(O135&gt;=MaxNatGas,O135=""),"",IF(AND(O135&lt;MaxNatGas,O135+$M$4&lt;MaxNatGas),O135+$M$4,MaxNatGas)),IF(OR(O135&gt;=MaxNatGas,O135=""),"",IF(AND(O135&lt;MaxNatGas,O135+$M$13&lt;MaxNatGas),O135+$M$13,MaxNatGas)))</f>
        <v/>
      </c>
    </row>
    <row r="137" spans="15:15" x14ac:dyDescent="0.25">
      <c r="O137" s="161" t="str">
        <f>IF(OR('Event Tracker'!$B$20=1,'Event Tracker'!$B$21=1,),IF(OR(O136&gt;=MaxNatGas,O136=""),"",IF(AND(O136&lt;MaxNatGas,O136+$M$4&lt;MaxNatGas),O136+$M$4,MaxNatGas)),IF(OR(O136&gt;=MaxNatGas,O136=""),"",IF(AND(O136&lt;MaxNatGas,O136+$M$13&lt;MaxNatGas),O136+$M$13,MaxNatGas)))</f>
        <v/>
      </c>
    </row>
    <row r="138" spans="15:15" x14ac:dyDescent="0.25">
      <c r="O138" s="161" t="str">
        <f>IF(OR('Event Tracker'!$B$20=1,'Event Tracker'!$B$21=1,),IF(OR(O137&gt;=MaxNatGas,O137=""),"",IF(AND(O137&lt;MaxNatGas,O137+$M$4&lt;MaxNatGas),O137+$M$4,MaxNatGas)),IF(OR(O137&gt;=MaxNatGas,O137=""),"",IF(AND(O137&lt;MaxNatGas,O137+$M$13&lt;MaxNatGas),O137+$M$13,MaxNatGas)))</f>
        <v/>
      </c>
    </row>
    <row r="139" spans="15:15" x14ac:dyDescent="0.25">
      <c r="O139" s="161" t="str">
        <f>IF(OR('Event Tracker'!$B$20=1,'Event Tracker'!$B$21=1,),IF(OR(O138&gt;=MaxNatGas,O138=""),"",IF(AND(O138&lt;MaxNatGas,O138+$M$4&lt;MaxNatGas),O138+$M$4,MaxNatGas)),IF(OR(O138&gt;=MaxNatGas,O138=""),"",IF(AND(O138&lt;MaxNatGas,O138+$M$13&lt;MaxNatGas),O138+$M$13,MaxNatGas)))</f>
        <v/>
      </c>
    </row>
    <row r="140" spans="15:15" x14ac:dyDescent="0.25">
      <c r="O140" s="161" t="str">
        <f>IF(OR('Event Tracker'!$B$20=1,'Event Tracker'!$B$21=1,),IF(OR(O139&gt;=MaxNatGas,O139=""),"",IF(AND(O139&lt;MaxNatGas,O139+$M$4&lt;MaxNatGas),O139+$M$4,MaxNatGas)),IF(OR(O139&gt;=MaxNatGas,O139=""),"",IF(AND(O139&lt;MaxNatGas,O139+$M$13&lt;MaxNatGas),O139+$M$13,MaxNatGas)))</f>
        <v/>
      </c>
    </row>
    <row r="141" spans="15:15" x14ac:dyDescent="0.25">
      <c r="O141" s="161" t="str">
        <f>IF(OR('Event Tracker'!$B$20=1,'Event Tracker'!$B$21=1,),IF(OR(O140&gt;=MaxNatGas,O140=""),"",IF(AND(O140&lt;MaxNatGas,O140+$M$4&lt;MaxNatGas),O140+$M$4,MaxNatGas)),IF(OR(O140&gt;=MaxNatGas,O140=""),"",IF(AND(O140&lt;MaxNatGas,O140+$M$13&lt;MaxNatGas),O140+$M$13,MaxNatGas)))</f>
        <v/>
      </c>
    </row>
    <row r="142" spans="15:15" x14ac:dyDescent="0.25">
      <c r="O142" s="161" t="str">
        <f>IF(OR('Event Tracker'!$B$20=1,'Event Tracker'!$B$21=1,),IF(OR(O141&gt;=MaxNatGas,O141=""),"",IF(AND(O141&lt;MaxNatGas,O141+$M$4&lt;MaxNatGas),O141+$M$4,MaxNatGas)),IF(OR(O141&gt;=MaxNatGas,O141=""),"",IF(AND(O141&lt;MaxNatGas,O141+$M$13&lt;MaxNatGas),O141+$M$13,MaxNatGas)))</f>
        <v/>
      </c>
    </row>
    <row r="143" spans="15:15" x14ac:dyDescent="0.25">
      <c r="O143" s="161" t="str">
        <f>IF(OR('Event Tracker'!$B$20=1,'Event Tracker'!$B$21=1,),IF(OR(O142&gt;=MaxNatGas,O142=""),"",IF(AND(O142&lt;MaxNatGas,O142+$M$4&lt;MaxNatGas),O142+$M$4,MaxNatGas)),IF(OR(O142&gt;=MaxNatGas,O142=""),"",IF(AND(O142&lt;MaxNatGas,O142+$M$13&lt;MaxNatGas),O142+$M$13,MaxNatGas)))</f>
        <v/>
      </c>
    </row>
    <row r="144" spans="15:15" x14ac:dyDescent="0.25">
      <c r="O144" s="161" t="str">
        <f>IF(OR('Event Tracker'!$B$20=1,'Event Tracker'!$B$21=1,),IF(OR(O143&gt;=MaxNatGas,O143=""),"",IF(AND(O143&lt;MaxNatGas,O143+$M$4&lt;MaxNatGas),O143+$M$4,MaxNatGas)),IF(OR(O143&gt;=MaxNatGas,O143=""),"",IF(AND(O143&lt;MaxNatGas,O143+$M$13&lt;MaxNatGas),O143+$M$13,MaxNatGas)))</f>
        <v/>
      </c>
    </row>
    <row r="145" spans="15:15" x14ac:dyDescent="0.25">
      <c r="O145" s="161" t="str">
        <f>IF(OR('Event Tracker'!$B$20=1,'Event Tracker'!$B$21=1,),IF(OR(O144&gt;=MaxNatGas,O144=""),"",IF(AND(O144&lt;MaxNatGas,O144+$M$4&lt;MaxNatGas),O144+$M$4,MaxNatGas)),IF(OR(O144&gt;=MaxNatGas,O144=""),"",IF(AND(O144&lt;MaxNatGas,O144+$M$13&lt;MaxNatGas),O144+$M$13,MaxNatGas)))</f>
        <v/>
      </c>
    </row>
    <row r="146" spans="15:15" x14ac:dyDescent="0.25">
      <c r="O146" s="161" t="str">
        <f>IF(OR('Event Tracker'!$B$20=1,'Event Tracker'!$B$21=1,),IF(OR(O145&gt;=MaxNatGas,O145=""),"",IF(AND(O145&lt;MaxNatGas,O145+$M$4&lt;MaxNatGas),O145+$M$4,MaxNatGas)),IF(OR(O145&gt;=MaxNatGas,O145=""),"",IF(AND(O145&lt;MaxNatGas,O145+$M$13&lt;MaxNatGas),O145+$M$13,MaxNatGas)))</f>
        <v/>
      </c>
    </row>
    <row r="147" spans="15:15" x14ac:dyDescent="0.25">
      <c r="O147" s="161" t="str">
        <f>IF(OR('Event Tracker'!$B$20=1,'Event Tracker'!$B$21=1,),IF(OR(O146&gt;=MaxNatGas,O146=""),"",IF(AND(O146&lt;MaxNatGas,O146+$M$4&lt;MaxNatGas),O146+$M$4,MaxNatGas)),IF(OR(O146&gt;=MaxNatGas,O146=""),"",IF(AND(O146&lt;MaxNatGas,O146+$M$13&lt;MaxNatGas),O146+$M$13,MaxNatGas)))</f>
        <v/>
      </c>
    </row>
    <row r="148" spans="15:15" x14ac:dyDescent="0.25">
      <c r="O148" s="161" t="str">
        <f>IF(OR('Event Tracker'!$B$20=1,'Event Tracker'!$B$21=1,),IF(OR(O147&gt;=MaxNatGas,O147=""),"",IF(AND(O147&lt;MaxNatGas,O147+$M$4&lt;MaxNatGas),O147+$M$4,MaxNatGas)),IF(OR(O147&gt;=MaxNatGas,O147=""),"",IF(AND(O147&lt;MaxNatGas,O147+$M$13&lt;MaxNatGas),O147+$M$13,MaxNatGas)))</f>
        <v/>
      </c>
    </row>
    <row r="149" spans="15:15" x14ac:dyDescent="0.25">
      <c r="O149" s="161" t="str">
        <f>IF(OR('Event Tracker'!$B$20=1,'Event Tracker'!$B$21=1,),IF(OR(O148&gt;=MaxNatGas,O148=""),"",IF(AND(O148&lt;MaxNatGas,O148+$M$4&lt;MaxNatGas),O148+$M$4,MaxNatGas)),IF(OR(O148&gt;=MaxNatGas,O148=""),"",IF(AND(O148&lt;MaxNatGas,O148+$M$13&lt;MaxNatGas),O148+$M$13,MaxNatGas)))</f>
        <v/>
      </c>
    </row>
    <row r="150" spans="15:15" x14ac:dyDescent="0.25">
      <c r="O150" s="161" t="str">
        <f>IF(OR('Event Tracker'!$B$20=1,'Event Tracker'!$B$21=1,),IF(OR(O149&gt;=MaxNatGas,O149=""),"",IF(AND(O149&lt;MaxNatGas,O149+$M$4&lt;MaxNatGas),O149+$M$4,MaxNatGas)),IF(OR(O149&gt;=MaxNatGas,O149=""),"",IF(AND(O149&lt;MaxNatGas,O149+$M$13&lt;MaxNatGas),O149+$M$13,MaxNatGas)))</f>
        <v/>
      </c>
    </row>
    <row r="151" spans="15:15" x14ac:dyDescent="0.25">
      <c r="O151" s="161" t="str">
        <f>IF(OR('Event Tracker'!$B$20=1,'Event Tracker'!$B$21=1,),IF(OR(O150&gt;=MaxNatGas,O150=""),"",IF(AND(O150&lt;MaxNatGas,O150+$M$4&lt;MaxNatGas),O150+$M$4,MaxNatGas)),IF(OR(O150&gt;=MaxNatGas,O150=""),"",IF(AND(O150&lt;MaxNatGas,O150+$M$13&lt;MaxNatGas),O150+$M$13,MaxNatGas)))</f>
        <v/>
      </c>
    </row>
    <row r="152" spans="15:15" x14ac:dyDescent="0.25">
      <c r="O152" s="161" t="str">
        <f>IF(OR('Event Tracker'!$B$20=1,'Event Tracker'!$B$21=1,),IF(OR(O151&gt;=MaxNatGas,O151=""),"",IF(AND(O151&lt;MaxNatGas,O151+$M$4&lt;MaxNatGas),O151+$M$4,MaxNatGas)),IF(OR(O151&gt;=MaxNatGas,O151=""),"",IF(AND(O151&lt;MaxNatGas,O151+$M$13&lt;MaxNatGas),O151+$M$13,MaxNatGas)))</f>
        <v/>
      </c>
    </row>
    <row r="153" spans="15:15" x14ac:dyDescent="0.25">
      <c r="O153" s="161" t="str">
        <f>IF(OR('Event Tracker'!$B$20=1,'Event Tracker'!$B$21=1,),IF(OR(O152&gt;=MaxNatGas,O152=""),"",IF(AND(O152&lt;MaxNatGas,O152+$M$4&lt;MaxNatGas),O152+$M$4,MaxNatGas)),IF(OR(O152&gt;=MaxNatGas,O152=""),"",IF(AND(O152&lt;MaxNatGas,O152+$M$13&lt;MaxNatGas),O152+$M$13,MaxNatGas)))</f>
        <v/>
      </c>
    </row>
    <row r="154" spans="15:15" x14ac:dyDescent="0.25">
      <c r="O154" s="161" t="str">
        <f>IF(OR('Event Tracker'!$B$20=1,'Event Tracker'!$B$21=1,),IF(OR(O153&gt;=MaxNatGas,O153=""),"",IF(AND(O153&lt;MaxNatGas,O153+$M$4&lt;MaxNatGas),O153+$M$4,MaxNatGas)),IF(OR(O153&gt;=MaxNatGas,O153=""),"",IF(AND(O153&lt;MaxNatGas,O153+$M$13&lt;MaxNatGas),O153+$M$13,MaxNatGas)))</f>
        <v/>
      </c>
    </row>
    <row r="155" spans="15:15" x14ac:dyDescent="0.25">
      <c r="O155" s="161" t="str">
        <f>IF(OR('Event Tracker'!$B$20=1,'Event Tracker'!$B$21=1,),IF(OR(O154&gt;=MaxNatGas,O154=""),"",IF(AND(O154&lt;MaxNatGas,O154+$M$4&lt;MaxNatGas),O154+$M$4,MaxNatGas)),IF(OR(O154&gt;=MaxNatGas,O154=""),"",IF(AND(O154&lt;MaxNatGas,O154+$M$13&lt;MaxNatGas),O154+$M$13,MaxNatGas)))</f>
        <v/>
      </c>
    </row>
    <row r="156" spans="15:15" x14ac:dyDescent="0.25">
      <c r="O156" s="161" t="str">
        <f>IF(OR('Event Tracker'!$B$20=1,'Event Tracker'!$B$21=1,),IF(OR(O155&gt;=MaxNatGas,O155=""),"",IF(AND(O155&lt;MaxNatGas,O155+$M$4&lt;MaxNatGas),O155+$M$4,MaxNatGas)),IF(OR(O155&gt;=MaxNatGas,O155=""),"",IF(AND(O155&lt;MaxNatGas,O155+$M$13&lt;MaxNatGas),O155+$M$13,MaxNatGas)))</f>
        <v/>
      </c>
    </row>
    <row r="157" spans="15:15" x14ac:dyDescent="0.25">
      <c r="O157" s="161" t="str">
        <f>IF(OR('Event Tracker'!$B$20=1,'Event Tracker'!$B$21=1,),IF(OR(O156&gt;=MaxNatGas,O156=""),"",IF(AND(O156&lt;MaxNatGas,O156+$M$4&lt;MaxNatGas),O156+$M$4,MaxNatGas)),IF(OR(O156&gt;=MaxNatGas,O156=""),"",IF(AND(O156&lt;MaxNatGas,O156+$M$13&lt;MaxNatGas),O156+$M$13,MaxNatGas)))</f>
        <v/>
      </c>
    </row>
    <row r="158" spans="15:15" x14ac:dyDescent="0.25">
      <c r="O158" s="161" t="str">
        <f>IF(OR('Event Tracker'!$B$20=1,'Event Tracker'!$B$21=1,),IF(OR(O157&gt;=MaxNatGas,O157=""),"",IF(AND(O157&lt;MaxNatGas,O157+$M$4&lt;MaxNatGas),O157+$M$4,MaxNatGas)),IF(OR(O157&gt;=MaxNatGas,O157=""),"",IF(AND(O157&lt;MaxNatGas,O157+$M$13&lt;MaxNatGas),O157+$M$13,MaxNatGas)))</f>
        <v/>
      </c>
    </row>
    <row r="159" spans="15:15" x14ac:dyDescent="0.25">
      <c r="O159" s="161" t="str">
        <f>IF(OR('Event Tracker'!$B$20=1,'Event Tracker'!$B$21=1,),IF(OR(O158&gt;=MaxNatGas,O158=""),"",IF(AND(O158&lt;MaxNatGas,O158+$M$4&lt;MaxNatGas),O158+$M$4,MaxNatGas)),IF(OR(O158&gt;=MaxNatGas,O158=""),"",IF(AND(O158&lt;MaxNatGas,O158+$M$13&lt;MaxNatGas),O158+$M$13,MaxNatGas)))</f>
        <v/>
      </c>
    </row>
    <row r="160" spans="15:15" x14ac:dyDescent="0.25">
      <c r="O160" s="161" t="str">
        <f>IF(OR('Event Tracker'!$B$20=1,'Event Tracker'!$B$21=1,),IF(OR(O159&gt;=MaxNatGas,O159=""),"",IF(AND(O159&lt;MaxNatGas,O159+$M$4&lt;MaxNatGas),O159+$M$4,MaxNatGas)),IF(OR(O159&gt;=MaxNatGas,O159=""),"",IF(AND(O159&lt;MaxNatGas,O159+$M$13&lt;MaxNatGas),O159+$M$13,MaxNatGas)))</f>
        <v/>
      </c>
    </row>
    <row r="161" spans="15:15" x14ac:dyDescent="0.25">
      <c r="O161" s="161" t="str">
        <f>IF(OR('Event Tracker'!$B$20=1,'Event Tracker'!$B$21=1,),IF(OR(O160&gt;=MaxNatGas,O160=""),"",IF(AND(O160&lt;MaxNatGas,O160+$M$4&lt;MaxNatGas),O160+$M$4,MaxNatGas)),IF(OR(O160&gt;=MaxNatGas,O160=""),"",IF(AND(O160&lt;MaxNatGas,O160+$M$13&lt;MaxNatGas),O160+$M$13,MaxNatGas)))</f>
        <v/>
      </c>
    </row>
    <row r="162" spans="15:15" x14ac:dyDescent="0.25">
      <c r="O162" s="161" t="str">
        <f>IF(OR('Event Tracker'!$B$20=1,'Event Tracker'!$B$21=1,),IF(OR(O161&gt;=MaxNatGas,O161=""),"",IF(AND(O161&lt;MaxNatGas,O161+$M$4&lt;MaxNatGas),O161+$M$4,MaxNatGas)),IF(OR(O161&gt;=MaxNatGas,O161=""),"",IF(AND(O161&lt;MaxNatGas,O161+$M$13&lt;MaxNatGas),O161+$M$13,MaxNatGas)))</f>
        <v/>
      </c>
    </row>
    <row r="163" spans="15:15" x14ac:dyDescent="0.25">
      <c r="O163" s="161" t="str">
        <f>IF(OR('Event Tracker'!$B$20=1,'Event Tracker'!$B$21=1,),IF(OR(O162&gt;=MaxNatGas,O162=""),"",IF(AND(O162&lt;MaxNatGas,O162+$M$4&lt;MaxNatGas),O162+$M$4,MaxNatGas)),IF(OR(O162&gt;=MaxNatGas,O162=""),"",IF(AND(O162&lt;MaxNatGas,O162+$M$13&lt;MaxNatGas),O162+$M$13,MaxNatGas)))</f>
        <v/>
      </c>
    </row>
    <row r="164" spans="15:15" x14ac:dyDescent="0.25">
      <c r="O164" s="161" t="str">
        <f>IF(OR('Event Tracker'!$B$20=1,'Event Tracker'!$B$21=1,),IF(OR(O163&gt;=MaxNatGas,O163=""),"",IF(AND(O163&lt;MaxNatGas,O163+$M$4&lt;MaxNatGas),O163+$M$4,MaxNatGas)),IF(OR(O163&gt;=MaxNatGas,O163=""),"",IF(AND(O163&lt;MaxNatGas,O163+$M$13&lt;MaxNatGas),O163+$M$13,MaxNatGas)))</f>
        <v/>
      </c>
    </row>
    <row r="165" spans="15:15" x14ac:dyDescent="0.25">
      <c r="O165" s="161" t="str">
        <f>IF(OR('Event Tracker'!$B$20=1,'Event Tracker'!$B$21=1,),IF(OR(O164&gt;=MaxNatGas,O164=""),"",IF(AND(O164&lt;MaxNatGas,O164+$M$4&lt;MaxNatGas),O164+$M$4,MaxNatGas)),IF(OR(O164&gt;=MaxNatGas,O164=""),"",IF(AND(O164&lt;MaxNatGas,O164+$M$13&lt;MaxNatGas),O164+$M$13,MaxNatGas)))</f>
        <v/>
      </c>
    </row>
    <row r="166" spans="15:15" x14ac:dyDescent="0.25">
      <c r="O166" s="161" t="str">
        <f>IF(OR('Event Tracker'!$B$20=1,'Event Tracker'!$B$21=1,),IF(OR(O165&gt;=MaxNatGas,O165=""),"",IF(AND(O165&lt;MaxNatGas,O165+$M$4&lt;MaxNatGas),O165+$M$4,MaxNatGas)),IF(OR(O165&gt;=MaxNatGas,O165=""),"",IF(AND(O165&lt;MaxNatGas,O165+$M$13&lt;MaxNatGas),O165+$M$13,MaxNatGas)))</f>
        <v/>
      </c>
    </row>
    <row r="167" spans="15:15" x14ac:dyDescent="0.25">
      <c r="O167" s="161" t="str">
        <f>IF(OR('Event Tracker'!$B$20=1,'Event Tracker'!$B$21=1,),IF(OR(O166&gt;=MaxNatGas,O166=""),"",IF(AND(O166&lt;MaxNatGas,O166+$M$4&lt;MaxNatGas),O166+$M$4,MaxNatGas)),IF(OR(O166&gt;=MaxNatGas,O166=""),"",IF(AND(O166&lt;MaxNatGas,O166+$M$13&lt;MaxNatGas),O166+$M$13,MaxNatGas)))</f>
        <v/>
      </c>
    </row>
    <row r="168" spans="15:15" x14ac:dyDescent="0.25">
      <c r="O168" s="161" t="str">
        <f>IF(OR('Event Tracker'!$B$20=1,'Event Tracker'!$B$21=1,),IF(OR(O167&gt;=MaxNatGas,O167=""),"",IF(AND(O167&lt;MaxNatGas,O167+$M$4&lt;MaxNatGas),O167+$M$4,MaxNatGas)),IF(OR(O167&gt;=MaxNatGas,O167=""),"",IF(AND(O167&lt;MaxNatGas,O167+$M$13&lt;MaxNatGas),O167+$M$13,MaxNatGas)))</f>
        <v/>
      </c>
    </row>
    <row r="169" spans="15:15" x14ac:dyDescent="0.25">
      <c r="O169" s="161" t="str">
        <f>IF(OR('Event Tracker'!$B$20=1,'Event Tracker'!$B$21=1,),IF(OR(O168&gt;=MaxNatGas,O168=""),"",IF(AND(O168&lt;MaxNatGas,O168+$M$4&lt;MaxNatGas),O168+$M$4,MaxNatGas)),IF(OR(O168&gt;=MaxNatGas,O168=""),"",IF(AND(O168&lt;MaxNatGas,O168+$M$13&lt;MaxNatGas),O168+$M$13,MaxNatGas)))</f>
        <v/>
      </c>
    </row>
    <row r="170" spans="15:15" x14ac:dyDescent="0.25">
      <c r="O170" s="161" t="str">
        <f>IF(OR('Event Tracker'!$B$20=1,'Event Tracker'!$B$21=1,),IF(OR(O169&gt;=MaxNatGas,O169=""),"",IF(AND(O169&lt;MaxNatGas,O169+$M$4&lt;MaxNatGas),O169+$M$4,MaxNatGas)),IF(OR(O169&gt;=MaxNatGas,O169=""),"",IF(AND(O169&lt;MaxNatGas,O169+$M$13&lt;MaxNatGas),O169+$M$13,MaxNatGas)))</f>
        <v/>
      </c>
    </row>
    <row r="171" spans="15:15" x14ac:dyDescent="0.25">
      <c r="O171" s="161" t="str">
        <f>IF(OR('Event Tracker'!$B$20=1,'Event Tracker'!$B$21=1,),IF(OR(O170&gt;=MaxNatGas,O170=""),"",IF(AND(O170&lt;MaxNatGas,O170+$M$4&lt;MaxNatGas),O170+$M$4,MaxNatGas)),IF(OR(O170&gt;=MaxNatGas,O170=""),"",IF(AND(O170&lt;MaxNatGas,O170+$M$13&lt;MaxNatGas),O170+$M$13,MaxNatGas)))</f>
        <v/>
      </c>
    </row>
    <row r="172" spans="15:15" x14ac:dyDescent="0.25">
      <c r="O172" s="161" t="str">
        <f>IF(OR('Event Tracker'!$B$20=1,'Event Tracker'!$B$21=1,),IF(OR(O171&gt;=MaxNatGas,O171=""),"",IF(AND(O171&lt;MaxNatGas,O171+$M$4&lt;MaxNatGas),O171+$M$4,MaxNatGas)),IF(OR(O171&gt;=MaxNatGas,O171=""),"",IF(AND(O171&lt;MaxNatGas,O171+$M$13&lt;MaxNatGas),O171+$M$13,MaxNatGas)))</f>
        <v/>
      </c>
    </row>
    <row r="173" spans="15:15" x14ac:dyDescent="0.25">
      <c r="O173" s="161" t="str">
        <f>IF(OR('Event Tracker'!$B$20=1,'Event Tracker'!$B$21=1,),IF(OR(O172&gt;=MaxNatGas,O172=""),"",IF(AND(O172&lt;MaxNatGas,O172+$M$4&lt;MaxNatGas),O172+$M$4,MaxNatGas)),IF(OR(O172&gt;=MaxNatGas,O172=""),"",IF(AND(O172&lt;MaxNatGas,O172+$M$13&lt;MaxNatGas),O172+$M$13,MaxNatGas)))</f>
        <v/>
      </c>
    </row>
    <row r="174" spans="15:15" x14ac:dyDescent="0.25">
      <c r="O174" s="161" t="str">
        <f>IF(OR('Event Tracker'!$B$20=1,'Event Tracker'!$B$21=1,),IF(OR(O173&gt;=MaxNatGas,O173=""),"",IF(AND(O173&lt;MaxNatGas,O173+$M$4&lt;MaxNatGas),O173+$M$4,MaxNatGas)),IF(OR(O173&gt;=MaxNatGas,O173=""),"",IF(AND(O173&lt;MaxNatGas,O173+$M$13&lt;MaxNatGas),O173+$M$13,MaxNatGas)))</f>
        <v/>
      </c>
    </row>
    <row r="175" spans="15:15" x14ac:dyDescent="0.25">
      <c r="O175" s="161" t="str">
        <f>IF(OR('Event Tracker'!$B$20=1,'Event Tracker'!$B$21=1,),IF(OR(O174&gt;=MaxNatGas,O174=""),"",IF(AND(O174&lt;MaxNatGas,O174+$M$4&lt;MaxNatGas),O174+$M$4,MaxNatGas)),IF(OR(O174&gt;=MaxNatGas,O174=""),"",IF(AND(O174&lt;MaxNatGas,O174+$M$13&lt;MaxNatGas),O174+$M$13,MaxNatGas)))</f>
        <v/>
      </c>
    </row>
    <row r="176" spans="15:15" x14ac:dyDescent="0.25">
      <c r="O176" s="161" t="str">
        <f>IF(OR('Event Tracker'!$B$20=1,'Event Tracker'!$B$21=1,),IF(OR(O175&gt;=MaxNatGas,O175=""),"",IF(AND(O175&lt;MaxNatGas,O175+$M$4&lt;MaxNatGas),O175+$M$4,MaxNatGas)),IF(OR(O175&gt;=MaxNatGas,O175=""),"",IF(AND(O175&lt;MaxNatGas,O175+$M$13&lt;MaxNatGas),O175+$M$13,MaxNatGas)))</f>
        <v/>
      </c>
    </row>
    <row r="177" spans="15:15" x14ac:dyDescent="0.25">
      <c r="O177" s="161" t="str">
        <f>IF(OR('Event Tracker'!$B$20=1,'Event Tracker'!$B$21=1,),IF(OR(O176&gt;=MaxNatGas,O176=""),"",IF(AND(O176&lt;MaxNatGas,O176+$M$4&lt;MaxNatGas),O176+$M$4,MaxNatGas)),IF(OR(O176&gt;=MaxNatGas,O176=""),"",IF(AND(O176&lt;MaxNatGas,O176+$M$13&lt;MaxNatGas),O176+$M$13,MaxNatGas)))</f>
        <v/>
      </c>
    </row>
    <row r="178" spans="15:15" x14ac:dyDescent="0.25">
      <c r="O178" s="161" t="str">
        <f>IF(OR('Event Tracker'!$B$20=1,'Event Tracker'!$B$21=1,),IF(OR(O177&gt;=MaxNatGas,O177=""),"",IF(AND(O177&lt;MaxNatGas,O177+$M$4&lt;MaxNatGas),O177+$M$4,MaxNatGas)),IF(OR(O177&gt;=MaxNatGas,O177=""),"",IF(AND(O177&lt;MaxNatGas,O177+$M$13&lt;MaxNatGas),O177+$M$13,MaxNatGas)))</f>
        <v/>
      </c>
    </row>
    <row r="179" spans="15:15" x14ac:dyDescent="0.25">
      <c r="O179" s="161" t="str">
        <f>IF(OR('Event Tracker'!$B$20=1,'Event Tracker'!$B$21=1,),IF(OR(O178&gt;=MaxNatGas,O178=""),"",IF(AND(O178&lt;MaxNatGas,O178+$M$4&lt;MaxNatGas),O178+$M$4,MaxNatGas)),IF(OR(O178&gt;=MaxNatGas,O178=""),"",IF(AND(O178&lt;MaxNatGas,O178+$M$13&lt;MaxNatGas),O178+$M$13,MaxNatGas)))</f>
        <v/>
      </c>
    </row>
    <row r="180" spans="15:15" x14ac:dyDescent="0.25">
      <c r="O180" s="161" t="str">
        <f>IF(OR('Event Tracker'!$B$20=1,'Event Tracker'!$B$21=1,),IF(OR(O179&gt;=MaxNatGas,O179=""),"",IF(AND(O179&lt;MaxNatGas,O179+$M$4&lt;MaxNatGas),O179+$M$4,MaxNatGas)),IF(OR(O179&gt;=MaxNatGas,O179=""),"",IF(AND(O179&lt;MaxNatGas,O179+$M$13&lt;MaxNatGas),O179+$M$13,MaxNatGas)))</f>
        <v/>
      </c>
    </row>
    <row r="181" spans="15:15" x14ac:dyDescent="0.25">
      <c r="O181" s="161" t="str">
        <f>IF(OR('Event Tracker'!$B$20=1,'Event Tracker'!$B$21=1,),IF(OR(O180&gt;=MaxNatGas,O180=""),"",IF(AND(O180&lt;MaxNatGas,O180+$M$4&lt;MaxNatGas),O180+$M$4,MaxNatGas)),IF(OR(O180&gt;=MaxNatGas,O180=""),"",IF(AND(O180&lt;MaxNatGas,O180+$M$13&lt;MaxNatGas),O180+$M$13,MaxNatGas)))</f>
        <v/>
      </c>
    </row>
    <row r="182" spans="15:15" x14ac:dyDescent="0.25">
      <c r="O182" s="161" t="str">
        <f>IF(OR('Event Tracker'!$B$20=1,'Event Tracker'!$B$21=1,),IF(OR(O181&gt;=MaxNatGas,O181=""),"",IF(AND(O181&lt;MaxNatGas,O181+$M$4&lt;MaxNatGas),O181+$M$4,MaxNatGas)),IF(OR(O181&gt;=MaxNatGas,O181=""),"",IF(AND(O181&lt;MaxNatGas,O181+$M$13&lt;MaxNatGas),O181+$M$13,MaxNatGas)))</f>
        <v/>
      </c>
    </row>
    <row r="183" spans="15:15" x14ac:dyDescent="0.25">
      <c r="O183" s="161" t="str">
        <f>IF(OR('Event Tracker'!$B$20=1,'Event Tracker'!$B$21=1,),IF(OR(O182&gt;=MaxNatGas,O182=""),"",IF(AND(O182&lt;MaxNatGas,O182+$M$4&lt;MaxNatGas),O182+$M$4,MaxNatGas)),IF(OR(O182&gt;=MaxNatGas,O182=""),"",IF(AND(O182&lt;MaxNatGas,O182+$M$13&lt;MaxNatGas),O182+$M$13,MaxNatGas)))</f>
        <v/>
      </c>
    </row>
    <row r="184" spans="15:15" x14ac:dyDescent="0.25">
      <c r="O184" s="161" t="str">
        <f>IF(OR('Event Tracker'!$B$20=1,'Event Tracker'!$B$21=1,),IF(OR(O183&gt;=MaxNatGas,O183=""),"",IF(AND(O183&lt;MaxNatGas,O183+$M$4&lt;MaxNatGas),O183+$M$4,MaxNatGas)),IF(OR(O183&gt;=MaxNatGas,O183=""),"",IF(AND(O183&lt;MaxNatGas,O183+$M$13&lt;MaxNatGas),O183+$M$13,MaxNatGas)))</f>
        <v/>
      </c>
    </row>
    <row r="185" spans="15:15" x14ac:dyDescent="0.25">
      <c r="O185" s="161" t="str">
        <f>IF(OR('Event Tracker'!$B$20=1,'Event Tracker'!$B$21=1,),IF(OR(O184&gt;=MaxNatGas,O184=""),"",IF(AND(O184&lt;MaxNatGas,O184+$M$4&lt;MaxNatGas),O184+$M$4,MaxNatGas)),IF(OR(O184&gt;=MaxNatGas,O184=""),"",IF(AND(O184&lt;MaxNatGas,O184+$M$13&lt;MaxNatGas),O184+$M$13,MaxNatGas)))</f>
        <v/>
      </c>
    </row>
    <row r="186" spans="15:15" x14ac:dyDescent="0.25">
      <c r="O186" s="161" t="str">
        <f>IF(OR('Event Tracker'!$B$20=1,'Event Tracker'!$B$21=1,),IF(OR(O185&gt;=MaxNatGas,O185=""),"",IF(AND(O185&lt;MaxNatGas,O185+$M$4&lt;MaxNatGas),O185+$M$4,MaxNatGas)),IF(OR(O185&gt;=MaxNatGas,O185=""),"",IF(AND(O185&lt;MaxNatGas,O185+$M$13&lt;MaxNatGas),O185+$M$13,MaxNatGas)))</f>
        <v/>
      </c>
    </row>
    <row r="187" spans="15:15" x14ac:dyDescent="0.25">
      <c r="O187" s="161" t="str">
        <f>IF(OR('Event Tracker'!$B$20=1,'Event Tracker'!$B$21=1,),IF(OR(O186&gt;=MaxNatGas,O186=""),"",IF(AND(O186&lt;MaxNatGas,O186+$M$4&lt;MaxNatGas),O186+$M$4,MaxNatGas)),IF(OR(O186&gt;=MaxNatGas,O186=""),"",IF(AND(O186&lt;MaxNatGas,O186+$M$13&lt;MaxNatGas),O186+$M$13,MaxNatGas)))</f>
        <v/>
      </c>
    </row>
    <row r="188" spans="15:15" x14ac:dyDescent="0.25">
      <c r="O188" s="161" t="str">
        <f>IF(OR('Event Tracker'!$B$20=1,'Event Tracker'!$B$21=1,),IF(OR(O187&gt;=MaxNatGas,O187=""),"",IF(AND(O187&lt;MaxNatGas,O187+$M$4&lt;MaxNatGas),O187+$M$4,MaxNatGas)),IF(OR(O187&gt;=MaxNatGas,O187=""),"",IF(AND(O187&lt;MaxNatGas,O187+$M$13&lt;MaxNatGas),O187+$M$13,MaxNatGas)))</f>
        <v/>
      </c>
    </row>
    <row r="189" spans="15:15" x14ac:dyDescent="0.25">
      <c r="O189" s="161" t="str">
        <f>IF(OR('Event Tracker'!$B$20=1,'Event Tracker'!$B$21=1,),IF(OR(O188&gt;=MaxNatGas,O188=""),"",IF(AND(O188&lt;MaxNatGas,O188+$M$4&lt;MaxNatGas),O188+$M$4,MaxNatGas)),IF(OR(O188&gt;=MaxNatGas,O188=""),"",IF(AND(O188&lt;MaxNatGas,O188+$M$13&lt;MaxNatGas),O188+$M$13,MaxNatGas)))</f>
        <v/>
      </c>
    </row>
    <row r="190" spans="15:15" x14ac:dyDescent="0.25">
      <c r="O190" s="161" t="str">
        <f>IF(OR('Event Tracker'!$B$20=1,'Event Tracker'!$B$21=1,),IF(OR(O189&gt;=MaxNatGas,O189=""),"",IF(AND(O189&lt;MaxNatGas,O189+$M$4&lt;MaxNatGas),O189+$M$4,MaxNatGas)),IF(OR(O189&gt;=MaxNatGas,O189=""),"",IF(AND(O189&lt;MaxNatGas,O189+$M$13&lt;MaxNatGas),O189+$M$13,MaxNatGas)))</f>
        <v/>
      </c>
    </row>
    <row r="191" spans="15:15" x14ac:dyDescent="0.25">
      <c r="O191" s="161" t="str">
        <f>IF(OR('Event Tracker'!$B$20=1,'Event Tracker'!$B$21=1,),IF(OR(O190&gt;=MaxNatGas,O190=""),"",IF(AND(O190&lt;MaxNatGas,O190+$M$4&lt;MaxNatGas),O190+$M$4,MaxNatGas)),IF(OR(O190&gt;=MaxNatGas,O190=""),"",IF(AND(O190&lt;MaxNatGas,O190+$M$13&lt;MaxNatGas),O190+$M$13,MaxNatGas)))</f>
        <v/>
      </c>
    </row>
    <row r="192" spans="15:15" x14ac:dyDescent="0.25">
      <c r="O192" s="161" t="str">
        <f>IF(OR('Event Tracker'!$B$20=1,'Event Tracker'!$B$21=1,),IF(OR(O191&gt;=MaxNatGas,O191=""),"",IF(AND(O191&lt;MaxNatGas,O191+$M$4&lt;MaxNatGas),O191+$M$4,MaxNatGas)),IF(OR(O191&gt;=MaxNatGas,O191=""),"",IF(AND(O191&lt;MaxNatGas,O191+$M$13&lt;MaxNatGas),O191+$M$13,MaxNatGas)))</f>
        <v/>
      </c>
    </row>
    <row r="193" spans="15:15" x14ac:dyDescent="0.25">
      <c r="O193" s="161" t="str">
        <f>IF(OR('Event Tracker'!$B$20=1,'Event Tracker'!$B$21=1,),IF(OR(O192&gt;=MaxNatGas,O192=""),"",IF(AND(O192&lt;MaxNatGas,O192+$M$4&lt;MaxNatGas),O192+$M$4,MaxNatGas)),IF(OR(O192&gt;=MaxNatGas,O192=""),"",IF(AND(O192&lt;MaxNatGas,O192+$M$13&lt;MaxNatGas),O192+$M$13,MaxNatGas)))</f>
        <v/>
      </c>
    </row>
    <row r="194" spans="15:15" x14ac:dyDescent="0.25">
      <c r="O194" s="161" t="str">
        <f>IF(OR('Event Tracker'!$B$20=1,'Event Tracker'!$B$21=1,),IF(OR(O193&gt;=MaxNatGas,O193=""),"",IF(AND(O193&lt;MaxNatGas,O193+$M$4&lt;MaxNatGas),O193+$M$4,MaxNatGas)),IF(OR(O193&gt;=MaxNatGas,O193=""),"",IF(AND(O193&lt;MaxNatGas,O193+$M$13&lt;MaxNatGas),O193+$M$13,MaxNatGas)))</f>
        <v/>
      </c>
    </row>
    <row r="195" spans="15:15" x14ac:dyDescent="0.25">
      <c r="O195" s="161" t="str">
        <f>IF(OR('Event Tracker'!$B$20=1,'Event Tracker'!$B$21=1,),IF(OR(O194&gt;=MaxNatGas,O194=""),"",IF(AND(O194&lt;MaxNatGas,O194+$M$4&lt;MaxNatGas),O194+$M$4,MaxNatGas)),IF(OR(O194&gt;=MaxNatGas,O194=""),"",IF(AND(O194&lt;MaxNatGas,O194+$M$13&lt;MaxNatGas),O194+$M$13,MaxNatGas)))</f>
        <v/>
      </c>
    </row>
    <row r="196" spans="15:15" x14ac:dyDescent="0.25">
      <c r="O196" s="161" t="str">
        <f>IF(OR('Event Tracker'!$B$20=1,'Event Tracker'!$B$21=1,),IF(OR(O195&gt;=MaxNatGas,O195=""),"",IF(AND(O195&lt;MaxNatGas,O195+$M$4&lt;MaxNatGas),O195+$M$4,MaxNatGas)),IF(OR(O195&gt;=MaxNatGas,O195=""),"",IF(AND(O195&lt;MaxNatGas,O195+$M$13&lt;MaxNatGas),O195+$M$13,MaxNatGas)))</f>
        <v/>
      </c>
    </row>
    <row r="197" spans="15:15" x14ac:dyDescent="0.25">
      <c r="O197" s="161" t="str">
        <f>IF(OR('Event Tracker'!$B$20=1,'Event Tracker'!$B$21=1,),IF(OR(O196&gt;=MaxNatGas,O196=""),"",IF(AND(O196&lt;MaxNatGas,O196+$M$4&lt;MaxNatGas),O196+$M$4,MaxNatGas)),IF(OR(O196&gt;=MaxNatGas,O196=""),"",IF(AND(O196&lt;MaxNatGas,O196+$M$13&lt;MaxNatGas),O196+$M$13,MaxNatGas)))</f>
        <v/>
      </c>
    </row>
    <row r="198" spans="15:15" x14ac:dyDescent="0.25">
      <c r="O198" s="161" t="str">
        <f>IF(OR('Event Tracker'!$B$20=1,'Event Tracker'!$B$21=1,),IF(OR(O197&gt;=MaxNatGas,O197=""),"",IF(AND(O197&lt;MaxNatGas,O197+$M$4&lt;MaxNatGas),O197+$M$4,MaxNatGas)),IF(OR(O197&gt;=MaxNatGas,O197=""),"",IF(AND(O197&lt;MaxNatGas,O197+$M$13&lt;MaxNatGas),O197+$M$13,MaxNatGas)))</f>
        <v/>
      </c>
    </row>
    <row r="199" spans="15:15" x14ac:dyDescent="0.25">
      <c r="O199" s="161" t="str">
        <f>IF(OR('Event Tracker'!$B$20=1,'Event Tracker'!$B$21=1,),IF(OR(O198&gt;=MaxNatGas,O198=""),"",IF(AND(O198&lt;MaxNatGas,O198+$M$4&lt;MaxNatGas),O198+$M$4,MaxNatGas)),IF(OR(O198&gt;=MaxNatGas,O198=""),"",IF(AND(O198&lt;MaxNatGas,O198+$M$13&lt;MaxNatGas),O198+$M$13,MaxNatGas)))</f>
        <v/>
      </c>
    </row>
  </sheetData>
  <sortState xmlns:xlrd2="http://schemas.microsoft.com/office/spreadsheetml/2017/richdata2" ref="A2:A7">
    <sortCondition descending="1" ref="A2:A7"/>
  </sortState>
  <mergeCells count="7">
    <mergeCell ref="AC1:AD1"/>
    <mergeCell ref="L20:M20"/>
    <mergeCell ref="H1:I1"/>
    <mergeCell ref="J1:K1"/>
    <mergeCell ref="L1:M1"/>
    <mergeCell ref="L2:M2"/>
    <mergeCell ref="L11:M11"/>
  </mergeCells>
  <pageMargins left="0.7" right="0.7" top="0.75" bottom="0.75" header="0.3" footer="0.3"/>
  <pageSetup orientation="portrait" r:id="rId1"/>
  <cellWatches>
    <cellWatch r="I9"/>
  </cellWatche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sheetPr>
  <dimension ref="A1:O10"/>
  <sheetViews>
    <sheetView workbookViewId="0">
      <selection activeCell="A6" sqref="A6"/>
    </sheetView>
  </sheetViews>
  <sheetFormatPr defaultRowHeight="15" x14ac:dyDescent="0.25"/>
  <cols>
    <col min="1" max="1" width="27.140625" bestFit="1" customWidth="1"/>
    <col min="14" max="14" width="14" bestFit="1" customWidth="1"/>
  </cols>
  <sheetData>
    <row r="1" spans="1:15" ht="15.75" thickBot="1" x14ac:dyDescent="0.3">
      <c r="A1" s="9" t="s">
        <v>132</v>
      </c>
      <c r="B1" s="9">
        <v>0</v>
      </c>
      <c r="C1" s="9">
        <v>1</v>
      </c>
      <c r="D1" s="9">
        <v>2</v>
      </c>
      <c r="E1" s="9">
        <v>3</v>
      </c>
      <c r="F1" s="9">
        <v>4</v>
      </c>
      <c r="G1" s="9">
        <v>5</v>
      </c>
      <c r="H1" s="9">
        <v>6</v>
      </c>
      <c r="I1" s="9">
        <v>7</v>
      </c>
      <c r="J1" s="9">
        <v>8</v>
      </c>
      <c r="K1" s="9">
        <v>9</v>
      </c>
      <c r="L1" s="9">
        <v>10</v>
      </c>
      <c r="N1" s="112" t="s">
        <v>263</v>
      </c>
      <c r="O1" s="112">
        <f>Current_Round</f>
        <v>0</v>
      </c>
    </row>
    <row r="2" spans="1:15" x14ac:dyDescent="0.25">
      <c r="A2" t="s">
        <v>133</v>
      </c>
      <c r="B2">
        <f>SUMPRODUCT(Dispatch!B186:B187,'Game Assumptions'!$K$28:$K$29)</f>
        <v>31541264.685000002</v>
      </c>
      <c r="C2">
        <f>SUMPRODUCT(Dispatch!C186:C187,'Game Assumptions'!$K$28:$K$29)</f>
        <v>36095703.7896</v>
      </c>
      <c r="D2">
        <f>SUMPRODUCT(Dispatch!D186:D187,'Game Assumptions'!$K$28:$K$29)</f>
        <v>32077147.650239546</v>
      </c>
      <c r="E2">
        <f>SUMPRODUCT(Dispatch!E186:E187,'Game Assumptions'!$K$28:$K$29)</f>
        <v>24600600.256918333</v>
      </c>
      <c r="F2">
        <f>SUMPRODUCT(Dispatch!F186:F187,'Game Assumptions'!$K$28:$K$29)</f>
        <v>23238012.118954446</v>
      </c>
      <c r="G2">
        <f>SUMPRODUCT(Dispatch!G186:G187,'Game Assumptions'!$K$28:$K$29)</f>
        <v>22018874.391682714</v>
      </c>
      <c r="H2">
        <f>SUMPRODUCT(Dispatch!H186:H187,'Game Assumptions'!$K$28:$K$29)</f>
        <v>21114772.165703267</v>
      </c>
      <c r="I2">
        <f>SUMPRODUCT(Dispatch!I186:I187,'Game Assumptions'!$K$28:$K$29)</f>
        <v>20973582.498895608</v>
      </c>
      <c r="J2">
        <f>SUMPRODUCT(Dispatch!J186:J187,'Game Assumptions'!$K$28:$K$29)</f>
        <v>20680935.680145606</v>
      </c>
      <c r="K2">
        <f>SUMPRODUCT(Dispatch!K186:K187,'Game Assumptions'!$K$28:$K$29)</f>
        <v>20341080.711395606</v>
      </c>
      <c r="L2">
        <f>SUMPRODUCT(Dispatch!L186:L187,'Game Assumptions'!$K$28:$K$29)</f>
        <v>20315946.742645606</v>
      </c>
    </row>
    <row r="3" spans="1:15" x14ac:dyDescent="0.25">
      <c r="A3" t="s">
        <v>336</v>
      </c>
      <c r="B3">
        <f>B2*2000/(Dispatch!B144+Dispatch!B192+'Resource Mix and Demand'!B57)</f>
        <v>1036.288793097458</v>
      </c>
      <c r="C3">
        <f>C2*2000/(Dispatch!C144+Dispatch!C192+'Resource Mix and Demand'!C57)</f>
        <v>1185.8634376843636</v>
      </c>
      <c r="D3">
        <f>D2*2000/(Dispatch!D144+Dispatch!D192+'Resource Mix and Demand'!D57)</f>
        <v>1052.5794748735639</v>
      </c>
      <c r="E3">
        <f>E2*2000/(Dispatch!E144+Dispatch!E192+'Resource Mix and Demand'!E57)</f>
        <v>784.6023718621276</v>
      </c>
      <c r="F3">
        <f>F2*2000/(Dispatch!F144+Dispatch!F192+'Resource Mix and Demand'!F57)</f>
        <v>733.46049656376135</v>
      </c>
      <c r="G3">
        <f>G2*2000/(Dispatch!G144+Dispatch!G192+'Resource Mix and Demand'!G57)</f>
        <v>690.63802708195101</v>
      </c>
      <c r="H3">
        <f>H2*2000/(Dispatch!H144+Dispatch!H192+'Resource Mix and Demand'!H57)</f>
        <v>674.5917590731533</v>
      </c>
      <c r="I3">
        <f>I2*2000/(Dispatch!I144+Dispatch!I192+'Resource Mix and Demand'!I57)</f>
        <v>671.01007353100181</v>
      </c>
      <c r="J3">
        <f>J2*2000/(Dispatch!J144+Dispatch!J192+'Resource Mix and Demand'!J57)</f>
        <v>669.73455677105903</v>
      </c>
      <c r="K3">
        <f>K2*2000/(Dispatch!K144+Dispatch!K192+'Resource Mix and Demand'!K57)</f>
        <v>668.21358608865216</v>
      </c>
      <c r="L3">
        <f>L2*2000/(Dispatch!L144+Dispatch!L192+'Resource Mix and Demand'!L57)</f>
        <v>668.09936145952122</v>
      </c>
    </row>
    <row r="5" spans="1:15" x14ac:dyDescent="0.25">
      <c r="A5" s="9" t="s">
        <v>412</v>
      </c>
      <c r="B5" s="9">
        <v>0</v>
      </c>
      <c r="C5" s="9">
        <v>1</v>
      </c>
      <c r="D5" s="9">
        <v>2</v>
      </c>
      <c r="E5" s="9">
        <v>3</v>
      </c>
      <c r="F5" s="9">
        <v>4</v>
      </c>
      <c r="G5" s="9">
        <v>5</v>
      </c>
      <c r="H5" s="9">
        <v>6</v>
      </c>
      <c r="I5" s="9">
        <v>7</v>
      </c>
      <c r="J5" s="9">
        <v>8</v>
      </c>
      <c r="K5" s="9">
        <v>9</v>
      </c>
      <c r="L5" s="9">
        <v>10</v>
      </c>
    </row>
    <row r="6" spans="1:15" x14ac:dyDescent="0.25">
      <c r="A6" t="s">
        <v>413</v>
      </c>
      <c r="B6" s="16">
        <f>B3</f>
        <v>1036.288793097458</v>
      </c>
      <c r="C6" s="16">
        <f>B6-($B$6-$G$6)/COUNT($C$5:$G$5)</f>
        <v>932.63103447796641</v>
      </c>
      <c r="D6" s="16">
        <f>C6-($B$6-$G$6)/COUNT($C$5:$G$5)</f>
        <v>828.97327585847484</v>
      </c>
      <c r="E6" s="16">
        <f>D6-($B$6-$G$6)/COUNT($C$5:$G$5)</f>
        <v>725.31551723898326</v>
      </c>
      <c r="F6" s="16">
        <f>E6-($B$6-$G$6)/COUNT($C$5:$G$5)</f>
        <v>621.65775861949169</v>
      </c>
      <c r="G6" s="16">
        <f>'Game Assumptions'!B160</f>
        <v>518</v>
      </c>
      <c r="H6" s="16"/>
      <c r="I6" s="16"/>
      <c r="J6" s="16"/>
      <c r="K6" s="16"/>
    </row>
    <row r="7" spans="1:15" x14ac:dyDescent="0.25">
      <c r="A7" t="s">
        <v>414</v>
      </c>
      <c r="C7" s="16">
        <f>AVERAGE(B6:C6)</f>
        <v>984.45991378771214</v>
      </c>
      <c r="D7" s="16">
        <f>AVERAGE(C6:D6)</f>
        <v>880.80215516822068</v>
      </c>
      <c r="E7" s="16">
        <f>AVERAGE(D6:E6)</f>
        <v>777.14439654872899</v>
      </c>
      <c r="F7" s="16">
        <f>AVERAGE(E6:F6)</f>
        <v>673.48663792923753</v>
      </c>
      <c r="G7" s="16">
        <f>AVERAGE(F6:G6)</f>
        <v>569.82887930974584</v>
      </c>
      <c r="H7" s="16"/>
      <c r="I7" s="16"/>
      <c r="J7" s="16"/>
      <c r="K7" s="16"/>
      <c r="L7" s="16"/>
    </row>
    <row r="8" spans="1:15" x14ac:dyDescent="0.25">
      <c r="A8" t="s">
        <v>440</v>
      </c>
      <c r="B8">
        <v>0</v>
      </c>
      <c r="C8" s="5">
        <f>IF(C3&lt;C6,1,IF(C3&gt;B6,-1,(C7-C3)/(C7-C6)))</f>
        <v>-1</v>
      </c>
      <c r="D8" s="5">
        <f>IF(D3&lt;D6,1,IF(D3&gt;C6,-1,(D7-D3)/(D7-D6)))</f>
        <v>-1</v>
      </c>
      <c r="E8" s="5">
        <f>IF(E3&lt;E6,1,IF(E3&gt;D6,-1,(E7-E3)/(E7-E6)))</f>
        <v>-0.14389613305793075</v>
      </c>
      <c r="F8" s="5">
        <f>IF(F3&lt;F6,1,IF(F3&gt;E6,-1,(F7-F3)/(F7-F6)))</f>
        <v>-1</v>
      </c>
      <c r="G8" s="5">
        <f>IF(G3&lt;G6,1,IF(G3&gt;F6,-1,(G7-G3)/(G7-G6)))</f>
        <v>-1</v>
      </c>
      <c r="H8" s="5"/>
      <c r="I8" s="5"/>
      <c r="J8" s="5"/>
      <c r="K8" s="5"/>
      <c r="L8" s="5"/>
    </row>
    <row r="9" spans="1:15" x14ac:dyDescent="0.25">
      <c r="A9" s="15"/>
    </row>
    <row r="10" spans="1:15" x14ac:dyDescent="0.25">
      <c r="A10"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5"/>
  </sheetPr>
  <dimension ref="A1:O109"/>
  <sheetViews>
    <sheetView topLeftCell="A22" workbookViewId="0">
      <selection activeCell="A6" sqref="A6"/>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146</v>
      </c>
      <c r="B1" s="9">
        <v>0</v>
      </c>
      <c r="C1" s="9">
        <v>1</v>
      </c>
      <c r="D1" s="9">
        <v>2</v>
      </c>
      <c r="E1" s="9">
        <v>3</v>
      </c>
      <c r="F1" s="9">
        <v>4</v>
      </c>
      <c r="G1" s="9">
        <v>5</v>
      </c>
      <c r="H1" s="9">
        <v>6</v>
      </c>
      <c r="I1" s="9">
        <v>7</v>
      </c>
      <c r="J1" s="9">
        <v>8</v>
      </c>
      <c r="K1" s="9">
        <v>9</v>
      </c>
      <c r="L1" s="9">
        <v>10</v>
      </c>
      <c r="N1" s="111" t="s">
        <v>263</v>
      </c>
      <c r="O1" s="100">
        <f>'Event Tracker'!P1</f>
        <v>0</v>
      </c>
    </row>
    <row r="2" spans="1:15" x14ac:dyDescent="0.25">
      <c r="A2" t="s">
        <v>169</v>
      </c>
      <c r="B2">
        <v>300</v>
      </c>
      <c r="C2" s="16">
        <f t="shared" ref="C2:L5" si="0">B2</f>
        <v>300</v>
      </c>
      <c r="D2" s="16">
        <f t="shared" si="0"/>
        <v>300</v>
      </c>
      <c r="E2" s="16">
        <f t="shared" si="0"/>
        <v>300</v>
      </c>
      <c r="F2" s="16">
        <f t="shared" si="0"/>
        <v>300</v>
      </c>
      <c r="G2" s="16">
        <f t="shared" si="0"/>
        <v>300</v>
      </c>
      <c r="H2" s="16">
        <f t="shared" si="0"/>
        <v>300</v>
      </c>
      <c r="I2" s="16">
        <f t="shared" si="0"/>
        <v>300</v>
      </c>
      <c r="J2" s="16">
        <f t="shared" si="0"/>
        <v>300</v>
      </c>
      <c r="K2" s="16">
        <f t="shared" si="0"/>
        <v>300</v>
      </c>
      <c r="L2" s="16">
        <f t="shared" si="0"/>
        <v>300</v>
      </c>
    </row>
    <row r="3" spans="1:15" x14ac:dyDescent="0.25">
      <c r="A3" t="s">
        <v>148</v>
      </c>
      <c r="B3">
        <v>10</v>
      </c>
      <c r="C3" s="16">
        <f t="shared" si="0"/>
        <v>10</v>
      </c>
      <c r="D3" s="16">
        <f t="shared" si="0"/>
        <v>10</v>
      </c>
      <c r="E3" s="16">
        <f t="shared" si="0"/>
        <v>10</v>
      </c>
      <c r="F3" s="16">
        <f t="shared" si="0"/>
        <v>10</v>
      </c>
      <c r="G3" s="16">
        <f t="shared" si="0"/>
        <v>10</v>
      </c>
      <c r="H3" s="16">
        <f t="shared" si="0"/>
        <v>10</v>
      </c>
      <c r="I3" s="16">
        <f t="shared" si="0"/>
        <v>10</v>
      </c>
      <c r="J3" s="16">
        <f t="shared" si="0"/>
        <v>10</v>
      </c>
      <c r="K3" s="16">
        <f t="shared" si="0"/>
        <v>10</v>
      </c>
      <c r="L3" s="16">
        <f t="shared" si="0"/>
        <v>10</v>
      </c>
    </row>
    <row r="4" spans="1:15" x14ac:dyDescent="0.25">
      <c r="A4" t="s">
        <v>147</v>
      </c>
      <c r="B4">
        <v>200</v>
      </c>
      <c r="C4" s="16">
        <f t="shared" si="0"/>
        <v>200</v>
      </c>
      <c r="D4" s="16">
        <f t="shared" si="0"/>
        <v>200</v>
      </c>
      <c r="E4" s="16">
        <f t="shared" si="0"/>
        <v>200</v>
      </c>
      <c r="F4" s="16">
        <f t="shared" si="0"/>
        <v>200</v>
      </c>
      <c r="G4" s="16">
        <f t="shared" si="0"/>
        <v>200</v>
      </c>
      <c r="H4" s="16">
        <f t="shared" si="0"/>
        <v>200</v>
      </c>
      <c r="I4" s="16">
        <f t="shared" si="0"/>
        <v>200</v>
      </c>
      <c r="J4" s="16">
        <f t="shared" si="0"/>
        <v>200</v>
      </c>
      <c r="K4" s="16">
        <f t="shared" si="0"/>
        <v>200</v>
      </c>
      <c r="L4" s="16">
        <f t="shared" si="0"/>
        <v>200</v>
      </c>
    </row>
    <row r="5" spans="1:15" x14ac:dyDescent="0.25">
      <c r="A5" t="s">
        <v>36</v>
      </c>
      <c r="B5">
        <v>100</v>
      </c>
      <c r="C5" s="16">
        <f t="shared" si="0"/>
        <v>100</v>
      </c>
      <c r="D5" s="16">
        <f t="shared" si="0"/>
        <v>100</v>
      </c>
      <c r="E5" s="16">
        <f t="shared" si="0"/>
        <v>100</v>
      </c>
      <c r="F5" s="16">
        <f t="shared" si="0"/>
        <v>100</v>
      </c>
      <c r="G5" s="16">
        <f t="shared" si="0"/>
        <v>100</v>
      </c>
      <c r="H5" s="16">
        <f t="shared" si="0"/>
        <v>100</v>
      </c>
      <c r="I5" s="16">
        <f t="shared" si="0"/>
        <v>100</v>
      </c>
      <c r="J5" s="16">
        <f t="shared" si="0"/>
        <v>100</v>
      </c>
      <c r="K5" s="16">
        <f t="shared" si="0"/>
        <v>100</v>
      </c>
      <c r="L5" s="16">
        <f t="shared" si="0"/>
        <v>100</v>
      </c>
    </row>
    <row r="6" spans="1:15" x14ac:dyDescent="0.25">
      <c r="A6" t="s">
        <v>362</v>
      </c>
      <c r="B6" s="16">
        <f>B62-SUM(B83:B84,B86)</f>
        <v>9477.1208121330728</v>
      </c>
      <c r="C6" s="16">
        <f>B6</f>
        <v>9477.1208121330728</v>
      </c>
      <c r="D6" s="16">
        <f t="shared" ref="D6:L6" si="1">C6</f>
        <v>9477.1208121330728</v>
      </c>
      <c r="E6" s="16">
        <f t="shared" si="1"/>
        <v>9477.1208121330728</v>
      </c>
      <c r="F6" s="16">
        <f t="shared" si="1"/>
        <v>9477.1208121330728</v>
      </c>
      <c r="G6" s="16">
        <f t="shared" si="1"/>
        <v>9477.1208121330728</v>
      </c>
      <c r="H6" s="16">
        <f t="shared" si="1"/>
        <v>9477.1208121330728</v>
      </c>
      <c r="I6" s="16">
        <f t="shared" si="1"/>
        <v>9477.1208121330728</v>
      </c>
      <c r="J6" s="16">
        <f t="shared" si="1"/>
        <v>9477.1208121330728</v>
      </c>
      <c r="K6" s="16">
        <f t="shared" si="1"/>
        <v>9477.1208121330728</v>
      </c>
      <c r="L6" s="16">
        <f t="shared" si="1"/>
        <v>9477.1208121330728</v>
      </c>
    </row>
    <row r="8" spans="1:15" x14ac:dyDescent="0.25">
      <c r="A8" s="9" t="s">
        <v>149</v>
      </c>
      <c r="B8" s="9">
        <v>0</v>
      </c>
      <c r="C8" s="9">
        <v>1</v>
      </c>
      <c r="D8" s="9">
        <v>2</v>
      </c>
      <c r="E8" s="9">
        <v>3</v>
      </c>
      <c r="F8" s="9">
        <v>4</v>
      </c>
      <c r="G8" s="9">
        <v>5</v>
      </c>
      <c r="H8" s="9">
        <v>6</v>
      </c>
      <c r="I8" s="9">
        <v>7</v>
      </c>
      <c r="J8" s="9">
        <v>8</v>
      </c>
      <c r="K8" s="9">
        <v>9</v>
      </c>
      <c r="L8" s="9">
        <v>10</v>
      </c>
    </row>
    <row r="9" spans="1:15" x14ac:dyDescent="0.25">
      <c r="A9" t="s">
        <v>169</v>
      </c>
      <c r="B9" s="84">
        <f>'Event Tracker'!B97</f>
        <v>0</v>
      </c>
      <c r="C9" s="84">
        <f>'Event Tracker'!C97+'Event Tracker'!C113</f>
        <v>0</v>
      </c>
      <c r="D9" s="84">
        <f>'Event Tracker'!D97+'Event Tracker'!D113</f>
        <v>0</v>
      </c>
      <c r="E9" s="84">
        <f>'Event Tracker'!E97+'Event Tracker'!E113</f>
        <v>0</v>
      </c>
      <c r="F9" s="84">
        <f>'Event Tracker'!F97+'Event Tracker'!F113</f>
        <v>0</v>
      </c>
      <c r="G9" s="84">
        <f>'Event Tracker'!G97+'Event Tracker'!G113</f>
        <v>0</v>
      </c>
      <c r="H9" s="84">
        <f>'Event Tracker'!H97+'Event Tracker'!H113</f>
        <v>0</v>
      </c>
      <c r="I9" s="84">
        <f>'Event Tracker'!I97+'Event Tracker'!I113</f>
        <v>0</v>
      </c>
      <c r="J9" s="84">
        <f>'Event Tracker'!J97+'Event Tracker'!J113</f>
        <v>0</v>
      </c>
      <c r="K9" s="84">
        <f>'Event Tracker'!K97+'Event Tracker'!K113</f>
        <v>0</v>
      </c>
      <c r="L9" s="84">
        <f>'Event Tracker'!L97+'Event Tracker'!L113</f>
        <v>0</v>
      </c>
    </row>
    <row r="10" spans="1:15" x14ac:dyDescent="0.25">
      <c r="A10" t="s">
        <v>148</v>
      </c>
      <c r="B10" s="84">
        <f>'Event Tracker'!B98+'Game Assumptions'!$B$181</f>
        <v>0</v>
      </c>
      <c r="C10" s="84">
        <f>'Event Tracker'!C98+'Event Tracker'!C114</f>
        <v>0</v>
      </c>
      <c r="D10" s="84">
        <f>'Event Tracker'!D98+'Event Tracker'!D114</f>
        <v>0</v>
      </c>
      <c r="E10" s="84">
        <f>'Event Tracker'!E98+'Event Tracker'!E114</f>
        <v>0</v>
      </c>
      <c r="F10" s="84">
        <f>'Event Tracker'!F98+'Event Tracker'!F114</f>
        <v>0</v>
      </c>
      <c r="G10" s="84">
        <f>'Event Tracker'!G98+'Event Tracker'!G114</f>
        <v>0</v>
      </c>
      <c r="H10" s="84">
        <f>'Event Tracker'!H98+'Event Tracker'!H114</f>
        <v>0</v>
      </c>
      <c r="I10" s="84">
        <f>'Event Tracker'!I98+'Event Tracker'!I114</f>
        <v>0</v>
      </c>
      <c r="J10" s="84">
        <f>'Event Tracker'!J98+'Event Tracker'!J114</f>
        <v>0</v>
      </c>
      <c r="K10" s="84">
        <f>'Event Tracker'!K98+'Event Tracker'!K114</f>
        <v>0</v>
      </c>
      <c r="L10" s="84">
        <f>'Event Tracker'!L98+'Event Tracker'!L114</f>
        <v>0</v>
      </c>
    </row>
    <row r="11" spans="1:15" x14ac:dyDescent="0.25">
      <c r="A11" t="s">
        <v>147</v>
      </c>
      <c r="B11" s="84">
        <f>'Event Tracker'!B99</f>
        <v>0</v>
      </c>
      <c r="C11" s="84">
        <f>'Event Tracker'!C99+'Event Tracker'!C115</f>
        <v>0</v>
      </c>
      <c r="D11" s="84">
        <f>'Event Tracker'!D99+'Event Tracker'!D115</f>
        <v>0</v>
      </c>
      <c r="E11" s="84">
        <f>'Event Tracker'!E99+'Event Tracker'!E115</f>
        <v>0</v>
      </c>
      <c r="F11" s="84">
        <f>'Event Tracker'!F99+'Event Tracker'!F115</f>
        <v>0</v>
      </c>
      <c r="G11" s="84">
        <f>'Event Tracker'!G99+'Event Tracker'!G115</f>
        <v>0</v>
      </c>
      <c r="H11" s="84">
        <f>'Event Tracker'!H99+'Event Tracker'!H115</f>
        <v>0</v>
      </c>
      <c r="I11" s="84">
        <f>'Event Tracker'!I99+'Event Tracker'!I115</f>
        <v>0</v>
      </c>
      <c r="J11" s="84">
        <f>'Event Tracker'!J99+'Event Tracker'!J115</f>
        <v>0</v>
      </c>
      <c r="K11" s="84">
        <f>'Event Tracker'!K99+'Event Tracker'!K115</f>
        <v>0</v>
      </c>
      <c r="L11" s="84">
        <f>'Event Tracker'!L99+'Event Tracker'!L115</f>
        <v>0</v>
      </c>
    </row>
    <row r="12" spans="1:15" x14ac:dyDescent="0.25">
      <c r="A12" t="s">
        <v>36</v>
      </c>
      <c r="B12" s="84">
        <f>'Event Tracker'!B100+'Game Assumptions'!$B$181</f>
        <v>0</v>
      </c>
      <c r="C12" s="84">
        <f>'Event Tracker'!C100+'Event Tracker'!C116</f>
        <v>0</v>
      </c>
      <c r="D12" s="84">
        <f>'Event Tracker'!D100+'Event Tracker'!D116</f>
        <v>0</v>
      </c>
      <c r="E12" s="84">
        <f>'Event Tracker'!E100+'Event Tracker'!E116</f>
        <v>0</v>
      </c>
      <c r="F12" s="84">
        <f>'Event Tracker'!F100+'Event Tracker'!F116</f>
        <v>0</v>
      </c>
      <c r="G12" s="84">
        <f>'Event Tracker'!G100+'Event Tracker'!G116</f>
        <v>0</v>
      </c>
      <c r="H12" s="84">
        <f>'Event Tracker'!H100+'Event Tracker'!H116</f>
        <v>0</v>
      </c>
      <c r="I12" s="84">
        <f>'Event Tracker'!I100+'Event Tracker'!I116</f>
        <v>0</v>
      </c>
      <c r="J12" s="84">
        <f>'Event Tracker'!J100+'Event Tracker'!J116</f>
        <v>0</v>
      </c>
      <c r="K12" s="84">
        <f>'Event Tracker'!K100+'Event Tracker'!K116</f>
        <v>0</v>
      </c>
      <c r="L12" s="84">
        <f>'Event Tracker'!L100+'Event Tracker'!L116</f>
        <v>0</v>
      </c>
    </row>
    <row r="13" spans="1:15" x14ac:dyDescent="0.25">
      <c r="A13" t="s">
        <v>362</v>
      </c>
      <c r="B13" s="84">
        <f>'Event Tracker'!B102</f>
        <v>0</v>
      </c>
      <c r="C13" s="84">
        <f>'Event Tracker'!C102+'Event Tracker'!C117</f>
        <v>0</v>
      </c>
      <c r="D13" s="84">
        <f>'Event Tracker'!D102+'Event Tracker'!D117</f>
        <v>0</v>
      </c>
      <c r="E13" s="84">
        <f>'Event Tracker'!E102+'Event Tracker'!E117</f>
        <v>0</v>
      </c>
      <c r="F13" s="84">
        <f>'Event Tracker'!F102+'Event Tracker'!F117</f>
        <v>0</v>
      </c>
      <c r="G13" s="84">
        <f>'Event Tracker'!G102+'Event Tracker'!G117</f>
        <v>0</v>
      </c>
      <c r="H13" s="84">
        <f>'Event Tracker'!H102+'Event Tracker'!H117</f>
        <v>0</v>
      </c>
      <c r="I13" s="84">
        <f>'Event Tracker'!I102+'Event Tracker'!I117</f>
        <v>0</v>
      </c>
      <c r="J13" s="84">
        <f>'Event Tracker'!J102+'Event Tracker'!J117</f>
        <v>0</v>
      </c>
      <c r="K13" s="84">
        <f>'Event Tracker'!K102+'Event Tracker'!K117</f>
        <v>0</v>
      </c>
      <c r="L13" s="84">
        <f>'Event Tracker'!L102+'Event Tracker'!L117</f>
        <v>0</v>
      </c>
    </row>
    <row r="15" spans="1:15" x14ac:dyDescent="0.25">
      <c r="A15" s="9" t="s">
        <v>279</v>
      </c>
      <c r="B15" s="9">
        <v>0</v>
      </c>
      <c r="C15" s="9">
        <v>1</v>
      </c>
      <c r="D15" s="9">
        <v>2</v>
      </c>
      <c r="E15" s="9">
        <v>3</v>
      </c>
      <c r="F15" s="9">
        <v>4</v>
      </c>
      <c r="G15" s="9">
        <v>5</v>
      </c>
      <c r="H15" s="9">
        <v>6</v>
      </c>
      <c r="I15" s="9">
        <v>7</v>
      </c>
      <c r="J15" s="9">
        <v>8</v>
      </c>
      <c r="K15" s="9">
        <v>9</v>
      </c>
      <c r="L15" s="9">
        <v>10</v>
      </c>
    </row>
    <row r="16" spans="1:15" x14ac:dyDescent="0.25">
      <c r="B16">
        <f>MAX(1*(INDEX('Event Tracker'!$B$7:$L$7,1,MATCH(B15,'Event Tracker'!$B$1:$L$1,0))*'Game Assumptions'!$B$130),1)</f>
        <v>1</v>
      </c>
      <c r="C16">
        <f>MAX(1*(INDEX('Event Tracker'!$B$7:$L$7,1,MATCH(C15,'Event Tracker'!$B$1:$L$1,0))*'Game Assumptions'!$B$130),1)</f>
        <v>1</v>
      </c>
      <c r="D16">
        <f>MAX(1*(INDEX('Event Tracker'!$B$7:$L$7,1,MATCH(D15,'Event Tracker'!$B$1:$L$1,0))*'Game Assumptions'!$B$130),1)</f>
        <v>1</v>
      </c>
      <c r="E16">
        <f>MAX(1*(INDEX('Event Tracker'!$B$7:$L$7,1,MATCH(E15,'Event Tracker'!$B$1:$L$1,0))*'Game Assumptions'!$B$130),1)</f>
        <v>1</v>
      </c>
      <c r="F16">
        <f>MAX(1*(INDEX('Event Tracker'!$B$7:$L$7,1,MATCH(F15,'Event Tracker'!$B$1:$L$1,0))*'Game Assumptions'!$B$130),1)</f>
        <v>1</v>
      </c>
      <c r="G16">
        <f>MAX(1*(INDEX('Event Tracker'!$B$7:$L$7,1,MATCH(G15,'Event Tracker'!$B$1:$L$1,0))*'Game Assumptions'!$B$130),1)</f>
        <v>1</v>
      </c>
      <c r="H16">
        <f>MAX(1*(INDEX('Event Tracker'!$B$7:$L$7,1,MATCH(H15,'Event Tracker'!$B$1:$L$1,0))*'Game Assumptions'!$B$130),1)</f>
        <v>1</v>
      </c>
      <c r="I16">
        <f>MAX(1*(INDEX('Event Tracker'!$B$7:$L$7,1,MATCH(I15,'Event Tracker'!$B$1:$L$1,0))*'Game Assumptions'!$B$130),1)</f>
        <v>1</v>
      </c>
      <c r="J16">
        <f>MAX(1*(INDEX('Event Tracker'!$B$7:$L$7,1,MATCH(J15,'Event Tracker'!$B$1:$L$1,0))*'Game Assumptions'!$B$130),1)</f>
        <v>1</v>
      </c>
      <c r="K16">
        <f>MAX(1*(INDEX('Event Tracker'!$B$7:$L$7,1,MATCH(K15,'Event Tracker'!$B$1:$L$1,0))*'Game Assumptions'!$B$130),1)</f>
        <v>1</v>
      </c>
      <c r="L16">
        <f>MAX(1*(INDEX('Event Tracker'!$B$7:$L$7,1,MATCH(L15,'Event Tracker'!$B$1:$L$1,0))*'Game Assumptions'!$B$130),1)</f>
        <v>1</v>
      </c>
    </row>
    <row r="18" spans="1:12" x14ac:dyDescent="0.25">
      <c r="A18" s="9" t="s">
        <v>150</v>
      </c>
      <c r="B18" s="9">
        <v>0</v>
      </c>
      <c r="C18" s="9">
        <v>1</v>
      </c>
      <c r="D18" s="9">
        <v>2</v>
      </c>
      <c r="E18" s="9">
        <v>3</v>
      </c>
      <c r="F18" s="9">
        <v>4</v>
      </c>
      <c r="G18" s="9">
        <v>5</v>
      </c>
      <c r="H18" s="9">
        <v>6</v>
      </c>
      <c r="I18" s="9">
        <v>7</v>
      </c>
      <c r="J18" s="9">
        <v>8</v>
      </c>
      <c r="K18" s="9">
        <v>9</v>
      </c>
      <c r="L18" s="9">
        <v>10</v>
      </c>
    </row>
    <row r="19" spans="1:12" x14ac:dyDescent="0.25">
      <c r="A19" t="s">
        <v>169</v>
      </c>
      <c r="B19" s="16">
        <f>(B9+B2)*B$16</f>
        <v>300</v>
      </c>
      <c r="C19" s="16">
        <f>B19+C9+'Event Tracker'!C128</f>
        <v>300</v>
      </c>
      <c r="D19" s="16">
        <f>C19+D9+'Event Tracker'!D128</f>
        <v>300</v>
      </c>
      <c r="E19" s="16">
        <f>D19+E9+'Event Tracker'!E128</f>
        <v>300</v>
      </c>
      <c r="F19" s="16">
        <f>E19+F9+'Event Tracker'!F128</f>
        <v>300</v>
      </c>
      <c r="G19" s="16">
        <f>F19+G9+'Event Tracker'!G128</f>
        <v>300</v>
      </c>
      <c r="H19" s="16">
        <f>G19+H9+'Event Tracker'!H128</f>
        <v>300</v>
      </c>
      <c r="I19" s="16">
        <f>H19+I9+'Event Tracker'!I128</f>
        <v>300</v>
      </c>
      <c r="J19" s="16">
        <f>I19+J9+'Event Tracker'!J128</f>
        <v>300</v>
      </c>
      <c r="K19" s="16">
        <f>J19+K9+'Event Tracker'!K128</f>
        <v>300</v>
      </c>
      <c r="L19" s="16">
        <f>K19+L9+'Event Tracker'!L128</f>
        <v>300</v>
      </c>
    </row>
    <row r="20" spans="1:12" x14ac:dyDescent="0.25">
      <c r="A20" t="s">
        <v>148</v>
      </c>
      <c r="B20" s="16">
        <f>(B10+B3)*B$16</f>
        <v>10</v>
      </c>
      <c r="C20" s="16">
        <f>B20+C10+'Event Tracker'!C129</f>
        <v>10</v>
      </c>
      <c r="D20" s="16">
        <f>C20+D10+'Event Tracker'!D129</f>
        <v>10</v>
      </c>
      <c r="E20" s="16">
        <f>D20+E10+'Event Tracker'!E129</f>
        <v>10</v>
      </c>
      <c r="F20" s="16">
        <f>E20+F10+'Event Tracker'!F129</f>
        <v>10</v>
      </c>
      <c r="G20" s="16">
        <f>F20+G10+'Event Tracker'!G129</f>
        <v>10</v>
      </c>
      <c r="H20" s="16">
        <f>G20+H10+'Event Tracker'!H129</f>
        <v>10</v>
      </c>
      <c r="I20" s="16">
        <f>H20+I10+'Event Tracker'!I129</f>
        <v>10</v>
      </c>
      <c r="J20" s="16">
        <f>I20+J10+'Event Tracker'!J129</f>
        <v>10</v>
      </c>
      <c r="K20" s="16">
        <f>J20+K10+'Event Tracker'!K129</f>
        <v>10</v>
      </c>
      <c r="L20" s="16">
        <f>K20+L10+'Event Tracker'!L129</f>
        <v>10</v>
      </c>
    </row>
    <row r="21" spans="1:12" x14ac:dyDescent="0.25">
      <c r="A21" t="s">
        <v>147</v>
      </c>
      <c r="B21" s="16">
        <f>(B11+B4)*B$16</f>
        <v>200</v>
      </c>
      <c r="C21" s="16">
        <f>B21+C11+'Event Tracker'!C130</f>
        <v>200</v>
      </c>
      <c r="D21" s="16">
        <f>C21+D11+'Event Tracker'!D130</f>
        <v>200</v>
      </c>
      <c r="E21" s="16">
        <f>D21+E11+'Event Tracker'!E130</f>
        <v>200</v>
      </c>
      <c r="F21" s="16">
        <f>E21+F11+'Event Tracker'!F130</f>
        <v>200</v>
      </c>
      <c r="G21" s="16">
        <f>F21+G11+'Event Tracker'!G130</f>
        <v>200</v>
      </c>
      <c r="H21" s="16">
        <f>G21+H11+'Event Tracker'!H130</f>
        <v>200</v>
      </c>
      <c r="I21" s="16">
        <f>H21+I11+'Event Tracker'!I130</f>
        <v>200</v>
      </c>
      <c r="J21" s="16">
        <f>I21+J11+'Event Tracker'!J130</f>
        <v>200</v>
      </c>
      <c r="K21" s="16">
        <f>J21+K11+'Event Tracker'!K130</f>
        <v>200</v>
      </c>
      <c r="L21" s="16">
        <f>K21+L11+'Event Tracker'!L130</f>
        <v>200</v>
      </c>
    </row>
    <row r="22" spans="1:12" x14ac:dyDescent="0.25">
      <c r="A22" t="s">
        <v>36</v>
      </c>
      <c r="B22" s="16">
        <f>(B12+B5)*B$16</f>
        <v>100</v>
      </c>
      <c r="C22" s="16">
        <f>B22+C12+'Event Tracker'!C131</f>
        <v>100</v>
      </c>
      <c r="D22" s="16">
        <f>C22+D12+'Event Tracker'!D131</f>
        <v>100</v>
      </c>
      <c r="E22" s="16">
        <f>D22+E12+'Event Tracker'!E131</f>
        <v>100</v>
      </c>
      <c r="F22" s="16">
        <f>E22+F12+'Event Tracker'!F131</f>
        <v>100</v>
      </c>
      <c r="G22" s="16">
        <f>F22+G12+'Event Tracker'!G131</f>
        <v>100</v>
      </c>
      <c r="H22" s="16">
        <f>G22+H12+'Event Tracker'!H131</f>
        <v>100</v>
      </c>
      <c r="I22" s="16">
        <f>H22+I12+'Event Tracker'!I131</f>
        <v>100</v>
      </c>
      <c r="J22" s="16">
        <f>I22+J12+'Event Tracker'!J131</f>
        <v>100</v>
      </c>
      <c r="K22" s="16">
        <f>J22+K12+'Event Tracker'!K131</f>
        <v>100</v>
      </c>
      <c r="L22" s="16">
        <f>K22+L12+'Event Tracker'!L131</f>
        <v>100</v>
      </c>
    </row>
    <row r="23" spans="1:12" x14ac:dyDescent="0.25">
      <c r="A23" t="s">
        <v>362</v>
      </c>
      <c r="B23" s="16">
        <f>(B13+B6)*B$16</f>
        <v>9477.1208121330728</v>
      </c>
      <c r="C23" s="16">
        <f>B23+C13+'Event Tracker'!C132</f>
        <v>9477.1208121330728</v>
      </c>
      <c r="D23" s="16">
        <f>C23+D13+'Event Tracker'!D132</f>
        <v>9477.1208121330728</v>
      </c>
      <c r="E23" s="16">
        <f>D23+E13+'Event Tracker'!E132</f>
        <v>9477.1208121330728</v>
      </c>
      <c r="F23" s="16">
        <f>E23+F13+'Event Tracker'!F132</f>
        <v>9477.1208121330728</v>
      </c>
      <c r="G23" s="16">
        <f>F23+G13+'Event Tracker'!G132</f>
        <v>9477.1208121330728</v>
      </c>
      <c r="H23" s="16">
        <f>G23+H13+'Event Tracker'!H132</f>
        <v>9477.1208121330728</v>
      </c>
      <c r="I23" s="16">
        <f>H23+I13+'Event Tracker'!I132</f>
        <v>9477.1208121330728</v>
      </c>
      <c r="J23" s="16">
        <f>I23+J13+'Event Tracker'!J132</f>
        <v>9477.1208121330728</v>
      </c>
      <c r="K23" s="16">
        <f>J23+K13+'Event Tracker'!K132</f>
        <v>9477.1208121330728</v>
      </c>
      <c r="L23" s="16">
        <f>K23+L13+'Event Tracker'!L132</f>
        <v>9477.1208121330728</v>
      </c>
    </row>
    <row r="24" spans="1:12" x14ac:dyDescent="0.25">
      <c r="A24" t="s">
        <v>513</v>
      </c>
      <c r="B24" s="84">
        <f>'Resource Mix and Demand'!B28</f>
        <v>200</v>
      </c>
      <c r="C24" s="84">
        <f>'Resource Mix and Demand'!C28</f>
        <v>225</v>
      </c>
      <c r="D24" s="84">
        <f>'Resource Mix and Demand'!D28</f>
        <v>323.63155522947557</v>
      </c>
      <c r="E24" s="84">
        <f>'Resource Mix and Demand'!E28</f>
        <v>650.93221876903931</v>
      </c>
      <c r="F24" s="84">
        <f>'Resource Mix and Demand'!F28</f>
        <v>749.61445794437145</v>
      </c>
      <c r="G24" s="84">
        <f>'Resource Mix and Demand'!G28</f>
        <v>846.26390750880421</v>
      </c>
      <c r="H24" s="84">
        <f>'Resource Mix and Demand'!H28</f>
        <v>944.22037334202071</v>
      </c>
      <c r="I24" s="84">
        <f>'Resource Mix and Demand'!I28</f>
        <v>1043.6396238941536</v>
      </c>
      <c r="J24" s="84">
        <f>'Resource Mix and Demand'!J28</f>
        <v>1164.9670227156776</v>
      </c>
      <c r="K24" s="84">
        <f>'Resource Mix and Demand'!K28</f>
        <v>1305.250195213182</v>
      </c>
      <c r="L24" s="84">
        <f>'Resource Mix and Demand'!L28</f>
        <v>1453.5840340143691</v>
      </c>
    </row>
    <row r="25" spans="1:12" x14ac:dyDescent="0.25">
      <c r="A25" t="s">
        <v>367</v>
      </c>
      <c r="B25" s="84">
        <f>'Resource Mix and Demand'!B29</f>
        <v>50</v>
      </c>
      <c r="C25" s="84">
        <f>'Resource Mix and Demand'!C29</f>
        <v>60</v>
      </c>
      <c r="D25" s="84">
        <f>'Resource Mix and Demand'!D29</f>
        <v>143.63155522947554</v>
      </c>
      <c r="E25" s="84">
        <f>'Resource Mix and Demand'!E29</f>
        <v>455.93221876903931</v>
      </c>
      <c r="F25" s="84">
        <f>'Resource Mix and Demand'!F29</f>
        <v>539.61445794437145</v>
      </c>
      <c r="G25" s="84">
        <f>'Resource Mix and Demand'!G29</f>
        <v>621.26390750880421</v>
      </c>
      <c r="H25" s="84">
        <f>'Resource Mix and Demand'!H29</f>
        <v>704.22037334202071</v>
      </c>
      <c r="I25" s="84">
        <f>'Resource Mix and Demand'!I29</f>
        <v>788.6396238941536</v>
      </c>
      <c r="J25" s="84">
        <f>'Resource Mix and Demand'!J29</f>
        <v>894.96702271567767</v>
      </c>
      <c r="K25" s="84">
        <f>'Resource Mix and Demand'!K29</f>
        <v>1020.250195213182</v>
      </c>
      <c r="L25" s="84">
        <f>'Resource Mix and Demand'!L29</f>
        <v>1153.5840340143691</v>
      </c>
    </row>
    <row r="27" spans="1:12" x14ac:dyDescent="0.25">
      <c r="A27" s="9" t="s">
        <v>151</v>
      </c>
      <c r="B27" s="9">
        <v>0</v>
      </c>
      <c r="C27" s="9">
        <v>1</v>
      </c>
      <c r="D27" s="9">
        <v>2</v>
      </c>
      <c r="E27" s="9">
        <v>3</v>
      </c>
      <c r="F27" s="9">
        <v>4</v>
      </c>
      <c r="G27" s="9">
        <v>5</v>
      </c>
      <c r="H27" s="9">
        <v>6</v>
      </c>
      <c r="I27" s="9">
        <v>7</v>
      </c>
      <c r="J27" s="9">
        <v>8</v>
      </c>
      <c r="K27" s="9">
        <v>9</v>
      </c>
      <c r="L27" s="9">
        <v>10</v>
      </c>
    </row>
    <row r="28" spans="1:12" x14ac:dyDescent="0.25">
      <c r="A28" t="s">
        <v>169</v>
      </c>
      <c r="B28">
        <f>'Game Assumptions'!B97</f>
        <v>7.7837837837837833</v>
      </c>
      <c r="C28">
        <f>B28</f>
        <v>7.7837837837837833</v>
      </c>
      <c r="D28">
        <f t="shared" ref="D28:L28" si="2">C28</f>
        <v>7.7837837837837833</v>
      </c>
      <c r="E28">
        <f t="shared" si="2"/>
        <v>7.7837837837837833</v>
      </c>
      <c r="F28">
        <f t="shared" si="2"/>
        <v>7.7837837837837833</v>
      </c>
      <c r="G28">
        <f t="shared" si="2"/>
        <v>7.7837837837837833</v>
      </c>
      <c r="H28">
        <f t="shared" si="2"/>
        <v>7.7837837837837833</v>
      </c>
      <c r="I28">
        <f t="shared" si="2"/>
        <v>7.7837837837837833</v>
      </c>
      <c r="J28">
        <f t="shared" si="2"/>
        <v>7.7837837837837833</v>
      </c>
      <c r="K28">
        <f t="shared" si="2"/>
        <v>7.7837837837837833</v>
      </c>
      <c r="L28">
        <f t="shared" si="2"/>
        <v>7.7837837837837833</v>
      </c>
    </row>
    <row r="29" spans="1:12" x14ac:dyDescent="0.25">
      <c r="A29" t="s">
        <v>148</v>
      </c>
      <c r="B29">
        <f>'Game Assumptions'!B98</f>
        <v>7.7837837837837833</v>
      </c>
      <c r="C29">
        <f t="shared" ref="C29:L31" si="3">B29</f>
        <v>7.7837837837837833</v>
      </c>
      <c r="D29">
        <f t="shared" si="3"/>
        <v>7.7837837837837833</v>
      </c>
      <c r="E29">
        <f t="shared" si="3"/>
        <v>7.7837837837837833</v>
      </c>
      <c r="F29">
        <f t="shared" si="3"/>
        <v>7.7837837837837833</v>
      </c>
      <c r="G29">
        <f t="shared" si="3"/>
        <v>7.7837837837837833</v>
      </c>
      <c r="H29">
        <f t="shared" si="3"/>
        <v>7.7837837837837833</v>
      </c>
      <c r="I29">
        <f t="shared" si="3"/>
        <v>7.7837837837837833</v>
      </c>
      <c r="J29">
        <f t="shared" si="3"/>
        <v>7.7837837837837833</v>
      </c>
      <c r="K29">
        <f t="shared" si="3"/>
        <v>7.7837837837837833</v>
      </c>
      <c r="L29">
        <f t="shared" si="3"/>
        <v>7.7837837837837833</v>
      </c>
    </row>
    <row r="30" spans="1:12" x14ac:dyDescent="0.25">
      <c r="A30" t="s">
        <v>147</v>
      </c>
      <c r="B30">
        <f>'Game Assumptions'!B101</f>
        <v>3.9782233435134779</v>
      </c>
      <c r="C30">
        <f t="shared" si="3"/>
        <v>3.9782233435134779</v>
      </c>
      <c r="D30">
        <f t="shared" si="3"/>
        <v>3.9782233435134779</v>
      </c>
      <c r="E30">
        <f t="shared" si="3"/>
        <v>3.9782233435134779</v>
      </c>
      <c r="F30">
        <f t="shared" si="3"/>
        <v>3.9782233435134779</v>
      </c>
      <c r="G30">
        <f t="shared" si="3"/>
        <v>3.9782233435134779</v>
      </c>
      <c r="H30">
        <f t="shared" si="3"/>
        <v>3.9782233435134779</v>
      </c>
      <c r="I30">
        <f t="shared" si="3"/>
        <v>3.9782233435134779</v>
      </c>
      <c r="J30">
        <f t="shared" si="3"/>
        <v>3.9782233435134779</v>
      </c>
      <c r="K30">
        <f t="shared" si="3"/>
        <v>3.9782233435134779</v>
      </c>
      <c r="L30">
        <f t="shared" si="3"/>
        <v>3.9782233435134779</v>
      </c>
    </row>
    <row r="31" spans="1:12" x14ac:dyDescent="0.25">
      <c r="A31" t="s">
        <v>36</v>
      </c>
      <c r="B31">
        <f>'Game Assumptions'!B102</f>
        <v>1.6666666666666665</v>
      </c>
      <c r="C31">
        <f t="shared" si="3"/>
        <v>1.6666666666666665</v>
      </c>
      <c r="D31">
        <f t="shared" si="3"/>
        <v>1.6666666666666665</v>
      </c>
      <c r="E31">
        <f t="shared" si="3"/>
        <v>1.6666666666666665</v>
      </c>
      <c r="F31">
        <f t="shared" si="3"/>
        <v>1.6666666666666665</v>
      </c>
      <c r="G31">
        <f t="shared" si="3"/>
        <v>1.6666666666666665</v>
      </c>
      <c r="H31">
        <f t="shared" si="3"/>
        <v>1.6666666666666665</v>
      </c>
      <c r="I31">
        <f t="shared" si="3"/>
        <v>1.6666666666666665</v>
      </c>
      <c r="J31">
        <f t="shared" si="3"/>
        <v>1.6666666666666665</v>
      </c>
      <c r="K31">
        <f t="shared" si="3"/>
        <v>1.6666666666666665</v>
      </c>
      <c r="L31">
        <f t="shared" si="3"/>
        <v>1.6666666666666665</v>
      </c>
    </row>
    <row r="32" spans="1:12" x14ac:dyDescent="0.25">
      <c r="A32" s="124" t="s">
        <v>362</v>
      </c>
      <c r="B32" s="124">
        <v>5.0000000000000001E-3</v>
      </c>
      <c r="C32" s="124">
        <v>5.0000000000000001E-3</v>
      </c>
      <c r="D32" s="124">
        <v>5.0000000000000001E-3</v>
      </c>
      <c r="E32" s="124">
        <v>5.0000000000000001E-3</v>
      </c>
      <c r="F32" s="124">
        <v>5.0000000000000001E-3</v>
      </c>
      <c r="G32" s="124">
        <v>5.0000000000000001E-3</v>
      </c>
      <c r="H32" s="124">
        <v>5.0000000000000001E-3</v>
      </c>
      <c r="I32" s="124">
        <v>5.0000000000000001E-3</v>
      </c>
      <c r="J32" s="124">
        <v>5.0000000000000001E-3</v>
      </c>
      <c r="K32" s="124">
        <v>5.0000000000000001E-3</v>
      </c>
      <c r="L32" s="124">
        <v>5.0000000000000001E-3</v>
      </c>
    </row>
    <row r="34" spans="1:12" x14ac:dyDescent="0.25">
      <c r="A34" s="9" t="s">
        <v>156</v>
      </c>
      <c r="B34" s="9">
        <v>0</v>
      </c>
      <c r="C34" s="9">
        <v>1</v>
      </c>
      <c r="D34" s="9">
        <v>2</v>
      </c>
      <c r="E34" s="9">
        <v>3</v>
      </c>
      <c r="F34" s="9">
        <v>4</v>
      </c>
      <c r="G34" s="9">
        <v>5</v>
      </c>
      <c r="H34" s="9">
        <v>6</v>
      </c>
      <c r="I34" s="9">
        <v>7</v>
      </c>
      <c r="J34" s="9">
        <v>8</v>
      </c>
      <c r="K34" s="9">
        <v>9</v>
      </c>
      <c r="L34" s="9">
        <v>10</v>
      </c>
    </row>
    <row r="35" spans="1:12" x14ac:dyDescent="0.25">
      <c r="A35" t="s">
        <v>155</v>
      </c>
      <c r="B35">
        <f>'Game Assumptions'!B108</f>
        <v>5000</v>
      </c>
      <c r="C35">
        <f>B35</f>
        <v>5000</v>
      </c>
      <c r="D35">
        <f t="shared" ref="D35:L35" si="4">C35</f>
        <v>5000</v>
      </c>
      <c r="E35">
        <f t="shared" si="4"/>
        <v>5000</v>
      </c>
      <c r="F35">
        <f t="shared" si="4"/>
        <v>5000</v>
      </c>
      <c r="G35">
        <f t="shared" si="4"/>
        <v>5000</v>
      </c>
      <c r="H35">
        <f t="shared" si="4"/>
        <v>5000</v>
      </c>
      <c r="I35">
        <f t="shared" si="4"/>
        <v>5000</v>
      </c>
      <c r="J35">
        <f t="shared" si="4"/>
        <v>5000</v>
      </c>
      <c r="K35">
        <f t="shared" si="4"/>
        <v>5000</v>
      </c>
      <c r="L35">
        <f t="shared" si="4"/>
        <v>5000</v>
      </c>
    </row>
    <row r="37" spans="1:12" x14ac:dyDescent="0.25">
      <c r="A37" s="9" t="s">
        <v>157</v>
      </c>
      <c r="B37" s="9">
        <v>0</v>
      </c>
      <c r="C37" s="9">
        <v>1</v>
      </c>
      <c r="D37" s="9">
        <v>2</v>
      </c>
      <c r="E37" s="9">
        <v>3</v>
      </c>
      <c r="F37" s="9">
        <v>4</v>
      </c>
      <c r="G37" s="9">
        <v>5</v>
      </c>
      <c r="H37" s="9">
        <v>6</v>
      </c>
      <c r="I37" s="9">
        <v>7</v>
      </c>
      <c r="J37" s="9">
        <v>8</v>
      </c>
      <c r="K37" s="9">
        <v>9</v>
      </c>
      <c r="L37" s="9">
        <v>10</v>
      </c>
    </row>
    <row r="38" spans="1:12" x14ac:dyDescent="0.25">
      <c r="A38" t="s">
        <v>155</v>
      </c>
      <c r="B38" s="84">
        <f>'Event Tracker'!B101</f>
        <v>0</v>
      </c>
      <c r="C38" s="84">
        <f>'Event Tracker'!C101+'Event Tracker'!C118</f>
        <v>0</v>
      </c>
      <c r="D38" s="84">
        <f>'Event Tracker'!D101+'Event Tracker'!D118</f>
        <v>0</v>
      </c>
      <c r="E38" s="84">
        <f>'Event Tracker'!E101+'Event Tracker'!E118</f>
        <v>0</v>
      </c>
      <c r="F38" s="84">
        <f>'Event Tracker'!F101+'Event Tracker'!F118</f>
        <v>0</v>
      </c>
      <c r="G38" s="84">
        <f>'Event Tracker'!G101+'Event Tracker'!G118</f>
        <v>0</v>
      </c>
      <c r="H38" s="84">
        <f>'Event Tracker'!H101+'Event Tracker'!H118</f>
        <v>0</v>
      </c>
      <c r="I38" s="84">
        <f>'Event Tracker'!I101+'Event Tracker'!I118</f>
        <v>0</v>
      </c>
      <c r="J38" s="84">
        <f>'Event Tracker'!J101+'Event Tracker'!J118</f>
        <v>0</v>
      </c>
      <c r="K38" s="84">
        <f>'Event Tracker'!K101+'Event Tracker'!K118</f>
        <v>0</v>
      </c>
      <c r="L38" s="84">
        <f>'Event Tracker'!L101+'Event Tracker'!L118</f>
        <v>0</v>
      </c>
    </row>
    <row r="39" spans="1:12" x14ac:dyDescent="0.25">
      <c r="B39" s="84"/>
      <c r="C39" s="84"/>
      <c r="D39" s="84"/>
      <c r="E39" s="84"/>
      <c r="F39" s="84"/>
      <c r="G39" s="84"/>
      <c r="H39" s="84"/>
      <c r="I39" s="84"/>
      <c r="J39" s="84"/>
      <c r="K39" s="84"/>
      <c r="L39" s="84"/>
    </row>
    <row r="40" spans="1:12" x14ac:dyDescent="0.25">
      <c r="A40" s="9" t="s">
        <v>158</v>
      </c>
      <c r="B40" s="9">
        <v>0</v>
      </c>
      <c r="C40" s="9">
        <v>1</v>
      </c>
      <c r="D40" s="9">
        <v>2</v>
      </c>
      <c r="E40" s="9">
        <v>3</v>
      </c>
      <c r="F40" s="9">
        <v>4</v>
      </c>
      <c r="G40" s="9">
        <v>5</v>
      </c>
      <c r="H40" s="9">
        <v>6</v>
      </c>
      <c r="I40" s="9">
        <v>7</v>
      </c>
      <c r="J40" s="9">
        <v>8</v>
      </c>
      <c r="K40" s="9">
        <v>9</v>
      </c>
      <c r="L40" s="9">
        <v>10</v>
      </c>
    </row>
    <row r="41" spans="1:12" x14ac:dyDescent="0.25">
      <c r="A41" t="s">
        <v>155</v>
      </c>
      <c r="B41">
        <f>B38+B35</f>
        <v>5000</v>
      </c>
      <c r="C41" s="84">
        <f>C38+B41+'Event Tracker'!C133</f>
        <v>5000</v>
      </c>
      <c r="D41" s="84">
        <f>D38+C41+'Event Tracker'!D133</f>
        <v>5000</v>
      </c>
      <c r="E41" s="84">
        <f>E38+D41+'Event Tracker'!E133</f>
        <v>5000</v>
      </c>
      <c r="F41" s="84">
        <f>F38+E41+'Event Tracker'!F133</f>
        <v>5000</v>
      </c>
      <c r="G41" s="84">
        <f>G38+F41+'Event Tracker'!G133</f>
        <v>5000</v>
      </c>
      <c r="H41" s="84">
        <f>H38+G41+'Event Tracker'!H133</f>
        <v>5000</v>
      </c>
      <c r="I41" s="84">
        <f>I38+H41+'Event Tracker'!I133</f>
        <v>5000</v>
      </c>
      <c r="J41" s="84">
        <f>J38+I41+'Event Tracker'!J133</f>
        <v>5000</v>
      </c>
      <c r="K41" s="84">
        <f>K38+J41+'Event Tracker'!K133</f>
        <v>5000</v>
      </c>
      <c r="L41" s="84">
        <f>L38+K41+'Event Tracker'!L133</f>
        <v>5000</v>
      </c>
    </row>
    <row r="43" spans="1:12" x14ac:dyDescent="0.25">
      <c r="A43" s="9" t="s">
        <v>159</v>
      </c>
      <c r="B43" s="9">
        <v>0</v>
      </c>
      <c r="C43" s="9">
        <v>1</v>
      </c>
      <c r="D43" s="9">
        <v>2</v>
      </c>
      <c r="E43" s="9">
        <v>3</v>
      </c>
      <c r="F43" s="9">
        <v>4</v>
      </c>
      <c r="G43" s="9">
        <v>5</v>
      </c>
      <c r="H43" s="9">
        <v>6</v>
      </c>
      <c r="I43" s="9">
        <v>7</v>
      </c>
      <c r="J43" s="9">
        <v>8</v>
      </c>
      <c r="K43" s="9">
        <v>9</v>
      </c>
      <c r="L43" s="9">
        <v>10</v>
      </c>
    </row>
    <row r="44" spans="1:12" x14ac:dyDescent="0.25">
      <c r="A44" t="s">
        <v>160</v>
      </c>
      <c r="B44">
        <v>0</v>
      </c>
      <c r="C44">
        <f>(C41-B41)/B41</f>
        <v>0</v>
      </c>
      <c r="D44">
        <f t="shared" ref="D44:L44" si="5">(D41-C41)/C41</f>
        <v>0</v>
      </c>
      <c r="E44">
        <f t="shared" si="5"/>
        <v>0</v>
      </c>
      <c r="F44">
        <f t="shared" si="5"/>
        <v>0</v>
      </c>
      <c r="G44">
        <f t="shared" si="5"/>
        <v>0</v>
      </c>
      <c r="H44">
        <f t="shared" si="5"/>
        <v>0</v>
      </c>
      <c r="I44">
        <f t="shared" si="5"/>
        <v>0</v>
      </c>
      <c r="J44">
        <f t="shared" si="5"/>
        <v>0</v>
      </c>
      <c r="K44">
        <f t="shared" si="5"/>
        <v>0</v>
      </c>
      <c r="L44">
        <f t="shared" si="5"/>
        <v>0</v>
      </c>
    </row>
    <row r="46" spans="1:12" x14ac:dyDescent="0.25">
      <c r="A46" s="9" t="s">
        <v>143</v>
      </c>
      <c r="B46" s="9">
        <v>0</v>
      </c>
      <c r="C46" s="9">
        <v>1</v>
      </c>
      <c r="D46" s="9">
        <v>2</v>
      </c>
      <c r="E46" s="9">
        <v>3</v>
      </c>
      <c r="F46" s="9">
        <v>4</v>
      </c>
      <c r="G46" s="9">
        <v>5</v>
      </c>
      <c r="H46" s="9">
        <v>6</v>
      </c>
      <c r="I46" s="9">
        <v>7</v>
      </c>
      <c r="J46" s="9">
        <v>8</v>
      </c>
      <c r="K46" s="9">
        <v>9</v>
      </c>
      <c r="L46" s="9">
        <v>10</v>
      </c>
    </row>
    <row r="47" spans="1:12" x14ac:dyDescent="0.25">
      <c r="A47" t="s">
        <v>161</v>
      </c>
      <c r="B47">
        <f>'Game Assumptions'!$B$105</f>
        <v>0.186</v>
      </c>
      <c r="C47">
        <f>(1+C44)*B47</f>
        <v>0.186</v>
      </c>
      <c r="D47">
        <f t="shared" ref="D47:L47" si="6">(1+D44)*C47</f>
        <v>0.186</v>
      </c>
      <c r="E47">
        <f t="shared" si="6"/>
        <v>0.186</v>
      </c>
      <c r="F47">
        <f t="shared" si="6"/>
        <v>0.186</v>
      </c>
      <c r="G47">
        <f t="shared" si="6"/>
        <v>0.186</v>
      </c>
      <c r="H47">
        <f t="shared" si="6"/>
        <v>0.186</v>
      </c>
      <c r="I47">
        <f t="shared" si="6"/>
        <v>0.186</v>
      </c>
      <c r="J47">
        <f t="shared" si="6"/>
        <v>0.186</v>
      </c>
      <c r="K47">
        <f t="shared" si="6"/>
        <v>0.186</v>
      </c>
      <c r="L47">
        <f t="shared" si="6"/>
        <v>0.186</v>
      </c>
    </row>
    <row r="49" spans="1:12" x14ac:dyDescent="0.25">
      <c r="A49" s="9" t="s">
        <v>373</v>
      </c>
      <c r="B49" s="9">
        <v>0</v>
      </c>
      <c r="C49" s="9">
        <v>1</v>
      </c>
      <c r="D49" s="9">
        <v>2</v>
      </c>
      <c r="E49" s="9">
        <v>3</v>
      </c>
      <c r="F49" s="9">
        <v>4</v>
      </c>
      <c r="G49" s="9">
        <v>5</v>
      </c>
      <c r="H49" s="9">
        <v>6</v>
      </c>
      <c r="I49" s="9">
        <v>7</v>
      </c>
      <c r="J49" s="9">
        <v>8</v>
      </c>
      <c r="K49" s="9">
        <v>9</v>
      </c>
      <c r="L49" s="9">
        <v>10</v>
      </c>
    </row>
    <row r="50" spans="1:12" x14ac:dyDescent="0.25">
      <c r="A50" t="s">
        <v>241</v>
      </c>
      <c r="B50">
        <f>IF('Event Tracker'!B5&gt;0,'Game Assumptions'!$B$127,1)</f>
        <v>1</v>
      </c>
      <c r="C50">
        <f>IF('Event Tracker'!C5&gt;0,'Game Assumptions'!$B$127,1)</f>
        <v>1</v>
      </c>
      <c r="D50">
        <f>IF('Event Tracker'!D5&gt;0,'Game Assumptions'!$B$127,1)</f>
        <v>1</v>
      </c>
      <c r="E50">
        <f>IF('Event Tracker'!E5&gt;0,'Game Assumptions'!$B$127,1)</f>
        <v>1</v>
      </c>
      <c r="F50">
        <f>IF('Event Tracker'!F5&gt;0,'Game Assumptions'!$B$127,1)</f>
        <v>1</v>
      </c>
      <c r="G50">
        <f>IF('Event Tracker'!G5&gt;0,'Game Assumptions'!$B$127,1)</f>
        <v>1</v>
      </c>
      <c r="H50">
        <f>IF('Event Tracker'!H5&gt;0,'Game Assumptions'!$B$127,1)</f>
        <v>1</v>
      </c>
      <c r="I50">
        <f>IF('Event Tracker'!I5&gt;0,'Game Assumptions'!$B$127,1)</f>
        <v>1</v>
      </c>
      <c r="J50">
        <f>IF('Event Tracker'!J5&gt;0,'Game Assumptions'!$B$127,1)</f>
        <v>1</v>
      </c>
      <c r="K50">
        <f>IF('Event Tracker'!K5&gt;0,'Game Assumptions'!$B$127,1)</f>
        <v>1</v>
      </c>
      <c r="L50">
        <f>IF('Event Tracker'!L5&gt;0,'Game Assumptions'!$B$127,1)</f>
        <v>1</v>
      </c>
    </row>
    <row r="51" spans="1:12" x14ac:dyDescent="0.25">
      <c r="A51" t="s">
        <v>374</v>
      </c>
      <c r="B51">
        <f>'Event Tracker'!B5*'Game Assumptions'!$B$24</f>
        <v>0</v>
      </c>
      <c r="C51">
        <f>IF(AND('Event Tracker'!C5=1,'Event Tracker'!B5=0),1,0)*'Game Assumptions'!$B$24</f>
        <v>0</v>
      </c>
      <c r="D51">
        <f>IF(AND('Event Tracker'!D5=1,'Event Tracker'!C5=0),1,0)*'Game Assumptions'!$B$24</f>
        <v>0</v>
      </c>
      <c r="E51">
        <f>IF(AND('Event Tracker'!E5=1,'Event Tracker'!D5=0),1,0)*'Game Assumptions'!$B$24</f>
        <v>0</v>
      </c>
      <c r="F51">
        <f>IF(AND('Event Tracker'!F5=1,'Event Tracker'!E5=0),1,0)*'Game Assumptions'!$B$24</f>
        <v>0</v>
      </c>
      <c r="G51">
        <f>IF(AND('Event Tracker'!G5=1,'Event Tracker'!F5=0),1,0)*'Game Assumptions'!$B$24</f>
        <v>0</v>
      </c>
      <c r="H51">
        <f>IF(AND('Event Tracker'!H5=1,'Event Tracker'!G5=0),1,0)*'Game Assumptions'!$B$24</f>
        <v>0</v>
      </c>
      <c r="I51">
        <f>IF(AND('Event Tracker'!I5=1,'Event Tracker'!H5=0),1,0)*'Game Assumptions'!$B$24</f>
        <v>0</v>
      </c>
      <c r="J51">
        <f>IF(AND('Event Tracker'!J5=1,'Event Tracker'!I5=0),1,0)*'Game Assumptions'!$B$24</f>
        <v>0</v>
      </c>
      <c r="K51">
        <f>IF(AND('Event Tracker'!K5=1,'Event Tracker'!J5=0),1,0)*'Game Assumptions'!$B$24</f>
        <v>0</v>
      </c>
      <c r="L51">
        <f>IF(AND('Event Tracker'!L5=1,'Event Tracker'!K5=0),1,0)*'Game Assumptions'!$B$24</f>
        <v>0</v>
      </c>
    </row>
    <row r="53" spans="1:12" x14ac:dyDescent="0.25">
      <c r="A53" s="9" t="s">
        <v>162</v>
      </c>
      <c r="B53" s="9">
        <v>0</v>
      </c>
      <c r="C53" s="9">
        <v>1</v>
      </c>
      <c r="D53" s="9">
        <v>2</v>
      </c>
      <c r="E53" s="9">
        <v>3</v>
      </c>
      <c r="F53" s="9">
        <v>4</v>
      </c>
      <c r="G53" s="9">
        <v>5</v>
      </c>
      <c r="H53" s="9">
        <v>6</v>
      </c>
      <c r="I53" s="9">
        <v>7</v>
      </c>
      <c r="J53" s="9">
        <v>8</v>
      </c>
      <c r="K53" s="9">
        <v>9</v>
      </c>
      <c r="L53" s="9">
        <v>10</v>
      </c>
    </row>
    <row r="54" spans="1:12" x14ac:dyDescent="0.25">
      <c r="A54" t="s">
        <v>375</v>
      </c>
      <c r="B54">
        <f t="shared" ref="B54:L54" si="7">SUMPRODUCT(B19:B22,B28:B31)*B47*B50</f>
        <v>627.80288135167427</v>
      </c>
      <c r="C54">
        <f t="shared" si="7"/>
        <v>627.80288135167427</v>
      </c>
      <c r="D54">
        <f t="shared" si="7"/>
        <v>627.80288135167427</v>
      </c>
      <c r="E54">
        <f t="shared" si="7"/>
        <v>627.80288135167427</v>
      </c>
      <c r="F54">
        <f t="shared" si="7"/>
        <v>627.80288135167427</v>
      </c>
      <c r="G54">
        <f t="shared" si="7"/>
        <v>627.80288135167427</v>
      </c>
      <c r="H54">
        <f t="shared" si="7"/>
        <v>627.80288135167427</v>
      </c>
      <c r="I54">
        <f t="shared" si="7"/>
        <v>627.80288135167427</v>
      </c>
      <c r="J54">
        <f t="shared" si="7"/>
        <v>627.80288135167427</v>
      </c>
      <c r="K54">
        <f t="shared" si="7"/>
        <v>627.80288135167427</v>
      </c>
      <c r="L54">
        <f t="shared" si="7"/>
        <v>627.80288135167427</v>
      </c>
    </row>
    <row r="55" spans="1:12" x14ac:dyDescent="0.25">
      <c r="A55" t="s">
        <v>376</v>
      </c>
      <c r="B55">
        <f t="shared" ref="B55:L55" si="8">SUM(B29*B20,B31*B22,B32*B23)</f>
        <v>291.89010856516984</v>
      </c>
      <c r="C55">
        <f t="shared" si="8"/>
        <v>291.89010856516984</v>
      </c>
      <c r="D55">
        <f t="shared" si="8"/>
        <v>291.89010856516984</v>
      </c>
      <c r="E55">
        <f t="shared" si="8"/>
        <v>291.89010856516984</v>
      </c>
      <c r="F55">
        <f t="shared" si="8"/>
        <v>291.89010856516984</v>
      </c>
      <c r="G55">
        <f t="shared" si="8"/>
        <v>291.89010856516984</v>
      </c>
      <c r="H55">
        <f t="shared" si="8"/>
        <v>291.89010856516984</v>
      </c>
      <c r="I55">
        <f t="shared" si="8"/>
        <v>291.89010856516984</v>
      </c>
      <c r="J55">
        <f t="shared" si="8"/>
        <v>291.89010856516984</v>
      </c>
      <c r="K55">
        <f t="shared" si="8"/>
        <v>291.89010856516984</v>
      </c>
      <c r="L55">
        <f t="shared" si="8"/>
        <v>291.89010856516984</v>
      </c>
    </row>
    <row r="57" spans="1:12" x14ac:dyDescent="0.25">
      <c r="A57" s="9" t="s">
        <v>163</v>
      </c>
      <c r="B57" s="9">
        <v>0</v>
      </c>
      <c r="C57" s="9">
        <v>1</v>
      </c>
      <c r="D57" s="9">
        <v>2</v>
      </c>
      <c r="E57" s="9">
        <v>3</v>
      </c>
      <c r="F57" s="9">
        <v>4</v>
      </c>
      <c r="G57" s="9">
        <v>5</v>
      </c>
      <c r="H57" s="9">
        <v>6</v>
      </c>
      <c r="I57" s="9">
        <v>7</v>
      </c>
      <c r="J57" s="9">
        <v>8</v>
      </c>
      <c r="K57" s="9">
        <v>9</v>
      </c>
      <c r="L57" s="9">
        <v>10</v>
      </c>
    </row>
    <row r="58" spans="1:12" x14ac:dyDescent="0.25">
      <c r="A58" t="s">
        <v>375</v>
      </c>
      <c r="B58" s="84">
        <f>MAX('Resource Mix and Demand'!B25,'Resource Mix and Demand'!B26)</f>
        <v>200</v>
      </c>
      <c r="C58" s="84">
        <f>MAX('Resource Mix and Demand'!C25,'Resource Mix and Demand'!C26)</f>
        <v>200</v>
      </c>
      <c r="D58" s="84">
        <f>MAX('Resource Mix and Demand'!D25,'Resource Mix and Demand'!D26)</f>
        <v>273.63155522947557</v>
      </c>
      <c r="E58" s="84">
        <f>MAX('Resource Mix and Demand'!E25,'Resource Mix and Demand'!E26)</f>
        <v>575.93221876903931</v>
      </c>
      <c r="F58" s="84">
        <f>MAX('Resource Mix and Demand'!F25,'Resource Mix and Demand'!F26)</f>
        <v>649.61445794437145</v>
      </c>
      <c r="G58" s="84">
        <f>MAX('Resource Mix and Demand'!G25,'Resource Mix and Demand'!G26)</f>
        <v>721.26390750880421</v>
      </c>
      <c r="H58" s="84">
        <f>MAX('Resource Mix and Demand'!H25,'Resource Mix and Demand'!H26)</f>
        <v>794.22037334202071</v>
      </c>
      <c r="I58" s="84">
        <f>MAX('Resource Mix and Demand'!I25,'Resource Mix and Demand'!I26)</f>
        <v>868.6396238941536</v>
      </c>
      <c r="J58" s="84">
        <f>MAX('Resource Mix and Demand'!J25,'Resource Mix and Demand'!J26)</f>
        <v>964.96702271567767</v>
      </c>
      <c r="K58" s="84">
        <f>MAX('Resource Mix and Demand'!K25,'Resource Mix and Demand'!K26)</f>
        <v>1080.250195213182</v>
      </c>
      <c r="L58" s="84">
        <f>MAX('Resource Mix and Demand'!L25,'Resource Mix and Demand'!L26)</f>
        <v>1203.5840340143691</v>
      </c>
    </row>
    <row r="59" spans="1:12" x14ac:dyDescent="0.25">
      <c r="A59" t="s">
        <v>376</v>
      </c>
      <c r="B59" s="84">
        <f>'Resource Mix and Demand'!B29</f>
        <v>50</v>
      </c>
      <c r="C59" s="84">
        <f>'Resource Mix and Demand'!C29</f>
        <v>60</v>
      </c>
      <c r="D59" s="84">
        <f>'Resource Mix and Demand'!D29</f>
        <v>143.63155522947554</v>
      </c>
      <c r="E59" s="84">
        <f>'Resource Mix and Demand'!E29</f>
        <v>455.93221876903931</v>
      </c>
      <c r="F59" s="84">
        <f>'Resource Mix and Demand'!F29</f>
        <v>539.61445794437145</v>
      </c>
      <c r="G59" s="84">
        <f>'Resource Mix and Demand'!G29</f>
        <v>621.26390750880421</v>
      </c>
      <c r="H59" s="84">
        <f>'Resource Mix and Demand'!H29</f>
        <v>704.22037334202071</v>
      </c>
      <c r="I59" s="84">
        <f>'Resource Mix and Demand'!I29</f>
        <v>788.6396238941536</v>
      </c>
      <c r="J59" s="84">
        <f>'Resource Mix and Demand'!J29</f>
        <v>894.96702271567767</v>
      </c>
      <c r="K59" s="84">
        <f>'Resource Mix and Demand'!K29</f>
        <v>1020.250195213182</v>
      </c>
      <c r="L59" s="84">
        <f>'Resource Mix and Demand'!L29</f>
        <v>1153.5840340143691</v>
      </c>
    </row>
    <row r="61" spans="1:12" x14ac:dyDescent="0.25">
      <c r="A61" s="9" t="s">
        <v>167</v>
      </c>
      <c r="B61" s="9">
        <v>0</v>
      </c>
      <c r="C61" s="9">
        <v>1</v>
      </c>
      <c r="D61" s="9">
        <v>2</v>
      </c>
      <c r="E61" s="9">
        <v>3</v>
      </c>
      <c r="F61" s="9">
        <v>4</v>
      </c>
      <c r="G61" s="9">
        <v>5</v>
      </c>
      <c r="H61" s="9">
        <v>6</v>
      </c>
      <c r="I61" s="9">
        <v>7</v>
      </c>
      <c r="J61" s="9">
        <v>8</v>
      </c>
      <c r="K61" s="9">
        <v>9</v>
      </c>
      <c r="L61" s="9">
        <v>10</v>
      </c>
    </row>
    <row r="62" spans="1:12" x14ac:dyDescent="0.25">
      <c r="A62" t="s">
        <v>166</v>
      </c>
      <c r="B62">
        <f>'Resource Mix and Demand'!B65/8760/('Game Assumptions'!$B$75*(1-'Game Assumptions'!$B$78)^Reliability!B61)</f>
        <v>9784.7358121330726</v>
      </c>
      <c r="C62">
        <f>'Resource Mix and Demand'!C65/8760/('Game Assumptions'!$B$75*(1-'Game Assumptions'!$B$78)^Reliability!C61)</f>
        <v>10003.295203125737</v>
      </c>
      <c r="D62">
        <f>'Resource Mix and Demand'!D65/8760/('Game Assumptions'!$B$75*(1-'Game Assumptions'!$B$78)^Reliability!D61)</f>
        <v>10226.014328760608</v>
      </c>
      <c r="E62">
        <f>'Resource Mix and Demand'!E65/8760/('Game Assumptions'!$B$75*(1-'Game Assumptions'!$B$78)^Reliability!E61)</f>
        <v>10452.941433382763</v>
      </c>
      <c r="F62">
        <f>'Resource Mix and Demand'!F65/8760/('Game Assumptions'!$B$75*(1-'Game Assumptions'!$B$78)^Reliability!F61)</f>
        <v>10684.123766608518</v>
      </c>
      <c r="G62">
        <f>'Resource Mix and Demand'!G65/8760/('Game Assumptions'!$B$75*(1-'Game Assumptions'!$B$78)^Reliability!G61)</f>
        <v>10919.607475648592</v>
      </c>
      <c r="H62">
        <f>'Resource Mix and Demand'!H65/8760/('Game Assumptions'!$B$75*(1-'Game Assumptions'!$B$78)^Reliability!H61)</f>
        <v>11159.437491922363</v>
      </c>
      <c r="I62">
        <f>'Resource Mix and Demand'!I65/8760/('Game Assumptions'!$B$75*(1-'Game Assumptions'!$B$78)^Reliability!I61)</f>
        <v>11403.657411713028</v>
      </c>
      <c r="J62">
        <f>'Resource Mix and Demand'!J65/8760/('Game Assumptions'!$B$75*(1-'Game Assumptions'!$B$78)^Reliability!J61)</f>
        <v>11652.309370603587</v>
      </c>
      <c r="K62">
        <f>'Resource Mix and Demand'!K65/8760/('Game Assumptions'!$B$75*(1-'Game Assumptions'!$B$78)^Reliability!K61)</f>
        <v>11905.433911423035</v>
      </c>
      <c r="L62">
        <f>'Resource Mix and Demand'!L65/8760/('Game Assumptions'!$B$75*(1-'Game Assumptions'!$B$78)^Reliability!L61)</f>
        <v>12163.069845421505</v>
      </c>
    </row>
    <row r="64" spans="1:12" x14ac:dyDescent="0.25">
      <c r="A64" s="9" t="s">
        <v>168</v>
      </c>
      <c r="B64" s="9">
        <v>0</v>
      </c>
      <c r="C64" s="9">
        <v>1</v>
      </c>
      <c r="D64" s="9">
        <v>2</v>
      </c>
      <c r="E64" s="9">
        <v>3</v>
      </c>
      <c r="F64" s="9">
        <v>4</v>
      </c>
      <c r="G64" s="9">
        <v>5</v>
      </c>
      <c r="H64" s="9">
        <v>6</v>
      </c>
      <c r="I64" s="9">
        <v>7</v>
      </c>
      <c r="J64" s="9">
        <v>8</v>
      </c>
      <c r="K64" s="9">
        <v>9</v>
      </c>
      <c r="L64" s="9">
        <v>10</v>
      </c>
    </row>
    <row r="65" spans="1:12" x14ac:dyDescent="0.25">
      <c r="A65" t="s">
        <v>166</v>
      </c>
      <c r="B65">
        <f>'Resource Mix and Demand'!B68/8760/(('Game Assumptions'!$B$75*(1-'Game Assumptions'!$B$78)^Reliability!B64)+'Event Tracker'!B5*'Game Assumptions'!$B$76)-'Resource Mix and Demand'!B72</f>
        <v>9784.7358121330726</v>
      </c>
      <c r="C65">
        <f>'Resource Mix and Demand'!C68/8760/(('Game Assumptions'!$B$75*(1-'Game Assumptions'!$B$78)^Reliability!C64)+'Event Tracker'!C5*'Game Assumptions'!$B$76)-'Resource Mix and Demand'!C72</f>
        <v>10053.311679141365</v>
      </c>
      <c r="D65">
        <f>'Resource Mix and Demand'!D68/8760/(('Game Assumptions'!$B$75*(1-'Game Assumptions'!$B$78)^Reliability!D64)+'Event Tracker'!D5*'Game Assumptions'!$B$76)-'Resource Mix and Demand'!D72</f>
        <v>10246.466357418129</v>
      </c>
      <c r="E65">
        <f>'Resource Mix and Demand'!E68/8760/(('Game Assumptions'!$B$75*(1-'Game Assumptions'!$B$78)^Reliability!E64)+'Event Tracker'!E5*'Game Assumptions'!$B$76)-'Resource Mix and Demand'!E72</f>
        <v>10400.67672621585</v>
      </c>
      <c r="F65">
        <f>'Resource Mix and Demand'!F68/8760/(('Game Assumptions'!$B$75*(1-'Game Assumptions'!$B$78)^Reliability!F64)+'Event Tracker'!F5*'Game Assumptions'!$B$76)-'Resource Mix and Demand'!F72</f>
        <v>10684.123766608518</v>
      </c>
      <c r="G65">
        <f>'Resource Mix and Demand'!G68/8760/(('Game Assumptions'!$B$75*(1-'Game Assumptions'!$B$78)^Reliability!G64)+'Event Tracker'!G5*'Game Assumptions'!$B$76)-'Resource Mix and Demand'!G72</f>
        <v>10941.446690599889</v>
      </c>
      <c r="H65">
        <f>'Resource Mix and Demand'!H68/8760/(('Game Assumptions'!$B$75*(1-'Game Assumptions'!$B$78)^Reliability!H64)+'Event Tracker'!H5*'Game Assumptions'!$B$76)-'Resource Mix and Demand'!H72</f>
        <v>11103.64030446275</v>
      </c>
      <c r="I65">
        <f>'Resource Mix and Demand'!I68/8760/(('Game Assumptions'!$B$75*(1-'Game Assumptions'!$B$78)^Reliability!I64)+'Event Tracker'!I5*'Game Assumptions'!$B$76)-'Resource Mix and Demand'!I72</f>
        <v>11437.868383948167</v>
      </c>
      <c r="J65">
        <f>'Resource Mix and Demand'!J68/8760/(('Game Assumptions'!$B$75*(1-'Game Assumptions'!$B$78)^Reliability!J64)+'Event Tracker'!J5*'Game Assumptions'!$B$76)-'Resource Mix and Demand'!J72</f>
        <v>11652.309370603587</v>
      </c>
      <c r="K65">
        <f>'Resource Mix and Demand'!K68/8760/(('Game Assumptions'!$B$75*(1-'Game Assumptions'!$B$78)^Reliability!K64)+'Event Tracker'!K5*'Game Assumptions'!$B$76)-'Resource Mix and Demand'!K72</f>
        <v>11845.90674186592</v>
      </c>
      <c r="L65">
        <f>'Resource Mix and Demand'!L68/8760/(('Game Assumptions'!$B$75*(1-'Game Assumptions'!$B$78)^Reliability!L64)+'Event Tracker'!L5*'Game Assumptions'!$B$76)-'Resource Mix and Demand'!L72</f>
        <v>12199.55905495777</v>
      </c>
    </row>
    <row r="67" spans="1:12" x14ac:dyDescent="0.25">
      <c r="A67" s="9" t="s">
        <v>353</v>
      </c>
      <c r="B67" s="9">
        <v>0</v>
      </c>
      <c r="C67" s="9">
        <v>1</v>
      </c>
      <c r="D67" s="9">
        <v>2</v>
      </c>
      <c r="E67" s="9">
        <v>3</v>
      </c>
      <c r="F67" s="9">
        <v>4</v>
      </c>
      <c r="G67" s="9">
        <v>5</v>
      </c>
      <c r="H67" s="9">
        <v>6</v>
      </c>
      <c r="I67" s="9">
        <v>7</v>
      </c>
      <c r="J67" s="9">
        <v>8</v>
      </c>
      <c r="K67" s="9">
        <v>9</v>
      </c>
      <c r="L67" s="9">
        <v>10</v>
      </c>
    </row>
    <row r="68" spans="1:12" x14ac:dyDescent="0.25">
      <c r="A68" t="s">
        <v>7</v>
      </c>
      <c r="B68" s="16">
        <f>'Resource Mix and Demand'!B51/8760/'Game Assumptions'!$G55*'Game Assumptions'!$H55</f>
        <v>3399.9999999999995</v>
      </c>
      <c r="C68" s="16">
        <f>'Resource Mix and Demand'!C22*'Game Assumptions'!$H$55</f>
        <v>3400</v>
      </c>
      <c r="D68" s="16">
        <f>'Resource Mix and Demand'!D22*'Game Assumptions'!$H$55</f>
        <v>2550</v>
      </c>
      <c r="E68" s="16">
        <f>'Resource Mix and Demand'!E22*'Game Assumptions'!$H$55</f>
        <v>1700</v>
      </c>
      <c r="F68" s="16">
        <f>'Resource Mix and Demand'!F22*'Game Assumptions'!$H$55</f>
        <v>1700</v>
      </c>
      <c r="G68" s="16">
        <f>'Resource Mix and Demand'!G22*'Game Assumptions'!$H$55</f>
        <v>1700</v>
      </c>
      <c r="H68" s="16">
        <f>'Resource Mix and Demand'!H22*'Game Assumptions'!$H$55</f>
        <v>1700</v>
      </c>
      <c r="I68" s="16">
        <f>'Resource Mix and Demand'!I22*'Game Assumptions'!$H$55</f>
        <v>1700</v>
      </c>
      <c r="J68" s="16">
        <f>'Resource Mix and Demand'!J22*'Game Assumptions'!$H$55</f>
        <v>1700</v>
      </c>
      <c r="K68" s="16">
        <f>'Resource Mix and Demand'!K22*'Game Assumptions'!$H$55</f>
        <v>1700</v>
      </c>
      <c r="L68" s="16">
        <f>'Resource Mix and Demand'!L22*'Game Assumptions'!$H$55</f>
        <v>1700</v>
      </c>
    </row>
    <row r="69" spans="1:12" x14ac:dyDescent="0.25">
      <c r="A69" t="s">
        <v>8</v>
      </c>
      <c r="B69" s="16">
        <f>'Resource Mix and Demand'!B52/8760/'Game Assumptions'!$G56*'Game Assumptions'!$H56</f>
        <v>6959.9999999999991</v>
      </c>
      <c r="C69" s="16">
        <f>'Resource Mix and Demand'!C23*'Game Assumptions'!$H$56</f>
        <v>6960</v>
      </c>
      <c r="D69" s="16">
        <f>'Resource Mix and Demand'!D23*'Game Assumptions'!$H$56</f>
        <v>7088.1189060992874</v>
      </c>
      <c r="E69" s="16">
        <f>'Resource Mix and Demand'!E23*'Game Assumptions'!$H$56</f>
        <v>7614.1220606581292</v>
      </c>
      <c r="F69" s="16">
        <f>'Resource Mix and Demand'!F23*'Game Assumptions'!$H$56</f>
        <v>7742.3291568232071</v>
      </c>
      <c r="G69" s="16">
        <f>'Resource Mix and Demand'!G23*'Game Assumptions'!$H$56</f>
        <v>7866.9991990653198</v>
      </c>
      <c r="H69" s="16">
        <f>'Resource Mix and Demand'!H23*'Game Assumptions'!$H$56</f>
        <v>7993.9434496151162</v>
      </c>
      <c r="I69" s="16">
        <f>'Resource Mix and Demand'!I23*'Game Assumptions'!$H$56</f>
        <v>8123.4329455758289</v>
      </c>
      <c r="J69" s="16">
        <f>'Resource Mix and Demand'!J23*'Game Assumptions'!$H$56</f>
        <v>8291.0426195252803</v>
      </c>
      <c r="K69" s="16">
        <f>'Resource Mix and Demand'!K23*'Game Assumptions'!$H$56</f>
        <v>8491.6353396709383</v>
      </c>
      <c r="L69" s="16">
        <f>'Resource Mix and Demand'!L23*'Game Assumptions'!$H$56</f>
        <v>8706.2362191850025</v>
      </c>
    </row>
    <row r="70" spans="1:12" x14ac:dyDescent="0.25">
      <c r="A70" t="s">
        <v>13</v>
      </c>
      <c r="B70" s="16">
        <f>'Resource Mix and Demand'!B53/8760/'Game Assumptions'!$G57*'Game Assumptions'!$H57</f>
        <v>1868</v>
      </c>
      <c r="C70" s="16">
        <f>'Resource Mix and Demand'!C24*'Game Assumptions'!$H$57</f>
        <v>934</v>
      </c>
      <c r="D70" s="16">
        <f>'Resource Mix and Demand'!D24*'Game Assumptions'!$H$57</f>
        <v>934</v>
      </c>
      <c r="E70" s="16">
        <f>'Resource Mix and Demand'!E24*'Game Assumptions'!$H$57</f>
        <v>934</v>
      </c>
      <c r="F70" s="16">
        <f>'Resource Mix and Demand'!F24*'Game Assumptions'!$H$57</f>
        <v>934</v>
      </c>
      <c r="G70" s="16">
        <f>'Resource Mix and Demand'!G24*'Game Assumptions'!$H$57</f>
        <v>934</v>
      </c>
      <c r="H70" s="16">
        <f>'Resource Mix and Demand'!H24*'Game Assumptions'!$H$57</f>
        <v>934</v>
      </c>
      <c r="I70" s="16">
        <f>'Resource Mix and Demand'!I24*'Game Assumptions'!$H$57</f>
        <v>934</v>
      </c>
      <c r="J70" s="16">
        <f>'Resource Mix and Demand'!J24*'Game Assumptions'!$H$57</f>
        <v>934</v>
      </c>
      <c r="K70" s="16">
        <f>'Resource Mix and Demand'!K24*'Game Assumptions'!$H$57</f>
        <v>934</v>
      </c>
      <c r="L70" s="16">
        <f>'Resource Mix and Demand'!L24*'Game Assumptions'!$H$57</f>
        <v>934</v>
      </c>
    </row>
    <row r="71" spans="1:12" x14ac:dyDescent="0.25">
      <c r="A71" t="s">
        <v>9</v>
      </c>
      <c r="B71" s="16">
        <f>'Resource Mix and Demand'!B54/8760/'Game Assumptions'!$G58*'Game Assumptions'!$H58</f>
        <v>51.559999999999995</v>
      </c>
      <c r="C71" s="16">
        <f>'Resource Mix and Demand'!C25*'Game Assumptions'!$H$58</f>
        <v>51.559999999999995</v>
      </c>
      <c r="D71" s="16">
        <f>'Resource Mix and Demand'!D25*'Game Assumptions'!$H$58</f>
        <v>70.542214938158793</v>
      </c>
      <c r="E71" s="16">
        <f>'Resource Mix and Demand'!E25*'Game Assumptions'!$H$58</f>
        <v>148.47532599865832</v>
      </c>
      <c r="F71" s="16">
        <f>'Resource Mix and Demand'!F25*'Game Assumptions'!$H$58</f>
        <v>167.47060725805895</v>
      </c>
      <c r="G71" s="16">
        <f>'Resource Mix and Demand'!G25*'Game Assumptions'!$H$58</f>
        <v>185.94183535576971</v>
      </c>
      <c r="H71" s="16">
        <f>'Resource Mix and Demand'!H25*'Game Assumptions'!$H$58</f>
        <v>204.75001224757293</v>
      </c>
      <c r="I71" s="16">
        <f>'Resource Mix and Demand'!I25*'Game Assumptions'!$H$58</f>
        <v>223.93529503991277</v>
      </c>
      <c r="J71" s="16">
        <f>'Resource Mix and Demand'!J25*'Game Assumptions'!$H$58</f>
        <v>248.76849845610167</v>
      </c>
      <c r="K71" s="16">
        <f>'Resource Mix and Demand'!K25*'Game Assumptions'!$H$58</f>
        <v>278.48850032595828</v>
      </c>
      <c r="L71" s="16">
        <f>'Resource Mix and Demand'!L25*'Game Assumptions'!$H$58</f>
        <v>310.28396396890435</v>
      </c>
    </row>
    <row r="72" spans="1:12" x14ac:dyDescent="0.25">
      <c r="A72" t="s">
        <v>10</v>
      </c>
      <c r="B72" s="16">
        <f>'Resource Mix and Demand'!B55/8760/'Game Assumptions'!$G59*'Game Assumptions'!$H59</f>
        <v>87.439999999999984</v>
      </c>
      <c r="C72" s="16">
        <f>'Resource Mix and Demand'!C26*'Game Assumptions'!$H$59</f>
        <v>87.44</v>
      </c>
      <c r="D72" s="16">
        <f>'Resource Mix and Demand'!D26*'Game Assumptions'!$H$59</f>
        <v>119.63171594632671</v>
      </c>
      <c r="E72" s="16">
        <f>'Resource Mix and Demand'!E26*'Game Assumptions'!$H$59</f>
        <v>251.79756604582397</v>
      </c>
      <c r="F72" s="16">
        <f>'Resource Mix and Demand'!F26*'Game Assumptions'!$H$59</f>
        <v>284.01144101327918</v>
      </c>
      <c r="G72" s="16">
        <f>'Resource Mix and Demand'!G26*'Game Assumptions'!$H$59</f>
        <v>315.33658036284919</v>
      </c>
      <c r="H72" s="16">
        <f>'Resource Mix and Demand'!H26*'Game Assumptions'!$H$59</f>
        <v>347.23314722513146</v>
      </c>
      <c r="I72" s="16">
        <f>'Resource Mix and Demand'!I26*'Game Assumptions'!$H$59</f>
        <v>379.76924356652393</v>
      </c>
      <c r="J72" s="16">
        <f>'Resource Mix and Demand'!J26*'Game Assumptions'!$H$59</f>
        <v>421.88358233129424</v>
      </c>
      <c r="K72" s="16">
        <f>'Resource Mix and Demand'!K26*'Game Assumptions'!$H$59</f>
        <v>472.28538534720315</v>
      </c>
      <c r="L72" s="16">
        <f>'Resource Mix and Demand'!L26*'Game Assumptions'!$H$59</f>
        <v>526.20693967108218</v>
      </c>
    </row>
    <row r="73" spans="1:12" x14ac:dyDescent="0.25">
      <c r="A73" t="s">
        <v>11</v>
      </c>
      <c r="B73" s="16">
        <f>'Resource Mix and Demand'!B56/8760/'Game Assumptions'!$G60*'Game Assumptions'!$H60</f>
        <v>68.64</v>
      </c>
      <c r="C73" s="16">
        <f>'Resource Mix and Demand'!C27*'Game Assumptions'!$H$60</f>
        <v>68.64</v>
      </c>
      <c r="D73" s="16">
        <f>'Resource Mix and Demand'!D27*'Game Assumptions'!$H$60</f>
        <v>68.64</v>
      </c>
      <c r="E73" s="16">
        <f>'Resource Mix and Demand'!E27*'Game Assumptions'!$H$60</f>
        <v>68.64</v>
      </c>
      <c r="F73" s="16">
        <f>'Resource Mix and Demand'!F27*'Game Assumptions'!$H$60</f>
        <v>68.64</v>
      </c>
      <c r="G73" s="16">
        <f>'Resource Mix and Demand'!G27*'Game Assumptions'!$H$60</f>
        <v>68.64</v>
      </c>
      <c r="H73" s="16">
        <f>'Resource Mix and Demand'!H27*'Game Assumptions'!$H$60</f>
        <v>68.64</v>
      </c>
      <c r="I73" s="16">
        <f>'Resource Mix and Demand'!I27*'Game Assumptions'!$H$60</f>
        <v>68.64</v>
      </c>
      <c r="J73" s="16">
        <f>'Resource Mix and Demand'!J27*'Game Assumptions'!$H$60</f>
        <v>68.64</v>
      </c>
      <c r="K73" s="16">
        <f>'Resource Mix and Demand'!K27*'Game Assumptions'!$H$60</f>
        <v>68.64</v>
      </c>
      <c r="L73" s="16">
        <f>'Resource Mix and Demand'!L27*'Game Assumptions'!$H$60</f>
        <v>68.64</v>
      </c>
    </row>
    <row r="74" spans="1:12" x14ac:dyDescent="0.25">
      <c r="A74" t="s">
        <v>169</v>
      </c>
      <c r="B74" s="16">
        <f t="shared" ref="B74:L74" si="9">B19</f>
        <v>300</v>
      </c>
      <c r="C74" s="16">
        <f t="shared" si="9"/>
        <v>300</v>
      </c>
      <c r="D74" s="16">
        <f t="shared" si="9"/>
        <v>300</v>
      </c>
      <c r="E74" s="16">
        <f t="shared" si="9"/>
        <v>300</v>
      </c>
      <c r="F74" s="16">
        <f t="shared" si="9"/>
        <v>300</v>
      </c>
      <c r="G74" s="16">
        <f t="shared" si="9"/>
        <v>300</v>
      </c>
      <c r="H74" s="16">
        <f t="shared" si="9"/>
        <v>300</v>
      </c>
      <c r="I74" s="16">
        <f t="shared" si="9"/>
        <v>300</v>
      </c>
      <c r="J74" s="16">
        <f t="shared" si="9"/>
        <v>300</v>
      </c>
      <c r="K74" s="16">
        <f t="shared" si="9"/>
        <v>300</v>
      </c>
      <c r="L74" s="16">
        <f t="shared" si="9"/>
        <v>300</v>
      </c>
    </row>
    <row r="75" spans="1:12" x14ac:dyDescent="0.25">
      <c r="A75" t="s">
        <v>148</v>
      </c>
      <c r="B75" s="16">
        <f t="shared" ref="B75:L75" si="10">B20</f>
        <v>10</v>
      </c>
      <c r="C75" s="16">
        <f t="shared" si="10"/>
        <v>10</v>
      </c>
      <c r="D75" s="16">
        <f t="shared" si="10"/>
        <v>10</v>
      </c>
      <c r="E75" s="16">
        <f t="shared" si="10"/>
        <v>10</v>
      </c>
      <c r="F75" s="16">
        <f t="shared" si="10"/>
        <v>10</v>
      </c>
      <c r="G75" s="16">
        <f t="shared" si="10"/>
        <v>10</v>
      </c>
      <c r="H75" s="16">
        <f t="shared" si="10"/>
        <v>10</v>
      </c>
      <c r="I75" s="16">
        <f t="shared" si="10"/>
        <v>10</v>
      </c>
      <c r="J75" s="16">
        <f t="shared" si="10"/>
        <v>10</v>
      </c>
      <c r="K75" s="16">
        <f t="shared" si="10"/>
        <v>10</v>
      </c>
      <c r="L75" s="16">
        <f t="shared" si="10"/>
        <v>10</v>
      </c>
    </row>
    <row r="76" spans="1:12" x14ac:dyDescent="0.25">
      <c r="A76" t="s">
        <v>147</v>
      </c>
      <c r="B76" s="16">
        <f t="shared" ref="B76:L76" si="11">B21</f>
        <v>200</v>
      </c>
      <c r="C76" s="16">
        <f t="shared" si="11"/>
        <v>200</v>
      </c>
      <c r="D76" s="16">
        <f t="shared" si="11"/>
        <v>200</v>
      </c>
      <c r="E76" s="16">
        <f t="shared" si="11"/>
        <v>200</v>
      </c>
      <c r="F76" s="16">
        <f t="shared" si="11"/>
        <v>200</v>
      </c>
      <c r="G76" s="16">
        <f t="shared" si="11"/>
        <v>200</v>
      </c>
      <c r="H76" s="16">
        <f t="shared" si="11"/>
        <v>200</v>
      </c>
      <c r="I76" s="16">
        <f t="shared" si="11"/>
        <v>200</v>
      </c>
      <c r="J76" s="16">
        <f t="shared" si="11"/>
        <v>200</v>
      </c>
      <c r="K76" s="16">
        <f t="shared" si="11"/>
        <v>200</v>
      </c>
      <c r="L76" s="16">
        <f t="shared" si="11"/>
        <v>200</v>
      </c>
    </row>
    <row r="77" spans="1:12" x14ac:dyDescent="0.25">
      <c r="A77" t="s">
        <v>513</v>
      </c>
      <c r="B77" s="16">
        <f>MIN('Resource Mix and Demand'!B57/8760/'Game Assumptions'!$G61*'Game Assumptions'!$H61,B62*'Game Assumptions'!$B$193)</f>
        <v>200</v>
      </c>
      <c r="C77" s="16">
        <f>MIN('Resource Mix and Demand'!C57/8760/'Game Assumptions'!$G61*'Game Assumptions'!$H61,C62*'Game Assumptions'!$B$193)</f>
        <v>225</v>
      </c>
      <c r="D77" s="16">
        <f>MIN('Resource Mix and Demand'!D57/8760/'Game Assumptions'!$G61*'Game Assumptions'!$H61,D62*'Game Assumptions'!$B$193)</f>
        <v>323.63155522947557</v>
      </c>
      <c r="E77" s="16">
        <f>MIN('Resource Mix and Demand'!E57/8760/'Game Assumptions'!$G61*'Game Assumptions'!$H61,E62*'Game Assumptions'!$B$193)</f>
        <v>650.93221876903931</v>
      </c>
      <c r="F77" s="16">
        <f>MIN('Resource Mix and Demand'!F57/8760/'Game Assumptions'!$G61*'Game Assumptions'!$H61,F62*'Game Assumptions'!$B$193)</f>
        <v>749.61445794437145</v>
      </c>
      <c r="G77" s="16">
        <f>MIN('Resource Mix and Demand'!G57/8760/'Game Assumptions'!$G61*'Game Assumptions'!$H61,G62*'Game Assumptions'!$B$193)</f>
        <v>846.26390750880421</v>
      </c>
      <c r="H77" s="16">
        <f>MIN('Resource Mix and Demand'!H57/8760/'Game Assumptions'!$G61*'Game Assumptions'!$H61,H62*'Game Assumptions'!$B$193)</f>
        <v>944.22037334202071</v>
      </c>
      <c r="I77" s="16">
        <f>MIN('Resource Mix and Demand'!I57/8760/'Game Assumptions'!$G61*'Game Assumptions'!$H61,I62*'Game Assumptions'!$B$193)</f>
        <v>970.36815068493149</v>
      </c>
      <c r="J77" s="16">
        <f>MIN('Resource Mix and Demand'!J57/8760/'Game Assumptions'!$G61*'Game Assumptions'!$H61,J62*'Game Assumptions'!$B$193)</f>
        <v>958.90410958904113</v>
      </c>
      <c r="K77" s="16">
        <f>MIN('Resource Mix and Demand'!K57/8760/'Game Assumptions'!$G61*'Game Assumptions'!$H61,K62*'Game Assumptions'!$B$193)</f>
        <v>945.59075342465758</v>
      </c>
      <c r="L77" s="16">
        <f>MIN('Resource Mix and Demand'!L57/8760/'Game Assumptions'!$G61*'Game Assumptions'!$H61,L62*'Game Assumptions'!$B$193)</f>
        <v>944.60616438356169</v>
      </c>
    </row>
    <row r="78" spans="1:12" x14ac:dyDescent="0.25">
      <c r="A78" t="s">
        <v>367</v>
      </c>
      <c r="B78" s="16">
        <f>'Resource Mix and Demand'!B58/8760/'Game Assumptions'!$G62*'Game Assumptions'!$H62</f>
        <v>7.6149999999999993</v>
      </c>
      <c r="C78" s="16">
        <f>'Resource Mix and Demand'!C58/8760/'Game Assumptions'!$G62*'Game Assumptions'!$H62</f>
        <v>9.1379999999999981</v>
      </c>
      <c r="D78" s="16">
        <f>'Resource Mix and Demand'!D58/8760/'Game Assumptions'!$G62*'Game Assumptions'!$H62</f>
        <v>21.875085861449122</v>
      </c>
      <c r="E78" s="16">
        <f>'Resource Mix and Demand'!E58/8760/'Game Assumptions'!$G62*'Game Assumptions'!$H62</f>
        <v>44.454863534475358</v>
      </c>
      <c r="F78" s="16">
        <f>'Resource Mix and Demand'!F58/8760/'Game Assumptions'!$G62*'Game Assumptions'!$H62</f>
        <v>44.454863534475358</v>
      </c>
      <c r="G78" s="16">
        <f>'Resource Mix and Demand'!G58/8760/'Game Assumptions'!$G62*'Game Assumptions'!$H62</f>
        <v>44.454863534475358</v>
      </c>
      <c r="H78" s="16">
        <f>'Resource Mix and Demand'!H58/8760/'Game Assumptions'!$G62*'Game Assumptions'!$H62</f>
        <v>44.454863534475358</v>
      </c>
      <c r="I78" s="16">
        <f>'Resource Mix and Demand'!I58/8760/'Game Assumptions'!$G62*'Game Assumptions'!$H62</f>
        <v>44.454863534475358</v>
      </c>
      <c r="J78" s="16">
        <f>'Resource Mix and Demand'!J58/8760/'Game Assumptions'!$G62*'Game Assumptions'!$H62</f>
        <v>44.454863534475358</v>
      </c>
      <c r="K78" s="16">
        <f>'Resource Mix and Demand'!K58/8760/'Game Assumptions'!$G62*'Game Assumptions'!$H62</f>
        <v>44.454863534475358</v>
      </c>
      <c r="L78" s="16">
        <f>'Resource Mix and Demand'!L58/8760/'Game Assumptions'!$G62*'Game Assumptions'!$H62</f>
        <v>44.454863534475358</v>
      </c>
    </row>
    <row r="79" spans="1:12" x14ac:dyDescent="0.25">
      <c r="A79" t="s">
        <v>36</v>
      </c>
      <c r="B79" s="16">
        <f>MIN(B22,'Game Assumptions'!$B$190*B62)</f>
        <v>100</v>
      </c>
      <c r="C79" s="16">
        <f>MIN(C22,'Game Assumptions'!$B$190*C62)</f>
        <v>100</v>
      </c>
      <c r="D79" s="16">
        <f>MIN(D22,'Game Assumptions'!$B$190*D62)</f>
        <v>100</v>
      </c>
      <c r="E79" s="16">
        <f>MIN(E22,'Game Assumptions'!$B$190*E62)</f>
        <v>100</v>
      </c>
      <c r="F79" s="16">
        <f>MIN(F22,'Game Assumptions'!$B$190*F62)</f>
        <v>100</v>
      </c>
      <c r="G79" s="16">
        <f>MIN(G22,'Game Assumptions'!$B$190*G62)</f>
        <v>100</v>
      </c>
      <c r="H79" s="16">
        <f>MIN(H22,'Game Assumptions'!$B$190*H62)</f>
        <v>100</v>
      </c>
      <c r="I79" s="16">
        <f>MIN(I22,'Game Assumptions'!$B$190*I62)</f>
        <v>100</v>
      </c>
      <c r="J79" s="16">
        <f>MIN(J22,'Game Assumptions'!$B$190*J62)</f>
        <v>100</v>
      </c>
      <c r="K79" s="16">
        <f>MIN(K22,'Game Assumptions'!$B$190*K62)</f>
        <v>100</v>
      </c>
      <c r="L79" s="16">
        <f>MIN(L22,'Game Assumptions'!$B$190*L62)</f>
        <v>100</v>
      </c>
    </row>
    <row r="80" spans="1:12" x14ac:dyDescent="0.25">
      <c r="A80" t="s">
        <v>442</v>
      </c>
      <c r="B80" s="16">
        <f t="shared" ref="B80:L80" si="12">SUM(B68:B79)</f>
        <v>13253.254999999997</v>
      </c>
      <c r="C80" s="16">
        <f t="shared" si="12"/>
        <v>12345.778</v>
      </c>
      <c r="D80" s="16">
        <f t="shared" si="12"/>
        <v>11786.439478074699</v>
      </c>
      <c r="E80" s="16">
        <f t="shared" si="12"/>
        <v>12022.422035006126</v>
      </c>
      <c r="F80" s="16">
        <f t="shared" si="12"/>
        <v>12300.520526573391</v>
      </c>
      <c r="G80" s="16">
        <f t="shared" si="12"/>
        <v>12571.636385827218</v>
      </c>
      <c r="H80" s="16">
        <f t="shared" si="12"/>
        <v>12847.241845964314</v>
      </c>
      <c r="I80" s="16">
        <f t="shared" si="12"/>
        <v>13054.600498401671</v>
      </c>
      <c r="J80" s="16">
        <f t="shared" si="12"/>
        <v>13277.693673436192</v>
      </c>
      <c r="K80" s="16">
        <f t="shared" si="12"/>
        <v>13545.094842303231</v>
      </c>
      <c r="L80" s="16">
        <f t="shared" si="12"/>
        <v>13844.428150743024</v>
      </c>
    </row>
    <row r="82" spans="1:12" x14ac:dyDescent="0.25">
      <c r="A82" s="9" t="s">
        <v>354</v>
      </c>
      <c r="B82" s="83"/>
      <c r="C82" s="83"/>
      <c r="D82" s="83"/>
      <c r="E82" s="83"/>
      <c r="F82" s="83"/>
      <c r="G82" s="83"/>
      <c r="H82" s="83"/>
      <c r="I82" s="83"/>
      <c r="J82" s="83"/>
      <c r="K82" s="83"/>
      <c r="L82" s="83"/>
    </row>
    <row r="83" spans="1:12" x14ac:dyDescent="0.25">
      <c r="A83" t="s">
        <v>513</v>
      </c>
      <c r="B83" s="16">
        <f t="shared" ref="B83:L83" si="13">MIN(B24,B62*0.075)</f>
        <v>200</v>
      </c>
      <c r="C83" s="16">
        <f t="shared" si="13"/>
        <v>225</v>
      </c>
      <c r="D83" s="16">
        <f t="shared" si="13"/>
        <v>323.63155522947557</v>
      </c>
      <c r="E83" s="16">
        <f t="shared" si="13"/>
        <v>650.93221876903931</v>
      </c>
      <c r="F83" s="16">
        <f t="shared" si="13"/>
        <v>749.61445794437145</v>
      </c>
      <c r="G83" s="16">
        <f t="shared" si="13"/>
        <v>818.9705606736444</v>
      </c>
      <c r="H83" s="16">
        <f t="shared" si="13"/>
        <v>836.95781189417721</v>
      </c>
      <c r="I83" s="16">
        <f t="shared" si="13"/>
        <v>855.27430587847709</v>
      </c>
      <c r="J83" s="16">
        <f t="shared" si="13"/>
        <v>873.92320279526905</v>
      </c>
      <c r="K83" s="16">
        <f t="shared" si="13"/>
        <v>892.90754335672761</v>
      </c>
      <c r="L83" s="16">
        <f t="shared" si="13"/>
        <v>912.2302384066129</v>
      </c>
    </row>
    <row r="84" spans="1:12" x14ac:dyDescent="0.25">
      <c r="A84" t="s">
        <v>36</v>
      </c>
      <c r="B84" s="16">
        <f t="shared" ref="B84:L84" si="14">MIN(B22,B62*0.1)</f>
        <v>100</v>
      </c>
      <c r="C84" s="16">
        <f t="shared" si="14"/>
        <v>100</v>
      </c>
      <c r="D84" s="16">
        <f t="shared" si="14"/>
        <v>100</v>
      </c>
      <c r="E84" s="16">
        <f t="shared" si="14"/>
        <v>100</v>
      </c>
      <c r="F84" s="16">
        <f t="shared" si="14"/>
        <v>100</v>
      </c>
      <c r="G84" s="16">
        <f t="shared" si="14"/>
        <v>100</v>
      </c>
      <c r="H84" s="16">
        <f t="shared" si="14"/>
        <v>100</v>
      </c>
      <c r="I84" s="16">
        <f t="shared" si="14"/>
        <v>100</v>
      </c>
      <c r="J84" s="16">
        <f t="shared" si="14"/>
        <v>100</v>
      </c>
      <c r="K84" s="16">
        <f t="shared" si="14"/>
        <v>100</v>
      </c>
      <c r="L84" s="16">
        <f t="shared" si="14"/>
        <v>100</v>
      </c>
    </row>
    <row r="85" spans="1:12" x14ac:dyDescent="0.25">
      <c r="A85" t="s">
        <v>334</v>
      </c>
      <c r="B85" s="16">
        <f t="shared" ref="B85:L85" si="15">B23</f>
        <v>9477.1208121330728</v>
      </c>
      <c r="C85" s="16">
        <f t="shared" si="15"/>
        <v>9477.1208121330728</v>
      </c>
      <c r="D85" s="16">
        <f t="shared" si="15"/>
        <v>9477.1208121330728</v>
      </c>
      <c r="E85" s="16">
        <f t="shared" si="15"/>
        <v>9477.1208121330728</v>
      </c>
      <c r="F85" s="16">
        <f t="shared" si="15"/>
        <v>9477.1208121330728</v>
      </c>
      <c r="G85" s="16">
        <f t="shared" si="15"/>
        <v>9477.1208121330728</v>
      </c>
      <c r="H85" s="16">
        <f t="shared" si="15"/>
        <v>9477.1208121330728</v>
      </c>
      <c r="I85" s="16">
        <f t="shared" si="15"/>
        <v>9477.1208121330728</v>
      </c>
      <c r="J85" s="16">
        <f t="shared" si="15"/>
        <v>9477.1208121330728</v>
      </c>
      <c r="K85" s="16">
        <f t="shared" si="15"/>
        <v>9477.1208121330728</v>
      </c>
      <c r="L85" s="16">
        <f t="shared" si="15"/>
        <v>9477.1208121330728</v>
      </c>
    </row>
    <row r="86" spans="1:12" x14ac:dyDescent="0.25">
      <c r="A86" t="s">
        <v>367</v>
      </c>
      <c r="B86" s="16">
        <f>'Resource Mix and Demand'!B29*'Game Assumptions'!$H$62</f>
        <v>7.6149999999999993</v>
      </c>
      <c r="C86" s="16">
        <f>'Resource Mix and Demand'!C29*'Game Assumptions'!$H$62</f>
        <v>9.1379999999999999</v>
      </c>
      <c r="D86" s="16">
        <f>'Resource Mix and Demand'!D29*'Game Assumptions'!$H$62</f>
        <v>21.875085861449122</v>
      </c>
      <c r="E86" s="16">
        <f>'Resource Mix and Demand'!E29*'Game Assumptions'!$H$62</f>
        <v>69.438476918524685</v>
      </c>
      <c r="F86" s="16">
        <f>'Resource Mix and Demand'!F29*'Game Assumptions'!$H$62</f>
        <v>82.183281944927771</v>
      </c>
      <c r="G86" s="16">
        <f>'Resource Mix and Demand'!G29*'Game Assumptions'!$H$62</f>
        <v>94.618493113590873</v>
      </c>
      <c r="H86" s="16">
        <f>'Resource Mix and Demand'!H29*'Game Assumptions'!$H$62</f>
        <v>107.25276285998974</v>
      </c>
      <c r="I86" s="16">
        <f>'Resource Mix and Demand'!I29*'Game Assumptions'!$H$62</f>
        <v>120.10981471907958</v>
      </c>
      <c r="J86" s="16">
        <f>'Resource Mix and Demand'!J29*'Game Assumptions'!$H$62</f>
        <v>136.3034775595977</v>
      </c>
      <c r="K86" s="16">
        <f>'Resource Mix and Demand'!K29*'Game Assumptions'!$H$62</f>
        <v>155.38410473096761</v>
      </c>
      <c r="L86" s="16">
        <f>'Resource Mix and Demand'!L29*'Game Assumptions'!$H$62</f>
        <v>175.69084838038839</v>
      </c>
    </row>
    <row r="88" spans="1:12" x14ac:dyDescent="0.25">
      <c r="A88" s="9" t="s">
        <v>355</v>
      </c>
      <c r="B88" s="9">
        <v>0</v>
      </c>
      <c r="C88" s="9">
        <v>1</v>
      </c>
      <c r="D88" s="9">
        <v>2</v>
      </c>
      <c r="E88" s="9">
        <v>3</v>
      </c>
      <c r="F88" s="9">
        <v>4</v>
      </c>
      <c r="G88" s="9">
        <v>5</v>
      </c>
      <c r="H88" s="9">
        <v>6</v>
      </c>
      <c r="I88" s="9">
        <v>7</v>
      </c>
      <c r="J88" s="9">
        <v>8</v>
      </c>
      <c r="K88" s="9">
        <v>9</v>
      </c>
      <c r="L88" s="9">
        <v>10</v>
      </c>
    </row>
    <row r="89" spans="1:12" x14ac:dyDescent="0.25">
      <c r="A89" t="s">
        <v>166</v>
      </c>
      <c r="B89" s="5">
        <f t="shared" ref="B89:L89" si="16">SUM(B68:B79)/B62-1</f>
        <v>0.35448266099999981</v>
      </c>
      <c r="C89" s="5">
        <f t="shared" si="16"/>
        <v>0.23417111554823511</v>
      </c>
      <c r="D89" s="5">
        <f t="shared" si="16"/>
        <v>0.15259367913512545</v>
      </c>
      <c r="E89" s="5">
        <f t="shared" si="16"/>
        <v>0.1501472682714009</v>
      </c>
      <c r="F89" s="5">
        <f t="shared" si="16"/>
        <v>0.15128959522320939</v>
      </c>
      <c r="G89" s="5">
        <f t="shared" si="16"/>
        <v>0.15129013692687709</v>
      </c>
      <c r="H89" s="5">
        <f t="shared" si="16"/>
        <v>0.15124457261072966</v>
      </c>
      <c r="I89" s="5">
        <f t="shared" si="16"/>
        <v>0.1447731220856312</v>
      </c>
      <c r="J89" s="5">
        <f t="shared" si="16"/>
        <v>0.13949031484978591</v>
      </c>
      <c r="K89" s="5">
        <f t="shared" si="16"/>
        <v>0.13772374388698028</v>
      </c>
      <c r="L89" s="5">
        <f t="shared" si="16"/>
        <v>0.13823469951990996</v>
      </c>
    </row>
    <row r="90" spans="1:12" ht="17.100000000000001" customHeight="1" x14ac:dyDescent="0.25"/>
    <row r="91" spans="1:12" ht="17.100000000000001" customHeight="1" x14ac:dyDescent="0.25">
      <c r="A91" s="9" t="s">
        <v>356</v>
      </c>
      <c r="B91" s="9">
        <v>0</v>
      </c>
      <c r="C91" s="9">
        <v>1</v>
      </c>
      <c r="D91" s="9">
        <v>2</v>
      </c>
      <c r="E91" s="9">
        <v>3</v>
      </c>
      <c r="F91" s="9">
        <v>4</v>
      </c>
      <c r="G91" s="9">
        <v>5</v>
      </c>
      <c r="H91" s="9">
        <v>6</v>
      </c>
      <c r="I91" s="9">
        <v>7</v>
      </c>
      <c r="J91" s="9">
        <v>8</v>
      </c>
      <c r="K91" s="9">
        <v>9</v>
      </c>
      <c r="L91" s="9">
        <v>10</v>
      </c>
    </row>
    <row r="92" spans="1:12" ht="17.100000000000001" customHeight="1" x14ac:dyDescent="0.25">
      <c r="A92" t="s">
        <v>166</v>
      </c>
      <c r="B92" s="5">
        <f t="shared" ref="B92:L92" si="17">SUM(B83:B85)/B65-1</f>
        <v>-7.7825300000000652E-4</v>
      </c>
      <c r="C92" s="5">
        <f t="shared" si="17"/>
        <v>-2.498588276432967E-2</v>
      </c>
      <c r="D92" s="5">
        <f t="shared" si="17"/>
        <v>-3.3739825808854929E-2</v>
      </c>
      <c r="E92" s="5">
        <f t="shared" si="17"/>
        <v>-1.6597352254841602E-2</v>
      </c>
      <c r="F92" s="5">
        <f t="shared" si="17"/>
        <v>-3.3450426477464879E-2</v>
      </c>
      <c r="G92" s="5">
        <f t="shared" si="17"/>
        <v>-4.9843072238491271E-2</v>
      </c>
      <c r="H92" s="5">
        <f t="shared" si="17"/>
        <v>-6.2102307128802825E-2</v>
      </c>
      <c r="I92" s="5">
        <f t="shared" si="17"/>
        <v>-8.7907399542006659E-2</v>
      </c>
      <c r="J92" s="5">
        <f t="shared" si="17"/>
        <v>-0.1030924701249174</v>
      </c>
      <c r="K92" s="5">
        <f t="shared" si="17"/>
        <v>-0.11614800085446197</v>
      </c>
      <c r="L92" s="5">
        <f t="shared" si="17"/>
        <v>-0.140186050718208</v>
      </c>
    </row>
    <row r="93" spans="1:12" ht="17.100000000000001" customHeight="1" x14ac:dyDescent="0.25"/>
    <row r="94" spans="1:12" x14ac:dyDescent="0.25">
      <c r="A94" s="9" t="s">
        <v>325</v>
      </c>
      <c r="B94" s="9">
        <v>0</v>
      </c>
      <c r="C94" s="9">
        <v>1</v>
      </c>
      <c r="D94" s="9">
        <v>2</v>
      </c>
      <c r="E94" s="9">
        <v>3</v>
      </c>
      <c r="F94" s="9">
        <v>4</v>
      </c>
      <c r="G94" s="9">
        <v>5</v>
      </c>
      <c r="H94" s="9">
        <v>6</v>
      </c>
      <c r="I94" s="9">
        <v>7</v>
      </c>
      <c r="J94" s="9">
        <v>8</v>
      </c>
      <c r="K94" s="9">
        <v>9</v>
      </c>
      <c r="L94" s="9">
        <v>10</v>
      </c>
    </row>
    <row r="95" spans="1:12" x14ac:dyDescent="0.25">
      <c r="A95" t="s">
        <v>326</v>
      </c>
      <c r="B95" s="16">
        <f>'Game Assumptions'!$B$133/(SUM(B83:B86)/B65)</f>
        <v>287</v>
      </c>
      <c r="C95" s="16">
        <f>'Game Assumptions'!$B$133/(SUM(C83:C86)/C65)</f>
        <v>294.08055654851046</v>
      </c>
      <c r="D95" s="16">
        <f>'Game Assumptions'!$B$133/(SUM(D83:D86)/D65)</f>
        <v>296.36664869681442</v>
      </c>
      <c r="E95" s="16">
        <f>'Game Assumptions'!$B$133/(SUM(E83:E86)/E65)</f>
        <v>289.87586133544613</v>
      </c>
      <c r="F95" s="16">
        <f>'Game Assumptions'!$B$133/(SUM(F83:F86)/F65)</f>
        <v>294.58809824396963</v>
      </c>
      <c r="G95" s="16">
        <f>'Game Assumptions'!$B$133/(SUM(G83:G86)/G65)</f>
        <v>299.33105007538893</v>
      </c>
      <c r="H95" s="16">
        <f>'Game Assumptions'!$B$133/(SUM(H83:H86)/H65)</f>
        <v>302.88417408394309</v>
      </c>
      <c r="I95" s="16">
        <f>'Game Assumptions'!$B$133/(SUM(I83:I86)/I65)</f>
        <v>311.07952539413611</v>
      </c>
      <c r="J95" s="16">
        <f>'Game Assumptions'!$B$133/(SUM(J83:J86)/J65)</f>
        <v>315.86880394131344</v>
      </c>
      <c r="K95" s="16">
        <f>'Game Assumptions'!$B$133/(SUM(K83:K86)/K65)</f>
        <v>319.9664246111422</v>
      </c>
      <c r="L95" s="16">
        <f>'Game Assumptions'!$B$133/(SUM(L83:L86)/L65)</f>
        <v>328.29439227307802</v>
      </c>
    </row>
    <row r="97" spans="1:12" x14ac:dyDescent="0.25">
      <c r="A97" s="9" t="s">
        <v>418</v>
      </c>
      <c r="B97" s="9">
        <v>0</v>
      </c>
      <c r="C97" s="9">
        <v>1</v>
      </c>
      <c r="D97" s="9">
        <v>2</v>
      </c>
      <c r="E97" s="9">
        <v>3</v>
      </c>
      <c r="F97" s="9">
        <v>4</v>
      </c>
      <c r="G97" s="9">
        <v>5</v>
      </c>
      <c r="H97" s="9">
        <v>6</v>
      </c>
      <c r="I97" s="9">
        <v>7</v>
      </c>
      <c r="J97" s="9">
        <v>8</v>
      </c>
      <c r="K97" s="9">
        <v>9</v>
      </c>
      <c r="L97" s="9">
        <v>10</v>
      </c>
    </row>
    <row r="98" spans="1:12" x14ac:dyDescent="0.25">
      <c r="A98" t="s">
        <v>326</v>
      </c>
      <c r="B98">
        <f>B95</f>
        <v>287</v>
      </c>
      <c r="C98" s="16">
        <f>($G$98-$B$98)/COUNT($C$97:$G$97)+B98</f>
        <v>275.60000000000002</v>
      </c>
      <c r="D98" s="16">
        <f>($G$98-$B$98)/COUNT($C$97:$G$97)+C98</f>
        <v>264.20000000000005</v>
      </c>
      <c r="E98" s="16">
        <f>($G$98-$B$98)/COUNT($C$97:$G$97)+D98</f>
        <v>252.80000000000004</v>
      </c>
      <c r="F98" s="16">
        <f>($G$98-$B$98)/COUNT($C$97:$G$97)+E98</f>
        <v>241.40000000000003</v>
      </c>
      <c r="G98" s="16">
        <f>'Game Assumptions'!B161</f>
        <v>230</v>
      </c>
      <c r="H98" s="16"/>
      <c r="I98" s="16"/>
      <c r="J98" s="16"/>
      <c r="K98" s="16"/>
    </row>
    <row r="99" spans="1:12" x14ac:dyDescent="0.25">
      <c r="A99" t="s">
        <v>419</v>
      </c>
      <c r="B99">
        <f>B98</f>
        <v>287</v>
      </c>
      <c r="C99" s="16">
        <f>AVERAGE(B98:C98)</f>
        <v>281.3</v>
      </c>
      <c r="D99" s="16">
        <f>AVERAGE(C98:D98)</f>
        <v>269.90000000000003</v>
      </c>
      <c r="E99" s="16">
        <f>AVERAGE(D98:E98)</f>
        <v>258.50000000000006</v>
      </c>
      <c r="F99" s="16">
        <f>AVERAGE(E98:F98)</f>
        <v>247.10000000000002</v>
      </c>
      <c r="G99" s="16">
        <f>AVERAGE(F98:G98)</f>
        <v>235.70000000000002</v>
      </c>
      <c r="H99" s="16"/>
      <c r="I99" s="16"/>
      <c r="J99" s="16"/>
      <c r="K99" s="16"/>
      <c r="L99" s="16"/>
    </row>
    <row r="100" spans="1:12" x14ac:dyDescent="0.25">
      <c r="A100" t="s">
        <v>440</v>
      </c>
      <c r="B100">
        <v>0</v>
      </c>
      <c r="C100" s="5">
        <f>IF(C95&lt;C98,1,IF(C95&gt;B98,-1,(C99-C95)/(C99-C98)))</f>
        <v>-1</v>
      </c>
      <c r="D100" s="5">
        <f>IF(D95&lt;D98,1,IF(D95&gt;C98,-1,(D99-D95)/(D99-D98)))</f>
        <v>-1</v>
      </c>
      <c r="E100" s="5">
        <f>IF(E95&lt;E98,1,IF(E95&gt;D98,-1,(E99-E95)/(E99-E98)))</f>
        <v>-1</v>
      </c>
      <c r="F100" s="5">
        <f>IF(F95&lt;F98,1,IF(F95&gt;E98,-1,(F99-F95)/(F99-F98)))</f>
        <v>-1</v>
      </c>
      <c r="G100" s="5">
        <f>IF(G95&lt;G98,1,IF(G95&gt;F98,-1,(G99-G95)/(G99-G98)))</f>
        <v>-1</v>
      </c>
      <c r="H100" s="5"/>
      <c r="I100" s="5"/>
      <c r="J100" s="5"/>
      <c r="K100" s="5"/>
      <c r="L100" s="5"/>
    </row>
    <row r="102" spans="1:12" x14ac:dyDescent="0.25">
      <c r="A102" s="9" t="s">
        <v>549</v>
      </c>
      <c r="B102" s="9">
        <v>0</v>
      </c>
      <c r="C102" s="9">
        <v>1</v>
      </c>
      <c r="D102" s="9">
        <v>2</v>
      </c>
      <c r="E102" s="9">
        <v>3</v>
      </c>
      <c r="F102" s="9">
        <v>4</v>
      </c>
      <c r="G102" s="9">
        <v>5</v>
      </c>
      <c r="H102" s="9">
        <v>6</v>
      </c>
      <c r="I102" s="9">
        <v>7</v>
      </c>
      <c r="J102" s="9">
        <v>8</v>
      </c>
      <c r="K102" s="9">
        <v>9</v>
      </c>
      <c r="L102" s="9">
        <v>10</v>
      </c>
    </row>
    <row r="103" spans="1:12" x14ac:dyDescent="0.25">
      <c r="A103" t="s">
        <v>166</v>
      </c>
      <c r="B103">
        <v>0</v>
      </c>
      <c r="C103">
        <f>SUM(B80,SUMPRODUCT('Event Tracker'!C32:C39,'Game Assumptions'!$H$55:$H$62),SUMPRODUCT('Event Tracker'!C87:C94,'Game Assumptions'!$H$55:$H$62),SUMPRODUCT('Event Tracker'!C97:C99,'Game Assumptions'!$L$55:$L$57),MIN('Event Tracker'!C100,'Game Assumptions'!$B$190*Reliability!C62))-SUM(SUMPRODUCT('Resource Mix and Demand'!C12:C19,'Game Assumptions'!$H$55:$H$62))-IF(SUM('Event Tracker'!B38,'Event Tracker'!B93)&gt;'Game Assumptions'!$B$193*Reliability!C62,(SUM('Event Tracker'!B38,'Event Tracker'!B93)-'Game Assumptions'!$B$193*Reliability!C62))</f>
        <v>12319.254999999997</v>
      </c>
      <c r="D103">
        <f>SUM(C80,SUMPRODUCT('Event Tracker'!D32:D39,'Game Assumptions'!$H$55:$H$62),SUMPRODUCT('Event Tracker'!D87:D94,'Game Assumptions'!$H$55:$H$62),SUMPRODUCT('Event Tracker'!D97:D99,'Game Assumptions'!$L$55:$L$57),MIN('Event Tracker'!D100,'Game Assumptions'!$B$190*Reliability!D62))-SUM(SUMPRODUCT('Resource Mix and Demand'!D12:D19,'Game Assumptions'!$H$55:$H$62))-IF(SUM('Event Tracker'!C38,'Event Tracker'!C93)&gt;'Game Assumptions'!$B$193*Reliability!D62,(SUM('Event Tracker'!C38,'Event Tracker'!C93)-'Game Assumptions'!$B$193*Reliability!D62))</f>
        <v>11495.778</v>
      </c>
      <c r="E103">
        <f>SUM(D80,SUMPRODUCT('Event Tracker'!E32:E39,'Game Assumptions'!$H$55:$H$62),SUMPRODUCT('Event Tracker'!E87:E94,'Game Assumptions'!$H$55:$H$62),SUMPRODUCT('Event Tracker'!E97:E99,'Game Assumptions'!$L$55:$L$57),MIN('Event Tracker'!E100,'Game Assumptions'!$B$190*Reliability!E62))-SUM(SUMPRODUCT('Resource Mix and Demand'!E12:E19,'Game Assumptions'!$H$55:$H$62))-IF(SUM('Event Tracker'!D38,'Event Tracker'!D93)&gt;'Game Assumptions'!$B$193*Reliability!E62,(SUM('Event Tracker'!D38,'Event Tracker'!D93)-'Game Assumptions'!$B$193*Reliability!E62))</f>
        <v>10936.439478074699</v>
      </c>
      <c r="F103">
        <f>SUM(E80,SUMPRODUCT('Event Tracker'!F32:F39,'Game Assumptions'!$H$55:$H$62),SUMPRODUCT('Event Tracker'!F87:F94,'Game Assumptions'!$H$55:$H$62),SUMPRODUCT('Event Tracker'!F97:F99,'Game Assumptions'!$L$55:$L$57),MIN('Event Tracker'!F100,'Game Assumptions'!$B$190*Reliability!F62))-SUM(SUMPRODUCT('Resource Mix and Demand'!F12:F19,'Game Assumptions'!$H$55:$H$62))-IF(SUM('Event Tracker'!E38,'Event Tracker'!E93)&gt;'Game Assumptions'!$B$193*Reliability!F62,(SUM('Event Tracker'!E38,'Event Tracker'!E93)-'Game Assumptions'!$B$193*Reliability!F62))</f>
        <v>12022.422035006126</v>
      </c>
      <c r="G103">
        <f>SUM(F80,SUMPRODUCT('Event Tracker'!G32:G39,'Game Assumptions'!$H$55:$H$62),SUMPRODUCT('Event Tracker'!G87:G94,'Game Assumptions'!$H$55:$H$62),SUMPRODUCT('Event Tracker'!G97:G99,'Game Assumptions'!$L$55:$L$57),MIN('Event Tracker'!G100,'Game Assumptions'!$B$190*Reliability!G62))-SUM(SUMPRODUCT('Resource Mix and Demand'!G12:G19,'Game Assumptions'!$H$55:$H$62))-IF(SUM('Event Tracker'!F38,'Event Tracker'!F93)&gt;'Game Assumptions'!$B$193*Reliability!G62,(SUM('Event Tracker'!F38,'Event Tracker'!F93)-'Game Assumptions'!$B$193*Reliability!G62))</f>
        <v>12300.520526573391</v>
      </c>
      <c r="H103">
        <f>SUM(G80,SUMPRODUCT('Event Tracker'!H32:H39,'Game Assumptions'!$H$55:$H$62),SUMPRODUCT('Event Tracker'!H87:H94,'Game Assumptions'!$H$55:$H$62),SUMPRODUCT('Event Tracker'!H97:H99,'Game Assumptions'!$L$55:$L$57),MIN('Event Tracker'!H100,'Game Assumptions'!$B$190*Reliability!H62))-SUM(SUMPRODUCT('Resource Mix and Demand'!H12:H19,'Game Assumptions'!$H$55:$H$62))-IF(SUM('Event Tracker'!G38,'Event Tracker'!G93)&gt;'Game Assumptions'!$B$193*Reliability!H62,(SUM('Event Tracker'!G38,'Event Tracker'!G93)-'Game Assumptions'!$B$193*Reliability!H62))</f>
        <v>12571.636385827218</v>
      </c>
      <c r="I103">
        <f>SUM(H80,SUMPRODUCT('Event Tracker'!I32:I39,'Game Assumptions'!$H$55:$H$62),SUMPRODUCT('Event Tracker'!I87:I94,'Game Assumptions'!$H$55:$H$62),SUMPRODUCT('Event Tracker'!I97:I99,'Game Assumptions'!$L$55:$L$57),MIN('Event Tracker'!I100,'Game Assumptions'!$B$190*Reliability!I62))-SUM(SUMPRODUCT('Resource Mix and Demand'!I12:I19,'Game Assumptions'!$H$55:$H$62))-IF(SUM('Event Tracker'!H38,'Event Tracker'!H93)&gt;'Game Assumptions'!$B$193*Reliability!I62,(SUM('Event Tracker'!H38,'Event Tracker'!H93)-'Game Assumptions'!$B$193*Reliability!I62))</f>
        <v>12847.241845964314</v>
      </c>
      <c r="J103">
        <f>SUM(I80,SUMPRODUCT('Event Tracker'!J32:J39,'Game Assumptions'!$H$55:$H$62),SUMPRODUCT('Event Tracker'!J87:J94,'Game Assumptions'!$H$55:$H$62),SUMPRODUCT('Event Tracker'!J97:J99,'Game Assumptions'!$L$55:$L$57),MIN('Event Tracker'!J100,'Game Assumptions'!$B$190*Reliability!J62))-SUM(SUMPRODUCT('Resource Mix and Demand'!J12:J19,'Game Assumptions'!$H$55:$H$62))-IF(SUM('Event Tracker'!I38,'Event Tracker'!I93)&gt;'Game Assumptions'!$B$193*Reliability!J62,(SUM('Event Tracker'!I38,'Event Tracker'!I93)-'Game Assumptions'!$B$193*Reliability!J62))</f>
        <v>13054.600498401671</v>
      </c>
      <c r="K103">
        <f>SUM(J80,SUMPRODUCT('Event Tracker'!K32:K39,'Game Assumptions'!$H$55:$H$62),SUMPRODUCT('Event Tracker'!K87:K94,'Game Assumptions'!$H$55:$H$62),SUMPRODUCT('Event Tracker'!K97:K99,'Game Assumptions'!$L$55:$L$57),MIN('Event Tracker'!K100,'Game Assumptions'!$B$190*Reliability!K62))-SUM(SUMPRODUCT('Resource Mix and Demand'!K12:K19,'Game Assumptions'!$H$55:$H$62))-IF(SUM('Event Tracker'!J38,'Event Tracker'!J93)&gt;'Game Assumptions'!$B$193*Reliability!K62,(SUM('Event Tracker'!J38,'Event Tracker'!J93)-'Game Assumptions'!$B$193*Reliability!K62))</f>
        <v>13277.693673436192</v>
      </c>
      <c r="L103">
        <f>SUM(K80,SUMPRODUCT('Event Tracker'!L32:L39,'Game Assumptions'!$H$55:$H$62),SUMPRODUCT('Event Tracker'!L87:L94,'Game Assumptions'!$H$55:$H$62),SUMPRODUCT('Event Tracker'!L97:L99,'Game Assumptions'!$L$55:$L$57),MIN('Event Tracker'!L100,'Game Assumptions'!$B$190*Reliability!L62))-SUM(SUMPRODUCT('Resource Mix and Demand'!L12:L19,'Game Assumptions'!$H$55:$H$62))-IF(SUM('Event Tracker'!K38,'Event Tracker'!K93)&gt;'Game Assumptions'!$B$193*Reliability!L62,(SUM('Event Tracker'!K38,'Event Tracker'!K93)-'Game Assumptions'!$B$193*Reliability!L62))</f>
        <v>13545.094842303231</v>
      </c>
    </row>
    <row r="105" spans="1:12" x14ac:dyDescent="0.25">
      <c r="A105" s="9" t="s">
        <v>90</v>
      </c>
      <c r="B105" s="9">
        <v>0</v>
      </c>
      <c r="C105" s="9">
        <v>1</v>
      </c>
      <c r="D105" s="9">
        <v>2</v>
      </c>
      <c r="E105" s="9">
        <v>3</v>
      </c>
      <c r="F105" s="9">
        <v>4</v>
      </c>
      <c r="G105" s="9">
        <v>5</v>
      </c>
      <c r="H105" s="9">
        <v>6</v>
      </c>
      <c r="I105" s="9">
        <v>7</v>
      </c>
      <c r="J105" s="9">
        <v>8</v>
      </c>
      <c r="K105" s="9">
        <v>9</v>
      </c>
      <c r="L105" s="9">
        <v>10</v>
      </c>
    </row>
    <row r="106" spans="1:12" x14ac:dyDescent="0.25">
      <c r="B106">
        <v>0</v>
      </c>
      <c r="C106">
        <f>C62*(1+IF('Event Tracker'!C7=1,0.1,0.15))</f>
        <v>11503.789483594597</v>
      </c>
      <c r="D106">
        <f>D62*(1+IF('Event Tracker'!D7=1,0.1,0.15))</f>
        <v>11759.916478074698</v>
      </c>
      <c r="E106">
        <f>E62*(1+IF('Event Tracker'!E7=1,0.1,0.15))</f>
        <v>12020.882648390176</v>
      </c>
      <c r="F106">
        <f>F62*(1+IF('Event Tracker'!F7=1,0.1,0.15))</f>
        <v>12286.742331599795</v>
      </c>
      <c r="G106">
        <f>G62*(1+IF('Event Tracker'!G7=1,0.1,0.15))</f>
        <v>12557.548596995881</v>
      </c>
      <c r="H106">
        <f>H62*(1+IF('Event Tracker'!H7=1,0.1,0.15))</f>
        <v>12833.353115710715</v>
      </c>
      <c r="I106">
        <f>I62*(1+IF('Event Tracker'!I7=1,0.1,0.15))</f>
        <v>13114.20602346998</v>
      </c>
      <c r="J106">
        <f>J62*(1+IF('Event Tracker'!J7=1,0.1,0.15))</f>
        <v>13400.155776194124</v>
      </c>
      <c r="K106">
        <f>K62*(1+IF('Event Tracker'!K7=1,0.1,0.15))</f>
        <v>13691.248998136489</v>
      </c>
      <c r="L106">
        <f>L62*(1+IF('Event Tracker'!L7=1,0.1,0.15))</f>
        <v>13987.53032223473</v>
      </c>
    </row>
    <row r="108" spans="1:12" x14ac:dyDescent="0.25">
      <c r="A108" s="9" t="s">
        <v>550</v>
      </c>
      <c r="B108" s="9">
        <v>0</v>
      </c>
      <c r="C108" s="9">
        <v>1</v>
      </c>
      <c r="D108" s="9">
        <v>2</v>
      </c>
      <c r="E108" s="9">
        <v>3</v>
      </c>
      <c r="F108" s="9">
        <v>4</v>
      </c>
      <c r="G108" s="9">
        <v>5</v>
      </c>
      <c r="H108" s="9">
        <v>6</v>
      </c>
      <c r="I108" s="9">
        <v>7</v>
      </c>
      <c r="J108" s="9">
        <v>8</v>
      </c>
      <c r="K108" s="9">
        <v>9</v>
      </c>
      <c r="L108" s="9">
        <v>10</v>
      </c>
    </row>
    <row r="109" spans="1:12" x14ac:dyDescent="0.25">
      <c r="B109">
        <f>IF(B106-B103&lt;0,0,B106-B103)</f>
        <v>0</v>
      </c>
      <c r="C109">
        <f t="shared" ref="C109:L109" si="18">IF(C106-C103&lt;0,0,C106-C103)</f>
        <v>0</v>
      </c>
      <c r="D109">
        <f t="shared" si="18"/>
        <v>264.13847807469756</v>
      </c>
      <c r="E109">
        <f t="shared" si="18"/>
        <v>1084.4431703154769</v>
      </c>
      <c r="F109">
        <f t="shared" si="18"/>
        <v>264.3202965936689</v>
      </c>
      <c r="G109">
        <f t="shared" si="18"/>
        <v>257.02807042248969</v>
      </c>
      <c r="H109">
        <f t="shared" si="18"/>
        <v>261.71672988349746</v>
      </c>
      <c r="I109">
        <f t="shared" si="18"/>
        <v>266.96417750566616</v>
      </c>
      <c r="J109">
        <f t="shared" si="18"/>
        <v>345.55527779245313</v>
      </c>
      <c r="K109">
        <f t="shared" si="18"/>
        <v>413.55532470029721</v>
      </c>
      <c r="L109">
        <f t="shared" si="18"/>
        <v>442.43547993149878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5"/>
  </sheetPr>
  <dimension ref="A1:L156"/>
  <sheetViews>
    <sheetView zoomScaleNormal="100" workbookViewId="0">
      <selection activeCell="C13" sqref="C13"/>
    </sheetView>
  </sheetViews>
  <sheetFormatPr defaultRowHeight="15" x14ac:dyDescent="0.25"/>
  <cols>
    <col min="1" max="1" width="62.42578125" customWidth="1"/>
    <col min="2" max="2" width="25.42578125" customWidth="1"/>
    <col min="3" max="3" width="18.28515625" bestFit="1" customWidth="1"/>
    <col min="4" max="4" width="15.28515625" customWidth="1"/>
    <col min="5" max="12" width="18" bestFit="1" customWidth="1"/>
  </cols>
  <sheetData>
    <row r="1" spans="1:12" ht="15.75" thickBot="1" x14ac:dyDescent="0.3">
      <c r="A1" s="1" t="s">
        <v>15</v>
      </c>
      <c r="B1" s="32">
        <f>'Event Tracker'!P1</f>
        <v>0</v>
      </c>
    </row>
    <row r="2" spans="1:12" ht="15.75" thickBot="1" x14ac:dyDescent="0.3">
      <c r="A2" s="1" t="s">
        <v>34</v>
      </c>
      <c r="B2" s="184" t="str">
        <f>'Initial Setup'!B3</f>
        <v>Select</v>
      </c>
    </row>
    <row r="6" spans="1:12" x14ac:dyDescent="0.25">
      <c r="A6" s="9" t="s">
        <v>39</v>
      </c>
      <c r="B6" s="9">
        <v>0</v>
      </c>
      <c r="C6" s="9">
        <v>1</v>
      </c>
      <c r="D6" s="9">
        <v>2</v>
      </c>
      <c r="E6" s="9">
        <v>3</v>
      </c>
      <c r="F6" s="9">
        <v>4</v>
      </c>
      <c r="G6" s="9">
        <v>5</v>
      </c>
      <c r="H6" s="9">
        <v>6</v>
      </c>
      <c r="I6" s="9">
        <v>7</v>
      </c>
      <c r="J6" s="9">
        <v>8</v>
      </c>
      <c r="K6" s="9">
        <v>9</v>
      </c>
      <c r="L6" s="9">
        <v>10</v>
      </c>
    </row>
    <row r="7" spans="1:12" x14ac:dyDescent="0.25">
      <c r="A7" s="24" t="s">
        <v>78</v>
      </c>
    </row>
    <row r="8" spans="1:12" x14ac:dyDescent="0.25">
      <c r="A8" s="28" t="s">
        <v>38</v>
      </c>
      <c r="B8" s="27"/>
      <c r="C8" s="27"/>
      <c r="D8" s="27"/>
      <c r="E8" s="27"/>
      <c r="F8" s="27"/>
      <c r="G8" s="27"/>
      <c r="H8" s="27"/>
      <c r="I8" s="27"/>
      <c r="J8" s="27"/>
      <c r="K8" s="27"/>
      <c r="L8" s="27"/>
    </row>
    <row r="9" spans="1:12" x14ac:dyDescent="0.25">
      <c r="A9" s="26" t="s">
        <v>64</v>
      </c>
      <c r="B9" s="144">
        <f>PMT('Game Assumptions'!$B$5,'Game Assumptions'!$B$14,'Game Assumptions'!$B$2)*-1*(1-1/20*B6)</f>
        <v>2037044176.4630125</v>
      </c>
      <c r="C9" s="144">
        <f>PMT('Game Assumptions'!$B$5,'Game Assumptions'!$B$14,'Game Assumptions'!$B$2)*-1*(1-1/20*C6)</f>
        <v>1935191967.6398618</v>
      </c>
      <c r="D9" s="144">
        <f>PMT('Game Assumptions'!$B$5,'Game Assumptions'!$B$14,'Game Assumptions'!$B$2)*-1*(1-1/20*D6)</f>
        <v>1833339758.8167112</v>
      </c>
      <c r="E9" s="144">
        <f>PMT('Game Assumptions'!$B$5,'Game Assumptions'!$B$14,'Game Assumptions'!$B$2)*-1*(1-1/20*E6)</f>
        <v>1731487549.9935606</v>
      </c>
      <c r="F9" s="144">
        <f>PMT('Game Assumptions'!$B$5,'Game Assumptions'!$B$14,'Game Assumptions'!$B$2)*-1*(1-1/20*F6)</f>
        <v>1629635341.1704102</v>
      </c>
      <c r="G9" s="144">
        <f>PMT('Game Assumptions'!$B$5,'Game Assumptions'!$B$14,'Game Assumptions'!$B$2)*-1*(1-1/20*G6)</f>
        <v>1527783132.3472593</v>
      </c>
      <c r="H9" s="144">
        <f>PMT('Game Assumptions'!$B$5,'Game Assumptions'!$B$14,'Game Assumptions'!$B$2)*-1*(1-1/20*H6)</f>
        <v>1425930923.5241086</v>
      </c>
      <c r="I9" s="144">
        <f>PMT('Game Assumptions'!$B$5,'Game Assumptions'!$B$14,'Game Assumptions'!$B$2)*-1*(1-1/20*I6)</f>
        <v>1324078714.700958</v>
      </c>
      <c r="J9" s="144">
        <f>PMT('Game Assumptions'!$B$5,'Game Assumptions'!$B$14,'Game Assumptions'!$B$2)*-1*(1-1/20*J6)</f>
        <v>1222226505.8778074</v>
      </c>
      <c r="K9" s="144">
        <f>PMT('Game Assumptions'!$B$5,'Game Assumptions'!$B$14,'Game Assumptions'!$B$2)*-1*(1-1/20*K6)</f>
        <v>1120374297.054657</v>
      </c>
      <c r="L9" s="144">
        <f>PMT('Game Assumptions'!$B$5,'Game Assumptions'!$B$14,'Game Assumptions'!$B$2)*-1*(1-1/20*L6)</f>
        <v>1018522088.2315062</v>
      </c>
    </row>
    <row r="10" spans="1:12" x14ac:dyDescent="0.25">
      <c r="A10" s="26" t="s">
        <v>65</v>
      </c>
      <c r="B10" s="27">
        <f>PMT('Game Assumptions'!$B$5,'Game Assumptions'!$B$14,'Game Assumptions'!$B$3)*-1</f>
        <v>509261044.11575311</v>
      </c>
      <c r="C10" s="27">
        <f>PMT('Game Assumptions'!$B$5,'Game Assumptions'!$B$14,'Game Assumptions'!$B$3)*-1</f>
        <v>509261044.11575311</v>
      </c>
      <c r="D10" s="27">
        <f>PMT('Game Assumptions'!$B$5,'Game Assumptions'!$B$14,'Game Assumptions'!$B$3)*-1</f>
        <v>509261044.11575311</v>
      </c>
      <c r="E10" s="27">
        <f>PMT('Game Assumptions'!$B$5,'Game Assumptions'!$B$14,'Game Assumptions'!$B$3)*-1</f>
        <v>509261044.11575311</v>
      </c>
      <c r="F10" s="27">
        <f>PMT('Game Assumptions'!$B$5,'Game Assumptions'!$B$14,'Game Assumptions'!$B$3)*-1</f>
        <v>509261044.11575311</v>
      </c>
      <c r="G10" s="27">
        <f>PMT('Game Assumptions'!$B$5,'Game Assumptions'!$B$14,'Game Assumptions'!$B$3)*-1</f>
        <v>509261044.11575311</v>
      </c>
      <c r="H10" s="27">
        <f>PMT('Game Assumptions'!$B$5,'Game Assumptions'!$B$14,'Game Assumptions'!$B$3)*-1</f>
        <v>509261044.11575311</v>
      </c>
      <c r="I10" s="27">
        <f>PMT('Game Assumptions'!$B$5,'Game Assumptions'!$B$14,'Game Assumptions'!$B$3)*-1</f>
        <v>509261044.11575311</v>
      </c>
      <c r="J10" s="27">
        <f>PMT('Game Assumptions'!$B$5,'Game Assumptions'!$B$14,'Game Assumptions'!$B$3)*-1</f>
        <v>509261044.11575311</v>
      </c>
      <c r="K10" s="27">
        <f>PMT('Game Assumptions'!$B$5,'Game Assumptions'!$B$14,'Game Assumptions'!$B$3)*-1</f>
        <v>509261044.11575311</v>
      </c>
      <c r="L10" s="27">
        <f>PMT('Game Assumptions'!$B$5,'Game Assumptions'!$B$14,'Game Assumptions'!$B$3)*-1</f>
        <v>509261044.11575311</v>
      </c>
    </row>
    <row r="11" spans="1:12" x14ac:dyDescent="0.25">
      <c r="A11" s="29" t="s">
        <v>66</v>
      </c>
      <c r="B11" s="23">
        <f>PMT('Game Assumptions'!$B$5,'Game Assumptions'!$B$14,'Game Assumptions'!$B$4)*-1</f>
        <v>1018522088.2315062</v>
      </c>
      <c r="C11" s="23">
        <f>PMT('Game Assumptions'!$B$5,'Game Assumptions'!$B$14,'Game Assumptions'!$B$4)*-1</f>
        <v>1018522088.2315062</v>
      </c>
      <c r="D11" s="23">
        <f>PMT('Game Assumptions'!$B$5,'Game Assumptions'!$B$14,'Game Assumptions'!$B$4)*-1</f>
        <v>1018522088.2315062</v>
      </c>
      <c r="E11" s="23">
        <f>PMT('Game Assumptions'!$B$5,'Game Assumptions'!$B$14,'Game Assumptions'!$B$4)*-1</f>
        <v>1018522088.2315062</v>
      </c>
      <c r="F11" s="23">
        <f>PMT('Game Assumptions'!$B$5,'Game Assumptions'!$B$14,'Game Assumptions'!$B$4)*-1</f>
        <v>1018522088.2315062</v>
      </c>
      <c r="G11" s="23">
        <f>PMT('Game Assumptions'!$B$5,'Game Assumptions'!$B$14,'Game Assumptions'!$B$4)*-1</f>
        <v>1018522088.2315062</v>
      </c>
      <c r="H11" s="23">
        <f>PMT('Game Assumptions'!$B$5,'Game Assumptions'!$B$14,'Game Assumptions'!$B$4)*-1</f>
        <v>1018522088.2315062</v>
      </c>
      <c r="I11" s="23">
        <f>PMT('Game Assumptions'!$B$5,'Game Assumptions'!$B$14,'Game Assumptions'!$B$4)*-1</f>
        <v>1018522088.2315062</v>
      </c>
      <c r="J11" s="23">
        <f>PMT('Game Assumptions'!$B$5,'Game Assumptions'!$B$14,'Game Assumptions'!$B$4)*-1</f>
        <v>1018522088.2315062</v>
      </c>
      <c r="K11" s="23">
        <f>PMT('Game Assumptions'!$B$5,'Game Assumptions'!$B$14,'Game Assumptions'!$B$4)*-1</f>
        <v>1018522088.2315062</v>
      </c>
      <c r="L11" s="23">
        <f>PMT('Game Assumptions'!$B$5,'Game Assumptions'!$B$14,'Game Assumptions'!$B$4)*-1</f>
        <v>1018522088.2315062</v>
      </c>
    </row>
    <row r="12" spans="1:12" x14ac:dyDescent="0.25">
      <c r="A12" s="4" t="s">
        <v>43</v>
      </c>
    </row>
    <row r="13" spans="1:12" x14ac:dyDescent="0.25">
      <c r="A13" t="s">
        <v>40</v>
      </c>
      <c r="B13" s="7">
        <f>PMT('Game Assumptions'!$B$5,'Game Assumptions'!$B$14,'Game Assumptions'!$G28*'Resource Mix and Demand'!B2)*-1</f>
        <v>0</v>
      </c>
      <c r="C13" s="7">
        <f>PMT('Game Assumptions'!$B$5+IF(AND('Event Tracker'!C$6=1,INDEX(BizModelSelected,1,1)=1),SUM('Customer Bills'!B$19*-0.0075,'Environmental Performance'!B$8*0.0075,Reliability!B$100*0.0075),0),'Game Assumptions'!$B$14,'Game Assumptions'!$G28*'Resource Mix and Demand'!C2)*-1+B13</f>
        <v>0</v>
      </c>
      <c r="D13" s="7">
        <f>PMT('Game Assumptions'!$B$5+IF(AND('Event Tracker'!D$6=1,INDEX(BizModelSelected,1,1)=1),SUM('Customer Bills'!C$19*-0.0075,'Environmental Performance'!C$8*0.0075,Reliability!C$100*0.0075),0),'Game Assumptions'!$B$14,'Game Assumptions'!$G28*'Resource Mix and Demand'!D2)*-1+C13</f>
        <v>0</v>
      </c>
      <c r="E13" s="7">
        <f>PMT('Game Assumptions'!$B$5+IF(AND('Event Tracker'!E$6=1,INDEX(BizModelSelected,1,1)=1),SUM('Customer Bills'!D$19*-0.0075,'Environmental Performance'!D$8*0.0075,Reliability!D$100*0.0075),0),'Game Assumptions'!$B$14,'Game Assumptions'!$G28*'Resource Mix and Demand'!E2)*-1+D13</f>
        <v>0</v>
      </c>
      <c r="F13" s="7">
        <f>PMT('Game Assumptions'!$B$5+IF(AND('Event Tracker'!F$6=1,INDEX(BizModelSelected,1,1)=1),SUM('Customer Bills'!E$19*-0.0075,'Environmental Performance'!E$8*0.0075,Reliability!E$100*0.0075),0),'Game Assumptions'!$B$14,'Game Assumptions'!$G28*'Resource Mix and Demand'!F2)*-1+E13</f>
        <v>0</v>
      </c>
      <c r="G13" s="7">
        <f>PMT('Game Assumptions'!$B$5+IF(AND('Event Tracker'!G$6=1,INDEX(BizModelSelected,1,1)=1),SUM('Customer Bills'!F$19*-0.0075,'Environmental Performance'!F$8*0.0075,Reliability!F$100*0.0075),0),'Game Assumptions'!$B$14,'Game Assumptions'!$G28*'Resource Mix and Demand'!G2)*-1+F13</f>
        <v>0</v>
      </c>
      <c r="H13" s="7">
        <f>PMT('Game Assumptions'!$B$5+IF(AND('Event Tracker'!H$6=1,INDEX(BizModelSelected,1,1)=1),SUM('Customer Bills'!G$19*-0.0075,'Environmental Performance'!G$8*0.0075,Reliability!G$100*0.0075),0),'Game Assumptions'!$B$14,'Game Assumptions'!$G28*'Resource Mix and Demand'!H2)*-1+G13</f>
        <v>0</v>
      </c>
      <c r="I13" s="7">
        <f>PMT('Game Assumptions'!$B$5+IF(AND('Event Tracker'!I$6=1,INDEX(BizModelSelected,1,1)=1),SUM('Customer Bills'!H$19*-0.0075,'Environmental Performance'!H$8*0.0075,Reliability!H$100*0.0075),0),'Game Assumptions'!$B$14,'Game Assumptions'!$G28*'Resource Mix and Demand'!I2)*-1+H13</f>
        <v>0</v>
      </c>
      <c r="J13" s="7">
        <f>PMT('Game Assumptions'!$B$5+IF(AND('Event Tracker'!J$6=1,INDEX(BizModelSelected,1,1)=1),SUM('Customer Bills'!I$19*-0.0075,'Environmental Performance'!I$8*0.0075,Reliability!I$100*0.0075),0),'Game Assumptions'!$B$14,'Game Assumptions'!$G28*'Resource Mix and Demand'!J2)*-1+I13</f>
        <v>0</v>
      </c>
      <c r="K13" s="7">
        <f>PMT('Game Assumptions'!$B$5+IF(AND('Event Tracker'!K$6=1,INDEX(BizModelSelected,1,1)=1),SUM('Customer Bills'!J$19*-0.0075,'Environmental Performance'!J$8*0.0075,Reliability!J$100*0.0075),0),'Game Assumptions'!$B$14,'Game Assumptions'!$G28*'Resource Mix and Demand'!K2)*-1+J13</f>
        <v>0</v>
      </c>
      <c r="L13" s="7">
        <f>PMT('Game Assumptions'!$B$5+IF(AND('Event Tracker'!L$6=1,INDEX(BizModelSelected,1,1)=1),SUM('Customer Bills'!K$19*-0.0075,'Environmental Performance'!K$8*0.0075,Reliability!K$100*0.0075),0),'Game Assumptions'!$B$14,'Game Assumptions'!$G28*'Resource Mix and Demand'!L2)*-1+K13</f>
        <v>0</v>
      </c>
    </row>
    <row r="14" spans="1:12" x14ac:dyDescent="0.25">
      <c r="A14" t="s">
        <v>46</v>
      </c>
      <c r="B14" s="7">
        <f>PMT('Game Assumptions'!$B$5,'Game Assumptions'!$B$14,'Game Assumptions'!$G29*'Resource Mix and Demand'!B3)*-1</f>
        <v>0</v>
      </c>
      <c r="C14" s="7">
        <f>PMT('Game Assumptions'!$B$5+IF(AND('Event Tracker'!C$6=1,INDEX(BizModelSelected,1,1)=1),SUM('Customer Bills'!B$19*-0.0075,'Environmental Performance'!B$8*0.0075,Reliability!B$100*0.0075),0),'Game Assumptions'!$B$14,'Game Assumptions'!$G29*'Resource Mix and Demand'!C3)*-1+B14</f>
        <v>0</v>
      </c>
      <c r="D14" s="7">
        <f>PMT('Game Assumptions'!$B$5+IF(AND('Event Tracker'!D$6=1,INDEX(BizModelSelected,1,1)=1),SUM('Customer Bills'!C$19*-0.0075,'Environmental Performance'!C$8*0.0075,Reliability!C$100*0.0075),0),'Game Assumptions'!$B$14,'Game Assumptions'!$G29*'Resource Mix and Demand'!D3)*-1+C14</f>
        <v>15656467.452365492</v>
      </c>
      <c r="E14" s="7">
        <f>PMT('Game Assumptions'!$B$5+IF(AND('Event Tracker'!E$6=1,INDEX(BizModelSelected,1,1)=1),SUM('Customer Bills'!D$19*-0.0075,'Environmental Performance'!D$8*0.0075,Reliability!D$100*0.0075),0),'Game Assumptions'!$B$14,'Game Assumptions'!$G29*'Resource Mix and Demand'!E3)*-1+D14</f>
        <v>79935437.043395042</v>
      </c>
      <c r="F14" s="7">
        <f>PMT('Game Assumptions'!$B$5+IF(AND('Event Tracker'!F$6=1,INDEX(BizModelSelected,1,1)=1),SUM('Customer Bills'!E$19*-0.0075,'Environmental Performance'!E$8*0.0075,Reliability!E$100*0.0075),0),'Game Assumptions'!$B$14,'Game Assumptions'!$G29*'Resource Mix and Demand'!F3)*-1+E14</f>
        <v>95602681.553859994</v>
      </c>
      <c r="G14" s="7">
        <f>PMT('Game Assumptions'!$B$5+IF(AND('Event Tracker'!G$6=1,INDEX(BizModelSelected,1,1)=1),SUM('Customer Bills'!F$19*-0.0075,'Environmental Performance'!F$8*0.0075,Reliability!F$100*0.0075),0),'Game Assumptions'!$B$14,'Game Assumptions'!$G29*'Resource Mix and Demand'!G3)*-1+F14</f>
        <v>110837688.76767455</v>
      </c>
      <c r="H14" s="7">
        <f>PMT('Game Assumptions'!$B$5+IF(AND('Event Tracker'!H$6=1,INDEX(BizModelSelected,1,1)=1),SUM('Customer Bills'!G$19*-0.0075,'Environmental Performance'!G$8*0.0075,Reliability!G$100*0.0075),0),'Game Assumptions'!$B$14,'Game Assumptions'!$G29*'Resource Mix and Demand'!H3)*-1+G14</f>
        <v>126350610.22095002</v>
      </c>
      <c r="I14" s="7">
        <f>PMT('Game Assumptions'!$B$5+IF(AND('Event Tracker'!I$6=1,INDEX(BizModelSelected,1,1)=1),SUM('Customer Bills'!H$19*-0.0075,'Environmental Performance'!H$8*0.0075,Reliability!H$100*0.0075),0),'Game Assumptions'!$B$14,'Game Assumptions'!$G29*'Resource Mix and Demand'!I3)*-1+H14</f>
        <v>142174567.36089754</v>
      </c>
      <c r="J14" s="7">
        <f>PMT('Game Assumptions'!$B$5+IF(AND('Event Tracker'!J$6=1,INDEX(BizModelSelected,1,1)=1),SUM('Customer Bills'!I$19*-0.0075,'Environmental Performance'!I$8*0.0075,Reliability!I$100*0.0075),0),'Game Assumptions'!$B$14,'Game Assumptions'!$G29*'Resource Mix and Demand'!J3)*-1+I14</f>
        <v>162656910.55900091</v>
      </c>
      <c r="K14" s="7">
        <f>PMT('Game Assumptions'!$B$5+IF(AND('Event Tracker'!K$6=1,INDEX(BizModelSelected,1,1)=1),SUM('Customer Bills'!J$19*-0.0075,'Environmental Performance'!J$8*0.0075,Reliability!J$100*0.0075),0),'Game Assumptions'!$B$14,'Game Assumptions'!$G29*'Resource Mix and Demand'!K3)*-1+J14</f>
        <v>187169868.79256651</v>
      </c>
      <c r="L14" s="7">
        <f>PMT('Game Assumptions'!$B$5+IF(AND('Event Tracker'!L$6=1,INDEX(BizModelSelected,1,1)=1),SUM('Customer Bills'!K$19*-0.0075,'Environmental Performance'!K$8*0.0075,Reliability!K$100*0.0075),0),'Game Assumptions'!$B$14,'Game Assumptions'!$G29*'Resource Mix and Demand'!L3)*-1+K14</f>
        <v>213394660.96146923</v>
      </c>
    </row>
    <row r="15" spans="1:12" x14ac:dyDescent="0.25">
      <c r="A15" t="s">
        <v>41</v>
      </c>
      <c r="B15" s="7">
        <f>PMT('Game Assumptions'!$B$5,'Game Assumptions'!$B$14,'Game Assumptions'!$G30*'Resource Mix and Demand'!B4)*-1</f>
        <v>0</v>
      </c>
      <c r="C15" s="7">
        <f>PMT('Game Assumptions'!$B$5+IF(AND('Event Tracker'!C$6=1,INDEX(BizModelSelected,1,1)=1),SUM('Customer Bills'!B$19*-0.0075,'Environmental Performance'!B$8*0.0075,Reliability!B$100*0.0075),0),'Game Assumptions'!$B$14,'Game Assumptions'!$G30*'Resource Mix and Demand'!C4)*-1+B15</f>
        <v>0</v>
      </c>
      <c r="D15" s="7">
        <f>PMT('Game Assumptions'!$B$5+IF(AND('Event Tracker'!D$6=1,INDEX(BizModelSelected,1,1)=1),SUM('Customer Bills'!C$19*-0.0075,'Environmental Performance'!C$8*0.0075,Reliability!C$100*0.0075),0),'Game Assumptions'!$B$14,'Game Assumptions'!$G30*'Resource Mix and Demand'!D4)*-1+C15</f>
        <v>0</v>
      </c>
      <c r="E15" s="7">
        <f>PMT('Game Assumptions'!$B$5+IF(AND('Event Tracker'!E$6=1,INDEX(BizModelSelected,1,1)=1),SUM('Customer Bills'!D$19*-0.0075,'Environmental Performance'!D$8*0.0075,Reliability!D$100*0.0075),0),'Game Assumptions'!$B$14,'Game Assumptions'!$G30*'Resource Mix and Demand'!E4)*-1+D15</f>
        <v>0</v>
      </c>
      <c r="F15" s="7">
        <f>PMT('Game Assumptions'!$B$5+IF(AND('Event Tracker'!F$6=1,INDEX(BizModelSelected,1,1)=1),SUM('Customer Bills'!E$19*-0.0075,'Environmental Performance'!E$8*0.0075,Reliability!E$100*0.0075),0),'Game Assumptions'!$B$14,'Game Assumptions'!$G30*'Resource Mix and Demand'!F4)*-1+E15</f>
        <v>0</v>
      </c>
      <c r="G15" s="7">
        <f>PMT('Game Assumptions'!$B$5+IF(AND('Event Tracker'!G$6=1,INDEX(BizModelSelected,1,1)=1),SUM('Customer Bills'!F$19*-0.0075,'Environmental Performance'!F$8*0.0075,Reliability!F$100*0.0075),0),'Game Assumptions'!$B$14,'Game Assumptions'!$G30*'Resource Mix and Demand'!G4)*-1+F15</f>
        <v>0</v>
      </c>
      <c r="H15" s="7">
        <f>PMT('Game Assumptions'!$B$5+IF(AND('Event Tracker'!H$6=1,INDEX(BizModelSelected,1,1)=1),SUM('Customer Bills'!G$19*-0.0075,'Environmental Performance'!G$8*0.0075,Reliability!G$100*0.0075),0),'Game Assumptions'!$B$14,'Game Assumptions'!$G30*'Resource Mix and Demand'!H4)*-1+G15</f>
        <v>0</v>
      </c>
      <c r="I15" s="7">
        <f>PMT('Game Assumptions'!$B$5+IF(AND('Event Tracker'!I$6=1,INDEX(BizModelSelected,1,1)=1),SUM('Customer Bills'!H$19*-0.0075,'Environmental Performance'!H$8*0.0075,Reliability!H$100*0.0075),0),'Game Assumptions'!$B$14,'Game Assumptions'!$G30*'Resource Mix and Demand'!I4)*-1+H15</f>
        <v>0</v>
      </c>
      <c r="J15" s="7">
        <f>PMT('Game Assumptions'!$B$5+IF(AND('Event Tracker'!J$6=1,INDEX(BizModelSelected,1,1)=1),SUM('Customer Bills'!I$19*-0.0075,'Environmental Performance'!I$8*0.0075,Reliability!I$100*0.0075),0),'Game Assumptions'!$B$14,'Game Assumptions'!$G30*'Resource Mix and Demand'!J4)*-1+I15</f>
        <v>0</v>
      </c>
      <c r="K15" s="7">
        <f>PMT('Game Assumptions'!$B$5+IF(AND('Event Tracker'!K$6=1,INDEX(BizModelSelected,1,1)=1),SUM('Customer Bills'!J$19*-0.0075,'Environmental Performance'!J$8*0.0075,Reliability!J$100*0.0075),0),'Game Assumptions'!$B$14,'Game Assumptions'!$G30*'Resource Mix and Demand'!K4)*-1+J15</f>
        <v>0</v>
      </c>
      <c r="L15" s="7">
        <f>PMT('Game Assumptions'!$B$5+IF(AND('Event Tracker'!L$6=1,INDEX(BizModelSelected,1,1)=1),SUM('Customer Bills'!K$19*-0.0075,'Environmental Performance'!K$8*0.0075,Reliability!K$100*0.0075),0),'Game Assumptions'!$B$14,'Game Assumptions'!$G30*'Resource Mix and Demand'!L4)*-1+K15</f>
        <v>0</v>
      </c>
    </row>
    <row r="16" spans="1:12" x14ac:dyDescent="0.25">
      <c r="A16" t="s">
        <v>44</v>
      </c>
      <c r="B16" s="7">
        <f>PMT('Game Assumptions'!$B$5,'Game Assumptions'!$B$14,'Game Assumptions'!$G31*'Resource Mix and Demand'!B5*(1-'Game Assumptions'!$B$15)^'Utility Revenue'!B6)*-1</f>
        <v>0</v>
      </c>
      <c r="C16" s="7">
        <f>PMT('Game Assumptions'!$B$5+IF(AND('Event Tracker'!C$6=1,INDEX(BizModelSelected,1,1)=1),SUM('Customer Bills'!B$19*-0.0075,'Environmental Performance'!B$8*0.0075,Reliability!B$100*0.0075),0),'Game Assumptions'!$B$14,(('Game Assumptions'!$G31*(1-'Game Assumptions'!$B$15)^'Utility Revenue'!C6)*(1-INDEX('Game Assumptions'!$C$208:$L$208,1,MATCH('Utility Revenue'!C6,'Game Assumptions'!$C$205:$L$205,0)))*'Resource Mix and Demand'!C5))*-1+B16</f>
        <v>0</v>
      </c>
      <c r="D16" s="7">
        <f>PMT('Game Assumptions'!$B$5+IF(AND('Event Tracker'!D$6=1,INDEX(BizModelSelected,1,1)=1),SUM('Customer Bills'!C$19*-0.0075,'Environmental Performance'!C$8*0.0075,Reliability!C$100*0.0075),0),'Game Assumptions'!$B$14,(('Game Assumptions'!$G31*(1-'Game Assumptions'!$B$15)^'Utility Revenue'!D6)*(1-INDEX('Game Assumptions'!$C$208:$L$208,1,MATCH('Utility Revenue'!D6,'Game Assumptions'!$C$205:$L$205,0)))*'Resource Mix and Demand'!D5))*-1+C16</f>
        <v>6768168.8225157885</v>
      </c>
      <c r="E16" s="7">
        <f>PMT('Game Assumptions'!$B$5+IF(AND('Event Tracker'!E$6=1,INDEX(BizModelSelected,1,1)=1),SUM('Customer Bills'!D$19*-0.0075,'Environmental Performance'!D$8*0.0075,Reliability!D$100*0.0075),0),'Game Assumptions'!$B$14,(('Game Assumptions'!$G31*(1-'Game Assumptions'!$B$15)^'Utility Revenue'!E6)*(1-INDEX('Game Assumptions'!$C$208:$L$208,1,MATCH('Utility Revenue'!E6,'Game Assumptions'!$C$205:$L$205,0)))*'Resource Mix and Demand'!E5))*-1+D16</f>
        <v>34574589.485989481</v>
      </c>
      <c r="F16" s="7">
        <f>PMT('Game Assumptions'!$B$5+IF(AND('Event Tracker'!F$6=1,INDEX(BizModelSelected,1,1)=1),SUM('Customer Bills'!E$19*-0.0075,'Environmental Performance'!E$8*0.0075,Reliability!E$100*0.0075),0),'Game Assumptions'!$B$14,(('Game Assumptions'!$G31*(1-'Game Assumptions'!$B$15)^'Utility Revenue'!F6)*(1-INDEX('Game Assumptions'!$C$208:$L$208,1,MATCH('Utility Revenue'!F6,'Game Assumptions'!$C$205:$L$205,0)))*'Resource Mix and Demand'!F5))*-1+E16</f>
        <v>41597528.974724412</v>
      </c>
      <c r="G16" s="7">
        <f>PMT('Game Assumptions'!$B$5+IF(AND('Event Tracker'!G$6=1,INDEX(BizModelSelected,1,1)=1),SUM('Customer Bills'!F$19*-0.0075,'Environmental Performance'!F$8*0.0075,Reliability!F$100*0.0075),0),'Game Assumptions'!$B$14,(('Game Assumptions'!$G31*(1-'Game Assumptions'!$B$15)^'Utility Revenue'!G6)*(1-INDEX('Game Assumptions'!$C$208:$L$208,1,MATCH('Utility Revenue'!G6,'Game Assumptions'!$C$205:$L$205,0)))*'Resource Mix and Demand'!G5))*-1+F16</f>
        <v>47730503.849043459</v>
      </c>
      <c r="H16" s="7">
        <f>PMT('Game Assumptions'!$B$5+IF(AND('Event Tracker'!H$6=1,INDEX(BizModelSelected,1,1)=1),SUM('Customer Bills'!G$19*-0.0075,'Environmental Performance'!G$8*0.0075,Reliability!G$100*0.0075),0),'Game Assumptions'!$B$14,(('Game Assumptions'!$G31*(1-'Game Assumptions'!$B$15)^'Utility Revenue'!H6)*(1-INDEX('Game Assumptions'!$C$208:$L$208,1,MATCH('Utility Revenue'!H6,'Game Assumptions'!$C$205:$L$205,0)))*'Resource Mix and Demand'!H5))*-1+G16</f>
        <v>53338714.668191276</v>
      </c>
      <c r="I16" s="7">
        <f>PMT('Game Assumptions'!$B$5+IF(AND('Event Tracker'!I$6=1,INDEX(BizModelSelected,1,1)=1),SUM('Customer Bills'!H$19*-0.0075,'Environmental Performance'!H$8*0.0075,Reliability!H$100*0.0075),0),'Game Assumptions'!$B$14,(('Game Assumptions'!$G31*(1-'Game Assumptions'!$B$15)^'Utility Revenue'!I6)*(1-INDEX('Game Assumptions'!$C$208:$L$208,1,MATCH('Utility Revenue'!I6,'Game Assumptions'!$C$205:$L$205,0)))*'Resource Mix and Demand'!I5))*-1+H16</f>
        <v>58476169.911714345</v>
      </c>
      <c r="J16" s="7">
        <f>PMT('Game Assumptions'!$B$5+IF(AND('Event Tracker'!J$6=1,INDEX(BizModelSelected,1,1)=1),SUM('Customer Bills'!I$19*-0.0075,'Environmental Performance'!I$8*0.0075,Reliability!I$100*0.0075),0),'Game Assumptions'!$B$14,(('Game Assumptions'!$G31*(1-'Game Assumptions'!$B$15)^'Utility Revenue'!J6)*(1-INDEX('Game Assumptions'!$C$208:$L$208,1,MATCH('Utility Revenue'!J6,'Game Assumptions'!$C$205:$L$205,0)))*'Resource Mix and Demand'!J5))*-1+I16</f>
        <v>64448101.285291463</v>
      </c>
      <c r="K16" s="7">
        <f>PMT('Game Assumptions'!$B$5+IF(AND('Event Tracker'!K$6=1,INDEX(BizModelSelected,1,1)=1),SUM('Customer Bills'!J$19*-0.0075,'Environmental Performance'!J$8*0.0075,Reliability!J$100*0.0075),0),'Game Assumptions'!$B$14,(('Game Assumptions'!$G31*(1-'Game Assumptions'!$B$15)^'Utility Revenue'!K6)*(1-INDEX('Game Assumptions'!$C$208:$L$208,1,MATCH('Utility Revenue'!K6,'Game Assumptions'!$C$205:$L$205,0)))*'Resource Mix and Demand'!K5))*-1+J16</f>
        <v>70866594.861967996</v>
      </c>
      <c r="L16" s="7">
        <f>PMT('Game Assumptions'!$B$5+IF(AND('Event Tracker'!L$6=1,INDEX(BizModelSelected,1,1)=1),SUM('Customer Bills'!K$19*-0.0075,'Environmental Performance'!K$8*0.0075,Reliability!K$100*0.0075),0),'Game Assumptions'!$B$14,(('Game Assumptions'!$G31*(1-'Game Assumptions'!$B$15)^'Utility Revenue'!L6)*(1-INDEX('Game Assumptions'!$C$208:$L$208,1,MATCH('Utility Revenue'!L6,'Game Assumptions'!$C$205:$L$205,0)))*'Resource Mix and Demand'!L5))*-1+K16</f>
        <v>77033278.329130664</v>
      </c>
    </row>
    <row r="17" spans="1:12" x14ac:dyDescent="0.25">
      <c r="A17" t="s">
        <v>45</v>
      </c>
      <c r="B17" s="7">
        <f>PMT('Game Assumptions'!$B$5,'Game Assumptions'!$B$14,'Game Assumptions'!$G32*'Resource Mix and Demand'!B6)*-1</f>
        <v>0</v>
      </c>
      <c r="C17" s="7">
        <f>PMT('Game Assumptions'!$B$5+IF(AND('Event Tracker'!C$6=1,INDEX(BizModelSelected,1,1)=1),SUM('Customer Bills'!B$19*-0.0075,'Environmental Performance'!B$8*0.0075,Reliability!B$100*0.0075),0),'Game Assumptions'!$B$14,('Game Assumptions'!$G32*(1-'Game Assumptions'!$B$16)^'Utility Revenue'!C118-(INDEX('Game Assumptions'!$C$207:$L$207,1,MATCH('Utility Revenue'!C118,'Game Assumptions'!$C$205:$L$205,0))*8760*'Game Assumptions'!$G$59*'Game Assumptions'!$B$32))*'Resource Mix and Demand'!C6)*-1+B17</f>
        <v>0</v>
      </c>
      <c r="D17" s="7">
        <f>PMT('Game Assumptions'!$B$5+IF(AND('Event Tracker'!D$6=1,INDEX(BizModelSelected,1,1)=1),SUM('Customer Bills'!C$19*-0.0075,'Environmental Performance'!C$8*0.0075,Reliability!C$100*0.0075),0),'Game Assumptions'!$B$14,('Game Assumptions'!$G32*(1-'Game Assumptions'!$B$16)^'Utility Revenue'!D118-(INDEX('Game Assumptions'!$C$207:$L$207,1,MATCH('Utility Revenue'!D118,'Game Assumptions'!$C$205:$L$205,0))*8760*'Game Assumptions'!$G$59*'Game Assumptions'!$B$32))*'Resource Mix and Demand'!D6)*-1+C17</f>
        <v>10009490.487588789</v>
      </c>
      <c r="E17" s="7">
        <f>PMT('Game Assumptions'!$B$5+IF(AND('Event Tracker'!E$6=1,INDEX(BizModelSelected,1,1)=1),SUM('Customer Bills'!D$19*-0.0075,'Environmental Performance'!D$8*0.0075,Reliability!D$100*0.0075),0),'Game Assumptions'!$B$14,('Game Assumptions'!$G32*(1-'Game Assumptions'!$B$16)^'Utility Revenue'!E118-(INDEX('Game Assumptions'!$C$207:$L$207,1,MATCH('Utility Revenue'!E118,'Game Assumptions'!$C$205:$L$205,0))*8760*'Game Assumptions'!$G$59*'Game Assumptions'!$B$32))*'Resource Mix and Demand'!E6)*-1+D17</f>
        <v>48251817.752751052</v>
      </c>
      <c r="F17" s="7">
        <f>PMT('Game Assumptions'!$B$5+IF(AND('Event Tracker'!F$6=1,INDEX(BizModelSelected,1,1)=1),SUM('Customer Bills'!E$19*-0.0075,'Environmental Performance'!E$8*0.0075,Reliability!E$100*0.0075),0),'Game Assumptions'!$B$14,('Game Assumptions'!$G32*(1-'Game Assumptions'!$B$16)^'Utility Revenue'!F118-(INDEX('Game Assumptions'!$C$207:$L$207,1,MATCH('Utility Revenue'!F118,'Game Assumptions'!$C$205:$L$205,0))*8760*'Game Assumptions'!$G$59*'Game Assumptions'!$B$32))*'Resource Mix and Demand'!F6)*-1+E17</f>
        <v>56925934.126987562</v>
      </c>
      <c r="G17" s="7">
        <f>PMT('Game Assumptions'!$B$5+IF(AND('Event Tracker'!G$6=1,INDEX(BizModelSelected,1,1)=1),SUM('Customer Bills'!F$19*-0.0075,'Environmental Performance'!F$8*0.0075,Reliability!F$100*0.0075),0),'Game Assumptions'!$B$14,('Game Assumptions'!$G32*(1-'Game Assumptions'!$B$16)^'Utility Revenue'!G118-(INDEX('Game Assumptions'!$C$207:$L$207,1,MATCH('Utility Revenue'!G118,'Game Assumptions'!$C$205:$L$205,0))*8760*'Game Assumptions'!$G$59*'Game Assumptions'!$B$32))*'Resource Mix and Demand'!G6)*-1+F17</f>
        <v>64775262.593077362</v>
      </c>
      <c r="H17" s="7">
        <f>PMT('Game Assumptions'!$B$5+IF(AND('Event Tracker'!H$6=1,INDEX(BizModelSelected,1,1)=1),SUM('Customer Bills'!G$19*-0.0075,'Environmental Performance'!G$8*0.0075,Reliability!G$100*0.0075),0),'Game Assumptions'!$B$14,('Game Assumptions'!$G32*(1-'Game Assumptions'!$B$16)^'Utility Revenue'!H118-(INDEX('Game Assumptions'!$C$207:$L$207,1,MATCH('Utility Revenue'!H118,'Game Assumptions'!$C$205:$L$205,0))*8760*'Game Assumptions'!$G$59*'Game Assumptions'!$B$32))*'Resource Mix and Demand'!H6)*-1+G17</f>
        <v>72212996.692834094</v>
      </c>
      <c r="I17" s="7">
        <f>PMT('Game Assumptions'!$B$5+IF(AND('Event Tracker'!I$6=1,INDEX(BizModelSelected,1,1)=1),SUM('Customer Bills'!H$19*-0.0075,'Environmental Performance'!H$8*0.0075,Reliability!H$100*0.0075),0),'Game Assumptions'!$B$14,('Game Assumptions'!$G32*(1-'Game Assumptions'!$B$16)^'Utility Revenue'!I118-(INDEX('Game Assumptions'!$C$207:$L$207,1,MATCH('Utility Revenue'!I118,'Game Assumptions'!$C$205:$L$205,0))*8760*'Game Assumptions'!$G$59*'Game Assumptions'!$B$32))*'Resource Mix and Demand'!I6)*-1+H17</f>
        <v>79273235.132317662</v>
      </c>
      <c r="J17" s="7">
        <f>PMT('Game Assumptions'!$B$5+IF(AND('Event Tracker'!J$6=1,INDEX(BizModelSelected,1,1)=1),SUM('Customer Bills'!I$19*-0.0075,'Environmental Performance'!I$8*0.0075,Reliability!I$100*0.0075),0),'Game Assumptions'!$B$14,('Game Assumptions'!$G32*(1-'Game Assumptions'!$B$16)^'Utility Revenue'!J118-(INDEX('Game Assumptions'!$C$207:$L$207,1,MATCH('Utility Revenue'!J118,'Game Assumptions'!$C$205:$L$205,0))*8760*'Game Assumptions'!$G$59*'Game Assumptions'!$B$32))*'Resource Mix and Demand'!J6)*-1+I17</f>
        <v>87777585.123128086</v>
      </c>
      <c r="K17" s="7">
        <f>PMT('Game Assumptions'!$B$5+IF(AND('Event Tracker'!K$6=1,INDEX(BizModelSelected,1,1)=1),SUM('Customer Bills'!J$19*-0.0075,'Environmental Performance'!J$8*0.0075,Reliability!J$100*0.0075),0),'Game Assumptions'!$B$14,('Game Assumptions'!$G32*(1-'Game Assumptions'!$B$16)^'Utility Revenue'!K118-(INDEX('Game Assumptions'!$C$207:$L$207,1,MATCH('Utility Revenue'!K118,'Game Assumptions'!$C$205:$L$205,0))*8760*'Game Assumptions'!$G$59*'Game Assumptions'!$B$32))*'Resource Mix and Demand'!K6)*-1+J17</f>
        <v>97248990.550367832</v>
      </c>
      <c r="L17" s="7">
        <f>PMT('Game Assumptions'!$B$5+IF(AND('Event Tracker'!L$6=1,INDEX(BizModelSelected,1,1)=1),SUM('Customer Bills'!K$19*-0.0075,'Environmental Performance'!K$8*0.0075,Reliability!K$100*0.0075),0),'Game Assumptions'!$B$14,('Game Assumptions'!$G32*(1-'Game Assumptions'!$B$16)^'Utility Revenue'!L118-(INDEX('Game Assumptions'!$C$207:$L$207,1,MATCH('Utility Revenue'!L118,'Game Assumptions'!$C$205:$L$205,0))*8760*'Game Assumptions'!$G$59*'Game Assumptions'!$B$32))*'Resource Mix and Demand'!L6)*-1+K17</f>
        <v>106678475.52358484</v>
      </c>
    </row>
    <row r="18" spans="1:12" x14ac:dyDescent="0.25">
      <c r="A18" t="s">
        <v>42</v>
      </c>
      <c r="B18" s="7">
        <f>PMT('Game Assumptions'!$B$5,'Game Assumptions'!$B$14,'Game Assumptions'!$G33*'Resource Mix and Demand'!B7)*-1</f>
        <v>0</v>
      </c>
      <c r="C18" s="7">
        <f>PMT('Game Assumptions'!$B$5+IF(AND('Event Tracker'!C$6=1,INDEX(BizModelSelected,1,1)=1),SUM('Customer Bills'!B$19*-0.0075,'Environmental Performance'!B$8*0.0075,Reliability!B$100*0.0075),0),'Game Assumptions'!$B$14,'Game Assumptions'!$G33*'Resource Mix and Demand'!C7)*-1+B18</f>
        <v>0</v>
      </c>
      <c r="D18" s="7">
        <f>PMT('Game Assumptions'!$B$5+IF(AND('Event Tracker'!D$6=1,INDEX(BizModelSelected,1,1)=1),SUM('Customer Bills'!C$19*-0.0075,'Environmental Performance'!C$8*0.0075,Reliability!C$100*0.0075),0),'Game Assumptions'!$B$14,'Game Assumptions'!$G33*'Resource Mix and Demand'!D7)*-1+C18</f>
        <v>0</v>
      </c>
      <c r="E18" s="7">
        <f>PMT('Game Assumptions'!$B$5+IF(AND('Event Tracker'!E$6=1,INDEX(BizModelSelected,1,1)=1),SUM('Customer Bills'!D$19*-0.0075,'Environmental Performance'!D$8*0.0075,Reliability!D$100*0.0075),0),'Game Assumptions'!$B$14,'Game Assumptions'!$G33*'Resource Mix and Demand'!E7)*-1+D18</f>
        <v>0</v>
      </c>
      <c r="F18" s="7">
        <f>PMT('Game Assumptions'!$B$5+IF(AND('Event Tracker'!F$6=1,INDEX(BizModelSelected,1,1)=1),SUM('Customer Bills'!E$19*-0.0075,'Environmental Performance'!E$8*0.0075,Reliability!E$100*0.0075),0),'Game Assumptions'!$B$14,'Game Assumptions'!$G33*'Resource Mix and Demand'!F7)*-1+E18</f>
        <v>0</v>
      </c>
      <c r="G18" s="7">
        <f>PMT('Game Assumptions'!$B$5+IF(AND('Event Tracker'!G$6=1,INDEX(BizModelSelected,1,1)=1),SUM('Customer Bills'!F$19*-0.0075,'Environmental Performance'!F$8*0.0075,Reliability!F$100*0.0075),0),'Game Assumptions'!$B$14,'Game Assumptions'!$G33*'Resource Mix and Demand'!G7)*-1+F18</f>
        <v>0</v>
      </c>
      <c r="H18" s="7">
        <f>PMT('Game Assumptions'!$B$5+IF(AND('Event Tracker'!H$6=1,INDEX(BizModelSelected,1,1)=1),SUM('Customer Bills'!G$19*-0.0075,'Environmental Performance'!G$8*0.0075,Reliability!G$100*0.0075),0),'Game Assumptions'!$B$14,'Game Assumptions'!$G33*'Resource Mix and Demand'!H7)*-1+G18</f>
        <v>0</v>
      </c>
      <c r="I18" s="7">
        <f>PMT('Game Assumptions'!$B$5+IF(AND('Event Tracker'!I$6=1,INDEX(BizModelSelected,1,1)=1),SUM('Customer Bills'!H$19*-0.0075,'Environmental Performance'!H$8*0.0075,Reliability!H$100*0.0075),0),'Game Assumptions'!$B$14,'Game Assumptions'!$G33*'Resource Mix and Demand'!I7)*-1+H18</f>
        <v>0</v>
      </c>
      <c r="J18" s="7">
        <f>PMT('Game Assumptions'!$B$5+IF(AND('Event Tracker'!J$6=1,INDEX(BizModelSelected,1,1)=1),SUM('Customer Bills'!I$19*-0.0075,'Environmental Performance'!I$8*0.0075,Reliability!I$100*0.0075),0),'Game Assumptions'!$B$14,'Game Assumptions'!$G33*'Resource Mix and Demand'!J7)*-1+I18</f>
        <v>0</v>
      </c>
      <c r="K18" s="7">
        <f>PMT('Game Assumptions'!$B$5+IF(AND('Event Tracker'!K$6=1,INDEX(BizModelSelected,1,1)=1),SUM('Customer Bills'!J$19*-0.0075,'Environmental Performance'!J$8*0.0075,Reliability!J$100*0.0075),0),'Game Assumptions'!$B$14,'Game Assumptions'!$G33*'Resource Mix and Demand'!K7)*-1+J18</f>
        <v>0</v>
      </c>
      <c r="L18" s="7">
        <f>PMT('Game Assumptions'!$B$5+IF(AND('Event Tracker'!L$6=1,INDEX(BizModelSelected,1,1)=1),SUM('Customer Bills'!K$19*-0.0075,'Environmental Performance'!K$8*0.0075,Reliability!K$100*0.0075),0),'Game Assumptions'!$B$14,'Game Assumptions'!$G33*'Resource Mix and Demand'!L7)*-1+K18</f>
        <v>0</v>
      </c>
    </row>
    <row r="19" spans="1:12" x14ac:dyDescent="0.25">
      <c r="A19" s="12" t="s">
        <v>47</v>
      </c>
      <c r="B19" s="7">
        <f>PMT(IF('Event Tracker'!B8=1,'Game Assumptions'!$B$5,0),'Game Assumptions'!$B$14,'Game Assumptions'!$G34*'Resource Mix and Demand'!B8)*-1</f>
        <v>0</v>
      </c>
      <c r="C19" s="7">
        <f>PMT(IF('Event Tracker'!C8=1,'Game Assumptions'!$B$5+IF('Event Tracker'!C$6=1,SUM('Customer Bills'!B19*-0.0075,'Environmental Performance'!B8*0.0075,Reliability!B100*0.0075),0),0),'Game Assumptions'!$B$14,'Game Assumptions'!$G34*'Resource Mix and Demand'!C8)*-1+B19</f>
        <v>591300</v>
      </c>
      <c r="D19" s="7">
        <f>PMT(IF('Event Tracker'!D8=1,'Game Assumptions'!$B$5+IF('Event Tracker'!D$6=1,SUM('Customer Bills'!C19*-0.0075,'Environmental Performance'!C8*0.0075,Reliability!C100*0.0075),0),0),'Game Assumptions'!$B$14,'Game Assumptions'!$G34*'Resource Mix and Demand'!D8)*-1+C19</f>
        <v>2924133.5442875554</v>
      </c>
      <c r="E19" s="7">
        <f>PMT(IF('Event Tracker'!E8=1,'Game Assumptions'!$B$5+IF('Event Tracker'!E$6=1,SUM('Customer Bills'!D19*-0.0075,'Environmental Performance'!D8*0.0075,Reliability!D100*0.0075),0),0),'Game Assumptions'!$B$14,'Game Assumptions'!$G34*'Resource Mix and Demand'!E8)*-1+D19</f>
        <v>10665448.838325318</v>
      </c>
      <c r="F19" s="7">
        <f>PMT(IF('Event Tracker'!F8=1,'Game Assumptions'!$B$5+IF('Event Tracker'!F$6=1,SUM('Customer Bills'!E19*-0.0075,'Environmental Performance'!E8*0.0075,Reliability!E100*0.0075),0),0),'Game Assumptions'!$B$14,'Game Assumptions'!$G34*'Resource Mix and Demand'!F8)*-1+E19</f>
        <v>12999481.159300273</v>
      </c>
      <c r="G19" s="7">
        <f>PMT(IF('Event Tracker'!G8=1,'Game Assumptions'!$B$5+IF('Event Tracker'!G$6=1,SUM('Customer Bills'!F19*-0.0075,'Environmental Performance'!F8*0.0075,Reliability!F100*0.0075),0),0),'Game Assumptions'!$B$14,'Game Assumptions'!$G34*'Resource Mix and Demand'!G8)*-1+F19</f>
        <v>15285433.940398239</v>
      </c>
      <c r="H19" s="7">
        <f>PMT(IF('Event Tracker'!H8=1,'Game Assumptions'!$B$5+IF('Event Tracker'!H$6=1,SUM('Customer Bills'!G19*-0.0075,'Environmental Performance'!G8*0.0075,Reliability!G100*0.0075),0),0),'Game Assumptions'!$B$14,'Game Assumptions'!$G34*'Resource Mix and Demand'!H8)*-1+G19</f>
        <v>17602300.270285476</v>
      </c>
      <c r="I19" s="7">
        <f>PMT(IF('Event Tracker'!I8=1,'Game Assumptions'!$B$5+IF('Event Tracker'!I$6=1,SUM('Customer Bills'!H19*-0.0075,'Environmental Performance'!H8*0.0075,Reliability!H100*0.0075),0),0),'Game Assumptions'!$B$14,'Game Assumptions'!$G34*'Resource Mix and Demand'!I8)*-1+H19</f>
        <v>19953764.384344522</v>
      </c>
      <c r="J19" s="7">
        <f>PMT(IF('Event Tracker'!J8=1,'Game Assumptions'!$B$5+IF('Event Tracker'!J$6=1,SUM('Customer Bills'!I19*-0.0075,'Environmental Performance'!I8*0.0075,Reliability!I100*0.0075),0),0),'Game Assumptions'!$B$14,'Game Assumptions'!$G34*'Resource Mix and Demand'!J8)*-1+I19</f>
        <v>22823400.021271206</v>
      </c>
      <c r="K19" s="7">
        <f>PMT(IF('Event Tracker'!K8=1,'Game Assumptions'!$B$5+IF('Event Tracker'!K$6=1,SUM('Customer Bills'!J19*-0.0075,'Environmental Performance'!J8*0.0075,Reliability!J100*0.0075),0),0),'Game Assumptions'!$B$14,'Game Assumptions'!$G34*'Resource Mix and Demand'!K8)*-1+J19</f>
        <v>26141377.61718218</v>
      </c>
      <c r="L19" s="7">
        <f>PMT(IF('Event Tracker'!L8=1,'Game Assumptions'!$B$5+IF('Event Tracker'!L$6=1,SUM('Customer Bills'!K19*-0.0075,'Environmental Performance'!K8*0.0075,Reliability!K100*0.0075),0),0),'Game Assumptions'!$B$14,'Game Assumptions'!$G34*'Resource Mix and Demand'!L8)*-1+K19</f>
        <v>29649769.572507858</v>
      </c>
    </row>
    <row r="20" spans="1:12" x14ac:dyDescent="0.25">
      <c r="A20" t="s">
        <v>287</v>
      </c>
      <c r="B20" s="7">
        <f>PMT('Game Assumptions'!$B$5,'Game Assumptions'!$B$14,Reliability!B9*'Game Assumptions'!$G35)*-1</f>
        <v>0</v>
      </c>
      <c r="C20" s="7">
        <f>PMT('Game Assumptions'!$B$5+IF(AND('Event Tracker'!C$6=1,INDEX(BizModelSelected,1,1)=1),SUM('Customer Bills'!B19*-0.0075,'Environmental Performance'!B8*0.0075,Reliability!B100*0.0075),0),'Game Assumptions'!$B$14,Reliability!C9*'Game Assumptions'!$G35)*-1+B20</f>
        <v>0</v>
      </c>
      <c r="D20" s="7">
        <f>PMT('Game Assumptions'!$B$5+IF(AND('Event Tracker'!D$6=1,INDEX(BizModelSelected,1,1)=1),SUM('Customer Bills'!C19*-0.0075,'Environmental Performance'!C8*0.0075,Reliability!C100*0.0075),0),'Game Assumptions'!$B$14,Reliability!D9*'Game Assumptions'!$G35)*-1+C20</f>
        <v>0</v>
      </c>
      <c r="E20" s="7">
        <f>PMT('Game Assumptions'!$B$5+IF(AND('Event Tracker'!E$6=1,INDEX(BizModelSelected,1,1)=1),SUM('Customer Bills'!D19*-0.0075,'Environmental Performance'!D8*0.0075,Reliability!D100*0.0075),0),'Game Assumptions'!$B$14,Reliability!E9*'Game Assumptions'!$G35)*-1+D20</f>
        <v>0</v>
      </c>
      <c r="F20" s="7">
        <f>PMT('Game Assumptions'!$B$5+IF(AND('Event Tracker'!F$6=1,INDEX(BizModelSelected,1,1)=1),SUM('Customer Bills'!E19*-0.0075,'Environmental Performance'!E8*0.0075,Reliability!E100*0.0075),0),'Game Assumptions'!$B$14,Reliability!F9*'Game Assumptions'!$G35)*-1+E20</f>
        <v>0</v>
      </c>
      <c r="G20" s="7">
        <f>PMT('Game Assumptions'!$B$5+IF(AND('Event Tracker'!G$6=1,INDEX(BizModelSelected,1,1)=1),SUM('Customer Bills'!F19*-0.0075,'Environmental Performance'!F8*0.0075,Reliability!F100*0.0075),0),'Game Assumptions'!$B$14,Reliability!G9*'Game Assumptions'!$G35)*-1+F20</f>
        <v>0</v>
      </c>
      <c r="H20" s="7">
        <f>PMT('Game Assumptions'!$B$5+IF(AND('Event Tracker'!H$6=1,INDEX(BizModelSelected,1,1)=1),SUM('Customer Bills'!G19*-0.0075,'Environmental Performance'!G8*0.0075,Reliability!G100*0.0075),0),'Game Assumptions'!$B$14,Reliability!H9*'Game Assumptions'!$G35)*-1+G20</f>
        <v>0</v>
      </c>
      <c r="I20" s="7">
        <f>PMT('Game Assumptions'!$B$5+IF(AND('Event Tracker'!I$6=1,INDEX(BizModelSelected,1,1)=1),SUM('Customer Bills'!H19*-0.0075,'Environmental Performance'!H8*0.0075,Reliability!H100*0.0075),0),'Game Assumptions'!$B$14,Reliability!I9*'Game Assumptions'!$G35)*-1+H20</f>
        <v>0</v>
      </c>
      <c r="J20" s="7">
        <f>PMT('Game Assumptions'!$B$5+IF(AND('Event Tracker'!J$6=1,INDEX(BizModelSelected,1,1)=1),SUM('Customer Bills'!I19*-0.0075,'Environmental Performance'!I8*0.0075,Reliability!I100*0.0075),0),'Game Assumptions'!$B$14,Reliability!J9*'Game Assumptions'!$G35)*-1+I20</f>
        <v>0</v>
      </c>
      <c r="K20" s="7">
        <f>PMT('Game Assumptions'!$B$5+IF(AND('Event Tracker'!K$6=1,INDEX(BizModelSelected,1,1)=1),SUM('Customer Bills'!J19*-0.0075,'Environmental Performance'!J8*0.0075,Reliability!J100*0.0075),0),'Game Assumptions'!$B$14,Reliability!K9*'Game Assumptions'!$G35)*-1+J20</f>
        <v>0</v>
      </c>
      <c r="L20" s="7">
        <f>PMT('Game Assumptions'!$B$5+IF(AND('Event Tracker'!L$6=1,INDEX(BizModelSelected,1,1)=1),SUM('Customer Bills'!K19*-0.0075,'Environmental Performance'!K8*0.0075,Reliability!K100*0.0075),0),'Game Assumptions'!$B$14,Reliability!L9*'Game Assumptions'!$G35)*-1+K20</f>
        <v>0</v>
      </c>
    </row>
    <row r="21" spans="1:12" x14ac:dyDescent="0.25">
      <c r="A21" t="s">
        <v>288</v>
      </c>
      <c r="B21" s="7">
        <f>PMT('Game Assumptions'!$B$5,'Game Assumptions'!$B$14,Reliability!B10*'Game Assumptions'!$G36)*-1</f>
        <v>0</v>
      </c>
      <c r="C21" s="7">
        <f>PMT('Game Assumptions'!$B$5+IF(AND('Event Tracker'!C$6=1,INDEX(BizModelSelected,1,1)=1),SUM('Customer Bills'!B20*-0.0075,'Environmental Performance'!B9*0.0075,Reliability!B101*0.0075),0),'Game Assumptions'!$B$14,Reliability!C10*'Game Assumptions'!$G36)*-1+B21</f>
        <v>0</v>
      </c>
      <c r="D21" s="7">
        <f>PMT('Game Assumptions'!$B$5+IF(AND('Event Tracker'!D$6=1,INDEX(BizModelSelected,1,1)=1),SUM('Customer Bills'!C20*-0.0075,'Environmental Performance'!C9*0.0075,Reliability!C101*0.0075),0),'Game Assumptions'!$B$14,Reliability!D10*'Game Assumptions'!$G36)*-1+C21</f>
        <v>0</v>
      </c>
      <c r="E21" s="7">
        <f>PMT('Game Assumptions'!$B$5+IF(AND('Event Tracker'!E$6=1,INDEX(BizModelSelected,1,1)=1),SUM('Customer Bills'!D20*-0.0075,'Environmental Performance'!D9*0.0075,Reliability!D101*0.0075),0),'Game Assumptions'!$B$14,Reliability!E10*'Game Assumptions'!$G36)*-1+D21</f>
        <v>0</v>
      </c>
      <c r="F21" s="7">
        <f>PMT('Game Assumptions'!$B$5+IF(AND('Event Tracker'!F$6=1,INDEX(BizModelSelected,1,1)=1),SUM('Customer Bills'!E20*-0.0075,'Environmental Performance'!E9*0.0075,Reliability!E101*0.0075),0),'Game Assumptions'!$B$14,Reliability!F10*'Game Assumptions'!$G36)*-1+E21</f>
        <v>0</v>
      </c>
      <c r="G21" s="7">
        <f>PMT('Game Assumptions'!$B$5+IF(AND('Event Tracker'!G$6=1,INDEX(BizModelSelected,1,1)=1),SUM('Customer Bills'!F20*-0.0075,'Environmental Performance'!F9*0.0075,Reliability!F101*0.0075),0),'Game Assumptions'!$B$14,Reliability!G10*'Game Assumptions'!$G36)*-1+F21</f>
        <v>0</v>
      </c>
      <c r="H21" s="7">
        <f>PMT('Game Assumptions'!$B$5+IF(AND('Event Tracker'!H$6=1,INDEX(BizModelSelected,1,1)=1),SUM('Customer Bills'!G20*-0.0075,'Environmental Performance'!G9*0.0075,Reliability!G101*0.0075),0),'Game Assumptions'!$B$14,Reliability!H10*'Game Assumptions'!$G36)*-1+G21</f>
        <v>0</v>
      </c>
      <c r="I21" s="7">
        <f>PMT('Game Assumptions'!$B$5+IF(AND('Event Tracker'!I$6=1,INDEX(BizModelSelected,1,1)=1),SUM('Customer Bills'!H20*-0.0075,'Environmental Performance'!H9*0.0075,Reliability!H101*0.0075),0),'Game Assumptions'!$B$14,Reliability!I10*'Game Assumptions'!$G36)*-1+H21</f>
        <v>0</v>
      </c>
      <c r="J21" s="7">
        <f>PMT('Game Assumptions'!$B$5+IF(AND('Event Tracker'!J$6=1,INDEX(BizModelSelected,1,1)=1),SUM('Customer Bills'!I20*-0.0075,'Environmental Performance'!I9*0.0075,Reliability!I101*0.0075),0),'Game Assumptions'!$B$14,Reliability!J10*'Game Assumptions'!$G36)*-1+I21</f>
        <v>0</v>
      </c>
      <c r="K21" s="7">
        <f>PMT('Game Assumptions'!$B$5+IF(AND('Event Tracker'!K$6=1,INDEX(BizModelSelected,1,1)=1),SUM('Customer Bills'!J20*-0.0075,'Environmental Performance'!J9*0.0075,Reliability!J101*0.0075),0),'Game Assumptions'!$B$14,Reliability!K10*'Game Assumptions'!$G36)*-1+J21</f>
        <v>0</v>
      </c>
      <c r="L21" s="7">
        <f>PMT('Game Assumptions'!$B$5+IF(AND('Event Tracker'!L$6=1,INDEX(BizModelSelected,1,1)=1),SUM('Customer Bills'!K20*-0.0075,'Environmental Performance'!K9*0.0075,Reliability!K101*0.0075),0),'Game Assumptions'!$B$14,Reliability!L10*'Game Assumptions'!$G36)*-1+K21</f>
        <v>0</v>
      </c>
    </row>
    <row r="22" spans="1:12" x14ac:dyDescent="0.25">
      <c r="A22" t="s">
        <v>289</v>
      </c>
      <c r="B22" s="7">
        <f>PMT('Game Assumptions'!$B$5,'Game Assumptions'!$B$14,Reliability!B11*'Game Assumptions'!$G37)*-1</f>
        <v>0</v>
      </c>
      <c r="C22" s="7">
        <f>PMT('Game Assumptions'!$B$5+IF('Event Tracker'!C$6=1,SUM('Customer Bills'!B19*-0.0075,'Environmental Performance'!B8*0.0075,Reliability!B100*0.0075),0),'Game Assumptions'!$B$14,Reliability!C11*'Game Assumptions'!$G37)*-1+B22</f>
        <v>0</v>
      </c>
      <c r="D22" s="7">
        <f>PMT('Game Assumptions'!$B$5+IF('Event Tracker'!D$6=1,SUM('Customer Bills'!C19*-0.0075,'Environmental Performance'!C8*0.0075,Reliability!C100*0.0075),0),'Game Assumptions'!$B$14,Reliability!D11*'Game Assumptions'!$G37)*-1+C22</f>
        <v>0</v>
      </c>
      <c r="E22" s="7">
        <f>PMT('Game Assumptions'!$B$5+IF('Event Tracker'!E$6=1,SUM('Customer Bills'!D19*-0.0075,'Environmental Performance'!D8*0.0075,Reliability!D100*0.0075),0),'Game Assumptions'!$B$14,Reliability!E11*'Game Assumptions'!$G37)*-1+D22</f>
        <v>0</v>
      </c>
      <c r="F22" s="7">
        <f>PMT('Game Assumptions'!$B$5+IF('Event Tracker'!F$6=1,SUM('Customer Bills'!E19*-0.0075,'Environmental Performance'!E8*0.0075,Reliability!E100*0.0075),0),'Game Assumptions'!$B$14,Reliability!F11*'Game Assumptions'!$G37)*-1+E22</f>
        <v>0</v>
      </c>
      <c r="G22" s="7">
        <f>PMT('Game Assumptions'!$B$5+IF('Event Tracker'!G$6=1,SUM('Customer Bills'!F19*-0.0075,'Environmental Performance'!F8*0.0075,Reliability!F100*0.0075),0),'Game Assumptions'!$B$14,Reliability!G11*'Game Assumptions'!$G37)*-1+F22</f>
        <v>0</v>
      </c>
      <c r="H22" s="7">
        <f>PMT('Game Assumptions'!$B$5+IF('Event Tracker'!H$6=1,SUM('Customer Bills'!G19*-0.0075,'Environmental Performance'!G8*0.0075,Reliability!G100*0.0075),0),'Game Assumptions'!$B$14,Reliability!H11*'Game Assumptions'!$G37)*-1+G22</f>
        <v>0</v>
      </c>
      <c r="I22" s="7">
        <f>PMT('Game Assumptions'!$B$5+IF('Event Tracker'!I$6=1,SUM('Customer Bills'!H19*-0.0075,'Environmental Performance'!H8*0.0075,Reliability!H100*0.0075),0),'Game Assumptions'!$B$14,Reliability!I11*'Game Assumptions'!$G37)*-1+H22</f>
        <v>0</v>
      </c>
      <c r="J22" s="7">
        <f>PMT('Game Assumptions'!$B$5+IF('Event Tracker'!J$6=1,SUM('Customer Bills'!I19*-0.0075,'Environmental Performance'!I8*0.0075,Reliability!I100*0.0075),0),'Game Assumptions'!$B$14,Reliability!J11*'Game Assumptions'!$G37)*-1+I22</f>
        <v>0</v>
      </c>
      <c r="K22" s="7">
        <f>PMT('Game Assumptions'!$B$5+IF('Event Tracker'!K$6=1,SUM('Customer Bills'!J19*-0.0075,'Environmental Performance'!J8*0.0075,Reliability!J100*0.0075),0),'Game Assumptions'!$B$14,Reliability!K11*'Game Assumptions'!$G37)*-1+J22</f>
        <v>0</v>
      </c>
      <c r="L22" s="7">
        <f>PMT('Game Assumptions'!$B$5+IF('Event Tracker'!L$6=1,SUM('Customer Bills'!K19*-0.0075,'Environmental Performance'!K8*0.0075,Reliability!K100*0.0075),0),'Game Assumptions'!$B$14,Reliability!L11*'Game Assumptions'!$G37)*-1+K22</f>
        <v>0</v>
      </c>
    </row>
    <row r="23" spans="1:12" s="117" customFormat="1" x14ac:dyDescent="0.25">
      <c r="A23" s="117" t="s">
        <v>290</v>
      </c>
      <c r="B23" s="118">
        <f>PMT(0,'Game Assumptions'!$B$14,Reliability!B12*'Game Assumptions'!$G38)*-1</f>
        <v>0</v>
      </c>
      <c r="C23" s="118">
        <f>PMT(0,'Game Assumptions'!$B$14,Reliability!C12*'Game Assumptions'!$G38)*-1+B23</f>
        <v>0</v>
      </c>
      <c r="D23" s="118">
        <f>PMT(0,'Game Assumptions'!$B$14,Reliability!D12*'Game Assumptions'!$G38)*-1+C23</f>
        <v>0</v>
      </c>
      <c r="E23" s="118">
        <f>PMT(0,'Game Assumptions'!$B$14,Reliability!E12*'Game Assumptions'!$G38)*-1+D23</f>
        <v>0</v>
      </c>
      <c r="F23" s="118">
        <f>PMT(0,'Game Assumptions'!$B$14,Reliability!F12*'Game Assumptions'!$G38)*-1+E23</f>
        <v>0</v>
      </c>
      <c r="G23" s="118">
        <f>PMT(0,'Game Assumptions'!$B$14,Reliability!G12*'Game Assumptions'!$G38)*-1+F23</f>
        <v>0</v>
      </c>
      <c r="H23" s="118">
        <f>PMT(0,'Game Assumptions'!$B$14,Reliability!H12*'Game Assumptions'!$G38)*-1+G23</f>
        <v>0</v>
      </c>
      <c r="I23" s="118">
        <f>PMT(0,'Game Assumptions'!$B$14,Reliability!I12*'Game Assumptions'!$G38)*-1+H23</f>
        <v>0</v>
      </c>
      <c r="J23" s="118">
        <f>PMT(0,'Game Assumptions'!$B$14,Reliability!J12*'Game Assumptions'!$G38)*-1+I23</f>
        <v>0</v>
      </c>
      <c r="K23" s="118">
        <f>PMT(0,'Game Assumptions'!$B$14,Reliability!K12*'Game Assumptions'!$G38)*-1+J23</f>
        <v>0</v>
      </c>
      <c r="L23" s="118">
        <f>PMT(0,'Game Assumptions'!$B$14,Reliability!L12*'Game Assumptions'!$G38)*-1+K23</f>
        <v>0</v>
      </c>
    </row>
    <row r="24" spans="1:12" x14ac:dyDescent="0.25">
      <c r="A24" s="12" t="s">
        <v>67</v>
      </c>
      <c r="B24" s="27">
        <f>PMT('Game Assumptions'!$B$5,'Game Assumptions'!$B$14,Reliability!B38*'Game Assumptions'!$B$111)*-1</f>
        <v>0</v>
      </c>
      <c r="C24" s="27">
        <f>PMT('Game Assumptions'!$B$5+IF(AND(INDEX(BizModelSelected,1,1)=1,'Event Tracker'!C$6=1),SUM('Customer Bills'!B19*-0.0075,'Environmental Performance'!B8*0.0075,Reliability!B100*0.0075),0),'Game Assumptions'!$B$14,Reliability!C38*'Game Assumptions'!$B$111)*-1+B24</f>
        <v>0</v>
      </c>
      <c r="D24" s="27">
        <f>PMT('Game Assumptions'!$B$5+IF(AND(INDEX(BizModelSelected,1,1)=1,'Event Tracker'!D$6=1),SUM('Customer Bills'!C19*-0.0075,'Environmental Performance'!C8*0.0075,Reliability!C100*0.0075),0),'Game Assumptions'!$B$14,Reliability!D38*'Game Assumptions'!$B$111)*-1+C24</f>
        <v>0</v>
      </c>
      <c r="E24" s="27">
        <f>PMT('Game Assumptions'!$B$5+IF(AND(INDEX(BizModelSelected,1,1)=1,'Event Tracker'!E$6=1),SUM('Customer Bills'!D19*-0.0075,'Environmental Performance'!D8*0.0075,Reliability!D100*0.0075),0),'Game Assumptions'!$B$14,Reliability!E38*'Game Assumptions'!$B$111)*-1+D24</f>
        <v>0</v>
      </c>
      <c r="F24" s="27">
        <f>PMT('Game Assumptions'!$B$5+IF(AND(INDEX(BizModelSelected,1,1)=1,'Event Tracker'!F$6=1),SUM('Customer Bills'!E19*-0.0075,'Environmental Performance'!E8*0.0075,Reliability!E100*0.0075),0),'Game Assumptions'!$B$14,Reliability!F38*'Game Assumptions'!$B$111)*-1+E24</f>
        <v>0</v>
      </c>
      <c r="G24" s="27">
        <f>PMT('Game Assumptions'!$B$5+IF(AND(INDEX(BizModelSelected,1,1)=1,'Event Tracker'!G$6=1),SUM('Customer Bills'!F19*-0.0075,'Environmental Performance'!F8*0.0075,Reliability!F100*0.0075),0),'Game Assumptions'!$B$14,Reliability!G38*'Game Assumptions'!$B$111)*-1+F24</f>
        <v>0</v>
      </c>
      <c r="H24" s="27">
        <f>PMT('Game Assumptions'!$B$5+IF(AND(INDEX(BizModelSelected,1,1)=1,'Event Tracker'!H$6=1),SUM('Customer Bills'!G19*-0.0075,'Environmental Performance'!G8*0.0075,Reliability!G100*0.0075),0),'Game Assumptions'!$B$14,Reliability!H38*'Game Assumptions'!$B$111)*-1+G24</f>
        <v>0</v>
      </c>
      <c r="I24" s="27">
        <f>PMT('Game Assumptions'!$B$5+IF(AND(INDEX(BizModelSelected,1,1)=1,'Event Tracker'!I$6=1),SUM('Customer Bills'!H19*-0.0075,'Environmental Performance'!H8*0.0075,Reliability!H100*0.0075),0),'Game Assumptions'!$B$14,Reliability!I38*'Game Assumptions'!$B$111)*-1+H24</f>
        <v>0</v>
      </c>
      <c r="J24" s="27">
        <f>PMT('Game Assumptions'!$B$5+IF(AND(INDEX(BizModelSelected,1,1)=1,'Event Tracker'!J$6=1),SUM('Customer Bills'!I19*-0.0075,'Environmental Performance'!I8*0.0075,Reliability!I100*0.0075),0),'Game Assumptions'!$B$14,Reliability!J38*'Game Assumptions'!$B$111)*-1+I24</f>
        <v>0</v>
      </c>
      <c r="K24" s="27">
        <f>PMT('Game Assumptions'!$B$5+IF(AND(INDEX(BizModelSelected,1,1)=1,'Event Tracker'!K$6=1),SUM('Customer Bills'!J19*-0.0075,'Environmental Performance'!J8*0.0075,Reliability!J100*0.0075),0),'Game Assumptions'!$B$14,Reliability!K38*'Game Assumptions'!$B$111)*-1+J24</f>
        <v>0</v>
      </c>
      <c r="L24" s="27">
        <f>PMT('Game Assumptions'!$B$5+IF(AND(INDEX(BizModelSelected,1,1)=1,'Event Tracker'!L$6=1),SUM('Customer Bills'!K19*-0.0075,'Environmental Performance'!K8*0.0075,Reliability!K100*0.0075),0),'Game Assumptions'!$B$14,Reliability!L38*'Game Assumptions'!$B$111)*-1+K24</f>
        <v>0</v>
      </c>
    </row>
    <row r="25" spans="1:12" x14ac:dyDescent="0.25">
      <c r="A25" s="12" t="s">
        <v>68</v>
      </c>
      <c r="B25" s="116">
        <f>PMT('Game Assumptions'!$B$5,'Game Assumptions'!$B$14,SUM('Game Assumptions'!$B$135:$B$136)*Reliability!B13)*-1</f>
        <v>0</v>
      </c>
      <c r="C25" s="116">
        <f>PMT('Game Assumptions'!$B$5+IF('Event Tracker'!C$6=1,SUM('Customer Bills'!B19*-0.0075,'Environmental Performance'!B8*0.0075,Reliability!B100*0.0075),0),'Game Assumptions'!$B$14,SUM('Game Assumptions'!$B$135:$B$136)*Reliability!C13)*-1+B25</f>
        <v>0</v>
      </c>
      <c r="D25" s="116">
        <f>PMT('Game Assumptions'!$B$5+IF('Event Tracker'!D$6=1,SUM('Customer Bills'!C19*-0.0075,'Environmental Performance'!C8*0.0075,Reliability!C100*0.0075),0),'Game Assumptions'!$B$14,SUM('Game Assumptions'!$B$135:$B$136)*Reliability!D13)*-1+C25</f>
        <v>0</v>
      </c>
      <c r="E25" s="116">
        <f>PMT('Game Assumptions'!$B$5+IF('Event Tracker'!E$6=1,SUM('Customer Bills'!D19*0.0075,'Environmental Performance'!D8*0.0075,Reliability!D100*0.0075),0),'Game Assumptions'!$B$14,SUM('Game Assumptions'!$B$135:$B$136)*Reliability!E13)*-1+D25</f>
        <v>0</v>
      </c>
      <c r="F25" s="116">
        <f>PMT('Game Assumptions'!$B$5+IF('Event Tracker'!F$6=1,SUM('Customer Bills'!E19*0.0075,'Environmental Performance'!E8*0.0075,Reliability!E100*0.0075),0),'Game Assumptions'!$B$14,SUM('Game Assumptions'!$B$135:$B$136)*Reliability!F13)*-1+E25</f>
        <v>0</v>
      </c>
      <c r="G25" s="116">
        <f>PMT('Game Assumptions'!$B$5+IF('Event Tracker'!G$6=1,SUM('Customer Bills'!F19*0.0075,'Environmental Performance'!F8*0.0075,Reliability!F100*0.0075),0),'Game Assumptions'!$B$14,SUM('Game Assumptions'!$B$135:$B$136)*Reliability!G13)*-1+F25</f>
        <v>0</v>
      </c>
      <c r="H25" s="116">
        <f>PMT('Game Assumptions'!$B$5+IF('Event Tracker'!H$6=1,SUM('Customer Bills'!G19*0.0075,'Environmental Performance'!G8*0.0075,Reliability!G100*0.0075),0),'Game Assumptions'!$B$14,SUM('Game Assumptions'!$B$135:$B$136)*Reliability!H13)*-1+G25</f>
        <v>0</v>
      </c>
      <c r="I25" s="116">
        <f>PMT('Game Assumptions'!$B$5+IF('Event Tracker'!I$6=1,SUM('Customer Bills'!H19*0.0075,'Environmental Performance'!H8*0.0075,Reliability!H100*0.0075),0),'Game Assumptions'!$B$14,SUM('Game Assumptions'!$B$135:$B$136)*Reliability!I13)*-1+H25</f>
        <v>0</v>
      </c>
      <c r="J25" s="116">
        <f>PMT('Game Assumptions'!$B$5+IF('Event Tracker'!J$6=1,SUM('Customer Bills'!I19*0.0075,'Environmental Performance'!I8*0.0075,Reliability!I100*0.0075),0),'Game Assumptions'!$B$14,SUM('Game Assumptions'!$B$135:$B$136)*Reliability!J13)*-1+I25</f>
        <v>0</v>
      </c>
      <c r="K25" s="116">
        <f>PMT('Game Assumptions'!$B$5+IF('Event Tracker'!K$6=1,SUM('Customer Bills'!J19*0.0075,'Environmental Performance'!J8*0.0075,Reliability!J100*0.0075),0),'Game Assumptions'!$B$14,SUM('Game Assumptions'!$B$135:$B$136)*Reliability!K13)*-1+J25</f>
        <v>0</v>
      </c>
      <c r="L25" s="116">
        <f>PMT('Game Assumptions'!$B$5+IF('Event Tracker'!L$6=1,SUM('Customer Bills'!K19*0.0075,'Environmental Performance'!K8*0.0075,Reliability!K100*0.0075),0),'Game Assumptions'!$B$14,SUM('Game Assumptions'!$B$135:$B$136)*Reliability!L13)*-1+K25</f>
        <v>0</v>
      </c>
    </row>
    <row r="26" spans="1:12" x14ac:dyDescent="0.25">
      <c r="A26" s="12" t="s">
        <v>388</v>
      </c>
      <c r="B26" s="116">
        <v>0</v>
      </c>
      <c r="C26" s="116">
        <f>PMT('Game Assumptions'!$B$5+IF('Event Tracker'!C$6=1,SUM('Customer Bills'!B19*-0.0075,'Environmental Performance'!B8*0.0075,Reliability!B100*0.0075),0),'Game Assumptions'!$B$14,'Game Assumptions'!$G28*'Resource Mix and Demand'!C9)*-1+B26</f>
        <v>3170131.6662229747</v>
      </c>
      <c r="D26" s="116">
        <f>PMT('Game Assumptions'!$B$5+IF('Event Tracker'!D$6=1,SUM('Customer Bills'!C19*-0.0075,'Environmental Performance'!C8*0.0075,Reliability!C100*0.0075),0),'Game Assumptions'!$B$14,'Game Assumptions'!$G28*'Resource Mix and Demand'!D9)*-1+C26</f>
        <v>29682435.81906658</v>
      </c>
      <c r="E26" s="116">
        <f>PMT('Game Assumptions'!$B$5+IF('Event Tracker'!E$6=1,SUM('Customer Bills'!D19*-0.0075,'Environmental Performance'!D8*0.0075,Reliability!D100*0.0075),0),'Game Assumptions'!$B$14,'Game Assumptions'!$G28*'Resource Mix and Demand'!E9)*-1+D26</f>
        <v>128685858.10598837</v>
      </c>
      <c r="F26" s="116">
        <f>PMT('Game Assumptions'!$B$5+IF('Event Tracker'!F$6=1,SUM('Customer Bills'!E19*-0.0075,'Environmental Performance'!E8*0.0075,Reliability!E100*0.0075),0),'Game Assumptions'!$B$14,'Game Assumptions'!$G28*'Resource Mix and Demand'!F9)*-1+E26</f>
        <v>155214229.73700488</v>
      </c>
      <c r="G26" s="116">
        <f>PMT('Game Assumptions'!$B$5+IF('Event Tracker'!G$6=1,SUM('Customer Bills'!F19*-0.0075,'Environmental Performance'!F8*0.0075,Reliability!F100*0.0075),0),'Game Assumptions'!$B$14,'Game Assumptions'!$G28*'Resource Mix and Demand'!G9)*-1+F26</f>
        <v>181098180.29639328</v>
      </c>
      <c r="H26" s="116">
        <f>PMT('Game Assumptions'!$B$5+IF('Event Tracker'!H$6=1,SUM('Customer Bills'!G19*-0.0075,'Environmental Performance'!G8*0.0075,Reliability!G100*0.0075),0),'Game Assumptions'!$B$14,'Game Assumptions'!$G28*'Resource Mix and Demand'!H9)*-1+G26</f>
        <v>207396472.22197565</v>
      </c>
      <c r="I26" s="116">
        <f>PMT('Game Assumptions'!$B$5+IF('Event Tracker'!I$6=1,SUM('Customer Bills'!H19*-0.0075,'Environmental Performance'!H8*0.0075,Reliability!H100*0.0075),0),'Game Assumptions'!$B$14,'Game Assumptions'!$G28*'Resource Mix and Demand'!I9)*-1+H26</f>
        <v>234158486.16338843</v>
      </c>
      <c r="J26" s="116">
        <f>PMT('Game Assumptions'!$B$5+IF('Event Tracker'!J$6=1,SUM('Customer Bills'!I19*-0.0075,'Environmental Performance'!I8*0.0075,Reliability!I100*0.0075),0),'Game Assumptions'!$B$14,'Game Assumptions'!$G28*'Resource Mix and Demand'!J9)*-1+I26</f>
        <v>267865671.56251171</v>
      </c>
      <c r="K26" s="116">
        <f>PMT('Game Assumptions'!$B$5+IF('Event Tracker'!K$6=1,SUM('Customer Bills'!J19*-0.0075,'Environmental Performance'!J8*0.0075,Reliability!J100*0.0075),0),'Game Assumptions'!$B$14,'Game Assumptions'!$G28*'Resource Mix and Demand'!K9)*-1+J26</f>
        <v>307582086.8004331</v>
      </c>
      <c r="L26" s="116">
        <f>PMT('Game Assumptions'!$B$5+IF('Event Tracker'!L$6=1,SUM('Customer Bills'!K19*-0.0075,'Environmental Performance'!K8*0.0075,Reliability!K100*0.0075),0),'Game Assumptions'!$B$14,'Game Assumptions'!$G28*'Resource Mix and Demand'!L9)*-1+K26</f>
        <v>349850669.25670439</v>
      </c>
    </row>
    <row r="27" spans="1:12" x14ac:dyDescent="0.25">
      <c r="A27" s="34" t="s">
        <v>77</v>
      </c>
      <c r="B27" s="130"/>
      <c r="C27" s="130"/>
      <c r="D27" s="130"/>
      <c r="E27" s="130"/>
      <c r="F27" s="130"/>
      <c r="G27" s="130"/>
      <c r="H27" s="130"/>
      <c r="I27" s="130"/>
      <c r="J27" s="130"/>
      <c r="K27" s="130"/>
      <c r="L27" s="130"/>
    </row>
    <row r="28" spans="1:12" ht="15.75" thickBot="1" x14ac:dyDescent="0.3">
      <c r="A28" s="75" t="s">
        <v>75</v>
      </c>
      <c r="B28" s="36"/>
      <c r="C28" s="36"/>
      <c r="D28" s="36"/>
      <c r="E28" s="36"/>
      <c r="F28" s="36"/>
      <c r="G28" s="36"/>
      <c r="H28" s="36"/>
      <c r="I28" s="36"/>
      <c r="J28" s="36"/>
      <c r="K28" s="36"/>
      <c r="L28" s="36"/>
    </row>
    <row r="29" spans="1:12" ht="15.75" thickTop="1" x14ac:dyDescent="0.25">
      <c r="A29" t="s">
        <v>55</v>
      </c>
      <c r="B29" s="7">
        <f>SUMPRODUCT('Resource Mix and Demand'!B$22:B$28,'Game Assumptions'!$B$41:$B$47)+SUMPRODUCT(Reliability!B$19:B$22,'Game Assumptions'!$B$48:$B$51)</f>
        <v>833519250</v>
      </c>
      <c r="C29" s="7">
        <f>SUMPRODUCT('Resource Mix and Demand'!C$22:C$28,'Game Assumptions'!$B$41:$B$47)+SUMPRODUCT(Reliability!C$19:C$22,'Game Assumptions'!$B$48:$B$51)</f>
        <v>688547250</v>
      </c>
      <c r="D29" s="7">
        <f>SUMPRODUCT('Resource Mix and Demand'!D$22:D$28,'Game Assumptions'!$B$41:$B$47)+SUMPRODUCT(Reliability!D$19:D$22,'Game Assumptions'!$B$48:$B$51)</f>
        <v>625551669.58500934</v>
      </c>
      <c r="E29" s="7">
        <f>SUMPRODUCT('Resource Mix and Demand'!E$22:E$28,'Game Assumptions'!$B$41:$B$47)+SUMPRODUCT(Reliability!E$19:E$22,'Game Assumptions'!$B$48:$B$51)</f>
        <v>589898969.12708914</v>
      </c>
      <c r="F29" s="7">
        <f>SUMPRODUCT('Resource Mix and Demand'!F$22:F$28,'Game Assumptions'!$B$41:$B$47)+SUMPRODUCT(Reliability!F$19:F$22,'Game Assumptions'!$B$48:$B$51)</f>
        <v>598709449.19424033</v>
      </c>
      <c r="G29" s="7">
        <f>SUMPRODUCT('Resource Mix and Demand'!G$22:G$28,'Game Assumptions'!$B$41:$B$47)+SUMPRODUCT(Reliability!G$19:G$22,'Game Assumptions'!$B$48:$B$51)</f>
        <v>607276860.47645783</v>
      </c>
      <c r="H29" s="7">
        <f>SUMPRODUCT('Resource Mix and Demand'!H$22:H$28,'Game Assumptions'!$B$41:$B$47)+SUMPRODUCT(Reliability!H$19:H$22,'Game Assumptions'!$B$48:$B$51)</f>
        <v>616000556.92199874</v>
      </c>
      <c r="I29" s="7">
        <f>SUMPRODUCT('Resource Mix and Demand'!I$22:I$28,'Game Assumptions'!$B$41:$B$47)+SUMPRODUCT(Reliability!I$19:I$22,'Game Assumptions'!$B$48:$B$51)</f>
        <v>624899164.3875196</v>
      </c>
      <c r="J29" s="7">
        <f>SUMPRODUCT('Resource Mix and Demand'!J$22:J$28,'Game Assumptions'!$B$41:$B$47)+SUMPRODUCT(Reliability!J$19:J$22,'Game Assumptions'!$B$48:$B$51)</f>
        <v>636417416.77420449</v>
      </c>
      <c r="K29" s="7">
        <f>SUMPRODUCT('Resource Mix and Demand'!K$22:K$28,'Game Assumptions'!$B$41:$B$47)+SUMPRODUCT(Reliability!K$19:K$22,'Game Assumptions'!$B$48:$B$51)</f>
        <v>650202286.84242105</v>
      </c>
      <c r="L29" s="7">
        <f>SUMPRODUCT('Resource Mix and Demand'!L$22:L$28,'Game Assumptions'!$B$41:$B$47)+SUMPRODUCT(Reliability!L$19:L$22,'Game Assumptions'!$B$48:$B$51)</f>
        <v>664949807.28323412</v>
      </c>
    </row>
    <row r="30" spans="1:12" x14ac:dyDescent="0.25">
      <c r="A30" t="s">
        <v>56</v>
      </c>
      <c r="B30" s="7">
        <f>SUMPRODUCT(Dispatch!B186:B192,'Game Assumptions'!$G$41:$G$47)</f>
        <v>219429435.516</v>
      </c>
      <c r="C30" s="7">
        <f>SUMPRODUCT(Dispatch!C186:C192,'Game Assumptions'!$G$41:$G$47)</f>
        <v>213300828.94080001</v>
      </c>
      <c r="D30" s="7">
        <f>SUMPRODUCT(Dispatch!D186:D192,'Game Assumptions'!$G$41:$G$47)</f>
        <v>179194833.25495464</v>
      </c>
      <c r="E30" s="7">
        <f>SUMPRODUCT(Dispatch!E186:E192,'Game Assumptions'!$G$41:$G$47)</f>
        <v>135166219.97576159</v>
      </c>
      <c r="F30" s="7">
        <f>SUMPRODUCT(Dispatch!F186:F192,'Game Assumptions'!$G$41:$G$47)</f>
        <v>131252516.01640332</v>
      </c>
      <c r="G30" s="7">
        <f>SUMPRODUCT(Dispatch!G186:G192,'Game Assumptions'!$G$41:$G$47)</f>
        <v>127746235.6106962</v>
      </c>
      <c r="H30" s="7">
        <f>SUMPRODUCT(Dispatch!H186:H192,'Game Assumptions'!$G$41:$G$47)</f>
        <v>125146007.72110242</v>
      </c>
      <c r="I30" s="7">
        <f>SUMPRODUCT(Dispatch!I186:I192,'Game Assumptions'!$G$41:$G$47)</f>
        <v>124739941.57193658</v>
      </c>
      <c r="J30" s="7">
        <f>SUMPRODUCT(Dispatch!J186:J192,'Game Assumptions'!$G$41:$G$47)</f>
        <v>123898279.64693657</v>
      </c>
      <c r="K30" s="7">
        <f>SUMPRODUCT(Dispatch!K186:K192,'Game Assumptions'!$G$41:$G$47)</f>
        <v>122920845.52193657</v>
      </c>
      <c r="L30" s="7">
        <f>SUMPRODUCT(Dispatch!L186:L192,'Game Assumptions'!$G$41:$G$47)</f>
        <v>122848559.39693657</v>
      </c>
    </row>
    <row r="31" spans="1:12" x14ac:dyDescent="0.25">
      <c r="A31" s="12" t="s">
        <v>57</v>
      </c>
      <c r="B31" s="27">
        <f>SUM(Dispatch!B244:B246)+SUMPRODUCT(Dispatch!B24:B30,Dispatch!B186:B192)</f>
        <v>1038587909.8080001</v>
      </c>
      <c r="C31" s="27">
        <f>SUM(Dispatch!C244:C246)+SUMPRODUCT(Dispatch!C24:C30,Dispatch!C186:C192)</f>
        <v>1261750369.5962882</v>
      </c>
      <c r="D31" s="27">
        <f>SUM(Dispatch!D244:D246)+SUMPRODUCT(Dispatch!D24:D30,Dispatch!D186:D192)</f>
        <v>1115647533.1034596</v>
      </c>
      <c r="E31" s="27">
        <f>SUM(Dispatch!E244:E246)+SUMPRODUCT(Dispatch!E24:E30,Dispatch!E186:E192)</f>
        <v>931764593.52311182</v>
      </c>
      <c r="F31" s="27">
        <f>SUM(Dispatch!F244:F246)+SUMPRODUCT(Dispatch!F24:F30,Dispatch!F186:F192)</f>
        <v>859084903.88036585</v>
      </c>
      <c r="G31" s="27">
        <f>SUM(Dispatch!G244:G246)+SUMPRODUCT(Dispatch!G24:G30,Dispatch!G186:G192)</f>
        <v>817977306.59684706</v>
      </c>
      <c r="H31" s="27">
        <f>SUM(Dispatch!H244:H246)+SUMPRODUCT(Dispatch!H24:H30,Dispatch!H186:H192)</f>
        <v>839904330.54348612</v>
      </c>
      <c r="I31" s="27">
        <f>SUM(Dispatch!I244:I246)+SUMPRODUCT(Dispatch!I24:I30,Dispatch!I186:I192)</f>
        <v>869780923.53015041</v>
      </c>
      <c r="J31" s="27">
        <f>SUM(Dispatch!J244:J246)+SUMPRODUCT(Dispatch!J24:J30,Dispatch!J186:J192)</f>
        <v>890942618.20355749</v>
      </c>
      <c r="K31" s="27">
        <f>SUM(Dispatch!K244:K246)+SUMPRODUCT(Dispatch!K24:K30,Dispatch!K186:K192)</f>
        <v>899435125.18869615</v>
      </c>
      <c r="L31" s="27">
        <f>SUM(Dispatch!L244:L246)+SUMPRODUCT(Dispatch!L24:L30,Dispatch!L186:L192)</f>
        <v>901936564.14951992</v>
      </c>
    </row>
    <row r="32" spans="1:12" ht="15.75" thickBot="1" x14ac:dyDescent="0.3">
      <c r="A32" s="75" t="s">
        <v>210</v>
      </c>
      <c r="B32" s="36"/>
      <c r="C32" s="36"/>
      <c r="D32" s="36"/>
      <c r="E32" s="36"/>
      <c r="F32" s="36"/>
      <c r="G32" s="36"/>
      <c r="H32" s="36"/>
      <c r="I32" s="36"/>
      <c r="J32" s="36"/>
      <c r="K32" s="36"/>
      <c r="L32" s="36"/>
    </row>
    <row r="33" spans="1:12" ht="15.75" thickTop="1" x14ac:dyDescent="0.25">
      <c r="A33" s="71" t="s">
        <v>211</v>
      </c>
      <c r="B33" s="27">
        <f>Reliability!B41*'Game Assumptions'!$B$117</f>
        <v>29791461.006910168</v>
      </c>
      <c r="C33" s="27">
        <f>Reliability!C41*'Game Assumptions'!$B$117</f>
        <v>29791461.006910168</v>
      </c>
      <c r="D33" s="27">
        <f>Reliability!D41*'Game Assumptions'!$B$117</f>
        <v>29791461.006910168</v>
      </c>
      <c r="E33" s="27">
        <f>Reliability!E41*'Game Assumptions'!$B$117</f>
        <v>29791461.006910168</v>
      </c>
      <c r="F33" s="27">
        <f>Reliability!F41*'Game Assumptions'!$B$117</f>
        <v>29791461.006910168</v>
      </c>
      <c r="G33" s="27">
        <f>Reliability!G41*'Game Assumptions'!$B$117</f>
        <v>29791461.006910168</v>
      </c>
      <c r="H33" s="27">
        <f>Reliability!H41*'Game Assumptions'!$B$117</f>
        <v>29791461.006910168</v>
      </c>
      <c r="I33" s="27">
        <f>Reliability!I41*'Game Assumptions'!$B$117</f>
        <v>29791461.006910168</v>
      </c>
      <c r="J33" s="27">
        <f>Reliability!J41*'Game Assumptions'!$B$117</f>
        <v>29791461.006910168</v>
      </c>
      <c r="K33" s="27">
        <f>Reliability!K41*'Game Assumptions'!$B$117</f>
        <v>29791461.006910168</v>
      </c>
      <c r="L33" s="27">
        <f>Reliability!L41*'Game Assumptions'!$B$117</f>
        <v>29791461.006910168</v>
      </c>
    </row>
    <row r="34" spans="1:12" x14ac:dyDescent="0.25">
      <c r="A34" s="72" t="s">
        <v>213</v>
      </c>
      <c r="B34" s="27">
        <f>'Game Assumptions'!$B$124*'Game Assumptions'!$B$120</f>
        <v>424000</v>
      </c>
      <c r="C34" s="27">
        <f>'Game Assumptions'!$B$124*'Game Assumptions'!$B$120</f>
        <v>424000</v>
      </c>
      <c r="D34" s="27">
        <f>'Game Assumptions'!$B$124*'Game Assumptions'!$B$120</f>
        <v>424000</v>
      </c>
      <c r="E34" s="27">
        <f>'Game Assumptions'!$B$124*'Game Assumptions'!$B$120</f>
        <v>424000</v>
      </c>
      <c r="F34" s="27">
        <f>'Game Assumptions'!$B$124*'Game Assumptions'!$B$120</f>
        <v>424000</v>
      </c>
      <c r="G34" s="27">
        <f>'Game Assumptions'!$B$124*'Game Assumptions'!$B$120</f>
        <v>424000</v>
      </c>
      <c r="H34" s="27">
        <f>'Game Assumptions'!$B$124*'Game Assumptions'!$B$120</f>
        <v>424000</v>
      </c>
      <c r="I34" s="27">
        <f>'Game Assumptions'!$B$124*'Game Assumptions'!$B$120</f>
        <v>424000</v>
      </c>
      <c r="J34" s="27">
        <f>'Game Assumptions'!$B$124*'Game Assumptions'!$B$120</f>
        <v>424000</v>
      </c>
      <c r="K34" s="27">
        <f>'Game Assumptions'!$B$124*'Game Assumptions'!$B$120</f>
        <v>424000</v>
      </c>
      <c r="L34" s="27">
        <f>'Game Assumptions'!$B$124*'Game Assumptions'!$B$120</f>
        <v>424000</v>
      </c>
    </row>
    <row r="35" spans="1:12" ht="15.75" thickBot="1" x14ac:dyDescent="0.3">
      <c r="A35" s="75" t="s">
        <v>206</v>
      </c>
      <c r="B35" s="135"/>
      <c r="C35" s="135"/>
      <c r="D35" s="135"/>
      <c r="E35" s="135"/>
      <c r="F35" s="135"/>
      <c r="G35" s="135"/>
      <c r="H35" s="135"/>
      <c r="I35" s="135"/>
      <c r="J35" s="135"/>
      <c r="K35" s="135"/>
      <c r="L35" s="135"/>
    </row>
    <row r="36" spans="1:12" ht="15.75" thickTop="1" x14ac:dyDescent="0.25">
      <c r="A36" t="s">
        <v>207</v>
      </c>
      <c r="B36" s="7">
        <f>Dispatch!B123</f>
        <v>0</v>
      </c>
      <c r="C36" s="7">
        <f>Dispatch!C123</f>
        <v>0</v>
      </c>
      <c r="D36" s="7">
        <f>Dispatch!D123</f>
        <v>0</v>
      </c>
      <c r="E36" s="7">
        <f>Dispatch!E123</f>
        <v>0</v>
      </c>
      <c r="F36" s="7">
        <f>Dispatch!F123</f>
        <v>0</v>
      </c>
      <c r="G36" s="7">
        <f>Dispatch!G123</f>
        <v>0</v>
      </c>
      <c r="H36" s="7">
        <f>Dispatch!H123</f>
        <v>0</v>
      </c>
      <c r="I36" s="7">
        <f>Dispatch!I123</f>
        <v>0</v>
      </c>
      <c r="J36" s="7">
        <f>Dispatch!J123</f>
        <v>0</v>
      </c>
      <c r="K36" s="7">
        <f>Dispatch!K123</f>
        <v>0</v>
      </c>
      <c r="L36" s="7">
        <f>Dispatch!L123</f>
        <v>0</v>
      </c>
    </row>
    <row r="37" spans="1:12" x14ac:dyDescent="0.25">
      <c r="A37" s="34" t="s">
        <v>398</v>
      </c>
      <c r="B37" s="94">
        <f>SUM(B29:B31,B13:B26,B9:B11,B33:B34,B36)</f>
        <v>5686579365.1411819</v>
      </c>
      <c r="C37" s="94">
        <f t="shared" ref="C37:L37" si="0">SUM(C29:C31,C13:C26,C9:C11,C33:C34,C36)</f>
        <v>5660550441.1973429</v>
      </c>
      <c r="D37" s="94">
        <f t="shared" si="0"/>
        <v>5376773084.2401285</v>
      </c>
      <c r="E37" s="94">
        <f t="shared" si="0"/>
        <v>5248429077.2001419</v>
      </c>
      <c r="F37" s="94">
        <f t="shared" si="0"/>
        <v>5139020659.1674662</v>
      </c>
      <c r="G37" s="94">
        <f t="shared" si="0"/>
        <v>5058509197.8320169</v>
      </c>
      <c r="H37" s="94">
        <f t="shared" si="0"/>
        <v>5041881506.139102</v>
      </c>
      <c r="I37" s="94">
        <f t="shared" si="0"/>
        <v>5035533560.4973965</v>
      </c>
      <c r="J37" s="94">
        <f t="shared" si="0"/>
        <v>5037055082.4078798</v>
      </c>
      <c r="K37" s="94">
        <f t="shared" si="0"/>
        <v>5039940066.5843983</v>
      </c>
      <c r="L37" s="94">
        <f t="shared" si="0"/>
        <v>5042862466.0587635</v>
      </c>
    </row>
    <row r="38" spans="1:12" x14ac:dyDescent="0.25">
      <c r="A38" s="34" t="s">
        <v>399</v>
      </c>
      <c r="B38" s="94">
        <f>SUM(B11,B19,B21,B23,B25,B29:B31,B34,B36)</f>
        <v>3110482683.5555067</v>
      </c>
      <c r="C38" s="94">
        <f t="shared" ref="C38:L38" si="1">SUM(C11,C19,C21,C23,C25,C29:C31,C34,C36)</f>
        <v>3183135836.7685947</v>
      </c>
      <c r="D38" s="94">
        <f t="shared" si="1"/>
        <v>2942264257.7192173</v>
      </c>
      <c r="E38" s="94">
        <f t="shared" si="1"/>
        <v>2686441319.6957941</v>
      </c>
      <c r="F38" s="94">
        <f t="shared" si="1"/>
        <v>2620992438.4818158</v>
      </c>
      <c r="G38" s="94">
        <f t="shared" si="1"/>
        <v>2587231924.8559055</v>
      </c>
      <c r="H38" s="94">
        <f t="shared" si="1"/>
        <v>2617599283.6883793</v>
      </c>
      <c r="I38" s="94">
        <f t="shared" si="1"/>
        <v>2658319882.1054573</v>
      </c>
      <c r="J38" s="94">
        <f t="shared" si="1"/>
        <v>2693027802.8774757</v>
      </c>
      <c r="K38" s="94">
        <f t="shared" si="1"/>
        <v>2717645723.401742</v>
      </c>
      <c r="L38" s="94">
        <f t="shared" si="1"/>
        <v>2738330788.6337051</v>
      </c>
    </row>
    <row r="40" spans="1:12" x14ac:dyDescent="0.25">
      <c r="A40" s="9" t="s">
        <v>80</v>
      </c>
      <c r="B40" s="9">
        <v>0</v>
      </c>
      <c r="C40" s="9">
        <v>1</v>
      </c>
      <c r="D40" s="9">
        <v>2</v>
      </c>
      <c r="E40" s="9">
        <v>3</v>
      </c>
      <c r="F40" s="9">
        <v>4</v>
      </c>
      <c r="G40" s="9">
        <v>5</v>
      </c>
      <c r="H40" s="9">
        <v>6</v>
      </c>
      <c r="I40" s="9">
        <v>7</v>
      </c>
      <c r="J40" s="9">
        <v>8</v>
      </c>
      <c r="K40" s="9">
        <v>9</v>
      </c>
      <c r="L40" s="9">
        <v>10</v>
      </c>
    </row>
    <row r="41" spans="1:12" x14ac:dyDescent="0.25">
      <c r="A41" s="28" t="s">
        <v>38</v>
      </c>
    </row>
    <row r="42" spans="1:12" x14ac:dyDescent="0.25">
      <c r="A42" s="26" t="s">
        <v>64</v>
      </c>
      <c r="B42" s="7">
        <f>'Game Assumptions'!$B$7*'Utility Revenue'!B9*IF('Event Tracker'!B$4=1,2,1)</f>
        <v>509261044.11575311</v>
      </c>
      <c r="C42" s="7">
        <f>'Game Assumptions'!$B$7*'Utility Revenue'!C9*IF('Event Tracker'!C$4=1,2,1)</f>
        <v>483797991.90996546</v>
      </c>
      <c r="D42" s="7">
        <f>'Game Assumptions'!$B$7*'Utility Revenue'!D9*IF('Event Tracker'!D$4=1,2,1)</f>
        <v>458334939.7041778</v>
      </c>
      <c r="E42" s="7">
        <f>'Game Assumptions'!$B$7*'Utility Revenue'!E9*IF('Event Tracker'!E$4=1,2,1)</f>
        <v>432871887.49839014</v>
      </c>
      <c r="F42" s="7">
        <f>'Game Assumptions'!$B$7*'Utility Revenue'!F9*IF('Event Tracker'!F$4=1,2,1)</f>
        <v>407408835.29260254</v>
      </c>
      <c r="G42" s="7">
        <f>'Game Assumptions'!$B$7*'Utility Revenue'!G9*IF('Event Tracker'!G$4=1,2,1)</f>
        <v>381945783.08681482</v>
      </c>
      <c r="H42" s="7">
        <f>'Game Assumptions'!$B$7*'Utility Revenue'!H9*IF('Event Tracker'!H$4=1,2,1)</f>
        <v>356482730.88102716</v>
      </c>
      <c r="I42" s="7">
        <f>'Game Assumptions'!$B$7*'Utility Revenue'!I9*IF('Event Tracker'!I$4=1,2,1)</f>
        <v>331019678.6752395</v>
      </c>
      <c r="J42" s="7">
        <f>'Game Assumptions'!$B$7*'Utility Revenue'!J9*IF('Event Tracker'!J$4=1,2,1)</f>
        <v>305556626.46945184</v>
      </c>
      <c r="K42" s="7">
        <f>'Game Assumptions'!$B$7*'Utility Revenue'!K9*IF('Event Tracker'!K$4=1,2,1)</f>
        <v>280093574.26366425</v>
      </c>
      <c r="L42" s="7">
        <f>'Game Assumptions'!$B$7*'Utility Revenue'!L9*IF('Event Tracker'!L$4=1,2,1)</f>
        <v>254630522.05787656</v>
      </c>
    </row>
    <row r="43" spans="1:12" x14ac:dyDescent="0.25">
      <c r="A43" s="26" t="s">
        <v>65</v>
      </c>
      <c r="B43" s="7">
        <f>'Game Assumptions'!$B$7*'Utility Revenue'!B10*IF('Event Tracker'!B$4=1,2,1)</f>
        <v>127315261.02893828</v>
      </c>
      <c r="C43" s="7">
        <f>'Game Assumptions'!$B$7*'Utility Revenue'!C10*IF('Event Tracker'!C$4=1,2,1)</f>
        <v>127315261.02893828</v>
      </c>
      <c r="D43" s="7">
        <f>'Game Assumptions'!$B$7*'Utility Revenue'!D10*IF('Event Tracker'!D$4=1,2,1)</f>
        <v>127315261.02893828</v>
      </c>
      <c r="E43" s="7">
        <f>'Game Assumptions'!$B$7*'Utility Revenue'!E10*IF('Event Tracker'!E$4=1,2,1)</f>
        <v>127315261.02893828</v>
      </c>
      <c r="F43" s="7">
        <f>'Game Assumptions'!$B$7*'Utility Revenue'!F10*IF('Event Tracker'!F$4=1,2,1)</f>
        <v>127315261.02893828</v>
      </c>
      <c r="G43" s="7">
        <f>'Game Assumptions'!$B$7*'Utility Revenue'!G10*IF('Event Tracker'!G$4=1,2,1)</f>
        <v>127315261.02893828</v>
      </c>
      <c r="H43" s="7">
        <f>'Game Assumptions'!$B$7*'Utility Revenue'!H10*IF('Event Tracker'!H$4=1,2,1)</f>
        <v>127315261.02893828</v>
      </c>
      <c r="I43" s="7">
        <f>'Game Assumptions'!$B$7*'Utility Revenue'!I10*IF('Event Tracker'!I$4=1,2,1)</f>
        <v>127315261.02893828</v>
      </c>
      <c r="J43" s="7">
        <f>'Game Assumptions'!$B$7*'Utility Revenue'!J10*IF('Event Tracker'!J$4=1,2,1)</f>
        <v>127315261.02893828</v>
      </c>
      <c r="K43" s="7">
        <f>'Game Assumptions'!$B$7*'Utility Revenue'!K10*IF('Event Tracker'!K$4=1,2,1)</f>
        <v>127315261.02893828</v>
      </c>
      <c r="L43" s="7">
        <f>'Game Assumptions'!$B$7*'Utility Revenue'!L10*IF('Event Tracker'!L$4=1,2,1)</f>
        <v>127315261.02893828</v>
      </c>
    </row>
    <row r="44" spans="1:12" x14ac:dyDescent="0.25">
      <c r="A44" s="29" t="s">
        <v>66</v>
      </c>
      <c r="B44" s="23">
        <f>'Game Assumptions'!$B$7*'Utility Revenue'!B11*IF('Event Tracker'!B$4=1,2,1)</f>
        <v>254630522.05787656</v>
      </c>
      <c r="C44" s="23">
        <f>'Game Assumptions'!$B$7*'Utility Revenue'!C11*IF('Event Tracker'!C$4=1,2,1)</f>
        <v>254630522.05787656</v>
      </c>
      <c r="D44" s="23">
        <f>'Game Assumptions'!$B$7*'Utility Revenue'!D11*IF('Event Tracker'!D$4=1,2,1)</f>
        <v>254630522.05787656</v>
      </c>
      <c r="E44" s="23">
        <f>'Game Assumptions'!$B$7*'Utility Revenue'!E11*IF('Event Tracker'!E$4=1,2,1)</f>
        <v>254630522.05787656</v>
      </c>
      <c r="F44" s="23">
        <f>'Game Assumptions'!$B$7*'Utility Revenue'!F11*IF('Event Tracker'!F$4=1,2,1)</f>
        <v>254630522.05787656</v>
      </c>
      <c r="G44" s="23">
        <f>'Game Assumptions'!$B$7*'Utility Revenue'!G11*IF('Event Tracker'!G$4=1,2,1)</f>
        <v>254630522.05787656</v>
      </c>
      <c r="H44" s="23">
        <f>'Game Assumptions'!$B$7*'Utility Revenue'!H11*IF('Event Tracker'!H$4=1,2,1)</f>
        <v>254630522.05787656</v>
      </c>
      <c r="I44" s="23">
        <f>'Game Assumptions'!$B$7*'Utility Revenue'!I11*IF('Event Tracker'!I$4=1,2,1)</f>
        <v>254630522.05787656</v>
      </c>
      <c r="J44" s="23">
        <f>'Game Assumptions'!$B$7*'Utility Revenue'!J11*IF('Event Tracker'!J$4=1,2,1)</f>
        <v>254630522.05787656</v>
      </c>
      <c r="K44" s="23">
        <f>'Game Assumptions'!$B$7*'Utility Revenue'!K11*IF('Event Tracker'!K$4=1,2,1)</f>
        <v>254630522.05787656</v>
      </c>
      <c r="L44" s="23">
        <f>'Game Assumptions'!$B$7*'Utility Revenue'!L11*IF('Event Tracker'!L$4=1,2,1)</f>
        <v>254630522.05787656</v>
      </c>
    </row>
    <row r="45" spans="1:12" x14ac:dyDescent="0.25">
      <c r="A45" s="4" t="s">
        <v>43</v>
      </c>
    </row>
    <row r="46" spans="1:12" x14ac:dyDescent="0.25">
      <c r="A46" t="s">
        <v>40</v>
      </c>
      <c r="B46" s="27">
        <f>'Game Assumptions'!$B$7*'Utility Revenue'!B13*IF('Event Tracker'!B$4=1,2,1)</f>
        <v>0</v>
      </c>
      <c r="C46" s="27">
        <f>'Game Assumptions'!$B$7*'Utility Revenue'!C13*IF('Event Tracker'!C$4=1,2,1)</f>
        <v>0</v>
      </c>
      <c r="D46" s="27">
        <f>'Game Assumptions'!$B$7*'Utility Revenue'!D13*IF('Event Tracker'!D$4=1,2,1)</f>
        <v>0</v>
      </c>
      <c r="E46" s="27">
        <f>'Game Assumptions'!$B$7*'Utility Revenue'!E13*IF('Event Tracker'!E$4=1,2,1)</f>
        <v>0</v>
      </c>
      <c r="F46" s="27">
        <f>'Game Assumptions'!$B$7*'Utility Revenue'!F13*IF('Event Tracker'!F$4=1,2,1)</f>
        <v>0</v>
      </c>
      <c r="G46" s="27">
        <f>'Game Assumptions'!$B$7*'Utility Revenue'!G13*IF('Event Tracker'!G$4=1,2,1)</f>
        <v>0</v>
      </c>
      <c r="H46" s="27">
        <f>'Game Assumptions'!$B$7*'Utility Revenue'!H13*IF('Event Tracker'!H$4=1,2,1)</f>
        <v>0</v>
      </c>
      <c r="I46" s="27">
        <f>'Game Assumptions'!$B$7*'Utility Revenue'!I13*IF('Event Tracker'!I$4=1,2,1)</f>
        <v>0</v>
      </c>
      <c r="J46" s="27">
        <f>'Game Assumptions'!$B$7*'Utility Revenue'!J13*IF('Event Tracker'!J$4=1,2,1)</f>
        <v>0</v>
      </c>
      <c r="K46" s="27">
        <f>'Game Assumptions'!$B$7*'Utility Revenue'!K13*IF('Event Tracker'!K$4=1,2,1)</f>
        <v>0</v>
      </c>
      <c r="L46" s="27">
        <f>'Game Assumptions'!$B$7*'Utility Revenue'!L13*IF('Event Tracker'!L$4=1,2,1)</f>
        <v>0</v>
      </c>
    </row>
    <row r="47" spans="1:12" x14ac:dyDescent="0.25">
      <c r="A47" t="s">
        <v>46</v>
      </c>
      <c r="B47" s="27">
        <f>'Game Assumptions'!$B$7*'Utility Revenue'!B14*IF('Event Tracker'!B$4=1,2,1)</f>
        <v>0</v>
      </c>
      <c r="C47" s="27">
        <f>'Game Assumptions'!$B$7*'Utility Revenue'!C14*IF('Event Tracker'!C$4=1,2,1)</f>
        <v>0</v>
      </c>
      <c r="D47" s="27">
        <f>'Game Assumptions'!$B$7*'Utility Revenue'!D14*IF('Event Tracker'!D$4=1,2,1)</f>
        <v>3914116.8630913729</v>
      </c>
      <c r="E47" s="27">
        <f>'Game Assumptions'!$B$7*'Utility Revenue'!E14*IF('Event Tracker'!E$4=1,2,1)</f>
        <v>19983859.260848761</v>
      </c>
      <c r="F47" s="27">
        <f>'Game Assumptions'!$B$7*'Utility Revenue'!F14*IF('Event Tracker'!F$4=1,2,1)</f>
        <v>23900670.388464998</v>
      </c>
      <c r="G47" s="27">
        <f>'Game Assumptions'!$B$7*'Utility Revenue'!G14*IF('Event Tracker'!G$4=1,2,1)</f>
        <v>27709422.191918638</v>
      </c>
      <c r="H47" s="27">
        <f>'Game Assumptions'!$B$7*'Utility Revenue'!H14*IF('Event Tracker'!H$4=1,2,1)</f>
        <v>31587652.555237506</v>
      </c>
      <c r="I47" s="27">
        <f>'Game Assumptions'!$B$7*'Utility Revenue'!I14*IF('Event Tracker'!I$4=1,2,1)</f>
        <v>35543641.840224385</v>
      </c>
      <c r="J47" s="27">
        <f>'Game Assumptions'!$B$7*'Utility Revenue'!J14*IF('Event Tracker'!J$4=1,2,1)</f>
        <v>40664227.639750227</v>
      </c>
      <c r="K47" s="27">
        <f>'Game Assumptions'!$B$7*'Utility Revenue'!K14*IF('Event Tracker'!K$4=1,2,1)</f>
        <v>46792467.198141627</v>
      </c>
      <c r="L47" s="27">
        <f>'Game Assumptions'!$B$7*'Utility Revenue'!L14*IF('Event Tracker'!L$4=1,2,1)</f>
        <v>53348665.240367308</v>
      </c>
    </row>
    <row r="48" spans="1:12" x14ac:dyDescent="0.25">
      <c r="A48" t="s">
        <v>41</v>
      </c>
      <c r="B48" s="27">
        <f>'Game Assumptions'!$B$7*'Utility Revenue'!B15*IF('Event Tracker'!B$4=1,2,1)</f>
        <v>0</v>
      </c>
      <c r="C48" s="27">
        <f>'Game Assumptions'!$B$7*'Utility Revenue'!C15*IF('Event Tracker'!C$4=1,2,1)</f>
        <v>0</v>
      </c>
      <c r="D48" s="27">
        <f>'Game Assumptions'!$B$7*'Utility Revenue'!D15*IF('Event Tracker'!D$4=1,2,1)</f>
        <v>0</v>
      </c>
      <c r="E48" s="27">
        <f>'Game Assumptions'!$B$7*'Utility Revenue'!E15*IF('Event Tracker'!E$4=1,2,1)</f>
        <v>0</v>
      </c>
      <c r="F48" s="27">
        <f>'Game Assumptions'!$B$7*'Utility Revenue'!F15*IF('Event Tracker'!F$4=1,2,1)</f>
        <v>0</v>
      </c>
      <c r="G48" s="27">
        <f>'Game Assumptions'!$B$7*'Utility Revenue'!G15*IF('Event Tracker'!G$4=1,2,1)</f>
        <v>0</v>
      </c>
      <c r="H48" s="27">
        <f>'Game Assumptions'!$B$7*'Utility Revenue'!H15*IF('Event Tracker'!H$4=1,2,1)</f>
        <v>0</v>
      </c>
      <c r="I48" s="27">
        <f>'Game Assumptions'!$B$7*'Utility Revenue'!I15*IF('Event Tracker'!I$4=1,2,1)</f>
        <v>0</v>
      </c>
      <c r="J48" s="27">
        <f>'Game Assumptions'!$B$7*'Utility Revenue'!J15*IF('Event Tracker'!J$4=1,2,1)</f>
        <v>0</v>
      </c>
      <c r="K48" s="27">
        <f>'Game Assumptions'!$B$7*'Utility Revenue'!K15*IF('Event Tracker'!K$4=1,2,1)</f>
        <v>0</v>
      </c>
      <c r="L48" s="27">
        <f>'Game Assumptions'!$B$7*'Utility Revenue'!L15*IF('Event Tracker'!L$4=1,2,1)</f>
        <v>0</v>
      </c>
    </row>
    <row r="49" spans="1:12" x14ac:dyDescent="0.25">
      <c r="A49" t="s">
        <v>44</v>
      </c>
      <c r="B49" s="27">
        <f>'Game Assumptions'!$B$7*'Utility Revenue'!B16*IF('Event Tracker'!B$4=1,2,1)</f>
        <v>0</v>
      </c>
      <c r="C49" s="27">
        <f>'Game Assumptions'!$B$7*'Utility Revenue'!C16*IF('Event Tracker'!C$4=1,2,1)</f>
        <v>0</v>
      </c>
      <c r="D49" s="27">
        <f>'Game Assumptions'!$B$7*'Utility Revenue'!D16*IF('Event Tracker'!D$4=1,2,1)</f>
        <v>1692042.2056289471</v>
      </c>
      <c r="E49" s="27">
        <f>'Game Assumptions'!$B$7*'Utility Revenue'!E16*IF('Event Tracker'!E$4=1,2,1)</f>
        <v>8643647.3714973703</v>
      </c>
      <c r="F49" s="27">
        <f>'Game Assumptions'!$B$7*'Utility Revenue'!F16*IF('Event Tracker'!F$4=1,2,1)</f>
        <v>10399382.243681103</v>
      </c>
      <c r="G49" s="27">
        <f>'Game Assumptions'!$B$7*'Utility Revenue'!G16*IF('Event Tracker'!G$4=1,2,1)</f>
        <v>11932625.962260865</v>
      </c>
      <c r="H49" s="27">
        <f>'Game Assumptions'!$B$7*'Utility Revenue'!H16*IF('Event Tracker'!H$4=1,2,1)</f>
        <v>13334678.667047819</v>
      </c>
      <c r="I49" s="27">
        <f>'Game Assumptions'!$B$7*'Utility Revenue'!I16*IF('Event Tracker'!I$4=1,2,1)</f>
        <v>14619042.477928586</v>
      </c>
      <c r="J49" s="27">
        <f>'Game Assumptions'!$B$7*'Utility Revenue'!J16*IF('Event Tracker'!J$4=1,2,1)</f>
        <v>16112025.321322866</v>
      </c>
      <c r="K49" s="27">
        <f>'Game Assumptions'!$B$7*'Utility Revenue'!K16*IF('Event Tracker'!K$4=1,2,1)</f>
        <v>17716648.715491999</v>
      </c>
      <c r="L49" s="27">
        <f>'Game Assumptions'!$B$7*'Utility Revenue'!L16*IF('Event Tracker'!L$4=1,2,1)</f>
        <v>19258319.582282666</v>
      </c>
    </row>
    <row r="50" spans="1:12" x14ac:dyDescent="0.25">
      <c r="A50" t="s">
        <v>45</v>
      </c>
      <c r="B50" s="27">
        <f>'Game Assumptions'!$B$7*'Utility Revenue'!B17*IF('Event Tracker'!B$4=1,2,1)</f>
        <v>0</v>
      </c>
      <c r="C50" s="27">
        <f>'Game Assumptions'!$B$7*'Utility Revenue'!C17*IF('Event Tracker'!C$4=1,2,1)</f>
        <v>0</v>
      </c>
      <c r="D50" s="27">
        <f>'Game Assumptions'!$B$7*'Utility Revenue'!D17*IF('Event Tracker'!D$4=1,2,1)</f>
        <v>2502372.6218971973</v>
      </c>
      <c r="E50" s="27">
        <f>'Game Assumptions'!$B$7*'Utility Revenue'!E17*IF('Event Tracker'!E$4=1,2,1)</f>
        <v>12062954.438187763</v>
      </c>
      <c r="F50" s="27">
        <f>'Game Assumptions'!$B$7*'Utility Revenue'!F17*IF('Event Tracker'!F$4=1,2,1)</f>
        <v>14231483.53174689</v>
      </c>
      <c r="G50" s="27">
        <f>'Game Assumptions'!$B$7*'Utility Revenue'!G17*IF('Event Tracker'!G$4=1,2,1)</f>
        <v>16193815.64826934</v>
      </c>
      <c r="H50" s="27">
        <f>'Game Assumptions'!$B$7*'Utility Revenue'!H17*IF('Event Tracker'!H$4=1,2,1)</f>
        <v>18053249.173208524</v>
      </c>
      <c r="I50" s="27">
        <f>'Game Assumptions'!$B$7*'Utility Revenue'!I17*IF('Event Tracker'!I$4=1,2,1)</f>
        <v>19818308.783079416</v>
      </c>
      <c r="J50" s="27">
        <f>'Game Assumptions'!$B$7*'Utility Revenue'!J17*IF('Event Tracker'!J$4=1,2,1)</f>
        <v>21944396.280782022</v>
      </c>
      <c r="K50" s="27">
        <f>'Game Assumptions'!$B$7*'Utility Revenue'!K17*IF('Event Tracker'!K$4=1,2,1)</f>
        <v>24312247.637591958</v>
      </c>
      <c r="L50" s="27">
        <f>'Game Assumptions'!$B$7*'Utility Revenue'!L17*IF('Event Tracker'!L$4=1,2,1)</f>
        <v>26669618.880896211</v>
      </c>
    </row>
    <row r="51" spans="1:12" x14ac:dyDescent="0.25">
      <c r="A51" t="s">
        <v>42</v>
      </c>
      <c r="B51" s="27">
        <f>'Game Assumptions'!$B$7*'Utility Revenue'!B18*IF('Event Tracker'!B$4=1,2,1)</f>
        <v>0</v>
      </c>
      <c r="C51" s="27">
        <f>'Game Assumptions'!$B$7*'Utility Revenue'!C18*IF('Event Tracker'!C$4=1,2,1)</f>
        <v>0</v>
      </c>
      <c r="D51" s="27">
        <f>'Game Assumptions'!$B$7*'Utility Revenue'!D18*IF('Event Tracker'!D$4=1,2,1)</f>
        <v>0</v>
      </c>
      <c r="E51" s="27">
        <f>'Game Assumptions'!$B$7*'Utility Revenue'!E18*IF('Event Tracker'!E$4=1,2,1)</f>
        <v>0</v>
      </c>
      <c r="F51" s="27">
        <f>'Game Assumptions'!$B$7*'Utility Revenue'!F18*IF('Event Tracker'!F$4=1,2,1)</f>
        <v>0</v>
      </c>
      <c r="G51" s="27">
        <f>'Game Assumptions'!$B$7*'Utility Revenue'!G18*IF('Event Tracker'!G$4=1,2,1)</f>
        <v>0</v>
      </c>
      <c r="H51" s="27">
        <f>'Game Assumptions'!$B$7*'Utility Revenue'!H18*IF('Event Tracker'!H$4=1,2,1)</f>
        <v>0</v>
      </c>
      <c r="I51" s="27">
        <f>'Game Assumptions'!$B$7*'Utility Revenue'!I18*IF('Event Tracker'!I$4=1,2,1)</f>
        <v>0</v>
      </c>
      <c r="J51" s="27">
        <f>'Game Assumptions'!$B$7*'Utility Revenue'!J18*IF('Event Tracker'!J$4=1,2,1)</f>
        <v>0</v>
      </c>
      <c r="K51" s="27">
        <f>'Game Assumptions'!$B$7*'Utility Revenue'!K18*IF('Event Tracker'!K$4=1,2,1)</f>
        <v>0</v>
      </c>
      <c r="L51" s="27">
        <f>'Game Assumptions'!$B$7*'Utility Revenue'!L18*IF('Event Tracker'!L$4=1,2,1)</f>
        <v>0</v>
      </c>
    </row>
    <row r="52" spans="1:12" x14ac:dyDescent="0.25">
      <c r="A52" s="12" t="s">
        <v>47</v>
      </c>
      <c r="B52" s="27">
        <f>'Game Assumptions'!$B$7*'Utility Revenue'!B19*IF('Event Tracker'!B$4=1,2,1)</f>
        <v>0</v>
      </c>
      <c r="C52" s="27">
        <f>'Game Assumptions'!$B$7*'Utility Revenue'!C19*IF('Event Tracker'!C$4=1,2,1)</f>
        <v>147825</v>
      </c>
      <c r="D52" s="27">
        <f>'Game Assumptions'!$B$7*'Utility Revenue'!D19*IF('Event Tracker'!D$4=1,2,1)</f>
        <v>731033.38607188885</v>
      </c>
      <c r="E52" s="27">
        <f>'Game Assumptions'!$B$7*'Utility Revenue'!E19*IF('Event Tracker'!E$4=1,2,1)</f>
        <v>2666362.2095813295</v>
      </c>
      <c r="F52" s="27">
        <f>'Game Assumptions'!$B$7*'Utility Revenue'!F19*IF('Event Tracker'!F$4=1,2,1)</f>
        <v>3249870.2898250683</v>
      </c>
      <c r="G52" s="27">
        <f>'Game Assumptions'!$B$7*'Utility Revenue'!G19*IF('Event Tracker'!G$4=1,2,1)</f>
        <v>3821358.4850995596</v>
      </c>
      <c r="H52" s="27">
        <f>'Game Assumptions'!$B$7*'Utility Revenue'!H19*IF('Event Tracker'!H$4=1,2,1)</f>
        <v>4400575.067571369</v>
      </c>
      <c r="I52" s="27">
        <f>'Game Assumptions'!$B$7*'Utility Revenue'!I19*IF('Event Tracker'!I$4=1,2,1)</f>
        <v>4988441.0960861305</v>
      </c>
      <c r="J52" s="27">
        <f>'Game Assumptions'!$B$7*'Utility Revenue'!J19*IF('Event Tracker'!J$4=1,2,1)</f>
        <v>5705850.0053178016</v>
      </c>
      <c r="K52" s="27">
        <f>'Game Assumptions'!$B$7*'Utility Revenue'!K19*IF('Event Tracker'!K$4=1,2,1)</f>
        <v>6535344.4042955451</v>
      </c>
      <c r="L52" s="27">
        <f>'Game Assumptions'!$B$7*'Utility Revenue'!L19*IF('Event Tracker'!L$4=1,2,1)</f>
        <v>7412442.3931269646</v>
      </c>
    </row>
    <row r="53" spans="1:12" x14ac:dyDescent="0.25">
      <c r="A53" t="s">
        <v>287</v>
      </c>
      <c r="B53" s="27">
        <f>'Game Assumptions'!$B$7*'Utility Revenue'!B20*IF('Event Tracker'!B$4=1,2,1)</f>
        <v>0</v>
      </c>
      <c r="C53" s="27">
        <f>'Game Assumptions'!$B$7*'Utility Revenue'!C20*IF('Event Tracker'!C$4=1,2,1)</f>
        <v>0</v>
      </c>
      <c r="D53" s="27">
        <f>'Game Assumptions'!$B$7*'Utility Revenue'!D20*IF('Event Tracker'!D$4=1,2,1)</f>
        <v>0</v>
      </c>
      <c r="E53" s="27">
        <f>'Game Assumptions'!$B$7*'Utility Revenue'!E20*IF('Event Tracker'!E$4=1,2,1)</f>
        <v>0</v>
      </c>
      <c r="F53" s="27">
        <f>'Game Assumptions'!$B$7*'Utility Revenue'!F20*IF('Event Tracker'!F$4=1,2,1)</f>
        <v>0</v>
      </c>
      <c r="G53" s="27">
        <f>'Game Assumptions'!$B$7*'Utility Revenue'!G20*IF('Event Tracker'!G$4=1,2,1)</f>
        <v>0</v>
      </c>
      <c r="H53" s="27">
        <f>'Game Assumptions'!$B$7*'Utility Revenue'!H20*IF('Event Tracker'!H$4=1,2,1)</f>
        <v>0</v>
      </c>
      <c r="I53" s="27">
        <f>'Game Assumptions'!$B$7*'Utility Revenue'!I20*IF('Event Tracker'!I$4=1,2,1)</f>
        <v>0</v>
      </c>
      <c r="J53" s="27">
        <f>'Game Assumptions'!$B$7*'Utility Revenue'!J20*IF('Event Tracker'!J$4=1,2,1)</f>
        <v>0</v>
      </c>
      <c r="K53" s="27">
        <f>'Game Assumptions'!$B$7*'Utility Revenue'!K20*IF('Event Tracker'!K$4=1,2,1)</f>
        <v>0</v>
      </c>
      <c r="L53" s="27">
        <f>'Game Assumptions'!$B$7*'Utility Revenue'!L20*IF('Event Tracker'!L$4=1,2,1)</f>
        <v>0</v>
      </c>
    </row>
    <row r="54" spans="1:12" x14ac:dyDescent="0.25">
      <c r="A54" t="s">
        <v>288</v>
      </c>
      <c r="B54" s="27">
        <f>'Game Assumptions'!$B$7*'Utility Revenue'!B21*IF('Event Tracker'!B$4=1,2,1)</f>
        <v>0</v>
      </c>
      <c r="C54" s="27">
        <f>'Game Assumptions'!$B$7*'Utility Revenue'!C21*IF('Event Tracker'!C$4=1,2,1)</f>
        <v>0</v>
      </c>
      <c r="D54" s="27">
        <f>'Game Assumptions'!$B$7*'Utility Revenue'!D21*IF('Event Tracker'!D$4=1,2,1)</f>
        <v>0</v>
      </c>
      <c r="E54" s="27">
        <f>'Game Assumptions'!$B$7*'Utility Revenue'!E21*IF('Event Tracker'!E$4=1,2,1)</f>
        <v>0</v>
      </c>
      <c r="F54" s="27">
        <f>'Game Assumptions'!$B$7*'Utility Revenue'!F21*IF('Event Tracker'!F$4=1,2,1)</f>
        <v>0</v>
      </c>
      <c r="G54" s="27">
        <f>'Game Assumptions'!$B$7*'Utility Revenue'!G21*IF('Event Tracker'!G$4=1,2,1)</f>
        <v>0</v>
      </c>
      <c r="H54" s="27">
        <f>'Game Assumptions'!$B$7*'Utility Revenue'!H21*IF('Event Tracker'!H$4=1,2,1)</f>
        <v>0</v>
      </c>
      <c r="I54" s="27">
        <f>'Game Assumptions'!$B$7*'Utility Revenue'!I21*IF('Event Tracker'!I$4=1,2,1)</f>
        <v>0</v>
      </c>
      <c r="J54" s="27">
        <f>'Game Assumptions'!$B$7*'Utility Revenue'!J21*IF('Event Tracker'!J$4=1,2,1)</f>
        <v>0</v>
      </c>
      <c r="K54" s="27">
        <f>'Game Assumptions'!$B$7*'Utility Revenue'!K21*IF('Event Tracker'!K$4=1,2,1)</f>
        <v>0</v>
      </c>
      <c r="L54" s="27">
        <f>'Game Assumptions'!$B$7*'Utility Revenue'!L21*IF('Event Tracker'!L$4=1,2,1)</f>
        <v>0</v>
      </c>
    </row>
    <row r="55" spans="1:12" x14ac:dyDescent="0.25">
      <c r="A55" t="s">
        <v>289</v>
      </c>
      <c r="B55" s="27">
        <f>'Game Assumptions'!$B$7*'Utility Revenue'!B22*IF('Event Tracker'!B$4=1,2,1)</f>
        <v>0</v>
      </c>
      <c r="C55" s="27">
        <f>'Game Assumptions'!$B$7*'Utility Revenue'!C22*IF('Event Tracker'!C$4=1,2,1)</f>
        <v>0</v>
      </c>
      <c r="D55" s="27">
        <f>'Game Assumptions'!$B$7*'Utility Revenue'!D22*IF('Event Tracker'!D$4=1,2,1)</f>
        <v>0</v>
      </c>
      <c r="E55" s="27">
        <f>'Game Assumptions'!$B$7*'Utility Revenue'!E22*IF('Event Tracker'!E$4=1,2,1)</f>
        <v>0</v>
      </c>
      <c r="F55" s="27">
        <f>'Game Assumptions'!$B$7*'Utility Revenue'!F22*IF('Event Tracker'!F$4=1,2,1)</f>
        <v>0</v>
      </c>
      <c r="G55" s="27">
        <f>'Game Assumptions'!$B$7*'Utility Revenue'!G22*IF('Event Tracker'!G$4=1,2,1)</f>
        <v>0</v>
      </c>
      <c r="H55" s="27">
        <f>'Game Assumptions'!$B$7*'Utility Revenue'!H22*IF('Event Tracker'!H$4=1,2,1)</f>
        <v>0</v>
      </c>
      <c r="I55" s="27">
        <f>'Game Assumptions'!$B$7*'Utility Revenue'!I22*IF('Event Tracker'!I$4=1,2,1)</f>
        <v>0</v>
      </c>
      <c r="J55" s="27">
        <f>'Game Assumptions'!$B$7*'Utility Revenue'!J22*IF('Event Tracker'!J$4=1,2,1)</f>
        <v>0</v>
      </c>
      <c r="K55" s="27">
        <f>'Game Assumptions'!$B$7*'Utility Revenue'!K22*IF('Event Tracker'!K$4=1,2,1)</f>
        <v>0</v>
      </c>
      <c r="L55" s="27">
        <f>'Game Assumptions'!$B$7*'Utility Revenue'!L22*IF('Event Tracker'!L$4=1,2,1)</f>
        <v>0</v>
      </c>
    </row>
    <row r="56" spans="1:12" x14ac:dyDescent="0.25">
      <c r="A56" t="s">
        <v>290</v>
      </c>
      <c r="B56" s="27">
        <f>'Game Assumptions'!$B$7*'Utility Revenue'!B23*IF('Event Tracker'!B$4=1,2,1)</f>
        <v>0</v>
      </c>
      <c r="C56" s="27">
        <f>'Game Assumptions'!$B$7*'Utility Revenue'!C23*IF('Event Tracker'!C$4=1,2,1)</f>
        <v>0</v>
      </c>
      <c r="D56" s="27">
        <f>'Game Assumptions'!$B$7*'Utility Revenue'!D23*IF('Event Tracker'!D$4=1,2,1)</f>
        <v>0</v>
      </c>
      <c r="E56" s="27">
        <f>'Game Assumptions'!$B$7*'Utility Revenue'!E23*IF('Event Tracker'!E$4=1,2,1)</f>
        <v>0</v>
      </c>
      <c r="F56" s="27">
        <f>'Game Assumptions'!$B$7*'Utility Revenue'!F23*IF('Event Tracker'!F$4=1,2,1)</f>
        <v>0</v>
      </c>
      <c r="G56" s="27">
        <f>'Game Assumptions'!$B$7*'Utility Revenue'!G23*IF('Event Tracker'!G$4=1,2,1)</f>
        <v>0</v>
      </c>
      <c r="H56" s="27">
        <f>'Game Assumptions'!$B$7*'Utility Revenue'!H23*IF('Event Tracker'!H$4=1,2,1)</f>
        <v>0</v>
      </c>
      <c r="I56" s="27">
        <f>'Game Assumptions'!$B$7*'Utility Revenue'!I23*IF('Event Tracker'!I$4=1,2,1)</f>
        <v>0</v>
      </c>
      <c r="J56" s="27">
        <f>'Game Assumptions'!$B$7*'Utility Revenue'!J23*IF('Event Tracker'!J$4=1,2,1)</f>
        <v>0</v>
      </c>
      <c r="K56" s="27">
        <f>'Game Assumptions'!$B$7*'Utility Revenue'!K23*IF('Event Tracker'!K$4=1,2,1)</f>
        <v>0</v>
      </c>
      <c r="L56" s="27">
        <f>'Game Assumptions'!$B$7*'Utility Revenue'!L23*IF('Event Tracker'!L$4=1,2,1)</f>
        <v>0</v>
      </c>
    </row>
    <row r="57" spans="1:12" x14ac:dyDescent="0.25">
      <c r="A57" s="12" t="s">
        <v>67</v>
      </c>
      <c r="B57" s="27">
        <f>'Game Assumptions'!$B$7*'Utility Revenue'!B24*IF('Event Tracker'!B$4=1,2,1)</f>
        <v>0</v>
      </c>
      <c r="C57" s="27">
        <f>'Game Assumptions'!$B$7*'Utility Revenue'!C24*IF('Event Tracker'!C$4=1,2,1)</f>
        <v>0</v>
      </c>
      <c r="D57" s="27">
        <f>'Game Assumptions'!$B$7*'Utility Revenue'!D24*IF('Event Tracker'!D$4=1,2,1)</f>
        <v>0</v>
      </c>
      <c r="E57" s="27">
        <f>'Game Assumptions'!$B$7*'Utility Revenue'!E24*IF('Event Tracker'!E$4=1,2,1)</f>
        <v>0</v>
      </c>
      <c r="F57" s="27">
        <f>'Game Assumptions'!$B$7*'Utility Revenue'!F24*IF('Event Tracker'!F$4=1,2,1)</f>
        <v>0</v>
      </c>
      <c r="G57" s="27">
        <f>'Game Assumptions'!$B$7*'Utility Revenue'!G24*IF('Event Tracker'!G$4=1,2,1)</f>
        <v>0</v>
      </c>
      <c r="H57" s="27">
        <f>'Game Assumptions'!$B$7*'Utility Revenue'!H24*IF('Event Tracker'!H$4=1,2,1)</f>
        <v>0</v>
      </c>
      <c r="I57" s="27">
        <f>'Game Assumptions'!$B$7*'Utility Revenue'!I24*IF('Event Tracker'!I$4=1,2,1)</f>
        <v>0</v>
      </c>
      <c r="J57" s="27">
        <f>'Game Assumptions'!$B$7*'Utility Revenue'!J24*IF('Event Tracker'!J$4=1,2,1)</f>
        <v>0</v>
      </c>
      <c r="K57" s="27">
        <f>'Game Assumptions'!$B$7*'Utility Revenue'!K24*IF('Event Tracker'!K$4=1,2,1)</f>
        <v>0</v>
      </c>
      <c r="L57" s="27">
        <f>'Game Assumptions'!$B$7*'Utility Revenue'!L24*IF('Event Tracker'!L$4=1,2,1)</f>
        <v>0</v>
      </c>
    </row>
    <row r="58" spans="1:12" x14ac:dyDescent="0.25">
      <c r="A58" s="12" t="s">
        <v>68</v>
      </c>
      <c r="B58" s="27">
        <f>'Game Assumptions'!$B$7*'Utility Revenue'!B25*IF('Event Tracker'!B$4=1,2,1)</f>
        <v>0</v>
      </c>
      <c r="C58" s="27">
        <f>'Game Assumptions'!$B$7*'Utility Revenue'!C25*IF('Event Tracker'!C$4=1,2,1)</f>
        <v>0</v>
      </c>
      <c r="D58" s="27">
        <f>'Game Assumptions'!$B$7*'Utility Revenue'!D25*IF('Event Tracker'!D$4=1,2,1)</f>
        <v>0</v>
      </c>
      <c r="E58" s="27">
        <f>'Game Assumptions'!$B$7*'Utility Revenue'!E25*IF('Event Tracker'!E$4=1,2,1)</f>
        <v>0</v>
      </c>
      <c r="F58" s="27">
        <f>'Game Assumptions'!$B$7*'Utility Revenue'!F25*IF('Event Tracker'!F$4=1,2,1)</f>
        <v>0</v>
      </c>
      <c r="G58" s="27">
        <f>'Game Assumptions'!$B$7*'Utility Revenue'!G25*IF('Event Tracker'!G$4=1,2,1)</f>
        <v>0</v>
      </c>
      <c r="H58" s="27">
        <f>'Game Assumptions'!$B$7*'Utility Revenue'!H25*IF('Event Tracker'!H$4=1,2,1)</f>
        <v>0</v>
      </c>
      <c r="I58" s="27">
        <f>'Game Assumptions'!$B$7*'Utility Revenue'!I25*IF('Event Tracker'!I$4=1,2,1)</f>
        <v>0</v>
      </c>
      <c r="J58" s="27">
        <f>'Game Assumptions'!$B$7*'Utility Revenue'!J25*IF('Event Tracker'!J$4=1,2,1)</f>
        <v>0</v>
      </c>
      <c r="K58" s="27">
        <f>'Game Assumptions'!$B$7*'Utility Revenue'!K25*IF('Event Tracker'!K$4=1,2,1)</f>
        <v>0</v>
      </c>
      <c r="L58" s="27">
        <f>'Game Assumptions'!$B$7*'Utility Revenue'!L25*IF('Event Tracker'!L$4=1,2,1)</f>
        <v>0</v>
      </c>
    </row>
    <row r="59" spans="1:12" x14ac:dyDescent="0.25">
      <c r="A59" s="22" t="s">
        <v>388</v>
      </c>
      <c r="B59" s="23">
        <v>0</v>
      </c>
      <c r="C59" s="23">
        <f>'Game Assumptions'!$B$7*'Utility Revenue'!C26*IF('Event Tracker'!C$4=1,2,1)</f>
        <v>792532.91655574366</v>
      </c>
      <c r="D59" s="23">
        <f>'Game Assumptions'!$B$7*'Utility Revenue'!D26*IF('Event Tracker'!D$4=1,2,1)</f>
        <v>7420608.9547666451</v>
      </c>
      <c r="E59" s="23">
        <f>'Game Assumptions'!$B$7*'Utility Revenue'!E26*IF('Event Tracker'!E$4=1,2,1)</f>
        <v>32171464.526497092</v>
      </c>
      <c r="F59" s="23">
        <f>'Game Assumptions'!$B$7*'Utility Revenue'!F26*IF('Event Tracker'!F$4=1,2,1)</f>
        <v>38803557.434251219</v>
      </c>
      <c r="G59" s="23">
        <f>'Game Assumptions'!$B$7*'Utility Revenue'!G26*IF('Event Tracker'!G$4=1,2,1)</f>
        <v>45274545.074098319</v>
      </c>
      <c r="H59" s="23">
        <f>'Game Assumptions'!$B$7*'Utility Revenue'!H26*IF('Event Tracker'!H$4=1,2,1)</f>
        <v>51849118.055493914</v>
      </c>
      <c r="I59" s="23">
        <f>'Game Assumptions'!$B$7*'Utility Revenue'!I26*IF('Event Tracker'!I$4=1,2,1)</f>
        <v>58539621.540847108</v>
      </c>
      <c r="J59" s="23">
        <f>'Game Assumptions'!$B$7*'Utility Revenue'!J26*IF('Event Tracker'!J$4=1,2,1)</f>
        <v>66966417.890627928</v>
      </c>
      <c r="K59" s="23">
        <f>'Game Assumptions'!$B$7*'Utility Revenue'!K26*IF('Event Tracker'!K$4=1,2,1)</f>
        <v>76895521.700108275</v>
      </c>
      <c r="L59" s="23">
        <f>'Game Assumptions'!$B$7*'Utility Revenue'!L26*IF('Event Tracker'!L$4=1,2,1)</f>
        <v>87462667.314176098</v>
      </c>
    </row>
    <row r="60" spans="1:12" ht="15.75" thickBot="1" x14ac:dyDescent="0.3">
      <c r="A60" s="37" t="s">
        <v>219</v>
      </c>
      <c r="B60" s="38">
        <f>'Game Assumptions'!B82</f>
        <v>5000000</v>
      </c>
      <c r="C60" s="38">
        <f>B60</f>
        <v>5000000</v>
      </c>
      <c r="D60" s="38">
        <f t="shared" ref="D60:L60" si="2">C60</f>
        <v>5000000</v>
      </c>
      <c r="E60" s="38">
        <f t="shared" si="2"/>
        <v>5000000</v>
      </c>
      <c r="F60" s="38">
        <f t="shared" si="2"/>
        <v>5000000</v>
      </c>
      <c r="G60" s="38">
        <f t="shared" si="2"/>
        <v>5000000</v>
      </c>
      <c r="H60" s="38">
        <f t="shared" si="2"/>
        <v>5000000</v>
      </c>
      <c r="I60" s="38">
        <f t="shared" si="2"/>
        <v>5000000</v>
      </c>
      <c r="J60" s="38">
        <f t="shared" si="2"/>
        <v>5000000</v>
      </c>
      <c r="K60" s="38">
        <f t="shared" si="2"/>
        <v>5000000</v>
      </c>
      <c r="L60" s="38">
        <f t="shared" si="2"/>
        <v>5000000</v>
      </c>
    </row>
    <row r="61" spans="1:12" ht="16.5" thickTop="1" thickBot="1" x14ac:dyDescent="0.3">
      <c r="A61" s="39" t="s">
        <v>83</v>
      </c>
      <c r="B61" s="50">
        <f>SUM(B42:B59)/B60</f>
        <v>178.24136544051359</v>
      </c>
      <c r="C61" s="50">
        <f t="shared" ref="C61:L61" si="3">SUM(C42:C59)/C60</f>
        <v>173.33682658266721</v>
      </c>
      <c r="D61" s="50">
        <f t="shared" si="3"/>
        <v>171.30817936448975</v>
      </c>
      <c r="E61" s="50">
        <f t="shared" si="3"/>
        <v>178.06919167836347</v>
      </c>
      <c r="F61" s="50">
        <f t="shared" si="3"/>
        <v>175.98791645347734</v>
      </c>
      <c r="G61" s="50">
        <f t="shared" si="3"/>
        <v>173.76466670705526</v>
      </c>
      <c r="H61" s="50">
        <f t="shared" si="3"/>
        <v>171.53075749728023</v>
      </c>
      <c r="I61" s="50">
        <f t="shared" si="3"/>
        <v>169.294903500044</v>
      </c>
      <c r="J61" s="50">
        <f t="shared" si="3"/>
        <v>167.77906533881352</v>
      </c>
      <c r="K61" s="50">
        <f t="shared" si="3"/>
        <v>166.85831740122171</v>
      </c>
      <c r="L61" s="50">
        <f t="shared" si="3"/>
        <v>166.14560371110812</v>
      </c>
    </row>
    <row r="62" spans="1:12" ht="15.75" thickTop="1" x14ac:dyDescent="0.25">
      <c r="A62" s="39" t="s">
        <v>401</v>
      </c>
      <c r="B62" s="50">
        <f>SUM(B44,B52,B54,B56,B58)/B60</f>
        <v>50.926104411575309</v>
      </c>
      <c r="C62" s="50">
        <f t="shared" ref="C62:L62" si="4">SUM(C44,C52,C54,C56,C58)/C60</f>
        <v>50.955669411575315</v>
      </c>
      <c r="D62" s="50">
        <f t="shared" si="4"/>
        <v>51.072311088789689</v>
      </c>
      <c r="E62" s="50">
        <f t="shared" si="4"/>
        <v>51.459376853491577</v>
      </c>
      <c r="F62" s="50">
        <f t="shared" si="4"/>
        <v>51.576078469540327</v>
      </c>
      <c r="G62" s="50">
        <f t="shared" si="4"/>
        <v>51.690376108595224</v>
      </c>
      <c r="H62" s="50">
        <f t="shared" si="4"/>
        <v>51.806219425089587</v>
      </c>
      <c r="I62" s="50">
        <f t="shared" si="4"/>
        <v>51.923792630792541</v>
      </c>
      <c r="J62" s="50">
        <f t="shared" si="4"/>
        <v>52.067274412638874</v>
      </c>
      <c r="K62" s="50">
        <f t="shared" si="4"/>
        <v>52.233173292434415</v>
      </c>
      <c r="L62" s="50">
        <f t="shared" si="4"/>
        <v>52.408592890200701</v>
      </c>
    </row>
    <row r="64" spans="1:12" x14ac:dyDescent="0.25">
      <c r="A64" s="9" t="s">
        <v>81</v>
      </c>
      <c r="B64" s="9">
        <v>0</v>
      </c>
      <c r="C64" s="9">
        <v>1</v>
      </c>
      <c r="D64" s="9">
        <v>2</v>
      </c>
      <c r="E64" s="9">
        <v>3</v>
      </c>
      <c r="F64" s="9">
        <v>4</v>
      </c>
      <c r="G64" s="9">
        <v>5</v>
      </c>
      <c r="H64" s="9">
        <v>6</v>
      </c>
      <c r="I64" s="9">
        <v>7</v>
      </c>
      <c r="J64" s="9">
        <v>8</v>
      </c>
      <c r="K64" s="9">
        <v>9</v>
      </c>
      <c r="L64" s="9">
        <v>10</v>
      </c>
    </row>
    <row r="65" spans="1:12" x14ac:dyDescent="0.25">
      <c r="A65" s="24" t="s">
        <v>78</v>
      </c>
    </row>
    <row r="66" spans="1:12" x14ac:dyDescent="0.25">
      <c r="A66" s="28" t="s">
        <v>38</v>
      </c>
      <c r="B66" s="27"/>
      <c r="C66" s="27"/>
      <c r="D66" s="27"/>
      <c r="E66" s="27"/>
      <c r="F66" s="27"/>
      <c r="G66" s="27"/>
      <c r="H66" s="27"/>
      <c r="I66" s="27"/>
      <c r="J66" s="27"/>
      <c r="K66" s="27"/>
      <c r="L66" s="27"/>
    </row>
    <row r="67" spans="1:12" x14ac:dyDescent="0.25">
      <c r="A67" s="26" t="s">
        <v>64</v>
      </c>
      <c r="B67" s="27">
        <f>(1-'Game Assumptions'!$B$7*IF('Event Tracker'!B$4=1,2,1))*'Utility Revenue'!B9</f>
        <v>1527783132.3472593</v>
      </c>
      <c r="C67" s="27">
        <f>(1-'Game Assumptions'!$B$7*IF('Event Tracker'!C$4=1,2,1))*'Utility Revenue'!C9</f>
        <v>1451393975.7298963</v>
      </c>
      <c r="D67" s="27">
        <f>(1-'Game Assumptions'!$B$7*IF('Event Tracker'!D$4=1,2,1))*'Utility Revenue'!D9</f>
        <v>1375004819.1125333</v>
      </c>
      <c r="E67" s="27">
        <f>(1-'Game Assumptions'!$B$7*IF('Event Tracker'!E$4=1,2,1))*'Utility Revenue'!E9</f>
        <v>1298615662.4951704</v>
      </c>
      <c r="F67" s="27">
        <f>(1-'Game Assumptions'!$B$7*IF('Event Tracker'!F$4=1,2,1))*'Utility Revenue'!F9</f>
        <v>1222226505.8778076</v>
      </c>
      <c r="G67" s="27">
        <f>(1-'Game Assumptions'!$B$7*IF('Event Tracker'!G$4=1,2,1))*'Utility Revenue'!G9</f>
        <v>1145837349.2604444</v>
      </c>
      <c r="H67" s="27">
        <f>(1-'Game Assumptions'!$B$7*IF('Event Tracker'!H$4=1,2,1))*'Utility Revenue'!H9</f>
        <v>1069448192.6430814</v>
      </c>
      <c r="I67" s="27">
        <f>(1-'Game Assumptions'!$B$7*IF('Event Tracker'!I$4=1,2,1))*'Utility Revenue'!I9</f>
        <v>993059036.02571845</v>
      </c>
      <c r="J67" s="27">
        <f>(1-'Game Assumptions'!$B$7*IF('Event Tracker'!J$4=1,2,1))*'Utility Revenue'!J9</f>
        <v>916669879.40835547</v>
      </c>
      <c r="K67" s="27">
        <f>(1-'Game Assumptions'!$B$7*IF('Event Tracker'!K$4=1,2,1))*'Utility Revenue'!K9</f>
        <v>840280722.79099274</v>
      </c>
      <c r="L67" s="27">
        <f>(1-'Game Assumptions'!$B$7*IF('Event Tracker'!L$4=1,2,1))*'Utility Revenue'!L9</f>
        <v>763891566.17362964</v>
      </c>
    </row>
    <row r="68" spans="1:12" x14ac:dyDescent="0.25">
      <c r="A68" s="26" t="s">
        <v>65</v>
      </c>
      <c r="B68" s="27">
        <f>(1-'Game Assumptions'!$B$7*IF('Event Tracker'!B$4=1,2,1))*'Utility Revenue'!B10</f>
        <v>381945783.08681482</v>
      </c>
      <c r="C68" s="27">
        <f>(1-'Game Assumptions'!$B$7*IF('Event Tracker'!C$4=1,2,1))*'Utility Revenue'!C10</f>
        <v>381945783.08681482</v>
      </c>
      <c r="D68" s="27">
        <f>(1-'Game Assumptions'!$B$7*IF('Event Tracker'!D$4=1,2,1))*'Utility Revenue'!D10</f>
        <v>381945783.08681482</v>
      </c>
      <c r="E68" s="27">
        <f>(1-'Game Assumptions'!$B$7*IF('Event Tracker'!E$4=1,2,1))*'Utility Revenue'!E10</f>
        <v>381945783.08681482</v>
      </c>
      <c r="F68" s="27">
        <f>(1-'Game Assumptions'!$B$7*IF('Event Tracker'!F$4=1,2,1))*'Utility Revenue'!F10</f>
        <v>381945783.08681482</v>
      </c>
      <c r="G68" s="27">
        <f>(1-'Game Assumptions'!$B$7*IF('Event Tracker'!G$4=1,2,1))*'Utility Revenue'!G10</f>
        <v>381945783.08681482</v>
      </c>
      <c r="H68" s="27">
        <f>(1-'Game Assumptions'!$B$7*IF('Event Tracker'!H$4=1,2,1))*'Utility Revenue'!H10</f>
        <v>381945783.08681482</v>
      </c>
      <c r="I68" s="27">
        <f>(1-'Game Assumptions'!$B$7*IF('Event Tracker'!I$4=1,2,1))*'Utility Revenue'!I10</f>
        <v>381945783.08681482</v>
      </c>
      <c r="J68" s="27">
        <f>(1-'Game Assumptions'!$B$7*IF('Event Tracker'!J$4=1,2,1))*'Utility Revenue'!J10</f>
        <v>381945783.08681482</v>
      </c>
      <c r="K68" s="27">
        <f>(1-'Game Assumptions'!$B$7*IF('Event Tracker'!K$4=1,2,1))*'Utility Revenue'!K10</f>
        <v>381945783.08681482</v>
      </c>
      <c r="L68" s="27">
        <f>(1-'Game Assumptions'!$B$7*IF('Event Tracker'!L$4=1,2,1))*'Utility Revenue'!L10</f>
        <v>381945783.08681482</v>
      </c>
    </row>
    <row r="69" spans="1:12" x14ac:dyDescent="0.25">
      <c r="A69" s="29" t="s">
        <v>66</v>
      </c>
      <c r="B69" s="23">
        <f>(1-'Game Assumptions'!$B$7*IF('Event Tracker'!B$4=1,2,1))*'Utility Revenue'!B11</f>
        <v>763891566.17362964</v>
      </c>
      <c r="C69" s="23">
        <f>(1-'Game Assumptions'!$B$7*IF('Event Tracker'!C$4=1,2,1))*'Utility Revenue'!C11</f>
        <v>763891566.17362964</v>
      </c>
      <c r="D69" s="23">
        <f>(1-'Game Assumptions'!$B$7*IF('Event Tracker'!D$4=1,2,1))*'Utility Revenue'!D11</f>
        <v>763891566.17362964</v>
      </c>
      <c r="E69" s="23">
        <f>(1-'Game Assumptions'!$B$7*IF('Event Tracker'!E$4=1,2,1))*'Utility Revenue'!E11</f>
        <v>763891566.17362964</v>
      </c>
      <c r="F69" s="23">
        <f>(1-'Game Assumptions'!$B$7*IF('Event Tracker'!F$4=1,2,1))*'Utility Revenue'!F11</f>
        <v>763891566.17362964</v>
      </c>
      <c r="G69" s="23">
        <f>(1-'Game Assumptions'!$B$7*IF('Event Tracker'!G$4=1,2,1))*'Utility Revenue'!G11</f>
        <v>763891566.17362964</v>
      </c>
      <c r="H69" s="23">
        <f>(1-'Game Assumptions'!$B$7*IF('Event Tracker'!H$4=1,2,1))*'Utility Revenue'!H11</f>
        <v>763891566.17362964</v>
      </c>
      <c r="I69" s="23">
        <f>(1-'Game Assumptions'!$B$7*IF('Event Tracker'!I$4=1,2,1))*'Utility Revenue'!I11</f>
        <v>763891566.17362964</v>
      </c>
      <c r="J69" s="23">
        <f>(1-'Game Assumptions'!$B$7*IF('Event Tracker'!J$4=1,2,1))*'Utility Revenue'!J11</f>
        <v>763891566.17362964</v>
      </c>
      <c r="K69" s="23">
        <f>(1-'Game Assumptions'!$B$7*IF('Event Tracker'!K$4=1,2,1))*'Utility Revenue'!K11</f>
        <v>763891566.17362964</v>
      </c>
      <c r="L69" s="23">
        <f>(1-'Game Assumptions'!$B$7*IF('Event Tracker'!L$4=1,2,1))*'Utility Revenue'!L11</f>
        <v>763891566.17362964</v>
      </c>
    </row>
    <row r="70" spans="1:12" x14ac:dyDescent="0.25">
      <c r="A70" s="4" t="s">
        <v>43</v>
      </c>
    </row>
    <row r="71" spans="1:12" x14ac:dyDescent="0.25">
      <c r="A71" t="s">
        <v>40</v>
      </c>
      <c r="B71" s="7">
        <f>(1-'Game Assumptions'!$B$7*IF('Event Tracker'!B$4=1,2,1))*'Utility Revenue'!B13</f>
        <v>0</v>
      </c>
      <c r="C71" s="7">
        <f>(1-'Game Assumptions'!$B$7*IF('Event Tracker'!C$4=1,2,1))*'Utility Revenue'!C13</f>
        <v>0</v>
      </c>
      <c r="D71" s="7">
        <f>(1-'Game Assumptions'!$B$7*IF('Event Tracker'!D$4=1,2,1))*'Utility Revenue'!D13</f>
        <v>0</v>
      </c>
      <c r="E71" s="7">
        <f>(1-'Game Assumptions'!$B$7*IF('Event Tracker'!E$4=1,2,1))*'Utility Revenue'!E13</f>
        <v>0</v>
      </c>
      <c r="F71" s="7">
        <f>(1-'Game Assumptions'!$B$7*IF('Event Tracker'!F$4=1,2,1))*'Utility Revenue'!F13</f>
        <v>0</v>
      </c>
      <c r="G71" s="7">
        <f>(1-'Game Assumptions'!$B$7*IF('Event Tracker'!G$4=1,2,1))*'Utility Revenue'!G13</f>
        <v>0</v>
      </c>
      <c r="H71" s="7">
        <f>(1-'Game Assumptions'!$B$7*IF('Event Tracker'!H$4=1,2,1))*'Utility Revenue'!H13</f>
        <v>0</v>
      </c>
      <c r="I71" s="7">
        <f>(1-'Game Assumptions'!$B$7*IF('Event Tracker'!I$4=1,2,1))*'Utility Revenue'!I13</f>
        <v>0</v>
      </c>
      <c r="J71" s="7">
        <f>(1-'Game Assumptions'!$B$7*IF('Event Tracker'!J$4=1,2,1))*'Utility Revenue'!J13</f>
        <v>0</v>
      </c>
      <c r="K71" s="7">
        <f>(1-'Game Assumptions'!$B$7*IF('Event Tracker'!K$4=1,2,1))*'Utility Revenue'!K13</f>
        <v>0</v>
      </c>
      <c r="L71" s="7">
        <f>(1-'Game Assumptions'!$B$7*IF('Event Tracker'!L$4=1,2,1))*'Utility Revenue'!L13</f>
        <v>0</v>
      </c>
    </row>
    <row r="72" spans="1:12" x14ac:dyDescent="0.25">
      <c r="A72" t="s">
        <v>46</v>
      </c>
      <c r="B72" s="7">
        <f>(1-'Game Assumptions'!$B$7*IF('Event Tracker'!B$4=1,2,1))*'Utility Revenue'!B14</f>
        <v>0</v>
      </c>
      <c r="C72" s="7">
        <f>(1-'Game Assumptions'!$B$7*IF('Event Tracker'!C$4=1,2,1))*'Utility Revenue'!C14</f>
        <v>0</v>
      </c>
      <c r="D72" s="7">
        <f>(1-'Game Assumptions'!$B$7*IF('Event Tracker'!D$4=1,2,1))*'Utility Revenue'!D14</f>
        <v>11742350.58927412</v>
      </c>
      <c r="E72" s="7">
        <f>(1-'Game Assumptions'!$B$7*IF('Event Tracker'!E$4=1,2,1))*'Utility Revenue'!E14</f>
        <v>59951577.782546282</v>
      </c>
      <c r="F72" s="7">
        <f>(1-'Game Assumptions'!$B$7*IF('Event Tracker'!F$4=1,2,1))*'Utility Revenue'!F14</f>
        <v>71702011.165394992</v>
      </c>
      <c r="G72" s="7">
        <f>(1-'Game Assumptions'!$B$7*IF('Event Tracker'!G$4=1,2,1))*'Utility Revenue'!G14</f>
        <v>83128266.575755909</v>
      </c>
      <c r="H72" s="7">
        <f>(1-'Game Assumptions'!$B$7*IF('Event Tracker'!H$4=1,2,1))*'Utility Revenue'!H14</f>
        <v>94762957.66571252</v>
      </c>
      <c r="I72" s="7">
        <f>(1-'Game Assumptions'!$B$7*IF('Event Tracker'!I$4=1,2,1))*'Utility Revenue'!I14</f>
        <v>106630925.52067316</v>
      </c>
      <c r="J72" s="7">
        <f>(1-'Game Assumptions'!$B$7*IF('Event Tracker'!J$4=1,2,1))*'Utility Revenue'!J14</f>
        <v>121992682.91925068</v>
      </c>
      <c r="K72" s="7">
        <f>(1-'Game Assumptions'!$B$7*IF('Event Tracker'!K$4=1,2,1))*'Utility Revenue'!K14</f>
        <v>140377401.59442487</v>
      </c>
      <c r="L72" s="7">
        <f>(1-'Game Assumptions'!$B$7*IF('Event Tracker'!L$4=1,2,1))*'Utility Revenue'!L14</f>
        <v>160045995.72110194</v>
      </c>
    </row>
    <row r="73" spans="1:12" x14ac:dyDescent="0.25">
      <c r="A73" t="s">
        <v>41</v>
      </c>
      <c r="B73" s="7">
        <f>(1-'Game Assumptions'!$B$7*IF('Event Tracker'!B$4=1,2,1))*'Utility Revenue'!B15</f>
        <v>0</v>
      </c>
      <c r="C73" s="7">
        <f>(1-'Game Assumptions'!$B$7*IF('Event Tracker'!C$4=1,2,1))*'Utility Revenue'!C15</f>
        <v>0</v>
      </c>
      <c r="D73" s="7">
        <f>(1-'Game Assumptions'!$B$7*IF('Event Tracker'!D$4=1,2,1))*'Utility Revenue'!D15</f>
        <v>0</v>
      </c>
      <c r="E73" s="7">
        <f>(1-'Game Assumptions'!$B$7*IF('Event Tracker'!E$4=1,2,1))*'Utility Revenue'!E15</f>
        <v>0</v>
      </c>
      <c r="F73" s="7">
        <f>(1-'Game Assumptions'!$B$7*IF('Event Tracker'!F$4=1,2,1))*'Utility Revenue'!F15</f>
        <v>0</v>
      </c>
      <c r="G73" s="7">
        <f>(1-'Game Assumptions'!$B$7*IF('Event Tracker'!G$4=1,2,1))*'Utility Revenue'!G15</f>
        <v>0</v>
      </c>
      <c r="H73" s="7">
        <f>(1-'Game Assumptions'!$B$7*IF('Event Tracker'!H$4=1,2,1))*'Utility Revenue'!H15</f>
        <v>0</v>
      </c>
      <c r="I73" s="7">
        <f>(1-'Game Assumptions'!$B$7*IF('Event Tracker'!I$4=1,2,1))*'Utility Revenue'!I15</f>
        <v>0</v>
      </c>
      <c r="J73" s="7">
        <f>(1-'Game Assumptions'!$B$7*IF('Event Tracker'!J$4=1,2,1))*'Utility Revenue'!J15</f>
        <v>0</v>
      </c>
      <c r="K73" s="7">
        <f>(1-'Game Assumptions'!$B$7*IF('Event Tracker'!K$4=1,2,1))*'Utility Revenue'!K15</f>
        <v>0</v>
      </c>
      <c r="L73" s="7">
        <f>(1-'Game Assumptions'!$B$7*IF('Event Tracker'!L$4=1,2,1))*'Utility Revenue'!L15</f>
        <v>0</v>
      </c>
    </row>
    <row r="74" spans="1:12" x14ac:dyDescent="0.25">
      <c r="A74" t="s">
        <v>44</v>
      </c>
      <c r="B74" s="7">
        <f>(1-'Game Assumptions'!$B$7*IF('Event Tracker'!B$4=1,2,1))*'Utility Revenue'!B16</f>
        <v>0</v>
      </c>
      <c r="C74" s="7">
        <f>(1-'Game Assumptions'!$B$7*IF('Event Tracker'!C$4=1,2,1))*'Utility Revenue'!C16</f>
        <v>0</v>
      </c>
      <c r="D74" s="7">
        <f>(1-'Game Assumptions'!$B$7*IF('Event Tracker'!D$4=1,2,1))*'Utility Revenue'!D16</f>
        <v>5076126.6168868411</v>
      </c>
      <c r="E74" s="7">
        <f>(1-'Game Assumptions'!$B$7*IF('Event Tracker'!E$4=1,2,1))*'Utility Revenue'!E16</f>
        <v>25930942.114492111</v>
      </c>
      <c r="F74" s="7">
        <f>(1-'Game Assumptions'!$B$7*IF('Event Tracker'!F$4=1,2,1))*'Utility Revenue'!F16</f>
        <v>31198146.731043309</v>
      </c>
      <c r="G74" s="7">
        <f>(1-'Game Assumptions'!$B$7*IF('Event Tracker'!G$4=1,2,1))*'Utility Revenue'!G16</f>
        <v>35797877.886782594</v>
      </c>
      <c r="H74" s="7">
        <f>(1-'Game Assumptions'!$B$7*IF('Event Tracker'!H$4=1,2,1))*'Utility Revenue'!H16</f>
        <v>40004036.001143456</v>
      </c>
      <c r="I74" s="7">
        <f>(1-'Game Assumptions'!$B$7*IF('Event Tracker'!I$4=1,2,1))*'Utility Revenue'!I16</f>
        <v>43857127.433785759</v>
      </c>
      <c r="J74" s="7">
        <f>(1-'Game Assumptions'!$B$7*IF('Event Tracker'!J$4=1,2,1))*'Utility Revenue'!J16</f>
        <v>48336075.963968597</v>
      </c>
      <c r="K74" s="7">
        <f>(1-'Game Assumptions'!$B$7*IF('Event Tracker'!K$4=1,2,1))*'Utility Revenue'!K16</f>
        <v>53149946.146476001</v>
      </c>
      <c r="L74" s="7">
        <f>(1-'Game Assumptions'!$B$7*IF('Event Tracker'!L$4=1,2,1))*'Utility Revenue'!L16</f>
        <v>57774958.746848002</v>
      </c>
    </row>
    <row r="75" spans="1:12" x14ac:dyDescent="0.25">
      <c r="A75" t="s">
        <v>45</v>
      </c>
      <c r="B75" s="7">
        <f>(1-'Game Assumptions'!$B$7*IF('Event Tracker'!B$4=1,2,1))*'Utility Revenue'!B17</f>
        <v>0</v>
      </c>
      <c r="C75" s="7">
        <f>(1-'Game Assumptions'!$B$7*IF('Event Tracker'!C$4=1,2,1))*'Utility Revenue'!C17</f>
        <v>0</v>
      </c>
      <c r="D75" s="7">
        <f>(1-'Game Assumptions'!$B$7*IF('Event Tracker'!D$4=1,2,1))*'Utility Revenue'!D17</f>
        <v>7507117.865691592</v>
      </c>
      <c r="E75" s="7">
        <f>(1-'Game Assumptions'!$B$7*IF('Event Tracker'!E$4=1,2,1))*'Utility Revenue'!E17</f>
        <v>36188863.314563289</v>
      </c>
      <c r="F75" s="7">
        <f>(1-'Game Assumptions'!$B$7*IF('Event Tracker'!F$4=1,2,1))*'Utility Revenue'!F17</f>
        <v>42694450.595240667</v>
      </c>
      <c r="G75" s="7">
        <f>(1-'Game Assumptions'!$B$7*IF('Event Tracker'!G$4=1,2,1))*'Utility Revenue'!G17</f>
        <v>48581446.944808021</v>
      </c>
      <c r="H75" s="7">
        <f>(1-'Game Assumptions'!$B$7*IF('Event Tracker'!H$4=1,2,1))*'Utility Revenue'!H17</f>
        <v>54159747.519625574</v>
      </c>
      <c r="I75" s="7">
        <f>(1-'Game Assumptions'!$B$7*IF('Event Tracker'!I$4=1,2,1))*'Utility Revenue'!I17</f>
        <v>59454926.349238247</v>
      </c>
      <c r="J75" s="7">
        <f>(1-'Game Assumptions'!$B$7*IF('Event Tracker'!J$4=1,2,1))*'Utility Revenue'!J17</f>
        <v>65833188.842346065</v>
      </c>
      <c r="K75" s="7">
        <f>(1-'Game Assumptions'!$B$7*IF('Event Tracker'!K$4=1,2,1))*'Utility Revenue'!K17</f>
        <v>72936742.912775874</v>
      </c>
      <c r="L75" s="7">
        <f>(1-'Game Assumptions'!$B$7*IF('Event Tracker'!L$4=1,2,1))*'Utility Revenue'!L17</f>
        <v>80008856.642688632</v>
      </c>
    </row>
    <row r="76" spans="1:12" x14ac:dyDescent="0.25">
      <c r="A76" t="s">
        <v>42</v>
      </c>
      <c r="B76" s="7">
        <f>(1-'Game Assumptions'!$B$7*IF('Event Tracker'!B$4=1,2,1))*'Utility Revenue'!B18</f>
        <v>0</v>
      </c>
      <c r="C76" s="7">
        <f>(1-'Game Assumptions'!$B$7*IF('Event Tracker'!C$4=1,2,1))*'Utility Revenue'!C18</f>
        <v>0</v>
      </c>
      <c r="D76" s="7">
        <f>(1-'Game Assumptions'!$B$7*IF('Event Tracker'!D$4=1,2,1))*'Utility Revenue'!D18</f>
        <v>0</v>
      </c>
      <c r="E76" s="7">
        <f>(1-'Game Assumptions'!$B$7*IF('Event Tracker'!E$4=1,2,1))*'Utility Revenue'!E18</f>
        <v>0</v>
      </c>
      <c r="F76" s="7">
        <f>(1-'Game Assumptions'!$B$7*IF('Event Tracker'!F$4=1,2,1))*'Utility Revenue'!F18</f>
        <v>0</v>
      </c>
      <c r="G76" s="7">
        <f>(1-'Game Assumptions'!$B$7*IF('Event Tracker'!G$4=1,2,1))*'Utility Revenue'!G18</f>
        <v>0</v>
      </c>
      <c r="H76" s="7">
        <f>(1-'Game Assumptions'!$B$7*IF('Event Tracker'!H$4=1,2,1))*'Utility Revenue'!H18</f>
        <v>0</v>
      </c>
      <c r="I76" s="7">
        <f>(1-'Game Assumptions'!$B$7*IF('Event Tracker'!I$4=1,2,1))*'Utility Revenue'!I18</f>
        <v>0</v>
      </c>
      <c r="J76" s="7">
        <f>(1-'Game Assumptions'!$B$7*IF('Event Tracker'!J$4=1,2,1))*'Utility Revenue'!J18</f>
        <v>0</v>
      </c>
      <c r="K76" s="7">
        <f>(1-'Game Assumptions'!$B$7*IF('Event Tracker'!K$4=1,2,1))*'Utility Revenue'!K18</f>
        <v>0</v>
      </c>
      <c r="L76" s="7">
        <f>(1-'Game Assumptions'!$B$7*IF('Event Tracker'!L$4=1,2,1))*'Utility Revenue'!L18</f>
        <v>0</v>
      </c>
    </row>
    <row r="77" spans="1:12" x14ac:dyDescent="0.25">
      <c r="A77" s="12" t="s">
        <v>47</v>
      </c>
      <c r="B77" s="7">
        <f>(1-'Game Assumptions'!$B$7*IF('Event Tracker'!B$4=1,2,1))*'Utility Revenue'!B19</f>
        <v>0</v>
      </c>
      <c r="C77" s="7">
        <f>(1-'Game Assumptions'!$B$7*IF('Event Tracker'!C$4=1,2,1))*'Utility Revenue'!C19</f>
        <v>443475</v>
      </c>
      <c r="D77" s="7">
        <f>(1-'Game Assumptions'!$B$7*IF('Event Tracker'!D$4=1,2,1))*'Utility Revenue'!D19</f>
        <v>2193100.1582156667</v>
      </c>
      <c r="E77" s="7">
        <f>(1-'Game Assumptions'!$B$7*IF('Event Tracker'!E$4=1,2,1))*'Utility Revenue'!E19</f>
        <v>7999086.6287439885</v>
      </c>
      <c r="F77" s="7">
        <f>(1-'Game Assumptions'!$B$7*IF('Event Tracker'!F$4=1,2,1))*'Utility Revenue'!F19</f>
        <v>9749610.8694752045</v>
      </c>
      <c r="G77" s="7">
        <f>(1-'Game Assumptions'!$B$7*IF('Event Tracker'!G$4=1,2,1))*'Utility Revenue'!G19</f>
        <v>11464075.455298679</v>
      </c>
      <c r="H77" s="7">
        <f>(1-'Game Assumptions'!$B$7*IF('Event Tracker'!H$4=1,2,1))*'Utility Revenue'!H19</f>
        <v>13201725.202714108</v>
      </c>
      <c r="I77" s="7">
        <f>(1-'Game Assumptions'!$B$7*IF('Event Tracker'!I$4=1,2,1))*'Utility Revenue'!I19</f>
        <v>14965323.288258392</v>
      </c>
      <c r="J77" s="7">
        <f>(1-'Game Assumptions'!$B$7*IF('Event Tracker'!J$4=1,2,1))*'Utility Revenue'!J19</f>
        <v>17117550.015953407</v>
      </c>
      <c r="K77" s="7">
        <f>(1-'Game Assumptions'!$B$7*IF('Event Tracker'!K$4=1,2,1))*'Utility Revenue'!K19</f>
        <v>19606033.212886635</v>
      </c>
      <c r="L77" s="7">
        <f>(1-'Game Assumptions'!$B$7*IF('Event Tracker'!L$4=1,2,1))*'Utility Revenue'!L19</f>
        <v>22237327.179380894</v>
      </c>
    </row>
    <row r="78" spans="1:12" x14ac:dyDescent="0.25">
      <c r="A78" t="s">
        <v>287</v>
      </c>
      <c r="B78" s="7">
        <f>(1-'Game Assumptions'!$B$7*IF('Event Tracker'!B$4=1,2,1))*'Utility Revenue'!B20</f>
        <v>0</v>
      </c>
      <c r="C78" s="7">
        <f>(1-'Game Assumptions'!$B$7*IF('Event Tracker'!C$4=1,2,1))*'Utility Revenue'!C20</f>
        <v>0</v>
      </c>
      <c r="D78" s="7">
        <f>(1-'Game Assumptions'!$B$7*IF('Event Tracker'!D$4=1,2,1))*'Utility Revenue'!D20</f>
        <v>0</v>
      </c>
      <c r="E78" s="7">
        <f>(1-'Game Assumptions'!$B$7*IF('Event Tracker'!E$4=1,2,1))*'Utility Revenue'!E20</f>
        <v>0</v>
      </c>
      <c r="F78" s="7">
        <f>(1-'Game Assumptions'!$B$7*IF('Event Tracker'!F$4=1,2,1))*'Utility Revenue'!F20</f>
        <v>0</v>
      </c>
      <c r="G78" s="7">
        <f>(1-'Game Assumptions'!$B$7*IF('Event Tracker'!G$4=1,2,1))*'Utility Revenue'!G20</f>
        <v>0</v>
      </c>
      <c r="H78" s="7">
        <f>(1-'Game Assumptions'!$B$7*IF('Event Tracker'!H$4=1,2,1))*'Utility Revenue'!H20</f>
        <v>0</v>
      </c>
      <c r="I78" s="7">
        <f>(1-'Game Assumptions'!$B$7*IF('Event Tracker'!I$4=1,2,1))*'Utility Revenue'!I20</f>
        <v>0</v>
      </c>
      <c r="J78" s="7">
        <f>(1-'Game Assumptions'!$B$7*IF('Event Tracker'!J$4=1,2,1))*'Utility Revenue'!J20</f>
        <v>0</v>
      </c>
      <c r="K78" s="7">
        <f>(1-'Game Assumptions'!$B$7*IF('Event Tracker'!K$4=1,2,1))*'Utility Revenue'!K20</f>
        <v>0</v>
      </c>
      <c r="L78" s="7">
        <f>(1-'Game Assumptions'!$B$7*IF('Event Tracker'!L$4=1,2,1))*'Utility Revenue'!L20</f>
        <v>0</v>
      </c>
    </row>
    <row r="79" spans="1:12" x14ac:dyDescent="0.25">
      <c r="A79" t="s">
        <v>288</v>
      </c>
      <c r="B79" s="7">
        <f>(1-'Game Assumptions'!$B$7*IF('Event Tracker'!B$4=1,2,1))*'Utility Revenue'!B21</f>
        <v>0</v>
      </c>
      <c r="C79" s="7">
        <f>(1-'Game Assumptions'!$B$7*IF('Event Tracker'!C$4=1,2,1))*'Utility Revenue'!C21</f>
        <v>0</v>
      </c>
      <c r="D79" s="7">
        <f>(1-'Game Assumptions'!$B$7*IF('Event Tracker'!D$4=1,2,1))*'Utility Revenue'!D21</f>
        <v>0</v>
      </c>
      <c r="E79" s="7">
        <f>(1-'Game Assumptions'!$B$7*IF('Event Tracker'!E$4=1,2,1))*'Utility Revenue'!E21</f>
        <v>0</v>
      </c>
      <c r="F79" s="7">
        <f>(1-'Game Assumptions'!$B$7*IF('Event Tracker'!F$4=1,2,1))*'Utility Revenue'!F21</f>
        <v>0</v>
      </c>
      <c r="G79" s="7">
        <f>(1-'Game Assumptions'!$B$7*IF('Event Tracker'!G$4=1,2,1))*'Utility Revenue'!G21</f>
        <v>0</v>
      </c>
      <c r="H79" s="7">
        <f>(1-'Game Assumptions'!$B$7*IF('Event Tracker'!H$4=1,2,1))*'Utility Revenue'!H21</f>
        <v>0</v>
      </c>
      <c r="I79" s="7">
        <f>(1-'Game Assumptions'!$B$7*IF('Event Tracker'!I$4=1,2,1))*'Utility Revenue'!I21</f>
        <v>0</v>
      </c>
      <c r="J79" s="7">
        <f>(1-'Game Assumptions'!$B$7*IF('Event Tracker'!J$4=1,2,1))*'Utility Revenue'!J21</f>
        <v>0</v>
      </c>
      <c r="K79" s="7">
        <f>(1-'Game Assumptions'!$B$7*IF('Event Tracker'!K$4=1,2,1))*'Utility Revenue'!K21</f>
        <v>0</v>
      </c>
      <c r="L79" s="7">
        <f>(1-'Game Assumptions'!$B$7*IF('Event Tracker'!L$4=1,2,1))*'Utility Revenue'!L21</f>
        <v>0</v>
      </c>
    </row>
    <row r="80" spans="1:12" x14ac:dyDescent="0.25">
      <c r="A80" t="s">
        <v>289</v>
      </c>
      <c r="B80" s="7">
        <f>(1-'Game Assumptions'!$B$7*IF('Event Tracker'!B$4=1,2,1))*'Utility Revenue'!B22</f>
        <v>0</v>
      </c>
      <c r="C80" s="7">
        <f>(1-'Game Assumptions'!$B$7*IF('Event Tracker'!C$4=1,2,1))*'Utility Revenue'!C22</f>
        <v>0</v>
      </c>
      <c r="D80" s="7">
        <f>(1-'Game Assumptions'!$B$7*IF('Event Tracker'!D$4=1,2,1))*'Utility Revenue'!D22</f>
        <v>0</v>
      </c>
      <c r="E80" s="7">
        <f>(1-'Game Assumptions'!$B$7*IF('Event Tracker'!E$4=1,2,1))*'Utility Revenue'!E22</f>
        <v>0</v>
      </c>
      <c r="F80" s="7">
        <f>(1-'Game Assumptions'!$B$7*IF('Event Tracker'!F$4=1,2,1))*'Utility Revenue'!F22</f>
        <v>0</v>
      </c>
      <c r="G80" s="7">
        <f>(1-'Game Assumptions'!$B$7*IF('Event Tracker'!G$4=1,2,1))*'Utility Revenue'!G22</f>
        <v>0</v>
      </c>
      <c r="H80" s="7">
        <f>(1-'Game Assumptions'!$B$7*IF('Event Tracker'!H$4=1,2,1))*'Utility Revenue'!H22</f>
        <v>0</v>
      </c>
      <c r="I80" s="7">
        <f>(1-'Game Assumptions'!$B$7*IF('Event Tracker'!I$4=1,2,1))*'Utility Revenue'!I22</f>
        <v>0</v>
      </c>
      <c r="J80" s="7">
        <f>(1-'Game Assumptions'!$B$7*IF('Event Tracker'!J$4=1,2,1))*'Utility Revenue'!J22</f>
        <v>0</v>
      </c>
      <c r="K80" s="7">
        <f>(1-'Game Assumptions'!$B$7*IF('Event Tracker'!K$4=1,2,1))*'Utility Revenue'!K22</f>
        <v>0</v>
      </c>
      <c r="L80" s="7">
        <f>(1-'Game Assumptions'!$B$7*IF('Event Tracker'!L$4=1,2,1))*'Utility Revenue'!L22</f>
        <v>0</v>
      </c>
    </row>
    <row r="81" spans="1:12" x14ac:dyDescent="0.25">
      <c r="A81" t="s">
        <v>290</v>
      </c>
      <c r="B81" s="7">
        <f>(1-'Game Assumptions'!$B$7*IF('Event Tracker'!B$4=1,2,1))*'Utility Revenue'!B23</f>
        <v>0</v>
      </c>
      <c r="C81" s="7">
        <f>(1-'Game Assumptions'!$B$7*IF('Event Tracker'!C$4=1,2,1))*'Utility Revenue'!C23</f>
        <v>0</v>
      </c>
      <c r="D81" s="7">
        <f>(1-'Game Assumptions'!$B$7*IF('Event Tracker'!D$4=1,2,1))*'Utility Revenue'!D23</f>
        <v>0</v>
      </c>
      <c r="E81" s="7">
        <f>(1-'Game Assumptions'!$B$7*IF('Event Tracker'!E$4=1,2,1))*'Utility Revenue'!E23</f>
        <v>0</v>
      </c>
      <c r="F81" s="7">
        <f>(1-'Game Assumptions'!$B$7*IF('Event Tracker'!F$4=1,2,1))*'Utility Revenue'!F23</f>
        <v>0</v>
      </c>
      <c r="G81" s="7">
        <f>(1-'Game Assumptions'!$B$7*IF('Event Tracker'!G$4=1,2,1))*'Utility Revenue'!G23</f>
        <v>0</v>
      </c>
      <c r="H81" s="7">
        <f>(1-'Game Assumptions'!$B$7*IF('Event Tracker'!H$4=1,2,1))*'Utility Revenue'!H23</f>
        <v>0</v>
      </c>
      <c r="I81" s="7">
        <f>(1-'Game Assumptions'!$B$7*IF('Event Tracker'!I$4=1,2,1))*'Utility Revenue'!I23</f>
        <v>0</v>
      </c>
      <c r="J81" s="7">
        <f>(1-'Game Assumptions'!$B$7*IF('Event Tracker'!J$4=1,2,1))*'Utility Revenue'!J23</f>
        <v>0</v>
      </c>
      <c r="K81" s="7">
        <f>(1-'Game Assumptions'!$B$7*IF('Event Tracker'!K$4=1,2,1))*'Utility Revenue'!K23</f>
        <v>0</v>
      </c>
      <c r="L81" s="7">
        <f>(1-'Game Assumptions'!$B$7*IF('Event Tracker'!L$4=1,2,1))*'Utility Revenue'!L23</f>
        <v>0</v>
      </c>
    </row>
    <row r="82" spans="1:12" x14ac:dyDescent="0.25">
      <c r="A82" s="12" t="s">
        <v>67</v>
      </c>
      <c r="B82" s="7">
        <f>(1-'Game Assumptions'!$B$7*IF('Event Tracker'!B$4=1,2,1))*'Utility Revenue'!B24</f>
        <v>0</v>
      </c>
      <c r="C82" s="7">
        <f>(1-'Game Assumptions'!$B$7*IF('Event Tracker'!C$4=1,2,1))*'Utility Revenue'!C24</f>
        <v>0</v>
      </c>
      <c r="D82" s="7">
        <f>(1-'Game Assumptions'!$B$7*IF('Event Tracker'!D$4=1,2,1))*'Utility Revenue'!D24</f>
        <v>0</v>
      </c>
      <c r="E82" s="7">
        <f>(1-'Game Assumptions'!$B$7*IF('Event Tracker'!E$4=1,2,1))*'Utility Revenue'!E24</f>
        <v>0</v>
      </c>
      <c r="F82" s="7">
        <f>(1-'Game Assumptions'!$B$7*IF('Event Tracker'!F$4=1,2,1))*'Utility Revenue'!F24</f>
        <v>0</v>
      </c>
      <c r="G82" s="7">
        <f>(1-'Game Assumptions'!$B$7*IF('Event Tracker'!G$4=1,2,1))*'Utility Revenue'!G24</f>
        <v>0</v>
      </c>
      <c r="H82" s="7">
        <f>(1-'Game Assumptions'!$B$7*IF('Event Tracker'!H$4=1,2,1))*'Utility Revenue'!H24</f>
        <v>0</v>
      </c>
      <c r="I82" s="7">
        <f>(1-'Game Assumptions'!$B$7*IF('Event Tracker'!I$4=1,2,1))*'Utility Revenue'!I24</f>
        <v>0</v>
      </c>
      <c r="J82" s="7">
        <f>(1-'Game Assumptions'!$B$7*IF('Event Tracker'!J$4=1,2,1))*'Utility Revenue'!J24</f>
        <v>0</v>
      </c>
      <c r="K82" s="7">
        <f>(1-'Game Assumptions'!$B$7*IF('Event Tracker'!K$4=1,2,1))*'Utility Revenue'!K24</f>
        <v>0</v>
      </c>
      <c r="L82" s="7">
        <f>(1-'Game Assumptions'!$B$7*IF('Event Tracker'!L$4=1,2,1))*'Utility Revenue'!L24</f>
        <v>0</v>
      </c>
    </row>
    <row r="83" spans="1:12" x14ac:dyDescent="0.25">
      <c r="A83" s="12" t="s">
        <v>68</v>
      </c>
      <c r="B83" s="7">
        <f>(1-'Game Assumptions'!$B$7*IF('Event Tracker'!B$4=1,2,1))*'Utility Revenue'!B25</f>
        <v>0</v>
      </c>
      <c r="C83" s="7">
        <f>(1-'Game Assumptions'!$B$7*IF('Event Tracker'!C$4=1,2,1))*'Utility Revenue'!C25</f>
        <v>0</v>
      </c>
      <c r="D83" s="7">
        <f>(1-'Game Assumptions'!$B$7*IF('Event Tracker'!D$4=1,2,1))*'Utility Revenue'!D25</f>
        <v>0</v>
      </c>
      <c r="E83" s="7">
        <f>(1-'Game Assumptions'!$B$7*IF('Event Tracker'!E$4=1,2,1))*'Utility Revenue'!E25</f>
        <v>0</v>
      </c>
      <c r="F83" s="7">
        <f>(1-'Game Assumptions'!$B$7*IF('Event Tracker'!F$4=1,2,1))*'Utility Revenue'!F25</f>
        <v>0</v>
      </c>
      <c r="G83" s="7">
        <f>(1-'Game Assumptions'!$B$7*IF('Event Tracker'!G$4=1,2,1))*'Utility Revenue'!G25</f>
        <v>0</v>
      </c>
      <c r="H83" s="7">
        <f>(1-'Game Assumptions'!$B$7*IF('Event Tracker'!H$4=1,2,1))*'Utility Revenue'!H25</f>
        <v>0</v>
      </c>
      <c r="I83" s="7">
        <f>(1-'Game Assumptions'!$B$7*IF('Event Tracker'!I$4=1,2,1))*'Utility Revenue'!I25</f>
        <v>0</v>
      </c>
      <c r="J83" s="7">
        <f>(1-'Game Assumptions'!$B$7*IF('Event Tracker'!J$4=1,2,1))*'Utility Revenue'!J25</f>
        <v>0</v>
      </c>
      <c r="K83" s="7">
        <f>(1-'Game Assumptions'!$B$7*IF('Event Tracker'!K$4=1,2,1))*'Utility Revenue'!K25</f>
        <v>0</v>
      </c>
      <c r="L83" s="7">
        <f>(1-'Game Assumptions'!$B$7*IF('Event Tracker'!L$4=1,2,1))*'Utility Revenue'!L25</f>
        <v>0</v>
      </c>
    </row>
    <row r="84" spans="1:12" x14ac:dyDescent="0.25">
      <c r="A84" s="22" t="s">
        <v>388</v>
      </c>
      <c r="B84" s="23">
        <f>(1-'Game Assumptions'!$B$7*IF('Event Tracker'!B$4=1,2,1))*'Utility Revenue'!B26</f>
        <v>0</v>
      </c>
      <c r="C84" s="23">
        <f>(1-'Game Assumptions'!$B$7*IF('Event Tracker'!C$4=1,2,1))*'Utility Revenue'!C26</f>
        <v>2377598.749667231</v>
      </c>
      <c r="D84" s="23">
        <f>(1-'Game Assumptions'!$B$7*IF('Event Tracker'!D$4=1,2,1))*'Utility Revenue'!D26</f>
        <v>22261826.864299934</v>
      </c>
      <c r="E84" s="23">
        <f>(1-'Game Assumptions'!$B$7*IF('Event Tracker'!E$4=1,2,1))*'Utility Revenue'!E26</f>
        <v>96514393.579491273</v>
      </c>
      <c r="F84" s="23">
        <f>(1-'Game Assumptions'!$B$7*IF('Event Tracker'!F$4=1,2,1))*'Utility Revenue'!F26</f>
        <v>116410672.30275366</v>
      </c>
      <c r="G84" s="23">
        <f>(1-'Game Assumptions'!$B$7*IF('Event Tracker'!G$4=1,2,1))*'Utility Revenue'!G26</f>
        <v>135823635.22229496</v>
      </c>
      <c r="H84" s="23">
        <f>(1-'Game Assumptions'!$B$7*IF('Event Tracker'!H$4=1,2,1))*'Utility Revenue'!H26</f>
        <v>155547354.16648173</v>
      </c>
      <c r="I84" s="23">
        <f>(1-'Game Assumptions'!$B$7*IF('Event Tracker'!I$4=1,2,1))*'Utility Revenue'!I26</f>
        <v>175618864.62254131</v>
      </c>
      <c r="J84" s="23">
        <f>(1-'Game Assumptions'!$B$7*IF('Event Tracker'!J$4=1,2,1))*'Utility Revenue'!J26</f>
        <v>200899253.67188379</v>
      </c>
      <c r="K84" s="23">
        <f>(1-'Game Assumptions'!$B$7*IF('Event Tracker'!K$4=1,2,1))*'Utility Revenue'!K26</f>
        <v>230686565.10032481</v>
      </c>
      <c r="L84" s="23">
        <f>(1-'Game Assumptions'!$B$7*IF('Event Tracker'!L$4=1,2,1))*'Utility Revenue'!L26</f>
        <v>262388001.94252831</v>
      </c>
    </row>
    <row r="85" spans="1:12" x14ac:dyDescent="0.25">
      <c r="A85" s="24" t="s">
        <v>77</v>
      </c>
      <c r="B85" s="31"/>
      <c r="C85" s="31"/>
      <c r="D85" s="31"/>
      <c r="E85" s="31"/>
      <c r="F85" s="31"/>
      <c r="G85" s="31"/>
      <c r="H85" s="31"/>
      <c r="I85" s="31"/>
      <c r="J85" s="31"/>
      <c r="K85" s="31"/>
      <c r="L85" s="31"/>
    </row>
    <row r="86" spans="1:12" x14ac:dyDescent="0.25">
      <c r="A86" s="4" t="s">
        <v>75</v>
      </c>
    </row>
    <row r="87" spans="1:12" x14ac:dyDescent="0.25">
      <c r="A87" t="s">
        <v>55</v>
      </c>
      <c r="B87" s="7">
        <f t="shared" ref="B87:L87" si="5">B29</f>
        <v>833519250</v>
      </c>
      <c r="C87" s="7">
        <f t="shared" si="5"/>
        <v>688547250</v>
      </c>
      <c r="D87" s="7">
        <f t="shared" si="5"/>
        <v>625551669.58500934</v>
      </c>
      <c r="E87" s="7">
        <f t="shared" si="5"/>
        <v>589898969.12708914</v>
      </c>
      <c r="F87" s="7">
        <f t="shared" si="5"/>
        <v>598709449.19424033</v>
      </c>
      <c r="G87" s="7">
        <f t="shared" si="5"/>
        <v>607276860.47645783</v>
      </c>
      <c r="H87" s="7">
        <f t="shared" si="5"/>
        <v>616000556.92199874</v>
      </c>
      <c r="I87" s="7">
        <f t="shared" si="5"/>
        <v>624899164.3875196</v>
      </c>
      <c r="J87" s="7">
        <f t="shared" si="5"/>
        <v>636417416.77420449</v>
      </c>
      <c r="K87" s="7">
        <f t="shared" si="5"/>
        <v>650202286.84242105</v>
      </c>
      <c r="L87" s="7">
        <f t="shared" si="5"/>
        <v>664949807.28323412</v>
      </c>
    </row>
    <row r="88" spans="1:12" x14ac:dyDescent="0.25">
      <c r="A88" t="s">
        <v>56</v>
      </c>
      <c r="B88" s="7">
        <f t="shared" ref="B88:L88" si="6">B30</f>
        <v>219429435.516</v>
      </c>
      <c r="C88" s="7">
        <f t="shared" si="6"/>
        <v>213300828.94080001</v>
      </c>
      <c r="D88" s="7">
        <f t="shared" si="6"/>
        <v>179194833.25495464</v>
      </c>
      <c r="E88" s="7">
        <f t="shared" si="6"/>
        <v>135166219.97576159</v>
      </c>
      <c r="F88" s="7">
        <f t="shared" si="6"/>
        <v>131252516.01640332</v>
      </c>
      <c r="G88" s="7">
        <f t="shared" si="6"/>
        <v>127746235.6106962</v>
      </c>
      <c r="H88" s="7">
        <f t="shared" si="6"/>
        <v>125146007.72110242</v>
      </c>
      <c r="I88" s="7">
        <f t="shared" si="6"/>
        <v>124739941.57193658</v>
      </c>
      <c r="J88" s="7">
        <f t="shared" si="6"/>
        <v>123898279.64693657</v>
      </c>
      <c r="K88" s="7">
        <f t="shared" si="6"/>
        <v>122920845.52193657</v>
      </c>
      <c r="L88" s="7">
        <f t="shared" si="6"/>
        <v>122848559.39693657</v>
      </c>
    </row>
    <row r="89" spans="1:12" x14ac:dyDescent="0.25">
      <c r="A89" s="12" t="s">
        <v>57</v>
      </c>
      <c r="B89" s="7">
        <f t="shared" ref="B89:L89" si="7">B31</f>
        <v>1038587909.8080001</v>
      </c>
      <c r="C89" s="7">
        <f t="shared" si="7"/>
        <v>1261750369.5962882</v>
      </c>
      <c r="D89" s="7">
        <f t="shared" si="7"/>
        <v>1115647533.1034596</v>
      </c>
      <c r="E89" s="7">
        <f t="shared" si="7"/>
        <v>931764593.52311182</v>
      </c>
      <c r="F89" s="7">
        <f t="shared" si="7"/>
        <v>859084903.88036585</v>
      </c>
      <c r="G89" s="7">
        <f t="shared" si="7"/>
        <v>817977306.59684706</v>
      </c>
      <c r="H89" s="7">
        <f t="shared" si="7"/>
        <v>839904330.54348612</v>
      </c>
      <c r="I89" s="7">
        <f t="shared" si="7"/>
        <v>869780923.53015041</v>
      </c>
      <c r="J89" s="7">
        <f t="shared" si="7"/>
        <v>890942618.20355749</v>
      </c>
      <c r="K89" s="7">
        <f t="shared" si="7"/>
        <v>899435125.18869615</v>
      </c>
      <c r="L89" s="7">
        <f t="shared" si="7"/>
        <v>901936564.14951992</v>
      </c>
    </row>
    <row r="90" spans="1:12" ht="15.75" thickBot="1" x14ac:dyDescent="0.3">
      <c r="A90" s="75" t="s">
        <v>210</v>
      </c>
      <c r="B90" s="36"/>
      <c r="C90" s="36"/>
      <c r="D90" s="36"/>
      <c r="E90" s="36"/>
      <c r="F90" s="36"/>
      <c r="G90" s="36"/>
      <c r="H90" s="36"/>
      <c r="I90" s="36"/>
      <c r="J90" s="36"/>
      <c r="K90" s="36"/>
      <c r="L90" s="36"/>
    </row>
    <row r="91" spans="1:12" ht="15.75" thickTop="1" x14ac:dyDescent="0.25">
      <c r="A91" s="71" t="s">
        <v>211</v>
      </c>
      <c r="B91" s="27">
        <f t="shared" ref="B91:L91" si="8">B33</f>
        <v>29791461.006910168</v>
      </c>
      <c r="C91" s="27">
        <f t="shared" si="8"/>
        <v>29791461.006910168</v>
      </c>
      <c r="D91" s="27">
        <f t="shared" si="8"/>
        <v>29791461.006910168</v>
      </c>
      <c r="E91" s="27">
        <f t="shared" si="8"/>
        <v>29791461.006910168</v>
      </c>
      <c r="F91" s="27">
        <f t="shared" si="8"/>
        <v>29791461.006910168</v>
      </c>
      <c r="G91" s="27">
        <f t="shared" si="8"/>
        <v>29791461.006910168</v>
      </c>
      <c r="H91" s="27">
        <f t="shared" si="8"/>
        <v>29791461.006910168</v>
      </c>
      <c r="I91" s="27">
        <f t="shared" si="8"/>
        <v>29791461.006910168</v>
      </c>
      <c r="J91" s="27">
        <f t="shared" si="8"/>
        <v>29791461.006910168</v>
      </c>
      <c r="K91" s="27">
        <f t="shared" si="8"/>
        <v>29791461.006910168</v>
      </c>
      <c r="L91" s="27">
        <f t="shared" si="8"/>
        <v>29791461.006910168</v>
      </c>
    </row>
    <row r="92" spans="1:12" x14ac:dyDescent="0.25">
      <c r="A92" s="72" t="s">
        <v>213</v>
      </c>
      <c r="B92" s="27">
        <f t="shared" ref="B92:L92" si="9">B34</f>
        <v>424000</v>
      </c>
      <c r="C92" s="27">
        <f t="shared" si="9"/>
        <v>424000</v>
      </c>
      <c r="D92" s="27">
        <f t="shared" si="9"/>
        <v>424000</v>
      </c>
      <c r="E92" s="27">
        <f t="shared" si="9"/>
        <v>424000</v>
      </c>
      <c r="F92" s="27">
        <f t="shared" si="9"/>
        <v>424000</v>
      </c>
      <c r="G92" s="27">
        <f t="shared" si="9"/>
        <v>424000</v>
      </c>
      <c r="H92" s="27">
        <f t="shared" si="9"/>
        <v>424000</v>
      </c>
      <c r="I92" s="27">
        <f t="shared" si="9"/>
        <v>424000</v>
      </c>
      <c r="J92" s="27">
        <f t="shared" si="9"/>
        <v>424000</v>
      </c>
      <c r="K92" s="27">
        <f t="shared" si="9"/>
        <v>424000</v>
      </c>
      <c r="L92" s="27">
        <f t="shared" si="9"/>
        <v>424000</v>
      </c>
    </row>
    <row r="93" spans="1:12" x14ac:dyDescent="0.25">
      <c r="A93" s="34" t="s">
        <v>85</v>
      </c>
      <c r="B93" s="41">
        <f>SUM(B89,B88,B87,B71:B84,B67:B69,B91:B92)</f>
        <v>4795372537.9386139</v>
      </c>
      <c r="C93" s="41">
        <f t="shared" ref="C93:L93" si="10">SUM(C89,C88,C87,C71:C84,C67:C69,C91:C92)</f>
        <v>4793866308.2840071</v>
      </c>
      <c r="D93" s="41">
        <f t="shared" si="10"/>
        <v>4520232187.4176798</v>
      </c>
      <c r="E93" s="41">
        <f t="shared" si="10"/>
        <v>4358083118.8083248</v>
      </c>
      <c r="F93" s="41">
        <f t="shared" si="10"/>
        <v>4259081076.9000797</v>
      </c>
      <c r="G93" s="41">
        <f t="shared" si="10"/>
        <v>4189685864.2967405</v>
      </c>
      <c r="H93" s="41">
        <f t="shared" si="10"/>
        <v>4184227718.6527014</v>
      </c>
      <c r="I93" s="41">
        <f t="shared" si="10"/>
        <v>4189059042.9971762</v>
      </c>
      <c r="J93" s="41">
        <f t="shared" si="10"/>
        <v>4198159755.7138114</v>
      </c>
      <c r="K93" s="41">
        <f t="shared" si="10"/>
        <v>4205648479.57829</v>
      </c>
      <c r="L93" s="41">
        <f t="shared" si="10"/>
        <v>4212134447.5032229</v>
      </c>
    </row>
    <row r="94" spans="1:12" ht="15.75" thickBot="1" x14ac:dyDescent="0.3">
      <c r="A94" s="40" t="s">
        <v>84</v>
      </c>
      <c r="B94" s="38">
        <f>'Resource Mix and Demand'!B65</f>
        <v>60000000</v>
      </c>
      <c r="C94" s="38">
        <f>'Resource Mix and Demand'!C65</f>
        <v>59500000</v>
      </c>
      <c r="D94" s="38">
        <f>'Resource Mix and Demand'!D65</f>
        <v>59000000</v>
      </c>
      <c r="E94" s="38">
        <f>'Resource Mix and Demand'!E65</f>
        <v>58500000</v>
      </c>
      <c r="F94" s="38">
        <f>'Resource Mix and Demand'!F65</f>
        <v>58000000</v>
      </c>
      <c r="G94" s="38">
        <f>'Resource Mix and Demand'!G65</f>
        <v>57500000</v>
      </c>
      <c r="H94" s="38">
        <f>'Resource Mix and Demand'!H65</f>
        <v>57000000</v>
      </c>
      <c r="I94" s="38">
        <f>'Resource Mix and Demand'!I65</f>
        <v>56500000</v>
      </c>
      <c r="J94" s="38">
        <f>'Resource Mix and Demand'!J65</f>
        <v>56000000</v>
      </c>
      <c r="K94" s="38">
        <f>'Resource Mix and Demand'!K65</f>
        <v>55500000</v>
      </c>
      <c r="L94" s="38">
        <f>'Resource Mix and Demand'!L65</f>
        <v>55000000</v>
      </c>
    </row>
    <row r="95" spans="1:12" ht="16.5" thickTop="1" thickBot="1" x14ac:dyDescent="0.3">
      <c r="A95" s="71" t="s">
        <v>208</v>
      </c>
      <c r="B95" s="73">
        <f>IF(OR('Event Tracker'!B3=1,'Event Tracker'!B8=1),'Utility Revenue'!B100-'Utility Revenue'!B94,0)</f>
        <v>0</v>
      </c>
      <c r="C95" s="73">
        <f>IF(OR('Event Tracker'!C3=1,'Event Tracker'!C8=1),'Utility Revenue'!C100-'Utility Revenue'!C94,0)</f>
        <v>0</v>
      </c>
      <c r="D95" s="73">
        <f>IF(OR('Event Tracker'!D3=1,'Event Tracker'!D8=1),'Utility Revenue'!D100-'Utility Revenue'!D94,0)</f>
        <v>0</v>
      </c>
      <c r="E95" s="73">
        <f>IF(OR('Event Tracker'!E3=1,'Event Tracker'!E8=1),'Utility Revenue'!E100-'Utility Revenue'!E94,0)</f>
        <v>0</v>
      </c>
      <c r="F95" s="73">
        <f>IF(OR('Event Tracker'!F3=1,'Event Tracker'!F8=1),'Utility Revenue'!F100-'Utility Revenue'!F94,0)</f>
        <v>0</v>
      </c>
      <c r="G95" s="73">
        <f>IF(OR('Event Tracker'!G3=1,'Event Tracker'!G8=1),'Utility Revenue'!G100-'Utility Revenue'!G94,0)</f>
        <v>0</v>
      </c>
      <c r="H95" s="73">
        <f>IF(OR('Event Tracker'!H3=1,'Event Tracker'!H8=1),'Utility Revenue'!H100-'Utility Revenue'!H94,0)</f>
        <v>0</v>
      </c>
      <c r="I95" s="73">
        <f>IF(OR('Event Tracker'!I3=1,'Event Tracker'!I8=1),'Utility Revenue'!I100-'Utility Revenue'!I94,0)</f>
        <v>0</v>
      </c>
      <c r="J95" s="73">
        <f>IF(OR('Event Tracker'!J3=1,'Event Tracker'!J8=1),'Utility Revenue'!J100-'Utility Revenue'!J94,0)</f>
        <v>0</v>
      </c>
      <c r="K95" s="73">
        <f>IF(OR('Event Tracker'!K3=1,'Event Tracker'!K8=1),'Utility Revenue'!K100-'Utility Revenue'!K94,0)</f>
        <v>0</v>
      </c>
      <c r="L95" s="73">
        <f>IF(OR('Event Tracker'!L3=1,'Event Tracker'!L8=1),'Utility Revenue'!L100-'Utility Revenue'!L94,0)</f>
        <v>0</v>
      </c>
    </row>
    <row r="96" spans="1:12" ht="16.5" thickTop="1" thickBot="1" x14ac:dyDescent="0.3">
      <c r="A96" s="39" t="s">
        <v>82</v>
      </c>
      <c r="B96" s="76">
        <f>B93/(SUM(B94:B95)*1000)</f>
        <v>7.9922875632310236E-2</v>
      </c>
      <c r="C96" s="76">
        <f t="shared" ref="C96:L96" si="11">C93/(SUM(C94:C95)*1000)</f>
        <v>8.056918165183205E-2</v>
      </c>
      <c r="D96" s="76">
        <f t="shared" si="11"/>
        <v>7.6614104871486094E-2</v>
      </c>
      <c r="E96" s="76">
        <f t="shared" si="11"/>
        <v>7.4497147330056829E-2</v>
      </c>
      <c r="F96" s="76">
        <f t="shared" si="11"/>
        <v>7.3432432360346203E-2</v>
      </c>
      <c r="G96" s="76">
        <f t="shared" si="11"/>
        <v>7.2864101987769395E-2</v>
      </c>
      <c r="H96" s="76">
        <f t="shared" si="11"/>
        <v>7.34075038360123E-2</v>
      </c>
      <c r="I96" s="76">
        <f t="shared" si="11"/>
        <v>7.4142637929153557E-2</v>
      </c>
      <c r="J96" s="76">
        <f t="shared" si="11"/>
        <v>7.4967138494889493E-2</v>
      </c>
      <c r="K96" s="76">
        <f t="shared" si="11"/>
        <v>7.5777450082491718E-2</v>
      </c>
      <c r="L96" s="76">
        <f t="shared" si="11"/>
        <v>7.6584262681876777E-2</v>
      </c>
    </row>
    <row r="97" spans="1:12" ht="15.75" thickTop="1" x14ac:dyDescent="0.25">
      <c r="A97" s="39" t="s">
        <v>402</v>
      </c>
      <c r="B97" s="76">
        <f>SUM(B69,B77,B79,B81,B83,B92)/B94/1000</f>
        <v>1.2738592769560493E-2</v>
      </c>
      <c r="C97" s="76">
        <f t="shared" ref="C97:L97" si="12">SUM(C69,C77,C79,C81,C83,C92)/C94/1000</f>
        <v>1.2853093128968564E-2</v>
      </c>
      <c r="D97" s="76">
        <f t="shared" si="12"/>
        <v>1.2991672310709242E-2</v>
      </c>
      <c r="E97" s="76">
        <f t="shared" si="12"/>
        <v>1.3201959876963652E-2</v>
      </c>
      <c r="F97" s="76">
        <f t="shared" si="12"/>
        <v>1.3345951328329395E-2</v>
      </c>
      <c r="G97" s="76">
        <f t="shared" si="12"/>
        <v>1.3491819854416144E-2</v>
      </c>
      <c r="H97" s="76">
        <f t="shared" si="12"/>
        <v>1.3640654234672697E-2</v>
      </c>
      <c r="I97" s="76">
        <f t="shared" si="12"/>
        <v>1.3792582114369701E-2</v>
      </c>
      <c r="J97" s="76">
        <f t="shared" si="12"/>
        <v>1.3954162789099698E-2</v>
      </c>
      <c r="K97" s="76">
        <f t="shared" si="12"/>
        <v>1.4124713502459753E-2</v>
      </c>
      <c r="L97" s="76">
        <f t="shared" si="12"/>
        <v>1.4300961697327464E-2</v>
      </c>
    </row>
    <row r="99" spans="1:12" x14ac:dyDescent="0.25">
      <c r="A99" s="9" t="s">
        <v>74</v>
      </c>
      <c r="B99" s="9">
        <v>0</v>
      </c>
      <c r="C99" s="9">
        <v>1</v>
      </c>
      <c r="D99" s="9">
        <v>2</v>
      </c>
      <c r="E99" s="9">
        <v>3</v>
      </c>
      <c r="F99" s="9">
        <v>4</v>
      </c>
      <c r="G99" s="9">
        <v>5</v>
      </c>
      <c r="H99" s="9">
        <v>6</v>
      </c>
      <c r="I99" s="9">
        <v>7</v>
      </c>
      <c r="J99" s="9">
        <v>8</v>
      </c>
      <c r="K99" s="9">
        <v>9</v>
      </c>
      <c r="L99" s="9">
        <v>10</v>
      </c>
    </row>
    <row r="100" spans="1:12" x14ac:dyDescent="0.25">
      <c r="A100" s="45" t="s">
        <v>92</v>
      </c>
      <c r="B100" s="74">
        <f>'Resource Mix and Demand'!B67</f>
        <v>60000000</v>
      </c>
      <c r="C100" s="74">
        <f>'Resource Mix and Demand'!C67</f>
        <v>59797500</v>
      </c>
      <c r="D100" s="74">
        <f>'Resource Mix and Demand'!D67</f>
        <v>59118000</v>
      </c>
      <c r="E100" s="74">
        <f>'Resource Mix and Demand'!E67</f>
        <v>58207500</v>
      </c>
      <c r="F100" s="74">
        <f>'Resource Mix and Demand'!F67</f>
        <v>58000000</v>
      </c>
      <c r="G100" s="74">
        <f>'Resource Mix and Demand'!G67</f>
        <v>57615000</v>
      </c>
      <c r="H100" s="74">
        <f>'Resource Mix and Demand'!H67</f>
        <v>56715000</v>
      </c>
      <c r="I100" s="74">
        <f>'Resource Mix and Demand'!I67</f>
        <v>56669500</v>
      </c>
      <c r="J100" s="74">
        <f>'Resource Mix and Demand'!J67</f>
        <v>56000000</v>
      </c>
      <c r="K100" s="74">
        <f>'Resource Mix and Demand'!K67</f>
        <v>55222500</v>
      </c>
      <c r="L100" s="74">
        <f>'Resource Mix and Demand'!L67</f>
        <v>55165000</v>
      </c>
    </row>
    <row r="101" spans="1:12" x14ac:dyDescent="0.25">
      <c r="A101" s="12" t="s">
        <v>220</v>
      </c>
      <c r="B101" s="33">
        <f>'Game Assumptions'!B82</f>
        <v>5000000</v>
      </c>
      <c r="C101" s="33">
        <f>'Game Assumptions'!C82</f>
        <v>5000000</v>
      </c>
      <c r="D101" s="33">
        <f>'Game Assumptions'!D82</f>
        <v>5000000</v>
      </c>
      <c r="E101" s="33">
        <f>'Game Assumptions'!E82</f>
        <v>5000000</v>
      </c>
      <c r="F101" s="33">
        <f>'Game Assumptions'!F82</f>
        <v>5000000</v>
      </c>
      <c r="G101" s="33">
        <f>'Game Assumptions'!G82</f>
        <v>5000000</v>
      </c>
      <c r="H101" s="33">
        <f>'Game Assumptions'!H82</f>
        <v>5000000</v>
      </c>
      <c r="I101" s="33">
        <f>'Game Assumptions'!I82</f>
        <v>5000000</v>
      </c>
      <c r="J101" s="33">
        <f>'Game Assumptions'!J82</f>
        <v>5000000</v>
      </c>
      <c r="K101" s="33">
        <f>'Game Assumptions'!K82</f>
        <v>5000000</v>
      </c>
      <c r="L101" s="33">
        <f>'Game Assumptions'!L82</f>
        <v>5000000</v>
      </c>
    </row>
    <row r="102" spans="1:12" x14ac:dyDescent="0.25">
      <c r="A102" t="s">
        <v>97</v>
      </c>
      <c r="B102" s="25">
        <f>'Utility Revenue'!B96*B100*1000</f>
        <v>4795372537.9386148</v>
      </c>
      <c r="C102" s="25">
        <f>'Utility Revenue'!C96*C100*1000</f>
        <v>4817835639.8254271</v>
      </c>
      <c r="D102" s="25">
        <f>'Utility Revenue'!D96*D100*1000</f>
        <v>4529272651.7925148</v>
      </c>
      <c r="E102" s="25">
        <f>'Utility Revenue'!E96*E100*1000</f>
        <v>4336292703.214283</v>
      </c>
      <c r="F102" s="25">
        <f>'Utility Revenue'!F96*F100*1000</f>
        <v>4259081076.9000797</v>
      </c>
      <c r="G102" s="25">
        <f>'Utility Revenue'!G96*G100*1000</f>
        <v>4198065236.0253334</v>
      </c>
      <c r="H102" s="25">
        <f>'Utility Revenue'!H96*H100*1000</f>
        <v>4163306580.0594378</v>
      </c>
      <c r="I102" s="25">
        <f>'Utility Revenue'!I96*I100*1000</f>
        <v>4201626220.1261678</v>
      </c>
      <c r="J102" s="25">
        <f>'Utility Revenue'!J96*J100*1000</f>
        <v>4198159755.7138119</v>
      </c>
      <c r="K102" s="25">
        <f>'Utility Revenue'!K96*K100*1000</f>
        <v>4184620237.1803989</v>
      </c>
      <c r="L102" s="25">
        <f>'Utility Revenue'!L96*L100*1000</f>
        <v>4224770850.8457327</v>
      </c>
    </row>
    <row r="103" spans="1:12" x14ac:dyDescent="0.25">
      <c r="A103" t="s">
        <v>98</v>
      </c>
      <c r="B103" s="7">
        <f>'Utility Revenue'!B61*B101</f>
        <v>891206827.20256793</v>
      </c>
      <c r="C103" s="7">
        <f>'Utility Revenue'!C61*C101</f>
        <v>866684132.91333604</v>
      </c>
      <c r="D103" s="7">
        <f>'Utility Revenue'!D61*D101</f>
        <v>856540896.82244873</v>
      </c>
      <c r="E103" s="7">
        <f>'Utility Revenue'!E61*E101</f>
        <v>890345958.39181733</v>
      </c>
      <c r="F103" s="7">
        <f>'Utility Revenue'!F61*F101</f>
        <v>879939582.26738667</v>
      </c>
      <c r="G103" s="7">
        <f>'Utility Revenue'!G61*G101</f>
        <v>868823333.53527629</v>
      </c>
      <c r="H103" s="7">
        <f>'Utility Revenue'!H61*H101</f>
        <v>857653787.4864012</v>
      </c>
      <c r="I103" s="7">
        <f>'Utility Revenue'!I61*I101</f>
        <v>846474517.50022006</v>
      </c>
      <c r="J103" s="7">
        <f>'Utility Revenue'!J61*J101</f>
        <v>838895326.6940676</v>
      </c>
      <c r="K103" s="7">
        <f>'Utility Revenue'!K61*K101</f>
        <v>834291587.00610852</v>
      </c>
      <c r="L103" s="7">
        <f>'Utility Revenue'!L61*L101</f>
        <v>830728018.55554056</v>
      </c>
    </row>
    <row r="104" spans="1:12" ht="15.75" thickBot="1" x14ac:dyDescent="0.3">
      <c r="A104" s="75" t="s">
        <v>400</v>
      </c>
      <c r="B104" s="75"/>
      <c r="C104" s="75"/>
      <c r="D104" s="75"/>
      <c r="E104" s="75"/>
      <c r="F104" s="75"/>
      <c r="G104" s="75"/>
      <c r="H104" s="75"/>
      <c r="I104" s="75"/>
      <c r="J104" s="75"/>
      <c r="K104" s="75"/>
      <c r="L104" s="75"/>
    </row>
    <row r="105" spans="1:12" ht="15.75" thickTop="1" x14ac:dyDescent="0.25">
      <c r="A105" t="s">
        <v>403</v>
      </c>
      <c r="B105" s="7">
        <f>IF(OR('Event Tracker'!$B$20=1,'Event Tracker'!$B$22=1),0,'Utility Revenue'!B37)</f>
        <v>5686579365.1411819</v>
      </c>
      <c r="C105" s="7">
        <f>IF(OR('Event Tracker'!$B$20=1,'Event Tracker'!$B$22=1),0,'Utility Revenue'!C37)</f>
        <v>5660550441.1973429</v>
      </c>
      <c r="D105" s="7">
        <f>IF(OR('Event Tracker'!$B$20=1,'Event Tracker'!$B$22=1),0,'Utility Revenue'!D37)</f>
        <v>5376773084.2401285</v>
      </c>
      <c r="E105" s="7">
        <f>IF(OR('Event Tracker'!$B$20=1,'Event Tracker'!$B$22=1),0,'Utility Revenue'!E37)</f>
        <v>5248429077.2001419</v>
      </c>
      <c r="F105" s="7">
        <f>IF(OR('Event Tracker'!$B$20=1,'Event Tracker'!$B$22=1),0,'Utility Revenue'!F37)</f>
        <v>5139020659.1674662</v>
      </c>
      <c r="G105" s="7">
        <f>IF(OR('Event Tracker'!$B$20=1,'Event Tracker'!$B$22=1),0,'Utility Revenue'!G37)</f>
        <v>5058509197.8320169</v>
      </c>
      <c r="H105" s="7">
        <f>IF(OR('Event Tracker'!$B$20=1,'Event Tracker'!$B$22=1),0,'Utility Revenue'!H37)</f>
        <v>5041881506.139102</v>
      </c>
      <c r="I105" s="7">
        <f>IF(OR('Event Tracker'!$B$20=1,'Event Tracker'!$B$22=1),0,'Utility Revenue'!I37)</f>
        <v>5035533560.4973965</v>
      </c>
      <c r="J105" s="7">
        <f>IF(OR('Event Tracker'!$B$20=1,'Event Tracker'!$B$22=1),0,'Utility Revenue'!J37)</f>
        <v>5037055082.4078798</v>
      </c>
      <c r="K105" s="7">
        <f>IF(OR('Event Tracker'!$B$20=1,'Event Tracker'!$B$22=1),0,'Utility Revenue'!K37)</f>
        <v>5039940066.5843983</v>
      </c>
      <c r="L105" s="7">
        <f>IF(OR('Event Tracker'!$B$20=1,'Event Tracker'!$B$22=1),0,'Utility Revenue'!L37)</f>
        <v>5042862466.0587635</v>
      </c>
    </row>
    <row r="106" spans="1:12" x14ac:dyDescent="0.25">
      <c r="A106" t="s">
        <v>404</v>
      </c>
      <c r="B106" s="25">
        <f>IF(OR('Event Tracker'!$B$20=1,'Event Tracker'!$B$22=1),0,B149)</f>
        <v>5470483148.8165894</v>
      </c>
      <c r="C106" s="25">
        <f>IF(OR('Event Tracker'!$B$20=1,'Event Tracker'!$B$22=1),0,C149)</f>
        <v>5444454224.8727493</v>
      </c>
      <c r="D106" s="25">
        <f>IF(OR('Event Tracker'!$B$20=1,'Event Tracker'!$B$22=1),0,D149)</f>
        <v>5160676867.9155359</v>
      </c>
      <c r="E106" s="25">
        <f>IF(OR('Event Tracker'!$B$20=1,'Event Tracker'!$B$22=1),0,E149)</f>
        <v>5032332860.8755493</v>
      </c>
      <c r="F106" s="25">
        <f>IF(OR('Event Tracker'!$B$20=1,'Event Tracker'!$B$22=1),0,F149)</f>
        <v>4922924442.8428726</v>
      </c>
      <c r="G106" s="25">
        <f>IF(OR('Event Tracker'!$B$20=1,'Event Tracker'!$B$22=1),0,G149)</f>
        <v>4842412981.5074234</v>
      </c>
      <c r="H106" s="25">
        <f>IF(OR('Event Tracker'!$B$20=1,'Event Tracker'!$B$22=1),0,H149)</f>
        <v>4825785289.8145094</v>
      </c>
      <c r="I106" s="25">
        <f>IF(OR('Event Tracker'!$B$20=1,'Event Tracker'!$B$22=1),0,I149)</f>
        <v>4819437344.1728039</v>
      </c>
      <c r="J106" s="25">
        <f>IF(OR('Event Tracker'!$B$20=1,'Event Tracker'!$B$22=1),0,J149)</f>
        <v>4820958866.0832863</v>
      </c>
      <c r="K106" s="25">
        <f>IF(OR('Event Tracker'!$B$20=1,'Event Tracker'!$B$22=1),0,K149)</f>
        <v>4823843850.2598047</v>
      </c>
      <c r="L106" s="25">
        <f>IF(OR('Event Tracker'!$B$20=1,'Event Tracker'!$B$22=1),0,L149)</f>
        <v>4826766249.73417</v>
      </c>
    </row>
    <row r="107" spans="1:12" x14ac:dyDescent="0.25">
      <c r="A107" t="s">
        <v>405</v>
      </c>
      <c r="B107" s="25">
        <f>(B105-B106)/2</f>
        <v>108048108.1622963</v>
      </c>
      <c r="C107" s="25">
        <f t="shared" ref="C107:L107" si="13">(C105-C106)/2</f>
        <v>108048108.16229677</v>
      </c>
      <c r="D107" s="25">
        <f t="shared" si="13"/>
        <v>108048108.1622963</v>
      </c>
      <c r="E107" s="25">
        <f t="shared" si="13"/>
        <v>108048108.1622963</v>
      </c>
      <c r="F107" s="25">
        <f t="shared" si="13"/>
        <v>108048108.16229677</v>
      </c>
      <c r="G107" s="25">
        <f t="shared" si="13"/>
        <v>108048108.16229677</v>
      </c>
      <c r="H107" s="25">
        <f t="shared" si="13"/>
        <v>108048108.1622963</v>
      </c>
      <c r="I107" s="25">
        <f t="shared" si="13"/>
        <v>108048108.1622963</v>
      </c>
      <c r="J107" s="25">
        <f t="shared" si="13"/>
        <v>108048108.16229677</v>
      </c>
      <c r="K107" s="25">
        <f t="shared" si="13"/>
        <v>108048108.16229677</v>
      </c>
      <c r="L107" s="25">
        <f t="shared" si="13"/>
        <v>108048108.16229677</v>
      </c>
    </row>
    <row r="108" spans="1:12" x14ac:dyDescent="0.25">
      <c r="A108" s="191" t="s">
        <v>407</v>
      </c>
      <c r="B108" s="192">
        <f>SUM(B109:B111)*IF(AND('Event Tracker'!B9=1,SUM('Utility Revenue'!B109:B111)&gt;0),0.5,1)</f>
        <v>0</v>
      </c>
      <c r="C108" s="192">
        <f>SUM(C109:C111)*IF(AND('Event Tracker'!C9=1,SUM('Utility Revenue'!C109:C111)&gt;0),0.5,1)</f>
        <v>0</v>
      </c>
      <c r="D108" s="192">
        <f>SUM(D109:D111)*IF(AND('Event Tracker'!D9=1,SUM('Utility Revenue'!D109:D111)&gt;0),0.5,1)</f>
        <v>0</v>
      </c>
      <c r="E108" s="192">
        <f>SUM(E109:E111)*IF(AND('Event Tracker'!E9=1,SUM('Utility Revenue'!E109:E111)&gt;0),0.5,1)</f>
        <v>0</v>
      </c>
      <c r="F108" s="192">
        <f>SUM(F109:F111)*IF(AND('Event Tracker'!F9=1,SUM('Utility Revenue'!F109:F111)&gt;0),0.5,1)</f>
        <v>0</v>
      </c>
      <c r="G108" s="192">
        <f>SUM(G109:G111)*IF(AND('Event Tracker'!G9=1,SUM('Utility Revenue'!G109:G111)&gt;0),0.5,1)</f>
        <v>0</v>
      </c>
      <c r="H108" s="192">
        <f>SUM(H109:H111)*IF(AND('Event Tracker'!H9=1,SUM('Utility Revenue'!H109:H111)&gt;0),0.5,1)</f>
        <v>0</v>
      </c>
      <c r="I108" s="192">
        <f>SUM(I109:I111)*IF(AND('Event Tracker'!I9=1,SUM('Utility Revenue'!I109:I111)&gt;0),0.5,1)</f>
        <v>0</v>
      </c>
      <c r="J108" s="192">
        <f>SUM(J109:J111)*IF(AND('Event Tracker'!J9=1,SUM('Utility Revenue'!J109:J111)&gt;0),0.5,1)</f>
        <v>0</v>
      </c>
      <c r="K108" s="192">
        <f>SUM(K109:K111)*IF(AND('Event Tracker'!K9=1,SUM('Utility Revenue'!K109:K111)&gt;0),0.5,1)</f>
        <v>0</v>
      </c>
      <c r="L108" s="192">
        <f>SUM(L109:L111)*IF(AND('Event Tracker'!L9=1,SUM('Utility Revenue'!L109:L111)&gt;0),0.5,1)</f>
        <v>0</v>
      </c>
    </row>
    <row r="109" spans="1:12" x14ac:dyDescent="0.25">
      <c r="A109" s="17" t="s">
        <v>406</v>
      </c>
      <c r="B109" s="134"/>
      <c r="C109" s="134">
        <f>IF(OR('Event Tracker'!$B$21=1,'Event Tracker'!$B$23=1),IF('Environmental Performance'!C3&lt;'Environmental Performance'!C6,'Utility Revenue'!C107/3,IF('Environmental Performance'!C3&gt;'Environmental Performance'!B6,'Utility Revenue'!C107/3*-1,IF('Environmental Performance'!C3&gt;'Environmental Performance'!C7,'Environmental Performance'!C3-'Environmental Performance'!C7,'Environmental Performance'!C7-'Environmental Performance'!C3)*ABS(('Utility Revenue'!C107/3)/('Environmental Performance'!C7-'Environmental Performance'!B6)))),0)</f>
        <v>0</v>
      </c>
      <c r="D109" s="134">
        <f>IF(OR('Event Tracker'!$B$21=1,'Event Tracker'!$B$23=1),IF('Environmental Performance'!D3&lt;'Environmental Performance'!D6,'Utility Revenue'!D107/3,IF('Environmental Performance'!D3&gt;'Environmental Performance'!C6,'Utility Revenue'!D107/3*-1,IF('Environmental Performance'!D3&gt;'Environmental Performance'!D7,'Environmental Performance'!D3-'Environmental Performance'!D7,'Environmental Performance'!D7-'Environmental Performance'!D3)*ABS(('Utility Revenue'!D107/3)/('Environmental Performance'!D7-'Environmental Performance'!C6)))),0)</f>
        <v>0</v>
      </c>
      <c r="E109" s="134">
        <f>IF(OR('Event Tracker'!$B$21=1,'Event Tracker'!$B$23=1),IF('Environmental Performance'!E3&lt;'Environmental Performance'!E6,'Utility Revenue'!E107/3,IF('Environmental Performance'!E3&gt;'Environmental Performance'!D6,'Utility Revenue'!E107/3*-1,IF('Environmental Performance'!E3&gt;'Environmental Performance'!E7,'Environmental Performance'!E3-'Environmental Performance'!E7,'Environmental Performance'!E7-'Environmental Performance'!E3)*ABS(('Utility Revenue'!E107/3)/('Environmental Performance'!E7-'Environmental Performance'!D6)))),0)</f>
        <v>0</v>
      </c>
      <c r="F109" s="134">
        <f>IF(OR('Event Tracker'!$B$21=1,'Event Tracker'!$B$23=1),IF('Environmental Performance'!F3&lt;'Environmental Performance'!F6,'Utility Revenue'!F107/3,IF('Environmental Performance'!F3&gt;'Environmental Performance'!E6,'Utility Revenue'!F107/3*-1,IF('Environmental Performance'!F3&gt;'Environmental Performance'!F7,'Environmental Performance'!F3-'Environmental Performance'!F7,'Environmental Performance'!F7-'Environmental Performance'!F3)*ABS(('Utility Revenue'!F107/3)/('Environmental Performance'!F7-'Environmental Performance'!E6)))),0)</f>
        <v>0</v>
      </c>
      <c r="G109" s="134">
        <f>IF(OR('Event Tracker'!$B$21=1,'Event Tracker'!$B$23=1),IF('Environmental Performance'!G3&lt;'Environmental Performance'!G6,'Utility Revenue'!G107/3,IF('Environmental Performance'!G3&gt;'Environmental Performance'!F6,'Utility Revenue'!G107/3*-1,IF('Environmental Performance'!G3&gt;'Environmental Performance'!G7,'Environmental Performance'!G3-'Environmental Performance'!G7,'Environmental Performance'!G7-'Environmental Performance'!G3)*ABS(('Utility Revenue'!G107/3)/('Environmental Performance'!G7-'Environmental Performance'!F6)))),0)</f>
        <v>0</v>
      </c>
      <c r="H109" s="134">
        <f>IF(OR('Event Tracker'!$B$21=1,'Event Tracker'!$B$23=1),IF('Environmental Performance'!H3&lt;'Environmental Performance'!H6,'Utility Revenue'!H107/3,IF('Environmental Performance'!H3&gt;'Environmental Performance'!G6,'Utility Revenue'!H107/3*-1,IF('Environmental Performance'!H3&gt;'Environmental Performance'!H7,'Environmental Performance'!H3-'Environmental Performance'!H7,'Environmental Performance'!H7-'Environmental Performance'!H3)*ABS(('Utility Revenue'!H107/3)/('Environmental Performance'!H7-'Environmental Performance'!G6)))),0)</f>
        <v>0</v>
      </c>
      <c r="I109" s="134">
        <f>IF(OR('Event Tracker'!$B$21=1,'Event Tracker'!$B$23=1),IF('Environmental Performance'!I3&lt;'Environmental Performance'!I6,'Utility Revenue'!I107/3,IF('Environmental Performance'!I3&gt;'Environmental Performance'!H6,'Utility Revenue'!I107/3*-1,IF('Environmental Performance'!I3&gt;'Environmental Performance'!I7,'Environmental Performance'!I3-'Environmental Performance'!I7,'Environmental Performance'!I7-'Environmental Performance'!I3)*ABS(('Utility Revenue'!I107/3)/('Environmental Performance'!I7-'Environmental Performance'!H6)))),0)</f>
        <v>0</v>
      </c>
      <c r="J109" s="134">
        <f>IF(OR('Event Tracker'!$B$21=1,'Event Tracker'!$B$23=1),IF('Environmental Performance'!J3&lt;'Environmental Performance'!J6,'Utility Revenue'!J107/3,IF('Environmental Performance'!J3&gt;'Environmental Performance'!I6,'Utility Revenue'!J107/3*-1,IF('Environmental Performance'!J3&gt;'Environmental Performance'!J7,'Environmental Performance'!J3-'Environmental Performance'!J7,'Environmental Performance'!J7-'Environmental Performance'!J3)*ABS(('Utility Revenue'!J107/3)/('Environmental Performance'!J7-'Environmental Performance'!I6)))),0)</f>
        <v>0</v>
      </c>
      <c r="K109" s="134">
        <f>IF(OR('Event Tracker'!$B$21=1,'Event Tracker'!$B$23=1),IF('Environmental Performance'!K3&lt;'Environmental Performance'!K6,'Utility Revenue'!K107/3,IF('Environmental Performance'!K3&gt;'Environmental Performance'!J6,'Utility Revenue'!K107/3*-1,IF('Environmental Performance'!K3&gt;'Environmental Performance'!K7,'Environmental Performance'!K3-'Environmental Performance'!K7,'Environmental Performance'!K7-'Environmental Performance'!K3)*ABS(('Utility Revenue'!K107/3)/('Environmental Performance'!K7-'Environmental Performance'!J6)))),0)</f>
        <v>0</v>
      </c>
      <c r="L109" s="134">
        <f>IF(OR('Event Tracker'!$B$21=1,'Event Tracker'!$B$23=1),IF('Environmental Performance'!L3&lt;'Environmental Performance'!L6,'Utility Revenue'!L107/3,IF('Environmental Performance'!L3&gt;'Environmental Performance'!K6,'Utility Revenue'!L107/3*-1,IF('Environmental Performance'!L3&gt;'Environmental Performance'!L7,'Environmental Performance'!L3-'Environmental Performance'!L7,'Environmental Performance'!L7-'Environmental Performance'!L3)*ABS(('Utility Revenue'!L107/3)/('Environmental Performance'!L7-'Environmental Performance'!K6)))),0)</f>
        <v>0</v>
      </c>
    </row>
    <row r="110" spans="1:12" x14ac:dyDescent="0.25">
      <c r="A110" s="17" t="s">
        <v>224</v>
      </c>
      <c r="B110" s="134"/>
      <c r="C110" s="134">
        <f>IF(OR('Event Tracker'!$B$21=1,'Event Tracker'!$B$23=1),IF(SUM('Customer Bills'!C7,'Customer Bills'!C11)/12&lt;'Customer Bills'!C17,'Utility Revenue'!C107/3,IF(SUM('Customer Bills'!C7,'Customer Bills'!C11)&gt;'Customer Bills'!B17,'Utility Revenue'!C107/3*-1,IF(SUM('Customer Bills'!C7,'Customer Bills'!C11)&gt;'Customer Bills'!C18,'Customer Bills'!C18-SUM('Customer Bills'!C7,'Customer Bills'!C11),SUM('Customer Bills'!C7,'Customer Bills'!C11)-'Customer Bills'!C18)*ABS(('Utility Revenue'!C107/3)/('Customer Bills'!C18-'Customer Bills'!C17)))),0)</f>
        <v>0</v>
      </c>
      <c r="D110" s="134">
        <f>IF(OR('Event Tracker'!$B$21=1,'Event Tracker'!$B$23=1),IF(SUM('Customer Bills'!D7,'Customer Bills'!D11)/12&lt;'Customer Bills'!D17,'Utility Revenue'!D107/3,IF(SUM('Customer Bills'!D7,'Customer Bills'!D11)&gt;'Customer Bills'!C17,'Utility Revenue'!D107/3*-1,IF(SUM('Customer Bills'!D7,'Customer Bills'!D11)&gt;'Customer Bills'!D18,'Customer Bills'!D18-SUM('Customer Bills'!D7,'Customer Bills'!D11),SUM('Customer Bills'!D7,'Customer Bills'!D11)-'Customer Bills'!D18)*ABS(('Utility Revenue'!D107/3)/('Customer Bills'!D18-'Customer Bills'!D17)))),0)</f>
        <v>0</v>
      </c>
      <c r="E110" s="134">
        <f>IF(OR('Event Tracker'!$B$21=1,'Event Tracker'!$B$23=1),IF(SUM('Customer Bills'!E7,'Customer Bills'!E11)/12&lt;'Customer Bills'!E17,'Utility Revenue'!E107/3,IF(SUM('Customer Bills'!E7,'Customer Bills'!E11)&gt;'Customer Bills'!D17,'Utility Revenue'!E107/3*-1,IF(SUM('Customer Bills'!E7,'Customer Bills'!E11)&gt;'Customer Bills'!E18,'Customer Bills'!E18-SUM('Customer Bills'!E7,'Customer Bills'!E11),SUM('Customer Bills'!E7,'Customer Bills'!E11)-'Customer Bills'!E18)*ABS(('Utility Revenue'!E107/3)/('Customer Bills'!E18-'Customer Bills'!E17)))),0)</f>
        <v>0</v>
      </c>
      <c r="F110" s="134">
        <f>IF(OR('Event Tracker'!$B$21=1,'Event Tracker'!$B$23=1),IF(SUM('Customer Bills'!F7,'Customer Bills'!F11)/12&lt;'Customer Bills'!F17,'Utility Revenue'!F107/3,IF(SUM('Customer Bills'!F7,'Customer Bills'!F11)&gt;'Customer Bills'!E17,'Utility Revenue'!F107/3*-1,IF(SUM('Customer Bills'!F7,'Customer Bills'!F11)&gt;'Customer Bills'!F18,'Customer Bills'!F18-SUM('Customer Bills'!F7,'Customer Bills'!F11),SUM('Customer Bills'!F7,'Customer Bills'!F11)-'Customer Bills'!F18)*ABS(('Utility Revenue'!F107/3)/('Customer Bills'!F18-'Customer Bills'!F17)))),0)</f>
        <v>0</v>
      </c>
      <c r="G110" s="134">
        <f>IF(OR('Event Tracker'!$B$21=1,'Event Tracker'!$B$23=1),IF(SUM('Customer Bills'!G7,'Customer Bills'!G11)/12&lt;'Customer Bills'!G17,'Utility Revenue'!G107/3,IF(SUM('Customer Bills'!G7,'Customer Bills'!G11)&gt;'Customer Bills'!F17,'Utility Revenue'!G107/3*-1,IF(SUM('Customer Bills'!G7,'Customer Bills'!G11)&gt;'Customer Bills'!G18,'Customer Bills'!G18-SUM('Customer Bills'!G7,'Customer Bills'!G11),SUM('Customer Bills'!G7,'Customer Bills'!G11)-'Customer Bills'!G18)*ABS(('Utility Revenue'!G107/3)/('Customer Bills'!G18-'Customer Bills'!G17)))),0)</f>
        <v>0</v>
      </c>
      <c r="H110" s="134">
        <f>IF(OR('Event Tracker'!$B$21=1,'Event Tracker'!$B$23=1),IF(SUM('Customer Bills'!H7,'Customer Bills'!H11)/12&lt;'Customer Bills'!H17,'Utility Revenue'!H107/3,IF(SUM('Customer Bills'!H7,'Customer Bills'!H11)&gt;'Customer Bills'!G17,'Utility Revenue'!H107/3*-1,IF(SUM('Customer Bills'!H7,'Customer Bills'!H11)&gt;'Customer Bills'!H18,'Customer Bills'!H18-SUM('Customer Bills'!H7,'Customer Bills'!H11),SUM('Customer Bills'!H7,'Customer Bills'!H11)-'Customer Bills'!H18)*ABS(('Utility Revenue'!H107/3)/('Customer Bills'!H18-'Customer Bills'!H17)))),0)</f>
        <v>0</v>
      </c>
      <c r="I110" s="134">
        <f>IF(OR('Event Tracker'!$B$21=1,'Event Tracker'!$B$23=1),IF(SUM('Customer Bills'!I7,'Customer Bills'!I11)/12&lt;'Customer Bills'!I17,'Utility Revenue'!I107/3,IF(SUM('Customer Bills'!I7,'Customer Bills'!I11)&gt;'Customer Bills'!H17,'Utility Revenue'!I107/3*-1,IF(SUM('Customer Bills'!I7,'Customer Bills'!I11)&gt;'Customer Bills'!I18,'Customer Bills'!I18-SUM('Customer Bills'!I7,'Customer Bills'!I11),SUM('Customer Bills'!I7,'Customer Bills'!I11)-'Customer Bills'!I18)*ABS(('Utility Revenue'!I107/3)/('Customer Bills'!I18-'Customer Bills'!I17)))),0)</f>
        <v>0</v>
      </c>
      <c r="J110" s="134">
        <f>IF(OR('Event Tracker'!$B$21=1,'Event Tracker'!$B$23=1),IF(SUM('Customer Bills'!J7,'Customer Bills'!J11)/12&lt;'Customer Bills'!J17,'Utility Revenue'!J107/3,IF(SUM('Customer Bills'!J7,'Customer Bills'!J11)&gt;'Customer Bills'!I17,'Utility Revenue'!J107/3*-1,IF(SUM('Customer Bills'!J7,'Customer Bills'!J11)&gt;'Customer Bills'!J18,'Customer Bills'!J18-SUM('Customer Bills'!J7,'Customer Bills'!J11),SUM('Customer Bills'!J7,'Customer Bills'!J11)-'Customer Bills'!J18)*ABS(('Utility Revenue'!J107/3)/('Customer Bills'!J18-'Customer Bills'!J17)))),0)</f>
        <v>0</v>
      </c>
      <c r="K110" s="134">
        <f>IF(OR('Event Tracker'!$B$21=1,'Event Tracker'!$B$23=1),IF(SUM('Customer Bills'!K7,'Customer Bills'!K11)/12&lt;'Customer Bills'!K17,'Utility Revenue'!K107/3,IF(SUM('Customer Bills'!K7,'Customer Bills'!K11)&gt;'Customer Bills'!J17,'Utility Revenue'!K107/3*-1,IF(SUM('Customer Bills'!K7,'Customer Bills'!K11)&gt;'Customer Bills'!K18,'Customer Bills'!K18-SUM('Customer Bills'!K7,'Customer Bills'!K11),SUM('Customer Bills'!K7,'Customer Bills'!K11)-'Customer Bills'!K18)*ABS(('Utility Revenue'!K107/3)/('Customer Bills'!K18-'Customer Bills'!K17)))),0)</f>
        <v>0</v>
      </c>
      <c r="L110" s="134">
        <f>IF(OR('Event Tracker'!$B$21=1,'Event Tracker'!$B$23=1),IF(SUM('Customer Bills'!L7,'Customer Bills'!L11)/12&lt;'Customer Bills'!L17,'Utility Revenue'!L107/3,IF(SUM('Customer Bills'!L7,'Customer Bills'!L11)&gt;'Customer Bills'!K17,'Utility Revenue'!L107/3*-1,IF(SUM('Customer Bills'!L7,'Customer Bills'!L11)&gt;'Customer Bills'!L18,'Customer Bills'!L18-SUM('Customer Bills'!L7,'Customer Bills'!L11),SUM('Customer Bills'!L7,'Customer Bills'!L11)-'Customer Bills'!L18)*ABS(('Utility Revenue'!L107/3)/('Customer Bills'!L18-'Customer Bills'!L17)))),0)</f>
        <v>0</v>
      </c>
    </row>
    <row r="111" spans="1:12" x14ac:dyDescent="0.25">
      <c r="A111" s="17" t="s">
        <v>225</v>
      </c>
      <c r="B111" s="134"/>
      <c r="C111" s="134">
        <f>IF(OR('Event Tracker'!$B$21=1,'Event Tracker'!$B$23=1),IF(Reliability!C95&lt;Reliability!C98,'Utility Revenue'!C107/3,IF(Reliability!C95&gt;Reliability!B98,'Utility Revenue'!C107/3*-1,IF(Reliability!C95&gt;Reliability!C99,Reliability!C99-Reliability!C95,Reliability!C95-Reliability!C99)*ABS(('Utility Revenue'!C107/3)/(Reliability!C99-Reliability!C98)))),0)</f>
        <v>0</v>
      </c>
      <c r="D111" s="134">
        <f>IF(OR('Event Tracker'!$B$21=1,'Event Tracker'!$B$23=1),IF(Reliability!D95&lt;Reliability!D98,'Utility Revenue'!D107/3,IF(Reliability!D95&gt;Reliability!C98,'Utility Revenue'!D107/3*-1,IF(Reliability!D95&gt;Reliability!D99,Reliability!D99-Reliability!D95,Reliability!D95-Reliability!D99)*ABS(('Utility Revenue'!D107/3)/(Reliability!D99-Reliability!D98)))),0)</f>
        <v>0</v>
      </c>
      <c r="E111" s="134">
        <f>IF(OR('Event Tracker'!$B$21=1,'Event Tracker'!$B$23=1),IF(Reliability!E95&lt;Reliability!E98,'Utility Revenue'!E107/3,IF(Reliability!E95&gt;Reliability!D98,'Utility Revenue'!E107/3*-1,IF(Reliability!E95&gt;Reliability!E99,Reliability!E99-Reliability!E95,Reliability!E95-Reliability!E99)*ABS(('Utility Revenue'!E107/3)/(Reliability!E99-Reliability!E98)))),0)</f>
        <v>0</v>
      </c>
      <c r="F111" s="134">
        <f>IF(OR('Event Tracker'!$B$21=1,'Event Tracker'!$B$23=1),IF(Reliability!F95&lt;Reliability!F98,'Utility Revenue'!F107/3,IF(Reliability!F95&gt;Reliability!E98,'Utility Revenue'!F107/3*-1,IF(Reliability!F95&gt;Reliability!F99,Reliability!F99-Reliability!F95,Reliability!F95-Reliability!F99)*ABS(('Utility Revenue'!F107/3)/(Reliability!F99-Reliability!F98)))),0)</f>
        <v>0</v>
      </c>
      <c r="G111" s="134">
        <f>IF(OR('Event Tracker'!$B$21=1,'Event Tracker'!$B$23=1),IF(Reliability!G95&lt;Reliability!G98,'Utility Revenue'!G107/3,IF(Reliability!G95&gt;Reliability!F98,'Utility Revenue'!G107/3*-1,IF(Reliability!G95&gt;Reliability!G99,Reliability!G99-Reliability!G95,Reliability!G95-Reliability!G99)*ABS(('Utility Revenue'!G107/3)/(Reliability!G99-Reliability!G98)))),0)</f>
        <v>0</v>
      </c>
      <c r="H111" s="134">
        <f>IF(OR('Event Tracker'!$B$21=1,'Event Tracker'!$B$23=1),IF(Reliability!H95&lt;Reliability!H98,'Utility Revenue'!H107/3,IF(Reliability!H95&gt;Reliability!G98,'Utility Revenue'!H107/3*-1,IF(Reliability!H95&gt;Reliability!H99,Reliability!H99-Reliability!H95,Reliability!H95-Reliability!H99)*ABS(('Utility Revenue'!H107/3)/(Reliability!H99-Reliability!H98)))),0)</f>
        <v>0</v>
      </c>
      <c r="I111" s="134">
        <f>IF(OR('Event Tracker'!$B$21=1,'Event Tracker'!$B$23=1),IF(Reliability!I95&lt;Reliability!I98,'Utility Revenue'!I107/3,IF(Reliability!I95&gt;Reliability!H98,'Utility Revenue'!I107/3*-1,IF(Reliability!I95&gt;Reliability!I99,Reliability!I99-Reliability!I95,Reliability!I95-Reliability!I99)*ABS(('Utility Revenue'!I107/3)/(Reliability!I99-Reliability!I98)))),0)</f>
        <v>0</v>
      </c>
      <c r="J111" s="134">
        <f>IF(OR('Event Tracker'!$B$21=1,'Event Tracker'!$B$23=1),IF(Reliability!J95&lt;Reliability!J98,'Utility Revenue'!J107/3,IF(Reliability!J95&gt;Reliability!I98,'Utility Revenue'!J107/3*-1,IF(Reliability!J95&gt;Reliability!J99,Reliability!J99-Reliability!J95,Reliability!J95-Reliability!J99)*ABS(('Utility Revenue'!J107/3)/(Reliability!J99-Reliability!J98)))),0)</f>
        <v>0</v>
      </c>
      <c r="K111" s="134">
        <f>IF(OR('Event Tracker'!$B$21=1,'Event Tracker'!$B$23=1),IF(Reliability!K95&lt;Reliability!K98,'Utility Revenue'!K107/3,IF(Reliability!K95&gt;Reliability!J98,'Utility Revenue'!K107/3*-1,IF(Reliability!K95&gt;Reliability!K99,Reliability!K99-Reliability!K95,Reliability!K95-Reliability!K99)*ABS(('Utility Revenue'!K107/3)/(Reliability!K99-Reliability!K98)))),0)</f>
        <v>0</v>
      </c>
      <c r="L111" s="134">
        <f>IF(OR('Event Tracker'!$B$21=1,'Event Tracker'!$B$23=1),IF(Reliability!L95&lt;Reliability!L98,'Utility Revenue'!L107/3,IF(Reliability!L95&gt;Reliability!K98,'Utility Revenue'!L107/3*-1,IF(Reliability!L95&gt;Reliability!L99,Reliability!L99-Reliability!L95,Reliability!L95-Reliability!L99)*ABS(('Utility Revenue'!L107/3)/(Reliability!L99-Reliability!L98)))),0)</f>
        <v>0</v>
      </c>
    </row>
    <row r="112" spans="1:12" ht="15.75" thickBot="1" x14ac:dyDescent="0.3">
      <c r="A112" s="125" t="s">
        <v>387</v>
      </c>
      <c r="B112" s="131">
        <v>0</v>
      </c>
      <c r="C112" s="131">
        <f>'Event Tracker'!B146:L146+'Event Tracker'!C147*SUM('Utility Revenue'!C102:C103,C109:C111,C148)</f>
        <v>0</v>
      </c>
      <c r="D112" s="131">
        <f>'Event Tracker'!C146:M146+'Event Tracker'!D147*SUM('Utility Revenue'!D102:D103,D109:D111,D148)</f>
        <v>0</v>
      </c>
      <c r="E112" s="131">
        <f>'Event Tracker'!D146:N146+'Event Tracker'!E147*SUM('Utility Revenue'!E102:E103,E109:E111,E148)</f>
        <v>0</v>
      </c>
      <c r="F112" s="131">
        <f>'Event Tracker'!E146:O146+'Event Tracker'!F147*SUM('Utility Revenue'!F102:F103,F109:F111,F148)</f>
        <v>0</v>
      </c>
      <c r="G112" s="131">
        <f>'Event Tracker'!F146:P146+'Event Tracker'!G147*SUM('Utility Revenue'!G102:G103,G109:G111,G148)</f>
        <v>0</v>
      </c>
      <c r="H112" s="131">
        <f>'Event Tracker'!G146:Q146+'Event Tracker'!H147*SUM('Utility Revenue'!H102:H103,H109:H111,H148)</f>
        <v>0</v>
      </c>
      <c r="I112" s="131">
        <f>'Event Tracker'!H146:R146+'Event Tracker'!I147*SUM('Utility Revenue'!I102:I103,I109:I111,I148)</f>
        <v>0</v>
      </c>
      <c r="J112" s="131">
        <f>'Event Tracker'!I146:S146+'Event Tracker'!J147*SUM('Utility Revenue'!J102:J103,J109:J111,J148)</f>
        <v>0</v>
      </c>
      <c r="K112" s="131">
        <f>'Event Tracker'!J146:T146+'Event Tracker'!K147*SUM('Utility Revenue'!K102:K103,K109:K111,K148)</f>
        <v>0</v>
      </c>
      <c r="L112" s="131">
        <f>'Event Tracker'!K146:U146+'Event Tracker'!L147*SUM('Utility Revenue'!L102:L103,L109:L111,L148)</f>
        <v>0</v>
      </c>
    </row>
    <row r="113" spans="1:12" ht="15.75" thickTop="1" x14ac:dyDescent="0.25">
      <c r="A113" s="154" t="s">
        <v>457</v>
      </c>
      <c r="B113" s="31"/>
      <c r="C113" s="31"/>
      <c r="D113" s="31"/>
      <c r="E113" s="31"/>
      <c r="F113" s="31"/>
      <c r="G113" s="31"/>
      <c r="H113" s="31"/>
      <c r="I113" s="31"/>
      <c r="J113" s="31"/>
      <c r="K113" s="31"/>
      <c r="L113" s="31"/>
    </row>
    <row r="114" spans="1:12" x14ac:dyDescent="0.25">
      <c r="A114" s="154" t="s">
        <v>458</v>
      </c>
      <c r="B114" s="116">
        <f>IF('Event Tracker'!$B$24=1,'Game Assumptions'!$B$165*('Resource Mix and Demand'!B68-'Resource Mix and Demand'!#REF!)*1000,0)</f>
        <v>0</v>
      </c>
      <c r="C114" s="116">
        <f>IF('Event Tracker'!$B$24=1,'Game Assumptions'!$B$165*('Resource Mix and Demand'!C68-'Resource Mix and Demand'!#REF!)*1000,0)</f>
        <v>0</v>
      </c>
      <c r="D114" s="116">
        <f>IF('Event Tracker'!$B$24=1,'Game Assumptions'!$B$165*('Resource Mix and Demand'!D68-'Resource Mix and Demand'!#REF!)*1000,0)</f>
        <v>0</v>
      </c>
      <c r="E114" s="116">
        <f>IF('Event Tracker'!$B$24=1,'Game Assumptions'!$B$165*('Resource Mix and Demand'!E68-'Resource Mix and Demand'!#REF!)*1000,0)</f>
        <v>0</v>
      </c>
      <c r="F114" s="116">
        <f>IF('Event Tracker'!$B$24=1,'Game Assumptions'!$B$165*('Resource Mix and Demand'!F68-'Resource Mix and Demand'!#REF!)*1000,0)</f>
        <v>0</v>
      </c>
      <c r="G114" s="116">
        <f>IF('Event Tracker'!$B$24=1,'Game Assumptions'!$B$165*('Resource Mix and Demand'!G68-'Resource Mix and Demand'!#REF!)*1000,0)</f>
        <v>0</v>
      </c>
      <c r="H114" s="116">
        <f>IF('Event Tracker'!$B$24=1,'Game Assumptions'!$B$165*('Resource Mix and Demand'!H68-'Resource Mix and Demand'!#REF!)*1000,0)</f>
        <v>0</v>
      </c>
      <c r="I114" s="116">
        <f>IF('Event Tracker'!$B$24=1,'Game Assumptions'!$B$165*('Resource Mix and Demand'!I68-'Resource Mix and Demand'!#REF!)*1000,0)</f>
        <v>0</v>
      </c>
      <c r="J114" s="116">
        <f>IF('Event Tracker'!$B$24=1,'Game Assumptions'!$B$165*('Resource Mix and Demand'!J68-'Resource Mix and Demand'!#REF!)*1000,0)</f>
        <v>0</v>
      </c>
      <c r="K114" s="116">
        <f>IF('Event Tracker'!$B$24=1,'Game Assumptions'!$B$165*('Resource Mix and Demand'!K68-'Resource Mix and Demand'!#REF!)*1000,0)</f>
        <v>0</v>
      </c>
      <c r="L114" s="116">
        <f>IF('Event Tracker'!$B$24=1,'Game Assumptions'!$B$165*('Resource Mix and Demand'!L68-'Resource Mix and Demand'!#REF!)*1000,0)</f>
        <v>0</v>
      </c>
    </row>
    <row r="115" spans="1:12" ht="15.75" thickBot="1" x14ac:dyDescent="0.3">
      <c r="A115" s="154" t="s">
        <v>459</v>
      </c>
      <c r="B115" s="116">
        <f>IF('Event Tracker'!$B$24=1,'Game Assumptions'!$B$166*Reliability!B65*1000,0)</f>
        <v>0</v>
      </c>
      <c r="C115" s="116">
        <f>IF('Event Tracker'!$B$24=1,'Game Assumptions'!$B$166*Reliability!C65*1000,0)</f>
        <v>0</v>
      </c>
      <c r="D115" s="116">
        <f>IF('Event Tracker'!$B$24=1,'Game Assumptions'!$B$166*Reliability!D65*1000,0)</f>
        <v>0</v>
      </c>
      <c r="E115" s="116">
        <f>IF('Event Tracker'!$B$24=1,'Game Assumptions'!$B$166*Reliability!E65*1000,0)</f>
        <v>0</v>
      </c>
      <c r="F115" s="116">
        <f>IF('Event Tracker'!$B$24=1,'Game Assumptions'!$B$166*Reliability!F65*1000,0)</f>
        <v>0</v>
      </c>
      <c r="G115" s="116">
        <f>IF('Event Tracker'!$B$24=1,'Game Assumptions'!$B$166*Reliability!G65*1000,0)</f>
        <v>0</v>
      </c>
      <c r="H115" s="116">
        <f>IF('Event Tracker'!$B$24=1,'Game Assumptions'!$B$166*Reliability!H65*1000,0)</f>
        <v>0</v>
      </c>
      <c r="I115" s="116">
        <f>IF('Event Tracker'!$B$24=1,'Game Assumptions'!$B$166*Reliability!I65*1000,0)</f>
        <v>0</v>
      </c>
      <c r="J115" s="116">
        <f>IF('Event Tracker'!$B$24=1,'Game Assumptions'!$B$166*Reliability!J65*1000,0)</f>
        <v>0</v>
      </c>
      <c r="K115" s="116">
        <f>IF('Event Tracker'!$B$24=1,'Game Assumptions'!$B$166*Reliability!K65*1000,0)</f>
        <v>0</v>
      </c>
      <c r="L115" s="116">
        <f>IF('Event Tracker'!$B$24=1,'Game Assumptions'!$B$166*Reliability!L65*1000,0)</f>
        <v>0</v>
      </c>
    </row>
    <row r="116" spans="1:12" ht="15.75" thickTop="1" x14ac:dyDescent="0.25">
      <c r="A116" s="46" t="s">
        <v>99</v>
      </c>
      <c r="B116" s="47">
        <f>SUM(B102,B103,B108,B112,B114:B115)</f>
        <v>5686579365.1411829</v>
      </c>
      <c r="C116" s="47">
        <f>SUM(C102,C103,C108,C112,C114:C115)</f>
        <v>5684519772.7387629</v>
      </c>
      <c r="D116" s="47">
        <f t="shared" ref="D116:L116" si="14">SUM(D102,D103,D108,D112,D114:D115)</f>
        <v>5385813548.6149635</v>
      </c>
      <c r="E116" s="47">
        <f t="shared" si="14"/>
        <v>5226638661.6061001</v>
      </c>
      <c r="F116" s="47">
        <f t="shared" si="14"/>
        <v>5139020659.1674662</v>
      </c>
      <c r="G116" s="47">
        <f t="shared" si="14"/>
        <v>5066888569.5606098</v>
      </c>
      <c r="H116" s="47">
        <f t="shared" si="14"/>
        <v>5020960367.5458393</v>
      </c>
      <c r="I116" s="47">
        <f t="shared" si="14"/>
        <v>5048100737.6263876</v>
      </c>
      <c r="J116" s="47">
        <f t="shared" si="14"/>
        <v>5037055082.4078798</v>
      </c>
      <c r="K116" s="47">
        <f t="shared" si="14"/>
        <v>5018911824.1865072</v>
      </c>
      <c r="L116" s="47">
        <f t="shared" si="14"/>
        <v>5055498869.4012737</v>
      </c>
    </row>
    <row r="118" spans="1:12" x14ac:dyDescent="0.25">
      <c r="A118" s="9" t="s">
        <v>249</v>
      </c>
      <c r="B118" s="9">
        <v>0</v>
      </c>
      <c r="C118" s="9">
        <v>1</v>
      </c>
      <c r="D118" s="9">
        <v>2</v>
      </c>
      <c r="E118" s="9">
        <v>3</v>
      </c>
      <c r="F118" s="9">
        <v>4</v>
      </c>
      <c r="G118" s="9">
        <v>5</v>
      </c>
      <c r="H118" s="9">
        <v>6</v>
      </c>
      <c r="I118" s="9">
        <v>7</v>
      </c>
      <c r="J118" s="9">
        <v>8</v>
      </c>
      <c r="K118" s="9">
        <v>9</v>
      </c>
      <c r="L118" s="9">
        <v>10</v>
      </c>
    </row>
    <row r="119" spans="1:12" x14ac:dyDescent="0.25">
      <c r="A119" s="24" t="s">
        <v>78</v>
      </c>
    </row>
    <row r="120" spans="1:12" x14ac:dyDescent="0.25">
      <c r="A120" s="4" t="s">
        <v>291</v>
      </c>
    </row>
    <row r="121" spans="1:12" x14ac:dyDescent="0.25">
      <c r="A121" s="26" t="s">
        <v>64</v>
      </c>
      <c r="B121" s="27">
        <f>PMT(IF(OR('Event Tracker'!$B$20=1,'Event Tracker'!$B$21=1),'Game Assumptions'!$B$6,'Game Assumptions'!$B$5),'Game Assumptions'!$B$14,'Game Assumptions'!$B$2)*-1*(1-1/20*B118)</f>
        <v>2037044176.4630125</v>
      </c>
      <c r="C121" s="27">
        <f>PMT(IF(OR('Event Tracker'!$B$20=1,'Event Tracker'!$B$21=1),'Game Assumptions'!$B$6,'Game Assumptions'!$B$5),'Game Assumptions'!$B$14,'Game Assumptions'!$B$2)*-1*(1-1/20*C118)</f>
        <v>1935191967.6398618</v>
      </c>
      <c r="D121" s="27">
        <f>PMT(IF(OR('Event Tracker'!$B$20=1,'Event Tracker'!$B$21=1),'Game Assumptions'!$B$6,'Game Assumptions'!$B$5),'Game Assumptions'!$B$14,'Game Assumptions'!$B$2)*-1*(1-1/20*D118)</f>
        <v>1833339758.8167112</v>
      </c>
      <c r="E121" s="27">
        <f>PMT(IF(OR('Event Tracker'!$B$20=1,'Event Tracker'!$B$21=1),'Game Assumptions'!$B$6,'Game Assumptions'!$B$5),'Game Assumptions'!$B$14,'Game Assumptions'!$B$2)*-1*(1-1/20*E118)</f>
        <v>1731487549.9935606</v>
      </c>
      <c r="F121" s="27">
        <f>PMT(IF(OR('Event Tracker'!$B$20=1,'Event Tracker'!$B$21=1),'Game Assumptions'!$B$6,'Game Assumptions'!$B$5),'Game Assumptions'!$B$14,'Game Assumptions'!$B$2)*-1*(1-1/20*F118)</f>
        <v>1629635341.1704102</v>
      </c>
      <c r="G121" s="27">
        <f>PMT(IF(OR('Event Tracker'!$B$20=1,'Event Tracker'!$B$21=1),'Game Assumptions'!$B$6,'Game Assumptions'!$B$5),'Game Assumptions'!$B$14,'Game Assumptions'!$B$2)*-1*(1-1/20*G118)</f>
        <v>1527783132.3472593</v>
      </c>
      <c r="H121" s="27">
        <f>PMT(IF(OR('Event Tracker'!$B$20=1,'Event Tracker'!$B$21=1),'Game Assumptions'!$B$6,'Game Assumptions'!$B$5),'Game Assumptions'!$B$14,'Game Assumptions'!$B$2)*-1*(1-1/20*H118)</f>
        <v>1425930923.5241086</v>
      </c>
      <c r="I121" s="27">
        <f>PMT(IF(OR('Event Tracker'!$B$20=1,'Event Tracker'!$B$21=1),'Game Assumptions'!$B$6,'Game Assumptions'!$B$5),'Game Assumptions'!$B$14,'Game Assumptions'!$B$2)*-1*(1-1/20*I118)</f>
        <v>1324078714.700958</v>
      </c>
      <c r="J121" s="27">
        <f>PMT(IF(OR('Event Tracker'!$B$20=1,'Event Tracker'!$B$21=1),'Game Assumptions'!$B$6,'Game Assumptions'!$B$5),'Game Assumptions'!$B$14,'Game Assumptions'!$B$2)*-1*(1-1/20*J118)</f>
        <v>1222226505.8778074</v>
      </c>
      <c r="K121" s="27">
        <f>PMT(IF(OR('Event Tracker'!$B$20=1,'Event Tracker'!$B$21=1),'Game Assumptions'!$B$6,'Game Assumptions'!$B$5),'Game Assumptions'!$B$14,'Game Assumptions'!$B$2)*-1*(1-1/20*K118)</f>
        <v>1120374297.054657</v>
      </c>
      <c r="L121" s="27">
        <f>PMT(IF(OR('Event Tracker'!$B$20=1,'Event Tracker'!$B$21=1),'Game Assumptions'!$B$6,'Game Assumptions'!$B$5),'Game Assumptions'!$B$14,'Game Assumptions'!$B$2)*-1*(1-1/20*L118)</f>
        <v>1018522088.2315062</v>
      </c>
    </row>
    <row r="122" spans="1:12" x14ac:dyDescent="0.25">
      <c r="A122" s="26" t="s">
        <v>65</v>
      </c>
      <c r="B122" s="27">
        <f>PMT(IF(OR('Event Tracker'!$B$20=1,'Event Tracker'!$B$21=1),'Game Assumptions'!$B$6,'Game Assumptions'!$B$5),'Game Assumptions'!$B$14,'Game Assumptions'!$B$3)*-1</f>
        <v>509261044.11575311</v>
      </c>
      <c r="C122" s="27">
        <f>PMT(IF(OR('Event Tracker'!$B$20=1,'Event Tracker'!$B$21=1),'Game Assumptions'!$B$6,'Game Assumptions'!$B$5),'Game Assumptions'!$B$14,'Game Assumptions'!$B$3)*-1</f>
        <v>509261044.11575311</v>
      </c>
      <c r="D122" s="27">
        <f>PMT(IF(OR('Event Tracker'!$B$20=1,'Event Tracker'!$B$21=1),'Game Assumptions'!$B$6,'Game Assumptions'!$B$5),'Game Assumptions'!$B$14,'Game Assumptions'!$B$3)*-1</f>
        <v>509261044.11575311</v>
      </c>
      <c r="E122" s="27">
        <f>PMT(IF(OR('Event Tracker'!$B$20=1,'Event Tracker'!$B$21=1),'Game Assumptions'!$B$6,'Game Assumptions'!$B$5),'Game Assumptions'!$B$14,'Game Assumptions'!$B$3)*-1</f>
        <v>509261044.11575311</v>
      </c>
      <c r="F122" s="27">
        <f>PMT(IF(OR('Event Tracker'!$B$20=1,'Event Tracker'!$B$21=1),'Game Assumptions'!$B$6,'Game Assumptions'!$B$5),'Game Assumptions'!$B$14,'Game Assumptions'!$B$3)*-1</f>
        <v>509261044.11575311</v>
      </c>
      <c r="G122" s="27">
        <f>PMT(IF(OR('Event Tracker'!$B$20=1,'Event Tracker'!$B$21=1),'Game Assumptions'!$B$6,'Game Assumptions'!$B$5),'Game Assumptions'!$B$14,'Game Assumptions'!$B$3)*-1</f>
        <v>509261044.11575311</v>
      </c>
      <c r="H122" s="27">
        <f>PMT(IF(OR('Event Tracker'!$B$20=1,'Event Tracker'!$B$21=1),'Game Assumptions'!$B$6,'Game Assumptions'!$B$5),'Game Assumptions'!$B$14,'Game Assumptions'!$B$3)*-1</f>
        <v>509261044.11575311</v>
      </c>
      <c r="I122" s="27">
        <f>PMT(IF(OR('Event Tracker'!$B$20=1,'Event Tracker'!$B$21=1),'Game Assumptions'!$B$6,'Game Assumptions'!$B$5),'Game Assumptions'!$B$14,'Game Assumptions'!$B$3)*-1</f>
        <v>509261044.11575311</v>
      </c>
      <c r="J122" s="27">
        <f>PMT(IF(OR('Event Tracker'!$B$20=1,'Event Tracker'!$B$21=1),'Game Assumptions'!$B$6,'Game Assumptions'!$B$5),'Game Assumptions'!$B$14,'Game Assumptions'!$B$3)*-1</f>
        <v>509261044.11575311</v>
      </c>
      <c r="K122" s="27">
        <f>PMT(IF(OR('Event Tracker'!$B$20=1,'Event Tracker'!$B$21=1),'Game Assumptions'!$B$6,'Game Assumptions'!$B$5),'Game Assumptions'!$B$14,'Game Assumptions'!$B$3)*-1</f>
        <v>509261044.11575311</v>
      </c>
      <c r="L122" s="27">
        <f>PMT(IF(OR('Event Tracker'!$B$20=1,'Event Tracker'!$B$21=1),'Game Assumptions'!$B$6,'Game Assumptions'!$B$5),'Game Assumptions'!$B$14,'Game Assumptions'!$B$3)*-1</f>
        <v>509261044.11575311</v>
      </c>
    </row>
    <row r="123" spans="1:12" x14ac:dyDescent="0.25">
      <c r="A123" s="29" t="s">
        <v>66</v>
      </c>
      <c r="B123" s="23">
        <f>PMT('Game Assumptions'!$B$6,'Game Assumptions'!$B$14,'Game Assumptions'!$B$4)*-1</f>
        <v>802425871.90691316</v>
      </c>
      <c r="C123" s="23">
        <f>PMT('Game Assumptions'!$B$6,'Game Assumptions'!$B$14,'Game Assumptions'!$B$4)*-1</f>
        <v>802425871.90691316</v>
      </c>
      <c r="D123" s="23">
        <f>PMT('Game Assumptions'!$B$6,'Game Assumptions'!$B$14,'Game Assumptions'!$B$4)*-1</f>
        <v>802425871.90691316</v>
      </c>
      <c r="E123" s="23">
        <f>PMT('Game Assumptions'!$B$6,'Game Assumptions'!$B$14,'Game Assumptions'!$B$4)*-1</f>
        <v>802425871.90691316</v>
      </c>
      <c r="F123" s="23">
        <f>PMT('Game Assumptions'!$B$6,'Game Assumptions'!$B$14,'Game Assumptions'!$B$4)*-1</f>
        <v>802425871.90691316</v>
      </c>
      <c r="G123" s="23">
        <f>PMT('Game Assumptions'!$B$6,'Game Assumptions'!$B$14,'Game Assumptions'!$B$4)*-1</f>
        <v>802425871.90691316</v>
      </c>
      <c r="H123" s="23">
        <f>PMT('Game Assumptions'!$B$6,'Game Assumptions'!$B$14,'Game Assumptions'!$B$4)*-1</f>
        <v>802425871.90691316</v>
      </c>
      <c r="I123" s="23">
        <f>PMT('Game Assumptions'!$B$6,'Game Assumptions'!$B$14,'Game Assumptions'!$B$4)*-1</f>
        <v>802425871.90691316</v>
      </c>
      <c r="J123" s="23">
        <f>PMT('Game Assumptions'!$B$6,'Game Assumptions'!$B$14,'Game Assumptions'!$B$4)*-1</f>
        <v>802425871.90691316</v>
      </c>
      <c r="K123" s="23">
        <f>PMT('Game Assumptions'!$B$6,'Game Assumptions'!$B$14,'Game Assumptions'!$B$4)*-1</f>
        <v>802425871.90691316</v>
      </c>
      <c r="L123" s="23">
        <f>PMT('Game Assumptions'!$B$6,'Game Assumptions'!$B$14,'Game Assumptions'!$B$4)*-1</f>
        <v>802425871.90691316</v>
      </c>
    </row>
    <row r="124" spans="1:12" x14ac:dyDescent="0.25">
      <c r="A124" s="4" t="s">
        <v>221</v>
      </c>
    </row>
    <row r="125" spans="1:12" x14ac:dyDescent="0.25">
      <c r="A125" t="s">
        <v>40</v>
      </c>
      <c r="B125" s="7">
        <f>PMT(IF(OR('Event Tracker'!$B$20=1,'Event Tracker'!$B$21=1),'Game Assumptions'!$B$6,'Game Assumptions'!$B$5),'Game Assumptions'!$B$14,'Game Assumptions'!$G28*'Resource Mix and Demand'!B2)*-1</f>
        <v>0</v>
      </c>
      <c r="C125" s="7">
        <f>(PMT(IF(OR('Event Tracker'!$B$20=1,'Event Tracker'!$B$21=1),'Game Assumptions'!$B$6,'Game Assumptions'!$B$5),'Game Assumptions'!$B$14,'Game Assumptions'!$G28*'Resource Mix and Demand'!C2)*-1)+B125</f>
        <v>0</v>
      </c>
      <c r="D125" s="7">
        <f>(PMT(IF(OR('Event Tracker'!$B$20=1,'Event Tracker'!$B$21=1),'Game Assumptions'!$B$6,'Game Assumptions'!$B$5),'Game Assumptions'!$B$14,'Game Assumptions'!$G28*'Resource Mix and Demand'!D2)*-1)+C125</f>
        <v>0</v>
      </c>
      <c r="E125" s="7">
        <f>(PMT(IF(OR('Event Tracker'!$B$20=1,'Event Tracker'!$B$21=1),'Game Assumptions'!$B$6,'Game Assumptions'!$B$5),'Game Assumptions'!$B$14,'Game Assumptions'!$G28*'Resource Mix and Demand'!E2)*-1)+D125</f>
        <v>0</v>
      </c>
      <c r="F125" s="7">
        <f>(PMT(IF(OR('Event Tracker'!$B$20=1,'Event Tracker'!$B$21=1),'Game Assumptions'!$B$6,'Game Assumptions'!$B$5),'Game Assumptions'!$B$14,'Game Assumptions'!$G28*'Resource Mix and Demand'!F2)*-1)+E125</f>
        <v>0</v>
      </c>
      <c r="G125" s="7">
        <f>(PMT(IF(OR('Event Tracker'!$B$20=1,'Event Tracker'!$B$21=1),'Game Assumptions'!$B$6,'Game Assumptions'!$B$5),'Game Assumptions'!$B$14,'Game Assumptions'!$G28*'Resource Mix and Demand'!G2)*-1)+F125</f>
        <v>0</v>
      </c>
      <c r="H125" s="7">
        <f>(PMT(IF(OR('Event Tracker'!$B$20=1,'Event Tracker'!$B$21=1),'Game Assumptions'!$B$6,'Game Assumptions'!$B$5),'Game Assumptions'!$B$14,'Game Assumptions'!$G28*'Resource Mix and Demand'!H2)*-1)+G125</f>
        <v>0</v>
      </c>
      <c r="I125" s="7">
        <f>(PMT(IF(OR('Event Tracker'!$B$20=1,'Event Tracker'!$B$21=1),'Game Assumptions'!$B$6,'Game Assumptions'!$B$5),'Game Assumptions'!$B$14,'Game Assumptions'!$G28*'Resource Mix and Demand'!I2)*-1)+H125</f>
        <v>0</v>
      </c>
      <c r="J125" s="7">
        <f>(PMT(IF(OR('Event Tracker'!$B$20=1,'Event Tracker'!$B$21=1),'Game Assumptions'!$B$6,'Game Assumptions'!$B$5),'Game Assumptions'!$B$14,'Game Assumptions'!$G28*'Resource Mix and Demand'!J2)*-1)+I125</f>
        <v>0</v>
      </c>
      <c r="K125" s="7">
        <f>(PMT(IF(OR('Event Tracker'!$B$20=1,'Event Tracker'!$B$21=1),'Game Assumptions'!$B$6,'Game Assumptions'!$B$5),'Game Assumptions'!$B$14,'Game Assumptions'!$G28*'Resource Mix and Demand'!K2)*-1)+J125</f>
        <v>0</v>
      </c>
      <c r="L125" s="7">
        <f>(PMT(IF(OR('Event Tracker'!$B$20=1,'Event Tracker'!$B$21=1),'Game Assumptions'!$B$6,'Game Assumptions'!$B$5),'Game Assumptions'!$B$14,'Game Assumptions'!$G28*'Resource Mix and Demand'!L2)*-1)+K125</f>
        <v>0</v>
      </c>
    </row>
    <row r="126" spans="1:12" x14ac:dyDescent="0.25">
      <c r="A126" t="s">
        <v>46</v>
      </c>
      <c r="B126" s="7">
        <f>PMT(IF(OR('Event Tracker'!$B$20=1,'Event Tracker'!$B$21=1),'Game Assumptions'!$B$6,'Game Assumptions'!$B$5),'Game Assumptions'!$B$14,'Game Assumptions'!$G29*'Resource Mix and Demand'!B3)*-1</f>
        <v>0</v>
      </c>
      <c r="C126" s="7">
        <f>(PMT(IF(OR('Event Tracker'!$B$20=1,'Event Tracker'!$B$21=1),'Game Assumptions'!$B$6,'Game Assumptions'!$B$5),'Game Assumptions'!$B$14,'Game Assumptions'!$G29*'Resource Mix and Demand'!C3)*-1)+B126</f>
        <v>0</v>
      </c>
      <c r="D126" s="7">
        <f>(PMT(IF(OR('Event Tracker'!$B$20=1,'Event Tracker'!$B$21=1),'Game Assumptions'!$B$6,'Game Assumptions'!$B$5),'Game Assumptions'!$B$14,'Game Assumptions'!$G29*'Resource Mix and Demand'!D3)*-1)+C126</f>
        <v>15656467.452365492</v>
      </c>
      <c r="E126" s="7">
        <f>(PMT(IF(OR('Event Tracker'!$B$20=1,'Event Tracker'!$B$21=1),'Game Assumptions'!$B$6,'Game Assumptions'!$B$5),'Game Assumptions'!$B$14,'Game Assumptions'!$G29*'Resource Mix and Demand'!E3)*-1)+D126</f>
        <v>79935437.043395042</v>
      </c>
      <c r="F126" s="7">
        <f>(PMT(IF(OR('Event Tracker'!$B$20=1,'Event Tracker'!$B$21=1),'Game Assumptions'!$B$6,'Game Assumptions'!$B$5),'Game Assumptions'!$B$14,'Game Assumptions'!$G29*'Resource Mix and Demand'!F3)*-1)+E126</f>
        <v>95602681.553859994</v>
      </c>
      <c r="G126" s="7">
        <f>(PMT(IF(OR('Event Tracker'!$B$20=1,'Event Tracker'!$B$21=1),'Game Assumptions'!$B$6,'Game Assumptions'!$B$5),'Game Assumptions'!$B$14,'Game Assumptions'!$G29*'Resource Mix and Demand'!G3)*-1)+F126</f>
        <v>110837688.76767455</v>
      </c>
      <c r="H126" s="7">
        <f>(PMT(IF(OR('Event Tracker'!$B$20=1,'Event Tracker'!$B$21=1),'Game Assumptions'!$B$6,'Game Assumptions'!$B$5),'Game Assumptions'!$B$14,'Game Assumptions'!$G29*'Resource Mix and Demand'!H3)*-1)+G126</f>
        <v>126350610.22095002</v>
      </c>
      <c r="I126" s="7">
        <f>(PMT(IF(OR('Event Tracker'!$B$20=1,'Event Tracker'!$B$21=1),'Game Assumptions'!$B$6,'Game Assumptions'!$B$5),'Game Assumptions'!$B$14,'Game Assumptions'!$G29*'Resource Mix and Demand'!I3)*-1)+H126</f>
        <v>142174567.36089754</v>
      </c>
      <c r="J126" s="7">
        <f>(PMT(IF(OR('Event Tracker'!$B$20=1,'Event Tracker'!$B$21=1),'Game Assumptions'!$B$6,'Game Assumptions'!$B$5),'Game Assumptions'!$B$14,'Game Assumptions'!$G29*'Resource Mix and Demand'!J3)*-1)+I126</f>
        <v>162656910.55900091</v>
      </c>
      <c r="K126" s="7">
        <f>(PMT(IF(OR('Event Tracker'!$B$20=1,'Event Tracker'!$B$21=1),'Game Assumptions'!$B$6,'Game Assumptions'!$B$5),'Game Assumptions'!$B$14,'Game Assumptions'!$G29*'Resource Mix and Demand'!K3)*-1)+J126</f>
        <v>187169868.79256651</v>
      </c>
      <c r="L126" s="7">
        <f>(PMT(IF(OR('Event Tracker'!$B$20=1,'Event Tracker'!$B$21=1),'Game Assumptions'!$B$6,'Game Assumptions'!$B$5),'Game Assumptions'!$B$14,'Game Assumptions'!$G29*'Resource Mix and Demand'!L3)*-1)+K126</f>
        <v>213394660.96146923</v>
      </c>
    </row>
    <row r="127" spans="1:12" x14ac:dyDescent="0.25">
      <c r="A127" t="s">
        <v>41</v>
      </c>
      <c r="B127" s="7">
        <f>PMT(IF(OR('Event Tracker'!$B$20=1,'Event Tracker'!$B$21=1),'Game Assumptions'!$B$6,'Game Assumptions'!$B$5),'Game Assumptions'!$B$14,'Game Assumptions'!$G30*'Resource Mix and Demand'!B4)*-1</f>
        <v>0</v>
      </c>
      <c r="C127" s="7">
        <f>(PMT(IF(OR('Event Tracker'!$B$20=1,'Event Tracker'!$B$21=1),'Game Assumptions'!$B$6,'Game Assumptions'!$B$5),'Game Assumptions'!$B$14,'Game Assumptions'!$G30*'Resource Mix and Demand'!C4)*-1)+B127</f>
        <v>0</v>
      </c>
      <c r="D127" s="7">
        <f>(PMT(IF(OR('Event Tracker'!$B$20=1,'Event Tracker'!$B$21=1),'Game Assumptions'!$B$6,'Game Assumptions'!$B$5),'Game Assumptions'!$B$14,'Game Assumptions'!$G30*'Resource Mix and Demand'!D4)*-1)+C127</f>
        <v>0</v>
      </c>
      <c r="E127" s="7">
        <f>(PMT(IF(OR('Event Tracker'!$B$20=1,'Event Tracker'!$B$21=1),'Game Assumptions'!$B$6,'Game Assumptions'!$B$5),'Game Assumptions'!$B$14,'Game Assumptions'!$G30*'Resource Mix and Demand'!E4)*-1)+D127</f>
        <v>0</v>
      </c>
      <c r="F127" s="7">
        <f>(PMT(IF(OR('Event Tracker'!$B$20=1,'Event Tracker'!$B$21=1),'Game Assumptions'!$B$6,'Game Assumptions'!$B$5),'Game Assumptions'!$B$14,'Game Assumptions'!$G30*'Resource Mix and Demand'!F4)*-1)+E127</f>
        <v>0</v>
      </c>
      <c r="G127" s="7">
        <f>(PMT(IF(OR('Event Tracker'!$B$20=1,'Event Tracker'!$B$21=1),'Game Assumptions'!$B$6,'Game Assumptions'!$B$5),'Game Assumptions'!$B$14,'Game Assumptions'!$G30*'Resource Mix and Demand'!G4)*-1)+F127</f>
        <v>0</v>
      </c>
      <c r="H127" s="7">
        <f>(PMT(IF(OR('Event Tracker'!$B$20=1,'Event Tracker'!$B$21=1),'Game Assumptions'!$B$6,'Game Assumptions'!$B$5),'Game Assumptions'!$B$14,'Game Assumptions'!$G30*'Resource Mix and Demand'!H4)*-1)+G127</f>
        <v>0</v>
      </c>
      <c r="I127" s="7">
        <f>(PMT(IF(OR('Event Tracker'!$B$20=1,'Event Tracker'!$B$21=1),'Game Assumptions'!$B$6,'Game Assumptions'!$B$5),'Game Assumptions'!$B$14,'Game Assumptions'!$G30*'Resource Mix and Demand'!I4)*-1)+H127</f>
        <v>0</v>
      </c>
      <c r="J127" s="7">
        <f>(PMT(IF(OR('Event Tracker'!$B$20=1,'Event Tracker'!$B$21=1),'Game Assumptions'!$B$6,'Game Assumptions'!$B$5),'Game Assumptions'!$B$14,'Game Assumptions'!$G30*'Resource Mix and Demand'!J4)*-1)+I127</f>
        <v>0</v>
      </c>
      <c r="K127" s="7">
        <f>(PMT(IF(OR('Event Tracker'!$B$20=1,'Event Tracker'!$B$21=1),'Game Assumptions'!$B$6,'Game Assumptions'!$B$5),'Game Assumptions'!$B$14,'Game Assumptions'!$G30*'Resource Mix and Demand'!K4)*-1)+J127</f>
        <v>0</v>
      </c>
      <c r="L127" s="7">
        <f>(PMT(IF(OR('Event Tracker'!$B$20=1,'Event Tracker'!$B$21=1),'Game Assumptions'!$B$6,'Game Assumptions'!$B$5),'Game Assumptions'!$B$14,'Game Assumptions'!$G30*'Resource Mix and Demand'!L4)*-1)+K127</f>
        <v>0</v>
      </c>
    </row>
    <row r="128" spans="1:12" x14ac:dyDescent="0.25">
      <c r="A128" t="s">
        <v>44</v>
      </c>
      <c r="B128" s="7">
        <f>PMT(IF(OR('Event Tracker'!$B$20=1,'Event Tracker'!$B$21=1),'Game Assumptions'!$B$6,'Game Assumptions'!$B$5),'Game Assumptions'!$B$14,'Game Assumptions'!$G31*'Resource Mix and Demand'!B5)*-1</f>
        <v>0</v>
      </c>
      <c r="C128" s="7">
        <f>(PMT(IF(OR('Event Tracker'!$B$20=1,'Event Tracker'!$B$21=1),'Game Assumptions'!$B$6,'Game Assumptions'!$B$5),'Game Assumptions'!$B$14,(('Game Assumptions'!$G31*(1-'Game Assumptions'!$B$15)^'Utility Revenue'!C118)*(1-INDEX('Game Assumptions'!$C$208:$L$208,1,MATCH('Utility Revenue'!C118,'Game Assumptions'!$C$205:$L$205,0)))*'Resource Mix and Demand'!C5)*-1)+B128)</f>
        <v>0</v>
      </c>
      <c r="D128" s="7">
        <f>(PMT(IF(OR('Event Tracker'!$B$20=1,'Event Tracker'!$B$21=1),'Game Assumptions'!$B$6,'Game Assumptions'!$B$5),'Game Assumptions'!$B$14,(('Game Assumptions'!$G31*(1-'Game Assumptions'!$B$15)^'Utility Revenue'!D118)*(1-INDEX('Game Assumptions'!$C$208:$L$208,1,MATCH('Utility Revenue'!D118,'Game Assumptions'!$C$205:$L$205,0)))*'Resource Mix and Demand'!D5)*-1)+C128)</f>
        <v>6768168.8225157885</v>
      </c>
      <c r="E128" s="7">
        <f>(PMT(IF(OR('Event Tracker'!$B$20=1,'Event Tracker'!$B$21=1),'Game Assumptions'!$B$6,'Game Assumptions'!$B$5),'Game Assumptions'!$B$14,(('Game Assumptions'!$G31*(1-'Game Assumptions'!$B$15)^'Utility Revenue'!E118)*(1-INDEX('Game Assumptions'!$C$208:$L$208,1,MATCH('Utility Revenue'!E118,'Game Assumptions'!$C$205:$L$205,0)))*'Resource Mix and Demand'!E5)*-1)+D128)</f>
        <v>34574589.485989481</v>
      </c>
      <c r="F128" s="7">
        <f>(PMT(IF(OR('Event Tracker'!$B$20=1,'Event Tracker'!$B$21=1),'Game Assumptions'!$B$6,'Game Assumptions'!$B$5),'Game Assumptions'!$B$14,(('Game Assumptions'!$G31*(1-'Game Assumptions'!$B$15)^'Utility Revenue'!F118)*(1-INDEX('Game Assumptions'!$C$208:$L$208,1,MATCH('Utility Revenue'!F118,'Game Assumptions'!$C$205:$L$205,0)))*'Resource Mix and Demand'!F5)*-1)+E128)</f>
        <v>41597528.974724412</v>
      </c>
      <c r="G128" s="7">
        <f>(PMT(IF(OR('Event Tracker'!$B$20=1,'Event Tracker'!$B$21=1),'Game Assumptions'!$B$6,'Game Assumptions'!$B$5),'Game Assumptions'!$B$14,(('Game Assumptions'!$G31*(1-'Game Assumptions'!$B$15)^'Utility Revenue'!G118)*(1-INDEX('Game Assumptions'!$C$208:$L$208,1,MATCH('Utility Revenue'!G118,'Game Assumptions'!$C$205:$L$205,0)))*'Resource Mix and Demand'!G5)*-1)+F128)</f>
        <v>47730503.849043459</v>
      </c>
      <c r="H128" s="7">
        <f>(PMT(IF(OR('Event Tracker'!$B$20=1,'Event Tracker'!$B$21=1),'Game Assumptions'!$B$6,'Game Assumptions'!$B$5),'Game Assumptions'!$B$14,(('Game Assumptions'!$G31*(1-'Game Assumptions'!$B$15)^'Utility Revenue'!H118)*(1-INDEX('Game Assumptions'!$C$208:$L$208,1,MATCH('Utility Revenue'!H118,'Game Assumptions'!$C$205:$L$205,0)))*'Resource Mix and Demand'!H5)*-1)+G128)</f>
        <v>53338714.668191276</v>
      </c>
      <c r="I128" s="7">
        <f>(PMT(IF(OR('Event Tracker'!$B$20=1,'Event Tracker'!$B$21=1),'Game Assumptions'!$B$6,'Game Assumptions'!$B$5),'Game Assumptions'!$B$14,(('Game Assumptions'!$G31*(1-'Game Assumptions'!$B$15)^'Utility Revenue'!I118)*(1-INDEX('Game Assumptions'!$C$208:$L$208,1,MATCH('Utility Revenue'!I118,'Game Assumptions'!$C$205:$L$205,0)))*'Resource Mix and Demand'!I5)*-1)+H128)</f>
        <v>58476169.911714345</v>
      </c>
      <c r="J128" s="7">
        <f>(PMT(IF(OR('Event Tracker'!$B$20=1,'Event Tracker'!$B$21=1),'Game Assumptions'!$B$6,'Game Assumptions'!$B$5),'Game Assumptions'!$B$14,(('Game Assumptions'!$G31*(1-'Game Assumptions'!$B$15)^'Utility Revenue'!J118)*(1-INDEX('Game Assumptions'!$C$208:$L$208,1,MATCH('Utility Revenue'!J118,'Game Assumptions'!$C$205:$L$205,0)))*'Resource Mix and Demand'!J5)*-1)+I128)</f>
        <v>64448101.285291463</v>
      </c>
      <c r="K128" s="7">
        <f>(PMT(IF(OR('Event Tracker'!$B$20=1,'Event Tracker'!$B$21=1),'Game Assumptions'!$B$6,'Game Assumptions'!$B$5),'Game Assumptions'!$B$14,(('Game Assumptions'!$G31*(1-'Game Assumptions'!$B$15)^'Utility Revenue'!K118)*(1-INDEX('Game Assumptions'!$C$208:$L$208,1,MATCH('Utility Revenue'!K118,'Game Assumptions'!$C$205:$L$205,0)))*'Resource Mix and Demand'!K5)*-1)+J128)</f>
        <v>70866594.861967996</v>
      </c>
      <c r="L128" s="7">
        <f>(PMT(IF(OR('Event Tracker'!$B$20=1,'Event Tracker'!$B$21=1),'Game Assumptions'!$B$6,'Game Assumptions'!$B$5),'Game Assumptions'!$B$14,(('Game Assumptions'!$G31*(1-'Game Assumptions'!$B$15)^'Utility Revenue'!L118)*(1-INDEX('Game Assumptions'!$C$208:$L$208,1,MATCH('Utility Revenue'!L118,'Game Assumptions'!$C$205:$L$205,0)))*'Resource Mix and Demand'!L5)*-1)+K128)</f>
        <v>77033278.329130664</v>
      </c>
    </row>
    <row r="129" spans="1:12" x14ac:dyDescent="0.25">
      <c r="A129" t="s">
        <v>45</v>
      </c>
      <c r="B129" s="7">
        <f>PMT(IF(OR('Event Tracker'!$B$20=1,'Event Tracker'!$B$21=1),'Game Assumptions'!$B$6,'Game Assumptions'!$B$5),'Game Assumptions'!$B$14,'Game Assumptions'!$G32*'Resource Mix and Demand'!B6)*-1</f>
        <v>0</v>
      </c>
      <c r="C129" s="7">
        <f>(PMT(IF(OR('Event Tracker'!$B$20=1,'Event Tracker'!$B$21=1),'Game Assumptions'!$B$6,'Game Assumptions'!$B$5),'Game Assumptions'!$B$14,('Game Assumptions'!$G32*(1-'Game Assumptions'!$B$16)^'Utility Revenue'!C118-(INDEX('Game Assumptions'!$C$207:$L$207,1,MATCH('Utility Revenue'!C118,'Game Assumptions'!$C$205:$L$205,0))*8760*'Game Assumptions'!$G$59*'Game Assumptions'!$B$32))*'Resource Mix and Demand'!C6)*-1)+B129</f>
        <v>0</v>
      </c>
      <c r="D129" s="7">
        <f>(PMT(IF(OR('Event Tracker'!$B$20=1,'Event Tracker'!$B$21=1),'Game Assumptions'!$B$6,'Game Assumptions'!$B$5),'Game Assumptions'!$B$14,('Game Assumptions'!$G32*(1-'Game Assumptions'!$B$16)^'Utility Revenue'!D118-(INDEX('Game Assumptions'!$C$207:$L$207,1,MATCH('Utility Revenue'!D118,'Game Assumptions'!$C$205:$L$205,0))*8760*'Game Assumptions'!$G$59*'Game Assumptions'!$B$32))*'Resource Mix and Demand'!D6)*-1)+C129</f>
        <v>10009490.487588789</v>
      </c>
      <c r="E129" s="7">
        <f>(PMT(IF(OR('Event Tracker'!$B$20=1,'Event Tracker'!$B$21=1),'Game Assumptions'!$B$6,'Game Assumptions'!$B$5),'Game Assumptions'!$B$14,('Game Assumptions'!$G32*(1-'Game Assumptions'!$B$16)^'Utility Revenue'!E118-(INDEX('Game Assumptions'!$C$207:$L$207,1,MATCH('Utility Revenue'!E118,'Game Assumptions'!$C$205:$L$205,0))*8760*'Game Assumptions'!$G$59*'Game Assumptions'!$B$32))*'Resource Mix and Demand'!E6)*-1)+D129</f>
        <v>48251817.752751052</v>
      </c>
      <c r="F129" s="7">
        <f>(PMT(IF(OR('Event Tracker'!$B$20=1,'Event Tracker'!$B$21=1),'Game Assumptions'!$B$6,'Game Assumptions'!$B$5),'Game Assumptions'!$B$14,('Game Assumptions'!$G32*(1-'Game Assumptions'!$B$16)^'Utility Revenue'!F118-(INDEX('Game Assumptions'!$C$207:$L$207,1,MATCH('Utility Revenue'!F118,'Game Assumptions'!$C$205:$L$205,0))*8760*'Game Assumptions'!$G$59*'Game Assumptions'!$B$32))*'Resource Mix and Demand'!F6)*-1)+E129</f>
        <v>56925934.126987562</v>
      </c>
      <c r="G129" s="7">
        <f>(PMT(IF(OR('Event Tracker'!$B$20=1,'Event Tracker'!$B$21=1),'Game Assumptions'!$B$6,'Game Assumptions'!$B$5),'Game Assumptions'!$B$14,('Game Assumptions'!$G32*(1-'Game Assumptions'!$B$16)^'Utility Revenue'!G118-(INDEX('Game Assumptions'!$C$207:$L$207,1,MATCH('Utility Revenue'!G118,'Game Assumptions'!$C$205:$L$205,0))*8760*'Game Assumptions'!$G$59*'Game Assumptions'!$B$32))*'Resource Mix and Demand'!G6)*-1)+F129</f>
        <v>64775262.593077362</v>
      </c>
      <c r="H129" s="7">
        <f>(PMT(IF(OR('Event Tracker'!$B$20=1,'Event Tracker'!$B$21=1),'Game Assumptions'!$B$6,'Game Assumptions'!$B$5),'Game Assumptions'!$B$14,('Game Assumptions'!$G32*(1-'Game Assumptions'!$B$16)^'Utility Revenue'!H118-(INDEX('Game Assumptions'!$C$207:$L$207,1,MATCH('Utility Revenue'!H118,'Game Assumptions'!$C$205:$L$205,0))*8760*'Game Assumptions'!$G$59*'Game Assumptions'!$B$32))*'Resource Mix and Demand'!H6)*-1)+G129</f>
        <v>72212996.692834094</v>
      </c>
      <c r="I129" s="7">
        <f>(PMT(IF(OR('Event Tracker'!$B$20=1,'Event Tracker'!$B$21=1),'Game Assumptions'!$B$6,'Game Assumptions'!$B$5),'Game Assumptions'!$B$14,('Game Assumptions'!$G32*(1-'Game Assumptions'!$B$16)^'Utility Revenue'!I118-(INDEX('Game Assumptions'!$C$207:$L$207,1,MATCH('Utility Revenue'!I118,'Game Assumptions'!$C$205:$L$205,0))*8760*'Game Assumptions'!$G$59*'Game Assumptions'!$B$32))*'Resource Mix and Demand'!I6)*-1)+H129</f>
        <v>79273235.132317662</v>
      </c>
      <c r="J129" s="7">
        <f>(PMT(IF(OR('Event Tracker'!$B$20=1,'Event Tracker'!$B$21=1),'Game Assumptions'!$B$6,'Game Assumptions'!$B$5),'Game Assumptions'!$B$14,('Game Assumptions'!$G32*(1-'Game Assumptions'!$B$16)^'Utility Revenue'!J118-(INDEX('Game Assumptions'!$C$207:$L$207,1,MATCH('Utility Revenue'!J118,'Game Assumptions'!$C$205:$L$205,0))*8760*'Game Assumptions'!$G$59*'Game Assumptions'!$B$32))*'Resource Mix and Demand'!J6)*-1)+I129</f>
        <v>87777585.123128086</v>
      </c>
      <c r="K129" s="7">
        <f>(PMT(IF(OR('Event Tracker'!$B$20=1,'Event Tracker'!$B$21=1),'Game Assumptions'!$B$6,'Game Assumptions'!$B$5),'Game Assumptions'!$B$14,('Game Assumptions'!$G32*(1-'Game Assumptions'!$B$16)^'Utility Revenue'!K118-(INDEX('Game Assumptions'!$C$207:$L$207,1,MATCH('Utility Revenue'!K118,'Game Assumptions'!$C$205:$L$205,0))*8760*'Game Assumptions'!$G$59*'Game Assumptions'!$B$32))*'Resource Mix and Demand'!K6)*-1)+J129</f>
        <v>97248990.550367832</v>
      </c>
      <c r="L129" s="7">
        <f>(PMT(IF(OR('Event Tracker'!$B$20=1,'Event Tracker'!$B$21=1),'Game Assumptions'!$B$6,'Game Assumptions'!$B$5),'Game Assumptions'!$B$14,('Game Assumptions'!$G32*(1-'Game Assumptions'!$B$16)^'Utility Revenue'!L118-(INDEX('Game Assumptions'!$C$207:$L$207,1,MATCH('Utility Revenue'!L118,'Game Assumptions'!$C$205:$L$205,0))*8760*'Game Assumptions'!$G$59*'Game Assumptions'!$B$32))*'Resource Mix and Demand'!L6)*-1)+K129</f>
        <v>106678475.52358484</v>
      </c>
    </row>
    <row r="130" spans="1:12" x14ac:dyDescent="0.25">
      <c r="A130" t="s">
        <v>42</v>
      </c>
      <c r="B130" s="7">
        <f>(PMT(IF(OR('Event Tracker'!$B$20=1,'Event Tracker'!$B$21=1),'Game Assumptions'!$B$6,'Game Assumptions'!$B$5),'Game Assumptions'!$B$14,'Game Assumptions'!$G33*'Resource Mix and Demand'!B7)*-1)</f>
        <v>0</v>
      </c>
      <c r="C130" s="7">
        <f>(PMT(IF(OR('Event Tracker'!$B$20=1,'Event Tracker'!$B$21=1),'Game Assumptions'!$B$6,'Game Assumptions'!$B$5),'Game Assumptions'!$B$14,'Game Assumptions'!$G33*'Resource Mix and Demand'!C7)*-1)+B130</f>
        <v>0</v>
      </c>
      <c r="D130" s="7">
        <f>(PMT(IF(OR('Event Tracker'!$B$20=1,'Event Tracker'!$B$21=1),'Game Assumptions'!$B$6,'Game Assumptions'!$B$5),'Game Assumptions'!$B$14,'Game Assumptions'!$G33*'Resource Mix and Demand'!D7)*-1)+C130</f>
        <v>0</v>
      </c>
      <c r="E130" s="7">
        <f>(PMT(IF(OR('Event Tracker'!$B$20=1,'Event Tracker'!$B$21=1),'Game Assumptions'!$B$6,'Game Assumptions'!$B$5),'Game Assumptions'!$B$14,'Game Assumptions'!$G33*'Resource Mix and Demand'!E7)*-1)+D130</f>
        <v>0</v>
      </c>
      <c r="F130" s="7">
        <f>(PMT(IF(OR('Event Tracker'!$B$20=1,'Event Tracker'!$B$21=1),'Game Assumptions'!$B$6,'Game Assumptions'!$B$5),'Game Assumptions'!$B$14,'Game Assumptions'!$G33*'Resource Mix and Demand'!F7)*-1)+E130</f>
        <v>0</v>
      </c>
      <c r="G130" s="7">
        <f>(PMT(IF(OR('Event Tracker'!$B$20=1,'Event Tracker'!$B$21=1),'Game Assumptions'!$B$6,'Game Assumptions'!$B$5),'Game Assumptions'!$B$14,'Game Assumptions'!$G33*'Resource Mix and Demand'!G7)*-1)+F130</f>
        <v>0</v>
      </c>
      <c r="H130" s="7">
        <f>(PMT(IF(OR('Event Tracker'!$B$20=1,'Event Tracker'!$B$21=1),'Game Assumptions'!$B$6,'Game Assumptions'!$B$5),'Game Assumptions'!$B$14,'Game Assumptions'!$G33*'Resource Mix and Demand'!H7)*-1)+G130</f>
        <v>0</v>
      </c>
      <c r="I130" s="7">
        <f>(PMT(IF(OR('Event Tracker'!$B$20=1,'Event Tracker'!$B$21=1),'Game Assumptions'!$B$6,'Game Assumptions'!$B$5),'Game Assumptions'!$B$14,'Game Assumptions'!$G33*'Resource Mix and Demand'!I7)*-1)+H130</f>
        <v>0</v>
      </c>
      <c r="J130" s="7">
        <f>(PMT(IF(OR('Event Tracker'!$B$20=1,'Event Tracker'!$B$21=1),'Game Assumptions'!$B$6,'Game Assumptions'!$B$5),'Game Assumptions'!$B$14,'Game Assumptions'!$G33*'Resource Mix and Demand'!J7)*-1)+I130</f>
        <v>0</v>
      </c>
      <c r="K130" s="7">
        <f>(PMT(IF(OR('Event Tracker'!$B$20=1,'Event Tracker'!$B$21=1),'Game Assumptions'!$B$6,'Game Assumptions'!$B$5),'Game Assumptions'!$B$14,'Game Assumptions'!$G33*'Resource Mix and Demand'!K7)*-1)+J130</f>
        <v>0</v>
      </c>
      <c r="L130" s="7">
        <f>(PMT(IF(OR('Event Tracker'!$B$20=1,'Event Tracker'!$B$21=1),'Game Assumptions'!$B$6,'Game Assumptions'!$B$5),'Game Assumptions'!$B$14,'Game Assumptions'!$G33*'Resource Mix and Demand'!L7)*-1)+K130</f>
        <v>0</v>
      </c>
    </row>
    <row r="131" spans="1:12" x14ac:dyDescent="0.25">
      <c r="A131" s="12" t="s">
        <v>47</v>
      </c>
      <c r="B131" s="7">
        <f>(PMT(IF('Event Tracker'!B8=1,'Game Assumptions'!$B$6,0),'Game Assumptions'!$B$14,'Game Assumptions'!$G34*'Resource Mix and Demand'!B8)*-1)</f>
        <v>0</v>
      </c>
      <c r="C131" s="7">
        <f>(PMT(IF('Event Tracker'!C8=1,'Game Assumptions'!$B$6,0),'Game Assumptions'!$B$14,'Game Assumptions'!$G34*'Resource Mix and Demand'!C8)*-1)+B131</f>
        <v>591300</v>
      </c>
      <c r="D131" s="7">
        <f>(PMT(IF('Event Tracker'!D8=1,'Game Assumptions'!$B$6,0),'Game Assumptions'!$B$14,'Game Assumptions'!$G34*'Resource Mix and Demand'!D8)*-1)+C131</f>
        <v>2924133.5442875554</v>
      </c>
      <c r="E131" s="7">
        <f>(PMT(IF('Event Tracker'!E8=1,'Game Assumptions'!$B$6,0),'Game Assumptions'!$B$14,'Game Assumptions'!$G34*'Resource Mix and Demand'!E8)*-1)+D131</f>
        <v>10665448.838325318</v>
      </c>
      <c r="F131" s="7">
        <f>(PMT(IF('Event Tracker'!F8=1,'Game Assumptions'!$B$6,0),'Game Assumptions'!$B$14,'Game Assumptions'!$G34*'Resource Mix and Demand'!F8)*-1)+E131</f>
        <v>12999481.159300273</v>
      </c>
      <c r="G131" s="7">
        <f>(PMT(IF('Event Tracker'!G8=1,'Game Assumptions'!$B$6,0),'Game Assumptions'!$B$14,'Game Assumptions'!$G34*'Resource Mix and Demand'!G8)*-1)+F131</f>
        <v>15285433.940398239</v>
      </c>
      <c r="H131" s="7">
        <f>(PMT(IF('Event Tracker'!H8=1,'Game Assumptions'!$B$6,0),'Game Assumptions'!$B$14,'Game Assumptions'!$G34*'Resource Mix and Demand'!H8)*-1)+G131</f>
        <v>17602300.270285476</v>
      </c>
      <c r="I131" s="7">
        <f>(PMT(IF('Event Tracker'!I8=1,'Game Assumptions'!$B$6,0),'Game Assumptions'!$B$14,'Game Assumptions'!$G34*'Resource Mix and Demand'!I8)*-1)+H131</f>
        <v>19953764.384344522</v>
      </c>
      <c r="J131" s="7">
        <f>(PMT(IF('Event Tracker'!J8=1,'Game Assumptions'!$B$6,0),'Game Assumptions'!$B$14,'Game Assumptions'!$G34*'Resource Mix and Demand'!J8)*-1)+I131</f>
        <v>22823400.021271206</v>
      </c>
      <c r="K131" s="7">
        <f>(PMT(IF('Event Tracker'!K8=1,'Game Assumptions'!$B$6,0),'Game Assumptions'!$B$14,'Game Assumptions'!$G34*'Resource Mix and Demand'!K8)*-1)+J131</f>
        <v>26141377.61718218</v>
      </c>
      <c r="L131" s="7">
        <f>(PMT(IF('Event Tracker'!L8=1,'Game Assumptions'!$B$6,0),'Game Assumptions'!$B$14,'Game Assumptions'!$G34*'Resource Mix and Demand'!L8)*-1)+K131</f>
        <v>29649769.572507858</v>
      </c>
    </row>
    <row r="132" spans="1:12" x14ac:dyDescent="0.25">
      <c r="A132" t="s">
        <v>287</v>
      </c>
      <c r="B132" s="103">
        <f>(PMT(IF(OR('Event Tracker'!$B$20=1,'Event Tracker'!$B$21=1),'Game Assumptions'!$B$6,'Game Assumptions'!$B$5),'Game Assumptions'!$B$14,Reliability!B9*'Game Assumptions'!$G35))*-1</f>
        <v>0</v>
      </c>
      <c r="C132" s="103">
        <f>(PMT(IF(OR('Event Tracker'!$B$20=1,'Event Tracker'!$B$21=1),'Game Assumptions'!$B$6,'Game Assumptions'!$B$5),'Game Assumptions'!$B$14,Reliability!C9*'Game Assumptions'!$G35))*-1+B132</f>
        <v>0</v>
      </c>
      <c r="D132" s="103">
        <f>(PMT(IF(OR('Event Tracker'!$B$20=1,'Event Tracker'!$B$21=1),'Game Assumptions'!$B$6,'Game Assumptions'!$B$5),'Game Assumptions'!$B$14,Reliability!D9*'Game Assumptions'!$G35))*-1+C132</f>
        <v>0</v>
      </c>
      <c r="E132" s="103">
        <f>(PMT(IF(OR('Event Tracker'!$B$20=1,'Event Tracker'!$B$21=1),'Game Assumptions'!$B$6,'Game Assumptions'!$B$5),'Game Assumptions'!$B$14,Reliability!E9*'Game Assumptions'!$G35))*-1+D132</f>
        <v>0</v>
      </c>
      <c r="F132" s="103">
        <f>(PMT(IF(OR('Event Tracker'!$B$20=1,'Event Tracker'!$B$21=1),'Game Assumptions'!$B$6,'Game Assumptions'!$B$5),'Game Assumptions'!$B$14,Reliability!F9*'Game Assumptions'!$G35))*-1+E132</f>
        <v>0</v>
      </c>
      <c r="G132" s="103">
        <f>(PMT(IF(OR('Event Tracker'!$B$20=1,'Event Tracker'!$B$21=1),'Game Assumptions'!$B$6,'Game Assumptions'!$B$5),'Game Assumptions'!$B$14,Reliability!G9*'Game Assumptions'!$G35))*-1+F132</f>
        <v>0</v>
      </c>
      <c r="H132" s="103">
        <f>(PMT(IF(OR('Event Tracker'!$B$20=1,'Event Tracker'!$B$21=1),'Game Assumptions'!$B$6,'Game Assumptions'!$B$5),'Game Assumptions'!$B$14,Reliability!H9*'Game Assumptions'!$G35))*-1+G132</f>
        <v>0</v>
      </c>
      <c r="I132" s="103">
        <f>(PMT(IF(OR('Event Tracker'!$B$20=1,'Event Tracker'!$B$21=1),'Game Assumptions'!$B$6,'Game Assumptions'!$B$5),'Game Assumptions'!$B$14,Reliability!I9*'Game Assumptions'!$G35))*-1+H132</f>
        <v>0</v>
      </c>
      <c r="J132" s="103">
        <f>(PMT(IF(OR('Event Tracker'!$B$20=1,'Event Tracker'!$B$21=1),'Game Assumptions'!$B$6,'Game Assumptions'!$B$5),'Game Assumptions'!$B$14,Reliability!J9*'Game Assumptions'!$G35))*-1+I132</f>
        <v>0</v>
      </c>
      <c r="K132" s="103">
        <f>(PMT(IF(OR('Event Tracker'!$B$20=1,'Event Tracker'!$B$21=1),'Game Assumptions'!$B$6,'Game Assumptions'!$B$5),'Game Assumptions'!$B$14,Reliability!K9*'Game Assumptions'!$G35))*-1+J132</f>
        <v>0</v>
      </c>
      <c r="L132" s="103">
        <f>(PMT(IF(OR('Event Tracker'!$B$20=1,'Event Tracker'!$B$21=1),'Game Assumptions'!$B$6,'Game Assumptions'!$B$5),'Game Assumptions'!$B$14,Reliability!L9*'Game Assumptions'!$G35))*-1+K132</f>
        <v>0</v>
      </c>
    </row>
    <row r="133" spans="1:12" x14ac:dyDescent="0.25">
      <c r="A133" t="s">
        <v>288</v>
      </c>
      <c r="B133" s="103">
        <f>(PMT('Game Assumptions'!$B$6,'Game Assumptions'!$B$14,Reliability!B10*'Game Assumptions'!$G36))*-1</f>
        <v>0</v>
      </c>
      <c r="C133" s="103">
        <f>(PMT('Game Assumptions'!$B$6,'Game Assumptions'!$B$14,Reliability!C10*'Game Assumptions'!$G36))*-1+B133</f>
        <v>0</v>
      </c>
      <c r="D133" s="103">
        <f>(PMT('Game Assumptions'!$B$6,'Game Assumptions'!$B$14,Reliability!D10*'Game Assumptions'!$G36))*-1+C133</f>
        <v>0</v>
      </c>
      <c r="E133" s="103">
        <f>(PMT('Game Assumptions'!$B$6,'Game Assumptions'!$B$14,Reliability!E10*'Game Assumptions'!$G36))*-1+D133</f>
        <v>0</v>
      </c>
      <c r="F133" s="103">
        <f>(PMT('Game Assumptions'!$B$6,'Game Assumptions'!$B$14,Reliability!F10*'Game Assumptions'!$G36))*-1+E133</f>
        <v>0</v>
      </c>
      <c r="G133" s="103">
        <f>(PMT('Game Assumptions'!$B$6,'Game Assumptions'!$B$14,Reliability!G10*'Game Assumptions'!$G36))*-1+F133</f>
        <v>0</v>
      </c>
      <c r="H133" s="103">
        <f>(PMT('Game Assumptions'!$B$6,'Game Assumptions'!$B$14,Reliability!H10*'Game Assumptions'!$G36))*-1+G133</f>
        <v>0</v>
      </c>
      <c r="I133" s="103">
        <f>(PMT('Game Assumptions'!$B$6,'Game Assumptions'!$B$14,Reliability!I10*'Game Assumptions'!$G36))*-1+H133</f>
        <v>0</v>
      </c>
      <c r="J133" s="103">
        <f>(PMT('Game Assumptions'!$B$6,'Game Assumptions'!$B$14,Reliability!J10*'Game Assumptions'!$G36))*-1+I133</f>
        <v>0</v>
      </c>
      <c r="K133" s="103">
        <f>(PMT('Game Assumptions'!$B$6,'Game Assumptions'!$B$14,Reliability!K10*'Game Assumptions'!$G36))*-1+J133</f>
        <v>0</v>
      </c>
      <c r="L133" s="103">
        <f>(PMT('Game Assumptions'!$B$6,'Game Assumptions'!$B$14,Reliability!L10*'Game Assumptions'!$G36))*-1+K133</f>
        <v>0</v>
      </c>
    </row>
    <row r="134" spans="1:12" x14ac:dyDescent="0.25">
      <c r="A134" t="s">
        <v>289</v>
      </c>
      <c r="B134" s="103">
        <f>(PMT(IF(OR('Event Tracker'!$B$20=1,'Event Tracker'!$B$21=1),'Game Assumptions'!$B$6,'Game Assumptions'!$B$5),'Game Assumptions'!$B$14,Reliability!B11*'Game Assumptions'!$G37))*-1</f>
        <v>0</v>
      </c>
      <c r="C134" s="103">
        <f>(PMT(IF(OR('Event Tracker'!$B$20=1,'Event Tracker'!$B$21=1),'Game Assumptions'!$B$6,'Game Assumptions'!$B$5),'Game Assumptions'!$B$14,Reliability!C11*'Game Assumptions'!$G37))*-1+B134</f>
        <v>0</v>
      </c>
      <c r="D134" s="103">
        <f>(PMT(IF(OR('Event Tracker'!$B$20=1,'Event Tracker'!$B$21=1),'Game Assumptions'!$B$6,'Game Assumptions'!$B$5),'Game Assumptions'!$B$14,Reliability!D11*'Game Assumptions'!$G37))*-1+C134</f>
        <v>0</v>
      </c>
      <c r="E134" s="103">
        <f>(PMT(IF(OR('Event Tracker'!$B$20=1,'Event Tracker'!$B$21=1),'Game Assumptions'!$B$6,'Game Assumptions'!$B$5),'Game Assumptions'!$B$14,Reliability!E11*'Game Assumptions'!$G37))*-1+D134</f>
        <v>0</v>
      </c>
      <c r="F134" s="103">
        <f>(PMT(IF(OR('Event Tracker'!$B$20=1,'Event Tracker'!$B$21=1),'Game Assumptions'!$B$6,'Game Assumptions'!$B$5),'Game Assumptions'!$B$14,Reliability!F11*'Game Assumptions'!$G37))*-1+E134</f>
        <v>0</v>
      </c>
      <c r="G134" s="103">
        <f>(PMT(IF(OR('Event Tracker'!$B$20=1,'Event Tracker'!$B$21=1),'Game Assumptions'!$B$6,'Game Assumptions'!$B$5),'Game Assumptions'!$B$14,Reliability!G11*'Game Assumptions'!$G37))*-1+F134</f>
        <v>0</v>
      </c>
      <c r="H134" s="103">
        <f>(PMT(IF(OR('Event Tracker'!$B$20=1,'Event Tracker'!$B$21=1),'Game Assumptions'!$B$6,'Game Assumptions'!$B$5),'Game Assumptions'!$B$14,Reliability!H11*'Game Assumptions'!$G37))*-1+G134</f>
        <v>0</v>
      </c>
      <c r="I134" s="103">
        <f>(PMT(IF(OR('Event Tracker'!$B$20=1,'Event Tracker'!$B$21=1),'Game Assumptions'!$B$6,'Game Assumptions'!$B$5),'Game Assumptions'!$B$14,Reliability!I11*'Game Assumptions'!$G37))*-1+H134</f>
        <v>0</v>
      </c>
      <c r="J134" s="103">
        <f>(PMT(IF(OR('Event Tracker'!$B$20=1,'Event Tracker'!$B$21=1),'Game Assumptions'!$B$6,'Game Assumptions'!$B$5),'Game Assumptions'!$B$14,Reliability!J11*'Game Assumptions'!$G37))*-1+I134</f>
        <v>0</v>
      </c>
      <c r="K134" s="103">
        <f>(PMT(IF(OR('Event Tracker'!$B$20=1,'Event Tracker'!$B$21=1),'Game Assumptions'!$B$6,'Game Assumptions'!$B$5),'Game Assumptions'!$B$14,Reliability!K11*'Game Assumptions'!$G37))*-1+J134</f>
        <v>0</v>
      </c>
      <c r="L134" s="103">
        <f>(PMT(IF(OR('Event Tracker'!$B$20=1,'Event Tracker'!$B$21=1),'Game Assumptions'!$B$6,'Game Assumptions'!$B$5),'Game Assumptions'!$B$14,Reliability!L11*'Game Assumptions'!$G37))*-1+K134</f>
        <v>0</v>
      </c>
    </row>
    <row r="135" spans="1:12" x14ac:dyDescent="0.25">
      <c r="A135" t="s">
        <v>290</v>
      </c>
      <c r="B135" s="103">
        <f>(PMT(0,'Game Assumptions'!$B$14,Reliability!B12*'Game Assumptions'!$G38))*-1</f>
        <v>0</v>
      </c>
      <c r="C135" s="103">
        <f>(PMT(0,'Game Assumptions'!$B$14,Reliability!C12*'Game Assumptions'!$G38))*-1+B135</f>
        <v>0</v>
      </c>
      <c r="D135" s="103">
        <f>(PMT(0,'Game Assumptions'!$B$14,Reliability!D12*'Game Assumptions'!$G38))*-1+C135</f>
        <v>0</v>
      </c>
      <c r="E135" s="103">
        <f>(PMT(0,'Game Assumptions'!$B$14,Reliability!E12*'Game Assumptions'!$G38))*-1+D135</f>
        <v>0</v>
      </c>
      <c r="F135" s="103">
        <f>(PMT(0,'Game Assumptions'!$B$14,Reliability!F12*'Game Assumptions'!$G38))*-1+E135</f>
        <v>0</v>
      </c>
      <c r="G135" s="103">
        <f>(PMT(0,'Game Assumptions'!$B$14,Reliability!G12*'Game Assumptions'!$G38))*-1+F135</f>
        <v>0</v>
      </c>
      <c r="H135" s="103">
        <f>(PMT(0,'Game Assumptions'!$B$14,Reliability!H12*'Game Assumptions'!$G38))*-1+G135</f>
        <v>0</v>
      </c>
      <c r="I135" s="103">
        <f>(PMT(0,'Game Assumptions'!$B$14,Reliability!I12*'Game Assumptions'!$G38))*-1+H135</f>
        <v>0</v>
      </c>
      <c r="J135" s="103">
        <f>(PMT(0,'Game Assumptions'!$B$14,Reliability!J12*'Game Assumptions'!$G38))*-1+I135</f>
        <v>0</v>
      </c>
      <c r="K135" s="103">
        <f>(PMT(0,'Game Assumptions'!$B$14,Reliability!K12*'Game Assumptions'!$G38))*-1+J135</f>
        <v>0</v>
      </c>
      <c r="L135" s="103">
        <f>(PMT(0,'Game Assumptions'!$B$14,Reliability!L12*'Game Assumptions'!$G38))*-1+K135</f>
        <v>0</v>
      </c>
    </row>
    <row r="136" spans="1:12" s="187" customFormat="1" x14ac:dyDescent="0.25">
      <c r="A136" s="186" t="s">
        <v>67</v>
      </c>
      <c r="B136" s="188">
        <f>PMT(IF(OR('Event Tracker'!$B$20=1,'Event Tracker'!$B$21=1),'Game Assumptions'!$B$6,'Game Assumptions'!$B$5),'Game Assumptions'!$B$14,Reliability!B38*'Game Assumptions'!$B$111)*-1</f>
        <v>0</v>
      </c>
      <c r="C136" s="188">
        <f>PMT(IF(OR('Event Tracker'!$B$20=1,'Event Tracker'!$B$21=1),'Game Assumptions'!$B$6,'Game Assumptions'!$B$5),'Game Assumptions'!$B$14,Reliability!C38*'Game Assumptions'!$B$111)*-1+B136</f>
        <v>0</v>
      </c>
      <c r="D136" s="188">
        <f>PMT(IF(OR('Event Tracker'!$B$20=1,'Event Tracker'!$B$21=1),'Game Assumptions'!$B$6,'Game Assumptions'!$B$5),'Game Assumptions'!$B$14,Reliability!D38*'Game Assumptions'!$B$111)*-1+C136</f>
        <v>0</v>
      </c>
      <c r="E136" s="188">
        <f>PMT(IF(OR('Event Tracker'!$B$20=1,'Event Tracker'!$B$21=1),'Game Assumptions'!$B$6,'Game Assumptions'!$B$5),'Game Assumptions'!$B$14,Reliability!E38*'Game Assumptions'!$B$111)*-1+D136</f>
        <v>0</v>
      </c>
      <c r="F136" s="188">
        <f>PMT(IF(OR('Event Tracker'!$B$20=1,'Event Tracker'!$B$21=1),'Game Assumptions'!$B$6,'Game Assumptions'!$B$5),'Game Assumptions'!$B$14,Reliability!F38*'Game Assumptions'!$B$111)*-1+E136</f>
        <v>0</v>
      </c>
      <c r="G136" s="188">
        <f>PMT(IF(OR('Event Tracker'!$B$20=1,'Event Tracker'!$B$21=1),'Game Assumptions'!$B$6,'Game Assumptions'!$B$5),'Game Assumptions'!$B$14,Reliability!G38*'Game Assumptions'!$B$111)*-1+F136</f>
        <v>0</v>
      </c>
      <c r="H136" s="188">
        <f>PMT(IF(OR('Event Tracker'!$B$20=1,'Event Tracker'!$B$21=1),'Game Assumptions'!$B$6,'Game Assumptions'!$B$5),'Game Assumptions'!$B$14,Reliability!H38*'Game Assumptions'!$B$111)*-1+G136</f>
        <v>0</v>
      </c>
      <c r="I136" s="188">
        <f>PMT(IF(OR('Event Tracker'!$B$20=1,'Event Tracker'!$B$21=1),'Game Assumptions'!$B$6,'Game Assumptions'!$B$5),'Game Assumptions'!$B$14,Reliability!I38*'Game Assumptions'!$B$111)*-1+H136</f>
        <v>0</v>
      </c>
      <c r="J136" s="188">
        <f>PMT(IF(OR('Event Tracker'!$B$20=1,'Event Tracker'!$B$21=1),'Game Assumptions'!$B$6,'Game Assumptions'!$B$5),'Game Assumptions'!$B$14,Reliability!J38*'Game Assumptions'!$B$111)*-1+I136</f>
        <v>0</v>
      </c>
      <c r="K136" s="188">
        <f>PMT(IF(OR('Event Tracker'!$B$20=1,'Event Tracker'!$B$21=1),'Game Assumptions'!$B$6,'Game Assumptions'!$B$5),'Game Assumptions'!$B$14,Reliability!K38*'Game Assumptions'!$B$111)*-1+J136</f>
        <v>0</v>
      </c>
      <c r="L136" s="188">
        <f>PMT(IF(OR('Event Tracker'!$B$20=1,'Event Tracker'!$B$21=1),'Game Assumptions'!$B$6,'Game Assumptions'!$B$5),'Game Assumptions'!$B$14,Reliability!L38*'Game Assumptions'!$B$111)*-1+K136</f>
        <v>0</v>
      </c>
    </row>
    <row r="137" spans="1:12" x14ac:dyDescent="0.25">
      <c r="A137" s="12" t="s">
        <v>68</v>
      </c>
      <c r="B137" s="7">
        <f>PMT('Game Assumptions'!$B$6,'Game Assumptions'!$B$14,SUM('Game Assumptions'!$B$135:$B$136)*Reliability!B13)*-1</f>
        <v>0</v>
      </c>
      <c r="C137" s="103">
        <f>PMT('Game Assumptions'!$B$6,'Game Assumptions'!$B$14,SUM('Game Assumptions'!$B$135:$B$136)*Reliability!C13)*-1+B137</f>
        <v>0</v>
      </c>
      <c r="D137" s="103">
        <f>PMT('Game Assumptions'!$B$6,'Game Assumptions'!$B$14,SUM('Game Assumptions'!$B$135:$B$136)*Reliability!D13)*-1+C137</f>
        <v>0</v>
      </c>
      <c r="E137" s="103">
        <f>PMT('Game Assumptions'!$B$6,'Game Assumptions'!$B$14,SUM('Game Assumptions'!$B$135:$B$136)*Reliability!E13)*-1+D137</f>
        <v>0</v>
      </c>
      <c r="F137" s="103">
        <f>PMT('Game Assumptions'!$B$6,'Game Assumptions'!$B$14,SUM('Game Assumptions'!$B$135:$B$136)*Reliability!F13)*-1+E137</f>
        <v>0</v>
      </c>
      <c r="G137" s="103">
        <f>PMT('Game Assumptions'!$B$6,'Game Assumptions'!$B$14,SUM('Game Assumptions'!$B$135:$B$136)*Reliability!G13)*-1+F137</f>
        <v>0</v>
      </c>
      <c r="H137" s="103">
        <f>PMT('Game Assumptions'!$B$6,'Game Assumptions'!$B$14,SUM('Game Assumptions'!$B$135:$B$136)*Reliability!H13)*-1+G137</f>
        <v>0</v>
      </c>
      <c r="I137" s="103">
        <f>PMT('Game Assumptions'!$B$6,'Game Assumptions'!$B$14,SUM('Game Assumptions'!$B$135:$B$136)*Reliability!I13)*-1+H137</f>
        <v>0</v>
      </c>
      <c r="J137" s="103">
        <f>PMT('Game Assumptions'!$B$6,'Game Assumptions'!$B$14,SUM('Game Assumptions'!$B$135:$B$136)*Reliability!J13)*-1+I137</f>
        <v>0</v>
      </c>
      <c r="K137" s="103">
        <f>PMT('Game Assumptions'!$B$6,'Game Assumptions'!$B$14,SUM('Game Assumptions'!$B$135:$B$136)*Reliability!K13)*-1+J137</f>
        <v>0</v>
      </c>
      <c r="L137" s="103">
        <f>PMT('Game Assumptions'!$B$6,'Game Assumptions'!$B$14,SUM('Game Assumptions'!$B$135:$B$136)*Reliability!L13)*-1+K137</f>
        <v>0</v>
      </c>
    </row>
    <row r="138" spans="1:12" x14ac:dyDescent="0.25">
      <c r="A138" s="22" t="s">
        <v>388</v>
      </c>
      <c r="B138" s="143">
        <v>0</v>
      </c>
      <c r="C138" s="174">
        <f>(PMT('Game Assumptions'!$B$5,'Game Assumptions'!$B$14,'Game Assumptions'!$G28*'Resource Mix and Demand'!C9)*-1)+B138</f>
        <v>3170131.6662229747</v>
      </c>
      <c r="D138" s="174">
        <f>(PMT('Game Assumptions'!$B$5,'Game Assumptions'!$B$14,'Game Assumptions'!$G28*'Resource Mix and Demand'!D9)*-1)+C138</f>
        <v>29682435.81906658</v>
      </c>
      <c r="E138" s="174">
        <f>(PMT('Game Assumptions'!$B$5,'Game Assumptions'!$B$14,'Game Assumptions'!$G28*'Resource Mix and Demand'!E9)*-1)+D138</f>
        <v>128685858.10598837</v>
      </c>
      <c r="F138" s="174">
        <f>(PMT('Game Assumptions'!$B$5,'Game Assumptions'!$B$14,'Game Assumptions'!$G28*'Resource Mix and Demand'!F9)*-1)+E138</f>
        <v>155214229.73700488</v>
      </c>
      <c r="G138" s="174">
        <f>(PMT('Game Assumptions'!$B$5,'Game Assumptions'!$B$14,'Game Assumptions'!$G28*'Resource Mix and Demand'!G9)*-1)+F138</f>
        <v>181098180.29639328</v>
      </c>
      <c r="H138" s="174">
        <f>(PMT('Game Assumptions'!$B$5,'Game Assumptions'!$B$14,'Game Assumptions'!$G28*'Resource Mix and Demand'!H9)*-1)+G138</f>
        <v>207396472.22197565</v>
      </c>
      <c r="I138" s="174">
        <f>(PMT('Game Assumptions'!$B$5,'Game Assumptions'!$B$14,'Game Assumptions'!$G28*'Resource Mix and Demand'!I9)*-1)+H138</f>
        <v>234158486.16338843</v>
      </c>
      <c r="J138" s="174">
        <f>(PMT('Game Assumptions'!$B$5,'Game Assumptions'!$B$14,'Game Assumptions'!$G28*'Resource Mix and Demand'!J9)*-1)+I138</f>
        <v>267865671.56251171</v>
      </c>
      <c r="K138" s="174">
        <f>(PMT('Game Assumptions'!$B$5,'Game Assumptions'!$B$14,'Game Assumptions'!$G28*'Resource Mix and Demand'!K9)*-1)+J138</f>
        <v>307582086.8004331</v>
      </c>
      <c r="L138" s="174">
        <f>(PMT('Game Assumptions'!$B$5,'Game Assumptions'!$B$14,'Game Assumptions'!$G28*'Resource Mix and Demand'!L9)*-1)+K138</f>
        <v>349850669.25670439</v>
      </c>
    </row>
    <row r="139" spans="1:12" x14ac:dyDescent="0.25">
      <c r="A139" s="34" t="s">
        <v>77</v>
      </c>
      <c r="B139" s="45"/>
      <c r="C139" s="45"/>
      <c r="D139" s="45"/>
      <c r="E139" s="45"/>
      <c r="F139" s="45"/>
      <c r="G139" s="45"/>
      <c r="H139" s="45"/>
      <c r="I139" s="45"/>
      <c r="J139" s="45"/>
      <c r="K139" s="45"/>
      <c r="L139" s="45"/>
    </row>
    <row r="140" spans="1:12" x14ac:dyDescent="0.25">
      <c r="A140" s="52" t="s">
        <v>75</v>
      </c>
      <c r="B140" s="45"/>
      <c r="C140" s="45"/>
      <c r="D140" s="45"/>
      <c r="E140" s="45"/>
      <c r="F140" s="45"/>
      <c r="G140" s="45"/>
      <c r="H140" s="45"/>
      <c r="I140" s="45"/>
      <c r="J140" s="45"/>
      <c r="K140" s="45"/>
      <c r="L140" s="45"/>
    </row>
    <row r="141" spans="1:12" x14ac:dyDescent="0.25">
      <c r="A141" t="s">
        <v>55</v>
      </c>
      <c r="B141" s="25">
        <f t="shared" ref="B141:L141" si="15">B29</f>
        <v>833519250</v>
      </c>
      <c r="C141" s="25">
        <f t="shared" si="15"/>
        <v>688547250</v>
      </c>
      <c r="D141" s="25">
        <f t="shared" si="15"/>
        <v>625551669.58500934</v>
      </c>
      <c r="E141" s="25">
        <f t="shared" si="15"/>
        <v>589898969.12708914</v>
      </c>
      <c r="F141" s="25">
        <f t="shared" si="15"/>
        <v>598709449.19424033</v>
      </c>
      <c r="G141" s="25">
        <f t="shared" si="15"/>
        <v>607276860.47645783</v>
      </c>
      <c r="H141" s="25">
        <f t="shared" si="15"/>
        <v>616000556.92199874</v>
      </c>
      <c r="I141" s="25">
        <f t="shared" si="15"/>
        <v>624899164.3875196</v>
      </c>
      <c r="J141" s="25">
        <f t="shared" si="15"/>
        <v>636417416.77420449</v>
      </c>
      <c r="K141" s="25">
        <f t="shared" si="15"/>
        <v>650202286.84242105</v>
      </c>
      <c r="L141" s="25">
        <f t="shared" si="15"/>
        <v>664949807.28323412</v>
      </c>
    </row>
    <row r="142" spans="1:12" x14ac:dyDescent="0.25">
      <c r="A142" t="s">
        <v>56</v>
      </c>
      <c r="B142" s="25">
        <f t="shared" ref="B142:L142" si="16">B30</f>
        <v>219429435.516</v>
      </c>
      <c r="C142" s="25">
        <f t="shared" si="16"/>
        <v>213300828.94080001</v>
      </c>
      <c r="D142" s="25">
        <f t="shared" si="16"/>
        <v>179194833.25495464</v>
      </c>
      <c r="E142" s="25">
        <f t="shared" si="16"/>
        <v>135166219.97576159</v>
      </c>
      <c r="F142" s="25">
        <f t="shared" si="16"/>
        <v>131252516.01640332</v>
      </c>
      <c r="G142" s="25">
        <f t="shared" si="16"/>
        <v>127746235.6106962</v>
      </c>
      <c r="H142" s="25">
        <f t="shared" si="16"/>
        <v>125146007.72110242</v>
      </c>
      <c r="I142" s="25">
        <f t="shared" si="16"/>
        <v>124739941.57193658</v>
      </c>
      <c r="J142" s="25">
        <f t="shared" si="16"/>
        <v>123898279.64693657</v>
      </c>
      <c r="K142" s="25">
        <f t="shared" si="16"/>
        <v>122920845.52193657</v>
      </c>
      <c r="L142" s="25">
        <f t="shared" si="16"/>
        <v>122848559.39693657</v>
      </c>
    </row>
    <row r="143" spans="1:12" x14ac:dyDescent="0.25">
      <c r="A143" s="12" t="s">
        <v>57</v>
      </c>
      <c r="B143" s="95">
        <f t="shared" ref="B143:L143" si="17">B31</f>
        <v>1038587909.8080001</v>
      </c>
      <c r="C143" s="95">
        <f t="shared" si="17"/>
        <v>1261750369.5962882</v>
      </c>
      <c r="D143" s="95">
        <f t="shared" si="17"/>
        <v>1115647533.1034596</v>
      </c>
      <c r="E143" s="95">
        <f t="shared" si="17"/>
        <v>931764593.52311182</v>
      </c>
      <c r="F143" s="95">
        <f t="shared" si="17"/>
        <v>859084903.88036585</v>
      </c>
      <c r="G143" s="95">
        <f t="shared" si="17"/>
        <v>817977306.59684706</v>
      </c>
      <c r="H143" s="95">
        <f t="shared" si="17"/>
        <v>839904330.54348612</v>
      </c>
      <c r="I143" s="95">
        <f t="shared" si="17"/>
        <v>869780923.53015041</v>
      </c>
      <c r="J143" s="95">
        <f t="shared" si="17"/>
        <v>890942618.20355749</v>
      </c>
      <c r="K143" s="95">
        <f t="shared" si="17"/>
        <v>899435125.18869615</v>
      </c>
      <c r="L143" s="95">
        <f t="shared" si="17"/>
        <v>901936564.14951992</v>
      </c>
    </row>
    <row r="144" spans="1:12" x14ac:dyDescent="0.25">
      <c r="A144" s="80" t="s">
        <v>210</v>
      </c>
      <c r="B144" s="35"/>
      <c r="C144" s="35"/>
      <c r="D144" s="35"/>
      <c r="E144" s="35"/>
      <c r="F144" s="35"/>
      <c r="G144" s="35"/>
      <c r="H144" s="35"/>
      <c r="I144" s="35"/>
      <c r="J144" s="35"/>
      <c r="K144" s="35"/>
      <c r="L144" s="35"/>
    </row>
    <row r="145" spans="1:12" x14ac:dyDescent="0.25">
      <c r="A145" s="71" t="s">
        <v>211</v>
      </c>
      <c r="B145" s="25">
        <f t="shared" ref="B145:L145" si="18">B33</f>
        <v>29791461.006910168</v>
      </c>
      <c r="C145" s="25">
        <f t="shared" si="18"/>
        <v>29791461.006910168</v>
      </c>
      <c r="D145" s="25">
        <f t="shared" si="18"/>
        <v>29791461.006910168</v>
      </c>
      <c r="E145" s="25">
        <f t="shared" si="18"/>
        <v>29791461.006910168</v>
      </c>
      <c r="F145" s="25">
        <f t="shared" si="18"/>
        <v>29791461.006910168</v>
      </c>
      <c r="G145" s="25">
        <f t="shared" si="18"/>
        <v>29791461.006910168</v>
      </c>
      <c r="H145" s="25">
        <f t="shared" si="18"/>
        <v>29791461.006910168</v>
      </c>
      <c r="I145" s="25">
        <f t="shared" si="18"/>
        <v>29791461.006910168</v>
      </c>
      <c r="J145" s="25">
        <f t="shared" si="18"/>
        <v>29791461.006910168</v>
      </c>
      <c r="K145" s="25">
        <f t="shared" si="18"/>
        <v>29791461.006910168</v>
      </c>
      <c r="L145" s="25">
        <f t="shared" si="18"/>
        <v>29791461.006910168</v>
      </c>
    </row>
    <row r="146" spans="1:12" x14ac:dyDescent="0.25">
      <c r="A146" s="72" t="s">
        <v>213</v>
      </c>
      <c r="B146" s="25">
        <f t="shared" ref="B146:L146" si="19">B34</f>
        <v>424000</v>
      </c>
      <c r="C146" s="25">
        <f t="shared" si="19"/>
        <v>424000</v>
      </c>
      <c r="D146" s="25">
        <f t="shared" si="19"/>
        <v>424000</v>
      </c>
      <c r="E146" s="25">
        <f t="shared" si="19"/>
        <v>424000</v>
      </c>
      <c r="F146" s="25">
        <f t="shared" si="19"/>
        <v>424000</v>
      </c>
      <c r="G146" s="25">
        <f t="shared" si="19"/>
        <v>424000</v>
      </c>
      <c r="H146" s="25">
        <f t="shared" si="19"/>
        <v>424000</v>
      </c>
      <c r="I146" s="25">
        <f t="shared" si="19"/>
        <v>424000</v>
      </c>
      <c r="J146" s="25">
        <f t="shared" si="19"/>
        <v>424000</v>
      </c>
      <c r="K146" s="25">
        <f t="shared" si="19"/>
        <v>424000</v>
      </c>
      <c r="L146" s="25">
        <f t="shared" si="19"/>
        <v>424000</v>
      </c>
    </row>
    <row r="147" spans="1:12" ht="15.75" thickBot="1" x14ac:dyDescent="0.3">
      <c r="A147" s="75" t="s">
        <v>206</v>
      </c>
      <c r="B147" s="135"/>
      <c r="C147" s="135"/>
      <c r="D147" s="135"/>
      <c r="E147" s="135"/>
      <c r="F147" s="135"/>
      <c r="G147" s="135"/>
      <c r="H147" s="135"/>
      <c r="I147" s="135"/>
      <c r="J147" s="135"/>
      <c r="K147" s="135"/>
      <c r="L147" s="135"/>
    </row>
    <row r="148" spans="1:12" ht="15.75" thickTop="1" x14ac:dyDescent="0.25">
      <c r="A148" t="s">
        <v>207</v>
      </c>
      <c r="B148" s="7">
        <f>Dispatch!B235</f>
        <v>0</v>
      </c>
      <c r="C148" s="7">
        <f>Dispatch!C235</f>
        <v>0</v>
      </c>
      <c r="D148" s="7">
        <f>Dispatch!D235</f>
        <v>0</v>
      </c>
      <c r="E148" s="7">
        <f>Dispatch!E235</f>
        <v>0</v>
      </c>
      <c r="F148" s="7">
        <f>Dispatch!F235</f>
        <v>0</v>
      </c>
      <c r="G148" s="7">
        <f>Dispatch!G235</f>
        <v>0</v>
      </c>
      <c r="H148" s="7">
        <f>Dispatch!H235</f>
        <v>0</v>
      </c>
      <c r="I148" s="7">
        <f>Dispatch!I235</f>
        <v>0</v>
      </c>
      <c r="J148" s="7">
        <f>Dispatch!J235</f>
        <v>0</v>
      </c>
      <c r="K148" s="7">
        <f>Dispatch!K235</f>
        <v>0</v>
      </c>
      <c r="L148" s="7">
        <f>Dispatch!L235</f>
        <v>0</v>
      </c>
    </row>
    <row r="149" spans="1:12" ht="15.75" thickBot="1" x14ac:dyDescent="0.3">
      <c r="A149" s="91" t="s">
        <v>248</v>
      </c>
      <c r="B149" s="92">
        <f>SUM(B121:B138,B141:B143,B145:B146,B148)</f>
        <v>5470483148.8165894</v>
      </c>
      <c r="C149" s="92">
        <f t="shared" ref="C149:L149" si="20">SUM(C121:C138,C141:C143,C145:C146,C148)</f>
        <v>5444454224.8727493</v>
      </c>
      <c r="D149" s="92">
        <f t="shared" si="20"/>
        <v>5160676867.9155359</v>
      </c>
      <c r="E149" s="92">
        <f t="shared" si="20"/>
        <v>5032332860.8755493</v>
      </c>
      <c r="F149" s="92">
        <f t="shared" si="20"/>
        <v>4922924442.8428726</v>
      </c>
      <c r="G149" s="92">
        <f t="shared" si="20"/>
        <v>4842412981.5074234</v>
      </c>
      <c r="H149" s="92">
        <f t="shared" si="20"/>
        <v>4825785289.8145094</v>
      </c>
      <c r="I149" s="92">
        <f t="shared" si="20"/>
        <v>4819437344.1728039</v>
      </c>
      <c r="J149" s="92">
        <f t="shared" si="20"/>
        <v>4820958866.0832863</v>
      </c>
      <c r="K149" s="92">
        <f t="shared" si="20"/>
        <v>4823843850.2598047</v>
      </c>
      <c r="L149" s="92">
        <f t="shared" si="20"/>
        <v>4826766249.73417</v>
      </c>
    </row>
    <row r="150" spans="1:12" ht="16.5" thickTop="1" thickBot="1" x14ac:dyDescent="0.3">
      <c r="A150" s="90" t="s">
        <v>250</v>
      </c>
      <c r="B150" s="93">
        <f t="shared" ref="B150:L150" si="21">B116-B149</f>
        <v>216096216.32459354</v>
      </c>
      <c r="C150" s="93">
        <f t="shared" si="21"/>
        <v>240065547.86601353</v>
      </c>
      <c r="D150" s="93">
        <f t="shared" si="21"/>
        <v>225136680.6994276</v>
      </c>
      <c r="E150" s="93">
        <f t="shared" si="21"/>
        <v>194305800.73055077</v>
      </c>
      <c r="F150" s="93">
        <f t="shared" si="21"/>
        <v>216096216.32459354</v>
      </c>
      <c r="G150" s="93">
        <f t="shared" si="21"/>
        <v>224475588.05318642</v>
      </c>
      <c r="H150" s="93">
        <f t="shared" si="21"/>
        <v>195175077.73132992</v>
      </c>
      <c r="I150" s="93">
        <f t="shared" si="21"/>
        <v>228663393.45358372</v>
      </c>
      <c r="J150" s="93">
        <f t="shared" si="21"/>
        <v>216096216.32459354</v>
      </c>
      <c r="K150" s="93">
        <f t="shared" si="21"/>
        <v>195067973.9267025</v>
      </c>
      <c r="L150" s="93">
        <f t="shared" si="21"/>
        <v>228732619.66710377</v>
      </c>
    </row>
    <row r="151" spans="1:12" ht="16.5" thickTop="1" thickBot="1" x14ac:dyDescent="0.3">
      <c r="A151" s="90" t="s">
        <v>369</v>
      </c>
      <c r="B151" s="120">
        <f>B150/'Game Assumptions'!$B$17</f>
        <v>0.54024054081148387</v>
      </c>
      <c r="C151" s="120">
        <f>C150/'Game Assumptions'!$B$17</f>
        <v>0.60016386966503377</v>
      </c>
      <c r="D151" s="120">
        <f>D150/'Game Assumptions'!$B$17</f>
        <v>0.56284170174856896</v>
      </c>
      <c r="E151" s="120">
        <f>E150/'Game Assumptions'!$B$17</f>
        <v>0.48576450182637693</v>
      </c>
      <c r="F151" s="120">
        <f>F150/'Game Assumptions'!$B$17</f>
        <v>0.54024054081148387</v>
      </c>
      <c r="G151" s="120">
        <f>G150/'Game Assumptions'!$B$17</f>
        <v>0.56118897013296609</v>
      </c>
      <c r="H151" s="120">
        <f>H150/'Game Assumptions'!$B$17</f>
        <v>0.48793769432832479</v>
      </c>
      <c r="I151" s="120">
        <f>I150/'Game Assumptions'!$B$17</f>
        <v>0.57165848363395932</v>
      </c>
      <c r="J151" s="120">
        <f>J150/'Game Assumptions'!$B$17</f>
        <v>0.54024054081148387</v>
      </c>
      <c r="K151" s="120">
        <f>K150/'Game Assumptions'!$B$17</f>
        <v>0.48766993481675625</v>
      </c>
      <c r="L151" s="120">
        <f>L150/'Game Assumptions'!$B$17</f>
        <v>0.57183154916775947</v>
      </c>
    </row>
    <row r="152" spans="1:12" ht="15.75" thickTop="1" x14ac:dyDescent="0.25"/>
    <row r="153" spans="1:12" x14ac:dyDescent="0.25">
      <c r="B153" s="18"/>
    </row>
    <row r="156" spans="1:12" x14ac:dyDescent="0.25">
      <c r="B156" s="6"/>
    </row>
  </sheetData>
  <conditionalFormatting sqref="A42:XFD42 A46:XFD51 A53:XFD55 A9:XFD9 B122:L123 A121:XFD121 A67:XFD67 B71:XFD76 B78:XFD80 A20:XFD22 A13:XFD18 A132:XFD134 A125:XFD130">
    <cfRule type="expression" dxfId="1" priority="3">
      <formula>$B$2="DR"</formula>
    </cfRule>
  </conditionalFormatting>
  <conditionalFormatting sqref="A71:A76 A78:A80">
    <cfRule type="expression" dxfId="0" priority="1">
      <formula>$B$2="DR"</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O208"/>
  <sheetViews>
    <sheetView topLeftCell="A4" zoomScale="85" zoomScaleNormal="85" workbookViewId="0">
      <selection activeCell="H33" sqref="H33"/>
    </sheetView>
  </sheetViews>
  <sheetFormatPr defaultRowHeight="15" x14ac:dyDescent="0.25"/>
  <cols>
    <col min="1" max="1" width="72.28515625" customWidth="1"/>
    <col min="2" max="2" width="16.85546875" bestFit="1" customWidth="1"/>
    <col min="3" max="3" width="12" customWidth="1"/>
    <col min="4" max="5" width="9.7109375" bestFit="1" customWidth="1"/>
    <col min="6" max="6" width="37.140625" bestFit="1" customWidth="1"/>
    <col min="7" max="7" width="16" customWidth="1"/>
    <col min="8" max="9" width="9.7109375" bestFit="1" customWidth="1"/>
    <col min="10" max="10" width="27.7109375" bestFit="1" customWidth="1"/>
    <col min="11" max="11" width="11.42578125" customWidth="1"/>
    <col min="12" max="12" width="11.28515625" customWidth="1"/>
  </cols>
  <sheetData>
    <row r="1" spans="1:10" ht="19.5" thickBot="1" x14ac:dyDescent="0.35">
      <c r="A1" s="20" t="s">
        <v>14</v>
      </c>
      <c r="B1" s="20"/>
      <c r="C1" s="20"/>
      <c r="D1" s="20"/>
      <c r="E1" s="20"/>
      <c r="F1" s="20"/>
      <c r="G1" s="20"/>
    </row>
    <row r="2" spans="1:10" ht="15.75" thickBot="1" x14ac:dyDescent="0.3">
      <c r="A2" t="s">
        <v>113</v>
      </c>
      <c r="B2" s="88">
        <v>20000000000</v>
      </c>
      <c r="C2" t="s">
        <v>226</v>
      </c>
    </row>
    <row r="3" spans="1:10" ht="15.75" thickBot="1" x14ac:dyDescent="0.3">
      <c r="A3" t="s">
        <v>114</v>
      </c>
      <c r="B3" s="88">
        <v>5000000000</v>
      </c>
      <c r="C3" t="s">
        <v>226</v>
      </c>
      <c r="J3" s="89"/>
    </row>
    <row r="4" spans="1:10" ht="15.75" thickBot="1" x14ac:dyDescent="0.3">
      <c r="A4" t="s">
        <v>115</v>
      </c>
      <c r="B4" s="88">
        <v>10000000000</v>
      </c>
      <c r="C4" t="s">
        <v>226</v>
      </c>
    </row>
    <row r="5" spans="1:10" ht="15.75" thickBot="1" x14ac:dyDescent="0.3">
      <c r="A5" t="s">
        <v>247</v>
      </c>
      <c r="B5" s="104">
        <v>0.08</v>
      </c>
      <c r="C5" t="s">
        <v>226</v>
      </c>
    </row>
    <row r="6" spans="1:10" ht="15.75" thickBot="1" x14ac:dyDescent="0.3">
      <c r="A6" t="s">
        <v>285</v>
      </c>
      <c r="B6" s="81">
        <v>0.05</v>
      </c>
      <c r="C6" t="s">
        <v>226</v>
      </c>
    </row>
    <row r="7" spans="1:10" x14ac:dyDescent="0.25">
      <c r="A7" t="s">
        <v>79</v>
      </c>
      <c r="B7" s="5">
        <v>0.25</v>
      </c>
    </row>
    <row r="8" spans="1:10" x14ac:dyDescent="0.25">
      <c r="A8" t="s">
        <v>111</v>
      </c>
      <c r="B8" s="7">
        <v>5</v>
      </c>
    </row>
    <row r="9" spans="1:10" ht="15.75" thickBot="1" x14ac:dyDescent="0.3">
      <c r="A9" t="s">
        <v>204</v>
      </c>
      <c r="B9" s="7">
        <v>100</v>
      </c>
    </row>
    <row r="10" spans="1:10" ht="15.75" thickBot="1" x14ac:dyDescent="0.3">
      <c r="A10" t="s">
        <v>454</v>
      </c>
      <c r="B10" s="81">
        <v>0.02</v>
      </c>
      <c r="C10" t="s">
        <v>226</v>
      </c>
    </row>
    <row r="11" spans="1:10" ht="15.75" thickBot="1" x14ac:dyDescent="0.3">
      <c r="A11" t="s">
        <v>244</v>
      </c>
      <c r="B11" s="86">
        <v>3.3000000000000002E-2</v>
      </c>
      <c r="C11" t="s">
        <v>226</v>
      </c>
    </row>
    <row r="12" spans="1:10" ht="15.75" thickBot="1" x14ac:dyDescent="0.3">
      <c r="A12" t="s">
        <v>245</v>
      </c>
      <c r="B12" s="86">
        <v>3.3000000000000002E-2</v>
      </c>
    </row>
    <row r="13" spans="1:10" ht="15.75" thickBot="1" x14ac:dyDescent="0.3">
      <c r="A13" t="s">
        <v>246</v>
      </c>
      <c r="B13" s="87">
        <v>3.3000000000000002E-2</v>
      </c>
      <c r="C13" t="s">
        <v>323</v>
      </c>
    </row>
    <row r="14" spans="1:10" x14ac:dyDescent="0.25">
      <c r="A14" t="s">
        <v>286</v>
      </c>
      <c r="B14" s="102">
        <v>20</v>
      </c>
      <c r="C14" s="65"/>
    </row>
    <row r="15" spans="1:10" x14ac:dyDescent="0.25">
      <c r="A15" t="s">
        <v>302</v>
      </c>
      <c r="B15" s="82">
        <v>0.10194648694578234</v>
      </c>
      <c r="C15" s="193" t="s">
        <v>561</v>
      </c>
    </row>
    <row r="16" spans="1:10" x14ac:dyDescent="0.25">
      <c r="A16" t="s">
        <v>303</v>
      </c>
      <c r="B16" s="82">
        <v>6.9412497607518331E-2</v>
      </c>
      <c r="C16" s="193" t="s">
        <v>562</v>
      </c>
    </row>
    <row r="17" spans="1:13" x14ac:dyDescent="0.25">
      <c r="A17" t="s">
        <v>368</v>
      </c>
      <c r="B17" s="119">
        <f>IF(OR(INDEX(BizModelSelected,1,1)=1,INDEX(BizModelSelected,2,1)=1),80*10^7,40*10^7)</f>
        <v>400000000</v>
      </c>
      <c r="C17" s="65"/>
    </row>
    <row r="18" spans="1:13" x14ac:dyDescent="0.25">
      <c r="B18" s="82"/>
      <c r="C18" s="65"/>
    </row>
    <row r="19" spans="1:13" ht="18.75" x14ac:dyDescent="0.3">
      <c r="A19" s="20" t="s">
        <v>273</v>
      </c>
      <c r="B19" s="97"/>
      <c r="C19" s="65"/>
    </row>
    <row r="20" spans="1:13" x14ac:dyDescent="0.25">
      <c r="A20" t="s">
        <v>270</v>
      </c>
      <c r="B20" s="7">
        <v>3</v>
      </c>
      <c r="C20" s="65"/>
    </row>
    <row r="21" spans="1:13" x14ac:dyDescent="0.25">
      <c r="A21" t="s">
        <v>274</v>
      </c>
      <c r="B21" s="5">
        <v>0.28000000000000003</v>
      </c>
    </row>
    <row r="22" spans="1:13" x14ac:dyDescent="0.25">
      <c r="A22" t="s">
        <v>275</v>
      </c>
      <c r="B22" s="18">
        <v>0.3</v>
      </c>
    </row>
    <row r="23" spans="1:13" ht="15.75" thickBot="1" x14ac:dyDescent="0.3">
      <c r="A23" t="s">
        <v>363</v>
      </c>
      <c r="B23" s="7">
        <v>30</v>
      </c>
    </row>
    <row r="24" spans="1:13" ht="15.75" thickBot="1" x14ac:dyDescent="0.3">
      <c r="A24" t="s">
        <v>372</v>
      </c>
      <c r="B24" s="153">
        <f>B155/8760/B75*0.05*(SUM(B85:F86)/SUM(B85:F87))</f>
        <v>359.88512800297639</v>
      </c>
    </row>
    <row r="26" spans="1:13" ht="18.75" x14ac:dyDescent="0.3">
      <c r="A26" s="20" t="s">
        <v>59</v>
      </c>
      <c r="B26" s="21"/>
      <c r="C26" s="21"/>
      <c r="D26" s="21"/>
      <c r="E26" s="21"/>
      <c r="F26" s="21"/>
      <c r="G26" s="21"/>
      <c r="H26" s="21"/>
      <c r="I26" s="21"/>
      <c r="J26" s="21"/>
      <c r="K26" s="21"/>
    </row>
    <row r="27" spans="1:13" x14ac:dyDescent="0.25">
      <c r="A27" s="9" t="s">
        <v>48</v>
      </c>
      <c r="B27" s="9"/>
      <c r="F27" s="9" t="s">
        <v>50</v>
      </c>
      <c r="G27" s="9"/>
      <c r="J27" s="9" t="s">
        <v>128</v>
      </c>
      <c r="K27" s="3"/>
      <c r="M27" s="194" t="s">
        <v>563</v>
      </c>
    </row>
    <row r="28" spans="1:13" x14ac:dyDescent="0.25">
      <c r="A28" t="s">
        <v>7</v>
      </c>
      <c r="B28" s="117">
        <v>30</v>
      </c>
      <c r="C28" s="193" t="s">
        <v>564</v>
      </c>
      <c r="F28" t="s">
        <v>7</v>
      </c>
      <c r="G28" s="7">
        <v>3112482</v>
      </c>
      <c r="H28" s="195" t="s">
        <v>565</v>
      </c>
      <c r="J28" t="s">
        <v>7</v>
      </c>
      <c r="K28">
        <v>1.075</v>
      </c>
      <c r="M28" s="195" t="s">
        <v>566</v>
      </c>
    </row>
    <row r="29" spans="1:13" x14ac:dyDescent="0.25">
      <c r="A29" t="s">
        <v>8</v>
      </c>
      <c r="B29" s="117">
        <v>30</v>
      </c>
      <c r="C29" s="193" t="s">
        <v>564</v>
      </c>
      <c r="F29" t="s">
        <v>8</v>
      </c>
      <c r="G29" s="7">
        <v>1043829</v>
      </c>
      <c r="H29" s="195" t="s">
        <v>567</v>
      </c>
      <c r="J29" t="s">
        <v>8</v>
      </c>
      <c r="K29">
        <v>0.60499999999999998</v>
      </c>
      <c r="M29" t="s">
        <v>568</v>
      </c>
    </row>
    <row r="30" spans="1:13" x14ac:dyDescent="0.25">
      <c r="A30" t="s">
        <v>13</v>
      </c>
      <c r="B30" s="117">
        <v>60</v>
      </c>
      <c r="C30" s="193" t="s">
        <v>564</v>
      </c>
      <c r="F30" t="s">
        <v>13</v>
      </c>
      <c r="G30" s="7">
        <v>7279134</v>
      </c>
      <c r="H30" s="195" t="s">
        <v>569</v>
      </c>
      <c r="J30" t="s">
        <v>13</v>
      </c>
      <c r="K30">
        <v>0</v>
      </c>
      <c r="M30" t="s">
        <v>570</v>
      </c>
    </row>
    <row r="31" spans="1:13" x14ac:dyDescent="0.25">
      <c r="A31" t="s">
        <v>9</v>
      </c>
      <c r="B31" s="117">
        <v>30</v>
      </c>
      <c r="C31" s="193" t="s">
        <v>564</v>
      </c>
      <c r="F31" t="s">
        <v>9</v>
      </c>
      <c r="G31" s="7">
        <v>1598579.6695319347</v>
      </c>
      <c r="H31" s="195" t="s">
        <v>606</v>
      </c>
      <c r="J31" t="s">
        <v>9</v>
      </c>
      <c r="K31">
        <v>0</v>
      </c>
      <c r="L31" s="49"/>
      <c r="M31" t="s">
        <v>571</v>
      </c>
    </row>
    <row r="32" spans="1:13" x14ac:dyDescent="0.25">
      <c r="A32" t="s">
        <v>10</v>
      </c>
      <c r="B32" s="117">
        <v>30</v>
      </c>
      <c r="C32" s="193" t="s">
        <v>564</v>
      </c>
      <c r="F32" t="s">
        <v>10</v>
      </c>
      <c r="G32" s="7">
        <v>1541214.5992880005</v>
      </c>
      <c r="H32" s="195" t="s">
        <v>607</v>
      </c>
      <c r="J32" t="s">
        <v>10</v>
      </c>
      <c r="K32">
        <v>0</v>
      </c>
      <c r="L32" s="49"/>
      <c r="M32" t="s">
        <v>572</v>
      </c>
    </row>
    <row r="33" spans="1:11" x14ac:dyDescent="0.25">
      <c r="A33" t="s">
        <v>11</v>
      </c>
      <c r="B33" s="117">
        <v>100</v>
      </c>
      <c r="C33" s="193" t="s">
        <v>564</v>
      </c>
      <c r="F33" t="s">
        <v>11</v>
      </c>
      <c r="G33" s="7">
        <v>2528249</v>
      </c>
      <c r="H33" s="195" t="s">
        <v>573</v>
      </c>
      <c r="J33" t="s">
        <v>11</v>
      </c>
      <c r="K33">
        <v>0</v>
      </c>
    </row>
    <row r="34" spans="1:11" x14ac:dyDescent="0.25">
      <c r="A34" t="s">
        <v>12</v>
      </c>
      <c r="B34" s="117">
        <v>10</v>
      </c>
      <c r="C34" t="s">
        <v>49</v>
      </c>
      <c r="F34" t="s">
        <v>12</v>
      </c>
      <c r="G34" s="7">
        <f>0.054*1000*8760</f>
        <v>473040</v>
      </c>
      <c r="H34" t="s">
        <v>297</v>
      </c>
      <c r="J34" t="s">
        <v>12</v>
      </c>
      <c r="K34">
        <v>0</v>
      </c>
    </row>
    <row r="35" spans="1:11" x14ac:dyDescent="0.25">
      <c r="A35" t="s">
        <v>292</v>
      </c>
      <c r="B35" s="117">
        <v>30</v>
      </c>
      <c r="C35" s="193" t="s">
        <v>564</v>
      </c>
      <c r="F35" t="s">
        <v>292</v>
      </c>
      <c r="G35" s="7">
        <v>918833</v>
      </c>
      <c r="H35" s="195" t="s">
        <v>574</v>
      </c>
      <c r="J35" t="s">
        <v>575</v>
      </c>
    </row>
    <row r="36" spans="1:11" x14ac:dyDescent="0.25">
      <c r="A36" t="s">
        <v>293</v>
      </c>
      <c r="B36" s="117">
        <v>30</v>
      </c>
      <c r="C36" s="193" t="s">
        <v>564</v>
      </c>
      <c r="F36" t="s">
        <v>293</v>
      </c>
      <c r="G36" s="7">
        <v>1281813</v>
      </c>
      <c r="H36" s="195" t="s">
        <v>576</v>
      </c>
      <c r="J36" t="s">
        <v>575</v>
      </c>
    </row>
    <row r="37" spans="1:11" x14ac:dyDescent="0.25">
      <c r="A37" t="s">
        <v>147</v>
      </c>
      <c r="B37" s="117">
        <v>100</v>
      </c>
      <c r="C37" s="193" t="s">
        <v>564</v>
      </c>
      <c r="F37" t="s">
        <v>147</v>
      </c>
      <c r="G37" s="7">
        <v>2202000</v>
      </c>
      <c r="H37" s="196" t="s">
        <v>577</v>
      </c>
      <c r="J37" t="s">
        <v>575</v>
      </c>
    </row>
    <row r="38" spans="1:11" x14ac:dyDescent="0.25">
      <c r="A38" t="s">
        <v>277</v>
      </c>
      <c r="B38">
        <v>10</v>
      </c>
      <c r="C38" t="s">
        <v>296</v>
      </c>
      <c r="F38" t="s">
        <v>277</v>
      </c>
      <c r="G38" s="7">
        <f>2.74*1000*B38</f>
        <v>27400</v>
      </c>
      <c r="H38" t="s">
        <v>25</v>
      </c>
    </row>
    <row r="40" spans="1:11" x14ac:dyDescent="0.25">
      <c r="A40" s="9" t="s">
        <v>51</v>
      </c>
      <c r="B40" s="9"/>
      <c r="F40" s="9" t="s">
        <v>58</v>
      </c>
      <c r="G40" s="3"/>
      <c r="J40" s="9" t="s">
        <v>252</v>
      </c>
      <c r="K40" s="3"/>
    </row>
    <row r="41" spans="1:11" x14ac:dyDescent="0.25">
      <c r="A41" t="s">
        <v>7</v>
      </c>
      <c r="B41" s="19">
        <v>71800</v>
      </c>
      <c r="C41" s="195" t="s">
        <v>578</v>
      </c>
      <c r="F41" t="s">
        <v>7</v>
      </c>
      <c r="G41" s="15">
        <v>7.86</v>
      </c>
      <c r="H41" s="195" t="s">
        <v>579</v>
      </c>
      <c r="J41" t="s">
        <v>7</v>
      </c>
      <c r="K41" s="16">
        <v>4000</v>
      </c>
    </row>
    <row r="42" spans="1:11" x14ac:dyDescent="0.25">
      <c r="A42" t="s">
        <v>8</v>
      </c>
      <c r="B42" s="19">
        <v>27300</v>
      </c>
      <c r="C42" s="195" t="s">
        <v>580</v>
      </c>
      <c r="F42" t="s">
        <v>8</v>
      </c>
      <c r="G42" s="15">
        <v>1.74</v>
      </c>
      <c r="H42" s="195" t="s">
        <v>581</v>
      </c>
      <c r="J42" t="s">
        <v>8</v>
      </c>
      <c r="K42" s="16">
        <v>8000</v>
      </c>
    </row>
    <row r="43" spans="1:11" ht="15.75" thickBot="1" x14ac:dyDescent="0.3">
      <c r="A43" t="s">
        <v>13</v>
      </c>
      <c r="B43" s="19">
        <v>144972</v>
      </c>
      <c r="C43" s="195" t="s">
        <v>582</v>
      </c>
      <c r="F43" t="s">
        <v>13</v>
      </c>
      <c r="G43" s="15">
        <v>2.35</v>
      </c>
      <c r="H43" s="195" t="s">
        <v>583</v>
      </c>
      <c r="J43" t="s">
        <v>13</v>
      </c>
      <c r="K43" s="16">
        <v>2000</v>
      </c>
    </row>
    <row r="44" spans="1:11" ht="15.75" thickBot="1" x14ac:dyDescent="0.3">
      <c r="A44" t="s">
        <v>9</v>
      </c>
      <c r="B44" s="19">
        <v>22710</v>
      </c>
      <c r="C44" s="195" t="s">
        <v>584</v>
      </c>
      <c r="F44" t="s">
        <v>9</v>
      </c>
      <c r="G44" s="63">
        <v>0.01</v>
      </c>
      <c r="H44" s="195" t="s">
        <v>585</v>
      </c>
      <c r="J44" t="s">
        <v>9</v>
      </c>
      <c r="K44" s="16">
        <v>200</v>
      </c>
    </row>
    <row r="45" spans="1:11" ht="15.75" thickBot="1" x14ac:dyDescent="0.3">
      <c r="A45" t="s">
        <v>10</v>
      </c>
      <c r="B45" s="19">
        <v>42264</v>
      </c>
      <c r="C45" s="195" t="s">
        <v>586</v>
      </c>
      <c r="F45" t="s">
        <v>10</v>
      </c>
      <c r="G45" s="63">
        <v>0.02</v>
      </c>
      <c r="H45" s="195" t="s">
        <v>587</v>
      </c>
      <c r="J45" t="s">
        <v>10</v>
      </c>
      <c r="K45" s="16">
        <v>200</v>
      </c>
    </row>
    <row r="46" spans="1:11" ht="15.75" thickBot="1" x14ac:dyDescent="0.3">
      <c r="A46" t="s">
        <v>11</v>
      </c>
      <c r="B46" s="19">
        <v>63260</v>
      </c>
      <c r="C46" s="195" t="s">
        <v>588</v>
      </c>
      <c r="F46" t="s">
        <v>11</v>
      </c>
      <c r="G46" s="63">
        <v>0.03</v>
      </c>
      <c r="H46" s="195" t="s">
        <v>589</v>
      </c>
      <c r="J46" t="s">
        <v>11</v>
      </c>
      <c r="K46" s="16">
        <v>200</v>
      </c>
    </row>
    <row r="47" spans="1:11" x14ac:dyDescent="0.25">
      <c r="A47" t="s">
        <v>12</v>
      </c>
      <c r="B47" s="19">
        <v>0</v>
      </c>
      <c r="F47" t="s">
        <v>12</v>
      </c>
      <c r="G47" s="15">
        <v>0</v>
      </c>
      <c r="H47" s="4"/>
      <c r="J47" t="s">
        <v>12</v>
      </c>
      <c r="K47" s="16">
        <v>200</v>
      </c>
    </row>
    <row r="48" spans="1:11" x14ac:dyDescent="0.25">
      <c r="A48" t="s">
        <v>292</v>
      </c>
      <c r="B48" s="7">
        <v>20900</v>
      </c>
      <c r="C48" s="195" t="s">
        <v>590</v>
      </c>
      <c r="F48" t="s">
        <v>575</v>
      </c>
      <c r="J48" t="s">
        <v>367</v>
      </c>
      <c r="K48" s="16">
        <v>50</v>
      </c>
    </row>
    <row r="49" spans="1:15" x14ac:dyDescent="0.25">
      <c r="A49" t="s">
        <v>293</v>
      </c>
      <c r="B49" s="7">
        <v>32045</v>
      </c>
      <c r="C49" s="195" t="s">
        <v>591</v>
      </c>
      <c r="F49" t="s">
        <v>575</v>
      </c>
    </row>
    <row r="50" spans="1:15" x14ac:dyDescent="0.25">
      <c r="A50" t="s">
        <v>147</v>
      </c>
      <c r="B50" s="7">
        <v>17600</v>
      </c>
      <c r="C50" s="195" t="s">
        <v>592</v>
      </c>
      <c r="F50" t="s">
        <v>575</v>
      </c>
      <c r="K50" s="16"/>
    </row>
    <row r="51" spans="1:15" x14ac:dyDescent="0.25">
      <c r="A51" t="s">
        <v>277</v>
      </c>
      <c r="B51" s="7">
        <f>22.18*1000</f>
        <v>22180</v>
      </c>
      <c r="C51" t="s">
        <v>294</v>
      </c>
      <c r="F51" t="s">
        <v>575</v>
      </c>
      <c r="K51" s="16"/>
    </row>
    <row r="52" spans="1:15" x14ac:dyDescent="0.25">
      <c r="K52" s="16"/>
    </row>
    <row r="53" spans="1:15" x14ac:dyDescent="0.25">
      <c r="A53" s="9" t="s">
        <v>63</v>
      </c>
      <c r="B53" s="9"/>
      <c r="F53" s="9" t="s">
        <v>94</v>
      </c>
      <c r="G53" s="3"/>
      <c r="H53" s="3"/>
      <c r="J53" s="9" t="s">
        <v>446</v>
      </c>
      <c r="K53" s="9"/>
    </row>
    <row r="54" spans="1:15" x14ac:dyDescent="0.25">
      <c r="A54" t="s">
        <v>7</v>
      </c>
      <c r="B54">
        <v>8.4700000000000006</v>
      </c>
      <c r="C54" s="195" t="s">
        <v>593</v>
      </c>
      <c r="F54" t="s">
        <v>575</v>
      </c>
      <c r="G54" t="s">
        <v>95</v>
      </c>
      <c r="H54" t="s">
        <v>96</v>
      </c>
      <c r="K54" t="s">
        <v>541</v>
      </c>
      <c r="L54" t="s">
        <v>542</v>
      </c>
    </row>
    <row r="55" spans="1:15" x14ac:dyDescent="0.25">
      <c r="A55" t="s">
        <v>8</v>
      </c>
      <c r="B55">
        <v>6.36</v>
      </c>
      <c r="C55" s="195" t="s">
        <v>594</v>
      </c>
      <c r="F55" t="s">
        <v>7</v>
      </c>
      <c r="G55">
        <v>0.54</v>
      </c>
      <c r="H55">
        <v>0.85</v>
      </c>
      <c r="I55" s="65" t="s">
        <v>595</v>
      </c>
      <c r="J55" t="s">
        <v>292</v>
      </c>
      <c r="K55">
        <v>0.12</v>
      </c>
      <c r="L55">
        <v>0.3</v>
      </c>
      <c r="M55" s="65" t="s">
        <v>596</v>
      </c>
      <c r="O55" t="s">
        <v>575</v>
      </c>
    </row>
    <row r="56" spans="1:15" x14ac:dyDescent="0.25">
      <c r="A56" t="s">
        <v>13</v>
      </c>
      <c r="B56">
        <v>10.46</v>
      </c>
      <c r="C56" s="195" t="s">
        <v>597</v>
      </c>
      <c r="F56" t="s">
        <v>8</v>
      </c>
      <c r="G56">
        <v>0.55000000000000004</v>
      </c>
      <c r="H56">
        <v>0.87</v>
      </c>
      <c r="I56" s="65" t="s">
        <v>598</v>
      </c>
      <c r="J56" t="s">
        <v>293</v>
      </c>
      <c r="K56">
        <v>0.16700000000000001</v>
      </c>
      <c r="L56">
        <f>K56</f>
        <v>0.16700000000000001</v>
      </c>
      <c r="M56" s="195" t="s">
        <v>599</v>
      </c>
      <c r="O56" t="s">
        <v>575</v>
      </c>
    </row>
    <row r="57" spans="1:15" x14ac:dyDescent="0.25">
      <c r="A57" t="s">
        <v>9</v>
      </c>
      <c r="B57">
        <v>0</v>
      </c>
      <c r="C57" s="117" t="s">
        <v>295</v>
      </c>
      <c r="F57" t="s">
        <v>13</v>
      </c>
      <c r="G57">
        <v>0.93400000000000005</v>
      </c>
      <c r="H57">
        <v>0.93400000000000005</v>
      </c>
      <c r="I57" s="195" t="s">
        <v>600</v>
      </c>
      <c r="J57" t="s">
        <v>147</v>
      </c>
      <c r="K57">
        <v>0.25</v>
      </c>
      <c r="L57">
        <f>K57</f>
        <v>0.25</v>
      </c>
      <c r="M57" s="196" t="s">
        <v>601</v>
      </c>
      <c r="O57" t="s">
        <v>575</v>
      </c>
    </row>
    <row r="58" spans="1:15" x14ac:dyDescent="0.25">
      <c r="A58" t="s">
        <v>10</v>
      </c>
      <c r="B58">
        <v>0</v>
      </c>
      <c r="C58" s="117" t="s">
        <v>295</v>
      </c>
      <c r="F58" t="s">
        <v>9</v>
      </c>
      <c r="G58">
        <v>0.25779999999999997</v>
      </c>
      <c r="H58">
        <f>G58</f>
        <v>0.25779999999999997</v>
      </c>
      <c r="I58" s="195" t="s">
        <v>602</v>
      </c>
      <c r="J58" t="s">
        <v>277</v>
      </c>
      <c r="K58">
        <v>0.05</v>
      </c>
      <c r="L58">
        <v>1</v>
      </c>
    </row>
    <row r="59" spans="1:15" x14ac:dyDescent="0.25">
      <c r="A59" t="s">
        <v>11</v>
      </c>
      <c r="B59">
        <v>0</v>
      </c>
      <c r="C59" s="117" t="s">
        <v>295</v>
      </c>
      <c r="F59" t="s">
        <v>10</v>
      </c>
      <c r="G59">
        <v>0.43719999999999998</v>
      </c>
      <c r="H59">
        <f>G59</f>
        <v>0.43719999999999998</v>
      </c>
      <c r="I59" s="195" t="s">
        <v>603</v>
      </c>
      <c r="J59" t="s">
        <v>575</v>
      </c>
    </row>
    <row r="60" spans="1:15" x14ac:dyDescent="0.25">
      <c r="A60" t="s">
        <v>12</v>
      </c>
      <c r="B60">
        <v>0</v>
      </c>
      <c r="C60" s="117" t="s">
        <v>295</v>
      </c>
      <c r="F60" t="s">
        <v>11</v>
      </c>
      <c r="G60">
        <v>0.34320000000000001</v>
      </c>
      <c r="H60">
        <f>G60</f>
        <v>0.34320000000000001</v>
      </c>
      <c r="I60" s="195" t="s">
        <v>604</v>
      </c>
      <c r="J60" t="s">
        <v>575</v>
      </c>
    </row>
    <row r="61" spans="1:15" x14ac:dyDescent="0.25">
      <c r="F61" t="s">
        <v>12</v>
      </c>
      <c r="G61">
        <v>1</v>
      </c>
      <c r="H61">
        <v>1</v>
      </c>
      <c r="J61" t="s">
        <v>575</v>
      </c>
    </row>
    <row r="62" spans="1:15" x14ac:dyDescent="0.25">
      <c r="F62" t="s">
        <v>367</v>
      </c>
      <c r="G62">
        <v>0.15229999999999999</v>
      </c>
      <c r="H62">
        <f>G62</f>
        <v>0.15229999999999999</v>
      </c>
      <c r="I62" s="195" t="s">
        <v>605</v>
      </c>
      <c r="J62" t="s">
        <v>575</v>
      </c>
    </row>
    <row r="66" spans="1:13" ht="18.75" x14ac:dyDescent="0.3">
      <c r="A66" s="20" t="s">
        <v>61</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87</v>
      </c>
      <c r="B72" s="21"/>
      <c r="C72" s="21"/>
    </row>
    <row r="73" spans="1:13" ht="15.75" thickBot="1" x14ac:dyDescent="0.3">
      <c r="A73" s="42" t="s">
        <v>88</v>
      </c>
      <c r="B73" s="48">
        <v>0.02</v>
      </c>
      <c r="C73" t="s">
        <v>100</v>
      </c>
    </row>
    <row r="74" spans="1:13" x14ac:dyDescent="0.25">
      <c r="A74" s="43" t="s">
        <v>90</v>
      </c>
      <c r="B74" s="18">
        <v>0.15</v>
      </c>
      <c r="C74" t="s">
        <v>91</v>
      </c>
    </row>
    <row r="75" spans="1:13" ht="15.75" thickBot="1" x14ac:dyDescent="0.3">
      <c r="A75" s="43" t="s">
        <v>89</v>
      </c>
      <c r="B75" s="44">
        <v>0.7</v>
      </c>
    </row>
    <row r="76" spans="1:13" ht="15.75" thickBot="1" x14ac:dyDescent="0.3">
      <c r="A76" t="s">
        <v>222</v>
      </c>
      <c r="B76" s="48">
        <v>0.05</v>
      </c>
      <c r="C76" t="s">
        <v>223</v>
      </c>
    </row>
    <row r="77" spans="1:13" ht="15.75" thickBot="1" x14ac:dyDescent="0.3">
      <c r="A77" t="s">
        <v>228</v>
      </c>
      <c r="B77" s="82">
        <v>5.8000000000000003E-2</v>
      </c>
      <c r="C77" s="65" t="s">
        <v>227</v>
      </c>
    </row>
    <row r="78" spans="1:13" ht="15.75" thickBot="1" x14ac:dyDescent="0.3">
      <c r="A78" t="s">
        <v>358</v>
      </c>
      <c r="B78" s="114">
        <v>0.03</v>
      </c>
      <c r="C78" t="s">
        <v>226</v>
      </c>
    </row>
    <row r="80" spans="1:13" ht="18.75" x14ac:dyDescent="0.3">
      <c r="A80" s="20" t="s">
        <v>76</v>
      </c>
      <c r="B80" s="20"/>
      <c r="C80" s="20"/>
      <c r="D80" s="20"/>
      <c r="E80" s="20"/>
      <c r="F80" s="20"/>
      <c r="G80" s="20"/>
      <c r="H80" s="20"/>
      <c r="I80" s="20"/>
      <c r="J80" s="20"/>
      <c r="K80" s="20"/>
      <c r="L80" s="21"/>
    </row>
    <row r="81" spans="1:12" x14ac:dyDescent="0.25">
      <c r="A81" s="9" t="s">
        <v>229</v>
      </c>
      <c r="B81" s="9">
        <v>0</v>
      </c>
      <c r="C81" s="9">
        <v>1</v>
      </c>
      <c r="D81" s="9">
        <v>2</v>
      </c>
      <c r="E81" s="9">
        <v>3</v>
      </c>
      <c r="F81" s="9">
        <v>4</v>
      </c>
      <c r="G81" s="9">
        <v>5</v>
      </c>
      <c r="H81" s="9">
        <v>6</v>
      </c>
      <c r="I81" s="9">
        <v>7</v>
      </c>
      <c r="J81" s="9">
        <v>8</v>
      </c>
      <c r="K81" s="9">
        <v>9</v>
      </c>
      <c r="L81" s="9">
        <v>10</v>
      </c>
    </row>
    <row r="82" spans="1:12" x14ac:dyDescent="0.25">
      <c r="A82" t="s">
        <v>230</v>
      </c>
      <c r="B82" s="16">
        <v>5000000</v>
      </c>
      <c r="C82" s="16">
        <v>5000000</v>
      </c>
      <c r="D82" s="16">
        <v>5000000</v>
      </c>
      <c r="E82" s="16">
        <v>5000000</v>
      </c>
      <c r="F82" s="16">
        <v>5000000</v>
      </c>
      <c r="G82" s="16">
        <v>5000000</v>
      </c>
      <c r="H82" s="16">
        <v>5000000</v>
      </c>
      <c r="I82" s="16">
        <v>5000000</v>
      </c>
      <c r="J82" s="16">
        <v>5000000</v>
      </c>
      <c r="K82" s="16">
        <v>5000000</v>
      </c>
      <c r="L82" s="16">
        <v>5000000</v>
      </c>
    </row>
    <row r="83" spans="1:12" x14ac:dyDescent="0.25">
      <c r="A83" s="16"/>
      <c r="B83" s="16"/>
      <c r="C83" s="16"/>
      <c r="D83" s="16"/>
      <c r="E83" s="16"/>
      <c r="F83" s="16"/>
      <c r="G83" s="16"/>
      <c r="H83" s="16"/>
      <c r="I83" s="16"/>
      <c r="J83" s="16"/>
      <c r="K83" s="16"/>
    </row>
    <row r="84" spans="1:12" x14ac:dyDescent="0.25">
      <c r="A84" s="83" t="s">
        <v>234</v>
      </c>
      <c r="B84" s="83">
        <v>2010</v>
      </c>
      <c r="C84" s="83">
        <v>2011</v>
      </c>
      <c r="D84" s="83">
        <v>2012</v>
      </c>
      <c r="E84" s="83">
        <v>2013</v>
      </c>
      <c r="F84" s="83">
        <v>2014</v>
      </c>
      <c r="G84" s="16"/>
      <c r="H84" s="16"/>
      <c r="I84" s="16"/>
      <c r="J84" s="16"/>
      <c r="K84" s="16"/>
    </row>
    <row r="85" spans="1:12" x14ac:dyDescent="0.25">
      <c r="A85" s="16" t="s">
        <v>231</v>
      </c>
      <c r="B85" s="16">
        <v>1445708</v>
      </c>
      <c r="C85" s="16">
        <v>1422801</v>
      </c>
      <c r="D85" s="16">
        <v>1374515</v>
      </c>
      <c r="E85" s="16">
        <v>1394812</v>
      </c>
      <c r="F85" s="16">
        <v>1407208</v>
      </c>
      <c r="G85" s="16"/>
      <c r="H85" s="16"/>
      <c r="I85" s="16"/>
      <c r="J85" s="16"/>
      <c r="K85" s="16"/>
    </row>
    <row r="86" spans="1:12" x14ac:dyDescent="0.25">
      <c r="A86" s="16" t="s">
        <v>232</v>
      </c>
      <c r="B86" s="16">
        <v>1330199</v>
      </c>
      <c r="C86" s="16">
        <v>1328057</v>
      </c>
      <c r="D86" s="16">
        <v>1327101</v>
      </c>
      <c r="E86" s="16">
        <v>1337079</v>
      </c>
      <c r="F86" s="16">
        <v>1352158</v>
      </c>
      <c r="G86" s="16"/>
      <c r="H86" s="16"/>
      <c r="I86" s="16"/>
      <c r="J86" s="16"/>
      <c r="K86" s="16"/>
    </row>
    <row r="87" spans="1:12" x14ac:dyDescent="0.25">
      <c r="A87" s="16" t="s">
        <v>233</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3" t="s">
        <v>235</v>
      </c>
      <c r="B89" s="83">
        <v>2010</v>
      </c>
      <c r="C89" s="83">
        <v>2011</v>
      </c>
      <c r="D89" s="83">
        <v>2012</v>
      </c>
      <c r="E89" s="83">
        <v>2013</v>
      </c>
      <c r="F89" s="83">
        <v>2014</v>
      </c>
      <c r="G89" s="83" t="s">
        <v>95</v>
      </c>
      <c r="H89" s="16"/>
      <c r="I89" s="16"/>
      <c r="J89" s="16"/>
      <c r="K89" s="16"/>
    </row>
    <row r="90" spans="1:12" x14ac:dyDescent="0.25">
      <c r="A90" s="16" t="s">
        <v>231</v>
      </c>
      <c r="B90" s="5">
        <f>B85/SUM(B$85:B$87)</f>
        <v>0.38581761818651511</v>
      </c>
      <c r="C90" s="5">
        <f>C85/SUM(C$85:C$87)</f>
        <v>0.38020706680127647</v>
      </c>
      <c r="D90" s="5">
        <f>D85/SUM(D$85:D$87)</f>
        <v>0.37276701569970683</v>
      </c>
      <c r="E90" s="5">
        <f>E85/SUM(E$85:E$87)</f>
        <v>0.37522755439986033</v>
      </c>
      <c r="F90" s="5">
        <f>F85/SUM(F$85:F$87)</f>
        <v>0.37456207734907804</v>
      </c>
      <c r="G90" s="5">
        <f>AVERAGE(B90:F90)</f>
        <v>0.3777162664872874</v>
      </c>
      <c r="H90" s="16"/>
      <c r="I90" s="16"/>
      <c r="J90" s="16"/>
      <c r="K90" s="16"/>
    </row>
    <row r="91" spans="1:12" x14ac:dyDescent="0.25">
      <c r="A91" s="16" t="s">
        <v>232</v>
      </c>
      <c r="B91" s="5">
        <f t="shared" ref="B91:F92" si="0">B86/SUM(B$85:B$87)</f>
        <v>0.35499160957405246</v>
      </c>
      <c r="C91" s="5">
        <f t="shared" si="0"/>
        <v>0.35488916335798387</v>
      </c>
      <c r="D91" s="5">
        <f t="shared" si="0"/>
        <v>0.35990838899691646</v>
      </c>
      <c r="E91" s="5">
        <f t="shared" si="0"/>
        <v>0.35969642016946429</v>
      </c>
      <c r="F91" s="5">
        <f t="shared" si="0"/>
        <v>0.3599092027505349</v>
      </c>
      <c r="G91" s="5">
        <f>AVERAGE(B91:F91)</f>
        <v>0.35787895696979038</v>
      </c>
      <c r="H91" s="16"/>
      <c r="I91" s="16"/>
      <c r="J91" s="16"/>
      <c r="K91" s="16"/>
    </row>
    <row r="92" spans="1:12" x14ac:dyDescent="0.25">
      <c r="A92" s="16" t="s">
        <v>233</v>
      </c>
      <c r="B92" s="5">
        <f t="shared" si="0"/>
        <v>0.25919077223943243</v>
      </c>
      <c r="C92" s="5">
        <f t="shared" si="0"/>
        <v>0.26490376984073966</v>
      </c>
      <c r="D92" s="5">
        <f t="shared" si="0"/>
        <v>0.26732459530337671</v>
      </c>
      <c r="E92" s="5">
        <f t="shared" si="0"/>
        <v>0.26507602543067538</v>
      </c>
      <c r="F92" s="5">
        <f t="shared" si="0"/>
        <v>0.26552871990038707</v>
      </c>
      <c r="G92" s="5">
        <f>AVERAGE(B92:F92)</f>
        <v>0.26440477654292227</v>
      </c>
      <c r="H92" s="16"/>
      <c r="I92" s="16"/>
      <c r="J92" s="16"/>
      <c r="K92" s="16"/>
    </row>
    <row r="93" spans="1:12" x14ac:dyDescent="0.25">
      <c r="A93" s="16" t="s">
        <v>242</v>
      </c>
      <c r="B93" s="5">
        <f>SUM(B85:B86)/SUM(B85:B87)</f>
        <v>0.74080922776056757</v>
      </c>
      <c r="C93" s="5">
        <f>SUM(C85:C86)/SUM(C85:C87)</f>
        <v>0.7350962301592604</v>
      </c>
      <c r="D93" s="5">
        <f>SUM(D85:D86)/SUM(D85:D87)</f>
        <v>0.73267540469662329</v>
      </c>
      <c r="E93" s="5">
        <f>SUM(E85:E86)/SUM(E85:E87)</f>
        <v>0.73492397456932468</v>
      </c>
      <c r="F93" s="5">
        <f>SUM(F85:F86)/SUM(F85:F87)</f>
        <v>0.73447128009961293</v>
      </c>
      <c r="G93" s="5">
        <f>AVERAGE(B93:F93)</f>
        <v>0.73559522345707773</v>
      </c>
    </row>
    <row r="95" spans="1:12" ht="18.75" x14ac:dyDescent="0.3">
      <c r="A95" s="20" t="s">
        <v>134</v>
      </c>
      <c r="B95" s="20"/>
      <c r="C95" s="20"/>
      <c r="D95" s="20"/>
      <c r="E95" s="20"/>
      <c r="F95" s="20"/>
      <c r="G95" s="20"/>
      <c r="H95" s="20"/>
      <c r="I95" s="20"/>
      <c r="J95" s="20"/>
      <c r="K95" s="20"/>
    </row>
    <row r="96" spans="1:12" x14ac:dyDescent="0.25">
      <c r="A96" s="9" t="s">
        <v>135</v>
      </c>
      <c r="B96" s="9"/>
      <c r="C96" s="3"/>
    </row>
    <row r="97" spans="1:3" x14ac:dyDescent="0.25">
      <c r="A97" t="s">
        <v>136</v>
      </c>
      <c r="B97">
        <v>7.7837837837837833</v>
      </c>
      <c r="C97" s="65" t="s">
        <v>142</v>
      </c>
    </row>
    <row r="98" spans="1:3" x14ac:dyDescent="0.25">
      <c r="A98" t="s">
        <v>137</v>
      </c>
      <c r="B98">
        <v>7.7837837837837833</v>
      </c>
      <c r="C98" s="65" t="s">
        <v>142</v>
      </c>
    </row>
    <row r="99" spans="1:3" x14ac:dyDescent="0.25">
      <c r="A99" t="s">
        <v>138</v>
      </c>
      <c r="B99">
        <v>4.7058823529411766</v>
      </c>
      <c r="C99" s="65" t="s">
        <v>142</v>
      </c>
    </row>
    <row r="100" spans="1:3" x14ac:dyDescent="0.25">
      <c r="A100" t="s">
        <v>139</v>
      </c>
      <c r="B100">
        <v>3.2505643340857793</v>
      </c>
      <c r="C100" s="65" t="s">
        <v>142</v>
      </c>
    </row>
    <row r="101" spans="1:3" x14ac:dyDescent="0.25">
      <c r="A101" t="s">
        <v>140</v>
      </c>
      <c r="B101">
        <v>3.9782233435134779</v>
      </c>
      <c r="C101" s="65" t="s">
        <v>142</v>
      </c>
    </row>
    <row r="102" spans="1:3" x14ac:dyDescent="0.25">
      <c r="A102" t="s">
        <v>141</v>
      </c>
      <c r="B102">
        <v>1.6666666666666665</v>
      </c>
      <c r="C102" s="65" t="s">
        <v>142</v>
      </c>
    </row>
    <row r="104" spans="1:3" x14ac:dyDescent="0.25">
      <c r="A104" s="9" t="s">
        <v>143</v>
      </c>
      <c r="B104" s="9"/>
    </row>
    <row r="105" spans="1:3" x14ac:dyDescent="0.25">
      <c r="A105" t="s">
        <v>144</v>
      </c>
      <c r="B105">
        <v>0.186</v>
      </c>
      <c r="C105" t="s">
        <v>145</v>
      </c>
    </row>
    <row r="107" spans="1:3" x14ac:dyDescent="0.25">
      <c r="A107" s="9" t="s">
        <v>152</v>
      </c>
      <c r="B107" s="9"/>
    </row>
    <row r="108" spans="1:3" x14ac:dyDescent="0.25">
      <c r="A108" t="s">
        <v>153</v>
      </c>
      <c r="B108">
        <v>5000</v>
      </c>
      <c r="C108" t="s">
        <v>154</v>
      </c>
    </row>
    <row r="110" spans="1:3" x14ac:dyDescent="0.25">
      <c r="A110" s="9" t="s">
        <v>170</v>
      </c>
      <c r="B110" s="3"/>
    </row>
    <row r="111" spans="1:3" x14ac:dyDescent="0.25">
      <c r="A111" t="s">
        <v>171</v>
      </c>
      <c r="B111" s="7">
        <f>AVERAGE(959700,1536400/2,1343800,2150300/2,1919450,3071750/2)</f>
        <v>1267029.1666666667</v>
      </c>
      <c r="C111" t="s">
        <v>175</v>
      </c>
    </row>
    <row r="113" spans="1:3" x14ac:dyDescent="0.25">
      <c r="A113" s="9" t="s">
        <v>172</v>
      </c>
      <c r="B113" s="3"/>
    </row>
    <row r="114" spans="1:3" x14ac:dyDescent="0.25">
      <c r="A114" t="s">
        <v>173</v>
      </c>
      <c r="B114">
        <v>40</v>
      </c>
      <c r="C114" t="s">
        <v>174</v>
      </c>
    </row>
    <row r="116" spans="1:3" x14ac:dyDescent="0.25">
      <c r="A116" s="9" t="s">
        <v>214</v>
      </c>
      <c r="B116" s="3"/>
    </row>
    <row r="117" spans="1:3" x14ac:dyDescent="0.25">
      <c r="A117" t="s">
        <v>209</v>
      </c>
      <c r="B117" s="7">
        <f>(1282+24640+15517+30990)*10^3/12156</f>
        <v>5958.2922013820335</v>
      </c>
      <c r="C117" s="65" t="s">
        <v>212</v>
      </c>
    </row>
    <row r="119" spans="1:3" x14ac:dyDescent="0.25">
      <c r="A119" s="9" t="s">
        <v>215</v>
      </c>
      <c r="B119" s="3"/>
    </row>
    <row r="120" spans="1:3" x14ac:dyDescent="0.25">
      <c r="A120" t="s">
        <v>344</v>
      </c>
      <c r="B120" s="7">
        <v>424</v>
      </c>
      <c r="C120" s="65" t="s">
        <v>343</v>
      </c>
    </row>
    <row r="121" spans="1:3" x14ac:dyDescent="0.25">
      <c r="A121" t="s">
        <v>345</v>
      </c>
      <c r="B121" s="7">
        <v>7671</v>
      </c>
      <c r="C121" s="65" t="s">
        <v>346</v>
      </c>
    </row>
    <row r="123" spans="1:3" x14ac:dyDescent="0.25">
      <c r="A123" s="9" t="s">
        <v>217</v>
      </c>
      <c r="B123" s="9"/>
    </row>
    <row r="124" spans="1:3" x14ac:dyDescent="0.25">
      <c r="A124" t="s">
        <v>218</v>
      </c>
      <c r="B124">
        <v>1000</v>
      </c>
    </row>
    <row r="126" spans="1:3" x14ac:dyDescent="0.25">
      <c r="A126" s="9" t="s">
        <v>240</v>
      </c>
      <c r="B126" s="9"/>
    </row>
    <row r="127" spans="1:3" x14ac:dyDescent="0.25">
      <c r="A127" t="s">
        <v>241</v>
      </c>
      <c r="B127">
        <v>1.05</v>
      </c>
    </row>
    <row r="129" spans="1:12" ht="15.75" thickBot="1" x14ac:dyDescent="0.3">
      <c r="A129" s="9" t="s">
        <v>281</v>
      </c>
      <c r="B129" s="9"/>
    </row>
    <row r="130" spans="1:12" ht="15.75" thickBot="1" x14ac:dyDescent="0.3">
      <c r="B130" s="101">
        <v>1.1000000000000001</v>
      </c>
      <c r="C130" t="s">
        <v>226</v>
      </c>
    </row>
    <row r="132" spans="1:12" x14ac:dyDescent="0.25">
      <c r="A132" s="9" t="s">
        <v>324</v>
      </c>
      <c r="B132" s="9"/>
    </row>
    <row r="133" spans="1:12" x14ac:dyDescent="0.25">
      <c r="B133">
        <v>287</v>
      </c>
      <c r="C133" t="s">
        <v>357</v>
      </c>
    </row>
    <row r="134" spans="1:12" x14ac:dyDescent="0.25">
      <c r="A134" s="9" t="s">
        <v>347</v>
      </c>
      <c r="B134" s="3"/>
    </row>
    <row r="135" spans="1:12" x14ac:dyDescent="0.25">
      <c r="A135" t="s">
        <v>339</v>
      </c>
      <c r="B135" s="7">
        <v>94919</v>
      </c>
      <c r="C135" s="65" t="s">
        <v>348</v>
      </c>
    </row>
    <row r="136" spans="1:12" x14ac:dyDescent="0.25">
      <c r="A136" t="s">
        <v>340</v>
      </c>
      <c r="B136" s="7">
        <v>589524</v>
      </c>
      <c r="C136" s="65" t="s">
        <v>349</v>
      </c>
    </row>
    <row r="138" spans="1:12" x14ac:dyDescent="0.25">
      <c r="A138" s="9" t="s">
        <v>350</v>
      </c>
      <c r="B138" s="9"/>
    </row>
    <row r="139" spans="1:12" x14ac:dyDescent="0.25">
      <c r="A139" t="s">
        <v>351</v>
      </c>
      <c r="B139" s="7">
        <v>43063</v>
      </c>
      <c r="C139" s="65" t="s">
        <v>341</v>
      </c>
    </row>
    <row r="140" spans="1:12" x14ac:dyDescent="0.25">
      <c r="A140" t="s">
        <v>340</v>
      </c>
      <c r="B140" s="7">
        <v>237644</v>
      </c>
      <c r="C140" s="65" t="s">
        <v>342</v>
      </c>
    </row>
    <row r="142" spans="1:12" ht="18.75" x14ac:dyDescent="0.3">
      <c r="A142" s="242" t="s">
        <v>371</v>
      </c>
      <c r="B142" s="242"/>
      <c r="C142" s="242"/>
      <c r="D142" s="242"/>
      <c r="E142" s="242"/>
      <c r="F142" s="242"/>
      <c r="G142" s="242"/>
      <c r="H142" s="242"/>
      <c r="I142" s="242"/>
      <c r="J142" s="242"/>
      <c r="K142" s="242"/>
      <c r="L142" s="242"/>
    </row>
    <row r="143" spans="1:12" x14ac:dyDescent="0.25">
      <c r="A143" s="9" t="s">
        <v>377</v>
      </c>
      <c r="B143" s="9">
        <v>0</v>
      </c>
      <c r="C143" s="9">
        <v>1</v>
      </c>
      <c r="D143" s="9">
        <v>2</v>
      </c>
      <c r="E143" s="9">
        <v>3</v>
      </c>
      <c r="F143" s="9">
        <v>4</v>
      </c>
      <c r="G143" s="9">
        <v>5</v>
      </c>
      <c r="H143" s="9">
        <v>6</v>
      </c>
      <c r="I143" s="9">
        <v>7</v>
      </c>
      <c r="J143" s="9">
        <v>8</v>
      </c>
      <c r="K143" s="9">
        <v>9</v>
      </c>
      <c r="L143" s="9">
        <v>10</v>
      </c>
    </row>
    <row r="144" spans="1:12" x14ac:dyDescent="0.25">
      <c r="A144" t="s">
        <v>7</v>
      </c>
      <c r="B144" s="84">
        <v>0</v>
      </c>
      <c r="C144"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Assumptions'!$B170,'Game Assumptions'!$C170)</f>
        <v>0</v>
      </c>
      <c r="D144"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Assumptions'!$B170,'Game Assumptions'!$C170)</f>
        <v>0</v>
      </c>
      <c r="E144"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Assumptions'!$B170,'Game Assumptions'!$C170)</f>
        <v>0</v>
      </c>
      <c r="F144"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Assumptions'!$B170,'Game Assumptions'!$C170)</f>
        <v>0</v>
      </c>
      <c r="G144"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Assumptions'!$B170,'Game Assumptions'!$C170)</f>
        <v>0</v>
      </c>
      <c r="H144"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Assumptions'!$B170,'Game Assumptions'!$C170)</f>
        <v>0</v>
      </c>
      <c r="I144"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Assumptions'!$B170,'Game Assumptions'!$C170)</f>
        <v>0</v>
      </c>
      <c r="J144"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Assumptions'!$B170,'Game Assumptions'!$C170)</f>
        <v>0</v>
      </c>
      <c r="K144"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Assumptions'!$B170,'Game Assumptions'!$C170)</f>
        <v>0</v>
      </c>
      <c r="L144"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Assumptions'!$B170,'Game Assumptions'!$C170)</f>
        <v>0</v>
      </c>
    </row>
    <row r="145" spans="1:12" x14ac:dyDescent="0.25">
      <c r="A145" t="s">
        <v>8</v>
      </c>
      <c r="B145" s="84">
        <v>0</v>
      </c>
      <c r="C145"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Assumptions'!$B171,'Game Assumptions'!$C171)</f>
        <v>0</v>
      </c>
      <c r="D145"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Assumptions'!$B171,'Game Assumptions'!$C171)</f>
        <v>147.26311045895108</v>
      </c>
      <c r="E145"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Assumptions'!$B171,'Game Assumptions'!$C171)</f>
        <v>604.60132707912749</v>
      </c>
      <c r="F145"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Assumptions'!$B171,'Game Assumptions'!$C171)</f>
        <v>147.36447835066426</v>
      </c>
      <c r="G145"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Assumptions'!$B171,'Game Assumptions'!$C171)</f>
        <v>143.29889912886557</v>
      </c>
      <c r="H145"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Assumptions'!$B171,'Game Assumptions'!$C171)</f>
        <v>145.91293166643297</v>
      </c>
      <c r="I145"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Assumptions'!$B171,'Game Assumptions'!$C171)</f>
        <v>148.8385011042657</v>
      </c>
      <c r="J145"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Assumptions'!$B171,'Game Assumptions'!$C171)</f>
        <v>192.65479764304806</v>
      </c>
      <c r="K145"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Assumptions'!$B171,'Game Assumptions'!$C171)</f>
        <v>230.56634499500865</v>
      </c>
      <c r="L145"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Assumptions'!$B171,'Game Assumptions'!$C171)</f>
        <v>246.6676776023744</v>
      </c>
    </row>
    <row r="146" spans="1:12" x14ac:dyDescent="0.25">
      <c r="A146" t="s">
        <v>13</v>
      </c>
      <c r="B146" s="84">
        <v>0</v>
      </c>
      <c r="C146"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Assumptions'!$B172,'Game Assumptions'!$C172)</f>
        <v>0</v>
      </c>
      <c r="D146"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Assumptions'!$B172,'Game Assumptions'!$C172)</f>
        <v>0</v>
      </c>
      <c r="E146"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Assumptions'!$B172,'Game Assumptions'!$C172)</f>
        <v>0</v>
      </c>
      <c r="F146"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Assumptions'!$B172,'Game Assumptions'!$C172)</f>
        <v>0</v>
      </c>
      <c r="G146"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Assumptions'!$B172,'Game Assumptions'!$C172)</f>
        <v>0</v>
      </c>
      <c r="H146"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Assumptions'!$B172,'Game Assumptions'!$C172)</f>
        <v>0</v>
      </c>
      <c r="I146"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Assumptions'!$B172,'Game Assumptions'!$C172)</f>
        <v>0</v>
      </c>
      <c r="J146"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Assumptions'!$B172,'Game Assumptions'!$C172)</f>
        <v>0</v>
      </c>
      <c r="K146"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Assumptions'!$B172,'Game Assumptions'!$C172)</f>
        <v>0</v>
      </c>
      <c r="L146"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Assumptions'!$B172,'Game Assumptions'!$C172)</f>
        <v>0</v>
      </c>
    </row>
    <row r="147" spans="1:12" x14ac:dyDescent="0.25">
      <c r="A147" t="s">
        <v>9</v>
      </c>
      <c r="B147" s="84">
        <v>0</v>
      </c>
      <c r="C147"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Assumptions'!$B173,'Game Assumptions'!$C173)</f>
        <v>0</v>
      </c>
      <c r="D147"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Assumptions'!$B173,'Game Assumptions'!$C173)</f>
        <v>73.631555229475538</v>
      </c>
      <c r="E147"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Assumptions'!$B173,'Game Assumptions'!$C173)</f>
        <v>302.30066353956374</v>
      </c>
      <c r="F147"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Assumptions'!$B173,'Game Assumptions'!$C173)</f>
        <v>73.682239175332128</v>
      </c>
      <c r="G147"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Assumptions'!$B173,'Game Assumptions'!$C173)</f>
        <v>71.649449564432786</v>
      </c>
      <c r="H147"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Assumptions'!$B173,'Game Assumptions'!$C173)</f>
        <v>72.956465833216484</v>
      </c>
      <c r="I147"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Assumptions'!$B173,'Game Assumptions'!$C173)</f>
        <v>74.419250552132851</v>
      </c>
      <c r="J147"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Assumptions'!$B173,'Game Assumptions'!$C173)</f>
        <v>96.327398821524028</v>
      </c>
      <c r="K147"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Assumptions'!$B173,'Game Assumptions'!$C173)</f>
        <v>115.28317249750432</v>
      </c>
      <c r="L147"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Assumptions'!$B173,'Game Assumptions'!$C173)</f>
        <v>123.3338388011872</v>
      </c>
    </row>
    <row r="148" spans="1:12" x14ac:dyDescent="0.25">
      <c r="A148" t="s">
        <v>10</v>
      </c>
      <c r="B148" s="84">
        <v>0</v>
      </c>
      <c r="C148"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Assumptions'!$B174,'Game Assumptions'!$C174)</f>
        <v>0</v>
      </c>
      <c r="D148"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Assumptions'!$B174,'Game Assumptions'!$C174)</f>
        <v>73.631555229475538</v>
      </c>
      <c r="E148"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Assumptions'!$B174,'Game Assumptions'!$C174)</f>
        <v>302.30066353956374</v>
      </c>
      <c r="F148"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Assumptions'!$B174,'Game Assumptions'!$C174)</f>
        <v>73.682239175332128</v>
      </c>
      <c r="G148"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Assumptions'!$B174,'Game Assumptions'!$C174)</f>
        <v>71.649449564432786</v>
      </c>
      <c r="H148"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Assumptions'!$B174,'Game Assumptions'!$C174)</f>
        <v>72.956465833216484</v>
      </c>
      <c r="I148"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Assumptions'!$B174,'Game Assumptions'!$C174)</f>
        <v>74.419250552132851</v>
      </c>
      <c r="J148"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Assumptions'!$B174,'Game Assumptions'!$C174)</f>
        <v>96.327398821524028</v>
      </c>
      <c r="K148"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Assumptions'!$B174,'Game Assumptions'!$C174)</f>
        <v>115.28317249750432</v>
      </c>
      <c r="L148"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Assumptions'!$B174,'Game Assumptions'!$C174)</f>
        <v>123.3338388011872</v>
      </c>
    </row>
    <row r="149" spans="1:12" x14ac:dyDescent="0.25">
      <c r="A149" t="s">
        <v>11</v>
      </c>
      <c r="B149" s="84">
        <v>0</v>
      </c>
      <c r="C149"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Assumptions'!$B175,'Game Assumptions'!$C175)</f>
        <v>0</v>
      </c>
      <c r="D149"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Assumptions'!$B175,'Game Assumptions'!$C175)</f>
        <v>0</v>
      </c>
      <c r="E149"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Assumptions'!$B175,'Game Assumptions'!$C175)</f>
        <v>0</v>
      </c>
      <c r="F149"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Assumptions'!$B175,'Game Assumptions'!$C175)</f>
        <v>0</v>
      </c>
      <c r="G149"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Assumptions'!$B175,'Game Assumptions'!$C175)</f>
        <v>0</v>
      </c>
      <c r="H149"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Assumptions'!$B175,'Game Assumptions'!$C175)</f>
        <v>0</v>
      </c>
      <c r="I149"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Assumptions'!$B175,'Game Assumptions'!$C175)</f>
        <v>0</v>
      </c>
      <c r="J149"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Assumptions'!$B175,'Game Assumptions'!$C175)</f>
        <v>0</v>
      </c>
      <c r="K149"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Assumptions'!$B175,'Game Assumptions'!$C175)</f>
        <v>0</v>
      </c>
      <c r="L149"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Assumptions'!$B175,'Game Assumptions'!$C175)</f>
        <v>0</v>
      </c>
    </row>
    <row r="150" spans="1:12" x14ac:dyDescent="0.25">
      <c r="A150" t="s">
        <v>12</v>
      </c>
      <c r="B150" s="84">
        <v>0</v>
      </c>
      <c r="C150"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Assumptions'!$B176,'Game Assumptions'!$C$176)</f>
        <v>0</v>
      </c>
      <c r="D150"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Assumptions'!$B176,'Game Assumptions'!$C$176)</f>
        <v>73.631555229475538</v>
      </c>
      <c r="E150"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Assumptions'!$B176,'Game Assumptions'!$C$176)</f>
        <v>302.30066353956374</v>
      </c>
      <c r="F150"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Assumptions'!$B176,'Game Assumptions'!$C$176)</f>
        <v>73.682239175332128</v>
      </c>
      <c r="G150"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Assumptions'!$B176,'Game Assumptions'!$C$176)</f>
        <v>71.649449564432786</v>
      </c>
      <c r="H150"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Assumptions'!$B176,'Game Assumptions'!$C$176)</f>
        <v>72.956465833216484</v>
      </c>
      <c r="I150"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Assumptions'!$B176,'Game Assumptions'!$C$176)</f>
        <v>74.419250552132851</v>
      </c>
      <c r="J150"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Assumptions'!$B176,'Game Assumptions'!$C$176)</f>
        <v>96.327398821524028</v>
      </c>
      <c r="K150"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Assumptions'!$B176,'Game Assumptions'!$C$176)</f>
        <v>115.28317249750432</v>
      </c>
      <c r="L150"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Assumptions'!$B176,'Game Assumptions'!$C$176)</f>
        <v>123.3338388011872</v>
      </c>
    </row>
    <row r="151" spans="1:12" x14ac:dyDescent="0.25">
      <c r="A151" t="s">
        <v>367</v>
      </c>
      <c r="B151" s="84">
        <v>0</v>
      </c>
      <c r="C151"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Assumptions'!$B177,'Game Assumptions'!$C177)</f>
        <v>0</v>
      </c>
      <c r="D151"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Assumptions'!$B177,'Game Assumptions'!$C177)</f>
        <v>73.631555229475538</v>
      </c>
      <c r="E151"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Assumptions'!$B177,'Game Assumptions'!$C177)</f>
        <v>302.30066353956374</v>
      </c>
      <c r="F151"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Assumptions'!$B177,'Game Assumptions'!$C177)</f>
        <v>73.682239175332128</v>
      </c>
      <c r="G151"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Assumptions'!$B177,'Game Assumptions'!$C177)</f>
        <v>71.649449564432786</v>
      </c>
      <c r="H151"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Assumptions'!$B177,'Game Assumptions'!$C177)</f>
        <v>72.956465833216484</v>
      </c>
      <c r="I151"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Assumptions'!$B177,'Game Assumptions'!$C177)</f>
        <v>74.419250552132851</v>
      </c>
      <c r="J151"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Assumptions'!$B177,'Game Assumptions'!$C177)</f>
        <v>96.327398821524028</v>
      </c>
      <c r="K151"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Assumptions'!$B177,'Game Assumptions'!$C177)</f>
        <v>115.28317249750432</v>
      </c>
      <c r="L151"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Assumptions'!$B177,'Game Assumptions'!$C177)</f>
        <v>123.3338388011872</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62</v>
      </c>
      <c r="B155" s="84">
        <v>60000000</v>
      </c>
      <c r="C155" s="84">
        <f>B155-($B$155-$L$155)/COUNT($C$154:$L$154)</f>
        <v>59500000</v>
      </c>
      <c r="D155" s="84">
        <f t="shared" ref="D155:K155" si="1">C155-($B$155-$L$155)/COUNT($C$154:$L$154)</f>
        <v>59000000</v>
      </c>
      <c r="E155" s="84">
        <f t="shared" si="1"/>
        <v>58500000</v>
      </c>
      <c r="F155" s="84">
        <f t="shared" si="1"/>
        <v>58000000</v>
      </c>
      <c r="G155" s="84">
        <f t="shared" si="1"/>
        <v>57500000</v>
      </c>
      <c r="H155" s="84">
        <f t="shared" si="1"/>
        <v>57000000</v>
      </c>
      <c r="I155" s="84">
        <f t="shared" si="1"/>
        <v>56500000</v>
      </c>
      <c r="J155" s="84">
        <f t="shared" si="1"/>
        <v>56000000</v>
      </c>
      <c r="K155" s="84">
        <f t="shared" si="1"/>
        <v>55500000</v>
      </c>
      <c r="L155" s="84">
        <v>55000000</v>
      </c>
    </row>
    <row r="156" spans="1:12" x14ac:dyDescent="0.25">
      <c r="A156" s="17" t="s">
        <v>271</v>
      </c>
      <c r="B156" s="85">
        <f>B155</f>
        <v>60000000</v>
      </c>
      <c r="C156" s="85">
        <f ca="1">C155+C155*RANDBETWEEN(-5,5)/1000</f>
        <v>59262000</v>
      </c>
      <c r="D156" s="85">
        <f t="shared" ref="D156:L156" ca="1" si="2">D155+D155*RANDBETWEEN(-5,5)/1000</f>
        <v>59118000</v>
      </c>
      <c r="E156" s="85">
        <f t="shared" ca="1" si="2"/>
        <v>58500000</v>
      </c>
      <c r="F156" s="85">
        <f t="shared" ca="1" si="2"/>
        <v>57942000</v>
      </c>
      <c r="G156" s="85">
        <f t="shared" ca="1" si="2"/>
        <v>57557500</v>
      </c>
      <c r="H156" s="85">
        <f t="shared" ca="1" si="2"/>
        <v>57114000</v>
      </c>
      <c r="I156" s="85">
        <f t="shared" ca="1" si="2"/>
        <v>56443500</v>
      </c>
      <c r="J156" s="85">
        <f t="shared" ca="1" si="2"/>
        <v>55720000</v>
      </c>
      <c r="K156" s="85">
        <f t="shared" ca="1" si="2"/>
        <v>55777500</v>
      </c>
      <c r="L156" s="85">
        <f t="shared" ca="1" si="2"/>
        <v>54890000</v>
      </c>
    </row>
    <row r="158" spans="1:12" ht="18.75" x14ac:dyDescent="0.3">
      <c r="A158" s="242" t="s">
        <v>408</v>
      </c>
      <c r="B158" s="242"/>
      <c r="C158" s="242"/>
      <c r="D158" s="242"/>
      <c r="E158" s="242"/>
      <c r="F158" s="242"/>
      <c r="G158" s="242"/>
      <c r="H158" s="242"/>
      <c r="I158" s="242"/>
      <c r="J158" s="242"/>
      <c r="K158" s="242"/>
      <c r="L158" s="242"/>
    </row>
    <row r="159" spans="1:12" ht="16.5" customHeight="1" thickBot="1" x14ac:dyDescent="0.35">
      <c r="A159" s="133" t="s">
        <v>411</v>
      </c>
      <c r="B159" s="133"/>
      <c r="C159" s="133"/>
      <c r="D159" s="132"/>
      <c r="E159" s="132"/>
      <c r="F159" s="132"/>
      <c r="G159" s="132"/>
      <c r="H159" s="132"/>
      <c r="I159" s="132"/>
      <c r="J159" s="132"/>
      <c r="K159" s="132"/>
      <c r="L159" s="132"/>
    </row>
    <row r="160" spans="1:12" ht="15.75" thickBot="1" x14ac:dyDescent="0.3">
      <c r="A160" t="s">
        <v>409</v>
      </c>
      <c r="B160" s="101">
        <f>ROUND('Environmental Performance'!B3*0.5,0)</f>
        <v>518</v>
      </c>
      <c r="C160" t="s">
        <v>410</v>
      </c>
    </row>
    <row r="161" spans="1:12" ht="15.75" thickBot="1" x14ac:dyDescent="0.3">
      <c r="A161" t="s">
        <v>134</v>
      </c>
      <c r="B161" s="101">
        <f>ROUND(Reliability!B95*0.8,0)</f>
        <v>230</v>
      </c>
      <c r="C161" t="s">
        <v>410</v>
      </c>
    </row>
    <row r="162" spans="1:12" ht="15.75" thickBot="1" x14ac:dyDescent="0.3">
      <c r="A162" t="s">
        <v>329</v>
      </c>
      <c r="B162" s="152">
        <f>'Customer Bills'!B17</f>
        <v>99.776322752353039</v>
      </c>
      <c r="C162" t="s">
        <v>410</v>
      </c>
    </row>
    <row r="164" spans="1:12" ht="18.75" x14ac:dyDescent="0.3">
      <c r="A164" s="242" t="s">
        <v>460</v>
      </c>
      <c r="B164" s="242"/>
      <c r="C164" s="242"/>
      <c r="D164" s="242"/>
      <c r="E164" s="242"/>
      <c r="F164" s="242"/>
      <c r="G164" s="242"/>
      <c r="H164" s="242"/>
      <c r="I164" s="242"/>
      <c r="J164" s="242"/>
      <c r="K164" s="242"/>
      <c r="L164" s="242"/>
    </row>
    <row r="165" spans="1:12" x14ac:dyDescent="0.25">
      <c r="A165" t="s">
        <v>461</v>
      </c>
      <c r="B165">
        <v>1E-3</v>
      </c>
    </row>
    <row r="166" spans="1:12" x14ac:dyDescent="0.25">
      <c r="A166" t="s">
        <v>462</v>
      </c>
      <c r="B166">
        <v>1</v>
      </c>
    </row>
    <row r="168" spans="1:12" ht="18.75" x14ac:dyDescent="0.3">
      <c r="A168" s="242" t="s">
        <v>465</v>
      </c>
      <c r="B168" s="242"/>
      <c r="C168" s="242"/>
      <c r="D168" s="242"/>
      <c r="E168" s="242"/>
      <c r="F168" s="242"/>
      <c r="G168" s="242"/>
      <c r="H168" s="242"/>
      <c r="I168" s="242"/>
      <c r="J168" s="242"/>
      <c r="K168" s="242"/>
      <c r="L168" s="242"/>
    </row>
    <row r="169" spans="1:12" x14ac:dyDescent="0.25">
      <c r="A169" s="133" t="s">
        <v>466</v>
      </c>
      <c r="B169" s="133" t="s">
        <v>463</v>
      </c>
      <c r="C169" s="133" t="s">
        <v>464</v>
      </c>
    </row>
    <row r="170" spans="1:12" x14ac:dyDescent="0.25">
      <c r="A170" t="s">
        <v>7</v>
      </c>
      <c r="B170">
        <v>0</v>
      </c>
      <c r="C170">
        <f>0*(6/3.7)</f>
        <v>0</v>
      </c>
    </row>
    <row r="171" spans="1:12" x14ac:dyDescent="0.25">
      <c r="A171" t="s">
        <v>8</v>
      </c>
      <c r="B171">
        <f>0.5*4/2.6</f>
        <v>0.76923076923076916</v>
      </c>
      <c r="C171">
        <f>1/(2*$H$56+$H$58+$H$59+$H$61+$H$62)*2</f>
        <v>0.55752237058511978</v>
      </c>
      <c r="D171" t="s">
        <v>471</v>
      </c>
    </row>
    <row r="172" spans="1:12" x14ac:dyDescent="0.25">
      <c r="A172" t="s">
        <v>13</v>
      </c>
      <c r="B172">
        <v>0</v>
      </c>
      <c r="C172">
        <f>0*(6/3.7)</f>
        <v>0</v>
      </c>
    </row>
    <row r="173" spans="1:12" x14ac:dyDescent="0.25">
      <c r="A173" t="s">
        <v>9</v>
      </c>
      <c r="B173">
        <f>0.25*4/2.6</f>
        <v>0.38461538461538458</v>
      </c>
      <c r="C173">
        <f>1/(2*$H$56+$H$58+$H$59+$H$61+$H$62)</f>
        <v>0.27876118529255989</v>
      </c>
    </row>
    <row r="174" spans="1:12" x14ac:dyDescent="0.25">
      <c r="A174" t="s">
        <v>10</v>
      </c>
      <c r="B174">
        <f>0.25*4/2.6</f>
        <v>0.38461538461538458</v>
      </c>
      <c r="C174">
        <f>1/(2*$H$56+$H$58+$H$59+$H$61+$H$62)</f>
        <v>0.27876118529255989</v>
      </c>
    </row>
    <row r="175" spans="1:12" x14ac:dyDescent="0.25">
      <c r="A175" t="s">
        <v>11</v>
      </c>
      <c r="B175">
        <v>0</v>
      </c>
      <c r="C175">
        <f>0*(6/3.7)</f>
        <v>0</v>
      </c>
    </row>
    <row r="176" spans="1:12" x14ac:dyDescent="0.25">
      <c r="A176" t="s">
        <v>12</v>
      </c>
      <c r="B176">
        <v>0</v>
      </c>
      <c r="C176">
        <f>1/(2*$H$56+$H$58+$H$59+$H$61+$H$62)</f>
        <v>0.27876118529255989</v>
      </c>
    </row>
    <row r="177" spans="1:12" x14ac:dyDescent="0.25">
      <c r="A177" t="s">
        <v>367</v>
      </c>
      <c r="B177">
        <v>0</v>
      </c>
      <c r="C177">
        <f>1/(2*$H$56+$H$58+$H$59+$H$61+$H$62)</f>
        <v>0.27876118529255989</v>
      </c>
    </row>
    <row r="180" spans="1:12" x14ac:dyDescent="0.25">
      <c r="A180" s="133" t="s">
        <v>467</v>
      </c>
      <c r="B180" s="133"/>
    </row>
    <row r="181" spans="1:12" x14ac:dyDescent="0.25">
      <c r="A181" t="s">
        <v>468</v>
      </c>
      <c r="B181">
        <f>IF('Event Tracker'!B24=1,30,0)</f>
        <v>0</v>
      </c>
    </row>
    <row r="182" spans="1:12" x14ac:dyDescent="0.25">
      <c r="A182" t="s">
        <v>469</v>
      </c>
      <c r="B182">
        <f>IF('Event Tracker'!B24=1,2,0)</f>
        <v>0</v>
      </c>
    </row>
    <row r="184" spans="1:12" ht="18.75" x14ac:dyDescent="0.3">
      <c r="A184" s="242" t="s">
        <v>521</v>
      </c>
      <c r="B184" s="242"/>
      <c r="C184" s="242"/>
      <c r="D184" s="242"/>
      <c r="E184" s="242"/>
      <c r="F184" s="242"/>
      <c r="G184" s="242"/>
      <c r="H184" s="242"/>
      <c r="I184" s="242"/>
      <c r="J184" s="242"/>
      <c r="K184" s="242"/>
      <c r="L184" s="242"/>
    </row>
    <row r="185" spans="1:12" x14ac:dyDescent="0.25">
      <c r="A185" s="133" t="s">
        <v>515</v>
      </c>
      <c r="B185" s="133"/>
    </row>
    <row r="186" spans="1:12" x14ac:dyDescent="0.25">
      <c r="A186" t="s">
        <v>513</v>
      </c>
      <c r="B186">
        <f>25</f>
        <v>25</v>
      </c>
    </row>
    <row r="187" spans="1:12" x14ac:dyDescent="0.25">
      <c r="A187" t="s">
        <v>367</v>
      </c>
      <c r="B187">
        <f>10</f>
        <v>10</v>
      </c>
    </row>
    <row r="189" spans="1:12" x14ac:dyDescent="0.25">
      <c r="A189" s="133" t="s">
        <v>522</v>
      </c>
      <c r="B189" s="133"/>
    </row>
    <row r="190" spans="1:12" x14ac:dyDescent="0.25">
      <c r="A190" t="s">
        <v>523</v>
      </c>
      <c r="B190" s="18">
        <v>0.1</v>
      </c>
    </row>
    <row r="192" spans="1:12" x14ac:dyDescent="0.25">
      <c r="A192" s="189" t="s">
        <v>551</v>
      </c>
      <c r="B192" s="189"/>
    </row>
    <row r="193" spans="1:12" x14ac:dyDescent="0.25">
      <c r="A193" t="s">
        <v>552</v>
      </c>
      <c r="B193" s="18">
        <v>0.15</v>
      </c>
    </row>
    <row r="195" spans="1:12" x14ac:dyDescent="0.25">
      <c r="A195" s="179" t="s">
        <v>382</v>
      </c>
      <c r="B195" s="180">
        <v>0</v>
      </c>
      <c r="C195" s="180">
        <v>1</v>
      </c>
      <c r="D195" s="180">
        <v>2</v>
      </c>
      <c r="E195" s="180">
        <v>3</v>
      </c>
      <c r="F195" s="180">
        <v>4</v>
      </c>
      <c r="G195" s="180">
        <v>5</v>
      </c>
      <c r="H195" s="180">
        <v>6</v>
      </c>
      <c r="I195" s="180">
        <v>7</v>
      </c>
      <c r="J195" s="180">
        <v>8</v>
      </c>
      <c r="K195" s="180">
        <v>9</v>
      </c>
      <c r="L195" s="180">
        <v>10</v>
      </c>
    </row>
    <row r="196" spans="1:12" x14ac:dyDescent="0.25">
      <c r="A196" t="s">
        <v>7</v>
      </c>
      <c r="B196">
        <v>0</v>
      </c>
      <c r="C196">
        <v>0</v>
      </c>
      <c r="D196">
        <v>1000</v>
      </c>
      <c r="E196">
        <v>1000</v>
      </c>
      <c r="F196">
        <v>0</v>
      </c>
      <c r="G196">
        <v>0</v>
      </c>
      <c r="H196">
        <v>0</v>
      </c>
      <c r="I196">
        <v>0</v>
      </c>
      <c r="J196">
        <v>0</v>
      </c>
      <c r="K196">
        <v>0</v>
      </c>
      <c r="L196">
        <v>0</v>
      </c>
    </row>
    <row r="197" spans="1:12" x14ac:dyDescent="0.25">
      <c r="A197" t="s">
        <v>8</v>
      </c>
      <c r="B197">
        <v>0</v>
      </c>
      <c r="C197">
        <v>0</v>
      </c>
      <c r="D197">
        <v>0</v>
      </c>
      <c r="E197">
        <v>0</v>
      </c>
      <c r="F197">
        <v>0</v>
      </c>
      <c r="G197">
        <v>0</v>
      </c>
      <c r="H197">
        <v>0</v>
      </c>
      <c r="I197">
        <v>0</v>
      </c>
      <c r="J197">
        <v>0</v>
      </c>
      <c r="K197">
        <v>0</v>
      </c>
      <c r="L197">
        <v>0</v>
      </c>
    </row>
    <row r="198" spans="1:12" x14ac:dyDescent="0.25">
      <c r="A198" t="s">
        <v>13</v>
      </c>
      <c r="B198">
        <v>0</v>
      </c>
      <c r="C198">
        <v>1000</v>
      </c>
      <c r="D198">
        <v>0</v>
      </c>
      <c r="E198">
        <v>0</v>
      </c>
      <c r="F198">
        <v>0</v>
      </c>
      <c r="G198">
        <v>0</v>
      </c>
      <c r="H198">
        <v>0</v>
      </c>
      <c r="I198">
        <v>0</v>
      </c>
      <c r="J198">
        <v>0</v>
      </c>
      <c r="K198">
        <v>0</v>
      </c>
      <c r="L198">
        <v>0</v>
      </c>
    </row>
    <row r="199" spans="1:12" x14ac:dyDescent="0.25">
      <c r="A199" t="s">
        <v>9</v>
      </c>
      <c r="B199">
        <v>0</v>
      </c>
      <c r="C199">
        <v>0</v>
      </c>
      <c r="D199">
        <v>0</v>
      </c>
      <c r="E199">
        <v>0</v>
      </c>
      <c r="F199">
        <v>0</v>
      </c>
      <c r="G199">
        <v>0</v>
      </c>
      <c r="H199">
        <v>0</v>
      </c>
      <c r="I199">
        <v>0</v>
      </c>
      <c r="J199">
        <v>0</v>
      </c>
      <c r="K199">
        <v>0</v>
      </c>
      <c r="L199">
        <v>0</v>
      </c>
    </row>
    <row r="200" spans="1:12" x14ac:dyDescent="0.25">
      <c r="A200" t="s">
        <v>10</v>
      </c>
      <c r="B200">
        <v>0</v>
      </c>
      <c r="C200">
        <v>0</v>
      </c>
      <c r="D200">
        <v>0</v>
      </c>
      <c r="E200">
        <v>0</v>
      </c>
      <c r="F200">
        <v>0</v>
      </c>
      <c r="G200">
        <v>0</v>
      </c>
      <c r="H200">
        <v>0</v>
      </c>
      <c r="I200">
        <v>0</v>
      </c>
      <c r="J200">
        <v>0</v>
      </c>
      <c r="K200">
        <v>0</v>
      </c>
      <c r="L200">
        <v>0</v>
      </c>
    </row>
    <row r="201" spans="1:12" x14ac:dyDescent="0.25">
      <c r="A201" t="s">
        <v>11</v>
      </c>
      <c r="B201">
        <v>0</v>
      </c>
      <c r="C201">
        <v>0</v>
      </c>
      <c r="D201">
        <v>0</v>
      </c>
      <c r="E201">
        <v>0</v>
      </c>
      <c r="F201">
        <v>0</v>
      </c>
      <c r="G201">
        <v>0</v>
      </c>
      <c r="H201">
        <v>0</v>
      </c>
      <c r="I201">
        <v>0</v>
      </c>
      <c r="J201">
        <v>0</v>
      </c>
      <c r="K201">
        <v>0</v>
      </c>
      <c r="L201">
        <v>0</v>
      </c>
    </row>
    <row r="202" spans="1:12" x14ac:dyDescent="0.25">
      <c r="A202" t="s">
        <v>12</v>
      </c>
      <c r="B202">
        <v>0</v>
      </c>
      <c r="C202">
        <v>0</v>
      </c>
      <c r="D202">
        <v>0</v>
      </c>
      <c r="E202">
        <v>0</v>
      </c>
      <c r="F202">
        <v>0</v>
      </c>
      <c r="G202">
        <v>0</v>
      </c>
      <c r="H202">
        <v>0</v>
      </c>
      <c r="I202">
        <v>0</v>
      </c>
      <c r="J202">
        <v>0</v>
      </c>
      <c r="K202">
        <v>0</v>
      </c>
      <c r="L202">
        <v>0</v>
      </c>
    </row>
    <row r="203" spans="1:12" x14ac:dyDescent="0.25">
      <c r="A203" t="s">
        <v>367</v>
      </c>
      <c r="B203">
        <v>0</v>
      </c>
      <c r="C203">
        <v>0</v>
      </c>
      <c r="D203">
        <v>0</v>
      </c>
      <c r="E203">
        <v>0</v>
      </c>
      <c r="F203">
        <v>0</v>
      </c>
      <c r="G203">
        <v>0</v>
      </c>
      <c r="H203">
        <v>0</v>
      </c>
      <c r="I203">
        <v>0</v>
      </c>
      <c r="J203">
        <v>0</v>
      </c>
      <c r="K203">
        <v>0</v>
      </c>
      <c r="L203">
        <v>0</v>
      </c>
    </row>
    <row r="205" spans="1:12" x14ac:dyDescent="0.25">
      <c r="A205" s="9" t="s">
        <v>537</v>
      </c>
      <c r="B205" s="180">
        <v>0</v>
      </c>
      <c r="C205" s="180">
        <v>1</v>
      </c>
      <c r="D205" s="180">
        <v>2</v>
      </c>
      <c r="E205" s="180">
        <v>3</v>
      </c>
      <c r="F205" s="180">
        <v>4</v>
      </c>
      <c r="G205" s="180">
        <v>5</v>
      </c>
      <c r="H205" s="180">
        <v>6</v>
      </c>
      <c r="I205" s="180">
        <v>7</v>
      </c>
      <c r="J205" s="180">
        <v>8</v>
      </c>
      <c r="K205" s="180">
        <v>9</v>
      </c>
      <c r="L205" s="180">
        <v>10</v>
      </c>
    </row>
    <row r="206" spans="1:12" x14ac:dyDescent="0.25">
      <c r="A206" t="s">
        <v>538</v>
      </c>
      <c r="B206">
        <v>2015</v>
      </c>
      <c r="C206">
        <v>2017</v>
      </c>
      <c r="D206">
        <v>2019</v>
      </c>
      <c r="E206">
        <v>2021</v>
      </c>
      <c r="F206">
        <v>2023</v>
      </c>
      <c r="G206">
        <v>2025</v>
      </c>
      <c r="H206">
        <v>2027</v>
      </c>
      <c r="I206">
        <v>2029</v>
      </c>
      <c r="J206">
        <v>2031</v>
      </c>
      <c r="K206">
        <v>2033</v>
      </c>
      <c r="L206">
        <v>2035</v>
      </c>
    </row>
    <row r="207" spans="1:12" x14ac:dyDescent="0.25">
      <c r="A207" t="s">
        <v>539</v>
      </c>
      <c r="B207">
        <v>23</v>
      </c>
      <c r="C207">
        <f>B207*0.4</f>
        <v>9.2000000000000011</v>
      </c>
      <c r="D207">
        <v>0</v>
      </c>
      <c r="E207">
        <v>0</v>
      </c>
      <c r="F207">
        <v>0</v>
      </c>
      <c r="G207">
        <v>0</v>
      </c>
      <c r="H207">
        <v>0</v>
      </c>
      <c r="I207">
        <v>0</v>
      </c>
      <c r="J207">
        <v>0</v>
      </c>
      <c r="K207">
        <v>0</v>
      </c>
      <c r="L207">
        <v>0</v>
      </c>
    </row>
    <row r="208" spans="1:12" x14ac:dyDescent="0.25">
      <c r="A208" t="s">
        <v>540</v>
      </c>
      <c r="B208" s="18">
        <v>0.3</v>
      </c>
      <c r="C208" s="18">
        <v>0.3</v>
      </c>
      <c r="D208" s="18">
        <v>0.3</v>
      </c>
      <c r="E208" s="18">
        <v>0.22</v>
      </c>
      <c r="F208" s="18">
        <v>0.1</v>
      </c>
      <c r="G208" s="18">
        <v>0.1</v>
      </c>
      <c r="H208" s="18">
        <v>0.1</v>
      </c>
      <c r="I208" s="18">
        <v>0.1</v>
      </c>
      <c r="J208" s="18">
        <v>0.1</v>
      </c>
      <c r="K208" s="18">
        <v>0.1</v>
      </c>
      <c r="L208" s="18">
        <v>0.1</v>
      </c>
    </row>
  </sheetData>
  <mergeCells count="5">
    <mergeCell ref="A142:L142"/>
    <mergeCell ref="A158:L158"/>
    <mergeCell ref="A164:L164"/>
    <mergeCell ref="A168:L168"/>
    <mergeCell ref="A184:L184"/>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 ref="I55" r:id="rId11" display="NREL ATB (Coal tab, cell U41)" xr:uid="{7D162474-067A-453F-9ED3-DEE33CFA8D42}"/>
    <hyperlink ref="I56" r:id="rId12" display="NREL ATB (Coal tab, cell U41)" xr:uid="{E95F2DDB-2232-4A52-84E0-E4ACAB65FB0C}"/>
    <hyperlink ref="M55" r:id="rId13" display="NREL ATB (Coal tab, cell U41)" xr:uid="{0D784053-F117-4065-9C62-C4EE98DFA07B}"/>
    <hyperlink ref="C28" r:id="rId14" xr:uid="{EDD7076C-3685-4888-BA09-04D97DC7BE4E}"/>
    <hyperlink ref="C29" r:id="rId15" xr:uid="{CC371350-A73D-48AE-81B5-84CB479A94DB}"/>
    <hyperlink ref="C30" r:id="rId16" xr:uid="{DCD5CB94-5AF8-46CF-88BA-28430C7FCB32}"/>
    <hyperlink ref="C31" r:id="rId17" xr:uid="{F01D423E-42C0-4945-BA8E-D17D1A8AE756}"/>
    <hyperlink ref="C32" r:id="rId18" xr:uid="{B141F152-7F75-48E0-BD00-0BD32EACB6D4}"/>
    <hyperlink ref="C33" r:id="rId19" xr:uid="{CDC7C1A1-83CC-4C90-A8F5-508D0C043162}"/>
    <hyperlink ref="C35" r:id="rId20" xr:uid="{CF0CD05D-9CD8-4997-A600-6C28E9C651C6}"/>
    <hyperlink ref="C36" r:id="rId21" xr:uid="{5C10EB2F-3DA6-4419-A538-2CC71494833B}"/>
    <hyperlink ref="C37" r:id="rId22" xr:uid="{A41D4477-158F-4864-826E-93D50CB70AD0}"/>
    <hyperlink ref="C54" r:id="rId23" xr:uid="{E4493807-DE66-41D0-AA10-680731385993}"/>
    <hyperlink ref="H28" r:id="rId24" display="NREL 2021 ATB (Coal_FE tab, cell N103)" xr:uid="{A6ADD9FD-E411-434E-8792-61A25F9E4BFE}"/>
    <hyperlink ref="C41" r:id="rId25" display="NREL 2021 ATB (Coal_FE tab, cell N103)" xr:uid="{9EB0AD8D-2B00-4726-938E-33CBF00449A4}"/>
    <hyperlink ref="H41" r:id="rId26" display="NREL 2021 ATB (Coal_FE tab, cell N103)" xr:uid="{1DE6BF06-E1DB-4BAE-89DF-D2CD60CA31F8}"/>
    <hyperlink ref="C55" r:id="rId27" display="NREL 2021 ATB (Coal_FE tab, cell N103)" xr:uid="{EDB23E85-6E06-4E68-8A8F-767E17C3DB09}"/>
    <hyperlink ref="H29" r:id="rId28" display="NREL 2021 ATB (Coal_FE tab, cell N103)" xr:uid="{10F78516-C279-4162-9913-802138E7709B}"/>
    <hyperlink ref="C42" r:id="rId29" display="NREL 2021 ATB (Coal_FE tab, cell N103)" xr:uid="{94DC8CF8-F742-433E-992C-FFF7051C9129}"/>
    <hyperlink ref="H42" r:id="rId30" display="NREL 2021 ATB (Coal_FE tab, cell N103)" xr:uid="{31FC69B7-D42B-421D-A1E9-9A8F26E684FC}"/>
    <hyperlink ref="C56" r:id="rId31" display="NREL 2021 ATB (Coal_FE tab, cell N103)" xr:uid="{826A9BC1-CAEF-424B-A4C2-04931A1D45AD}"/>
    <hyperlink ref="I57" r:id="rId32" display="NREL 2021 ATB (Coal_FE tab, cell N103)" xr:uid="{151E90D7-49D3-4963-B090-EE9CF8FAACB8}"/>
    <hyperlink ref="H30" r:id="rId33" display="NREL 2021 ATB (Coal_FE tab, cell N103)" xr:uid="{1E6CAFAD-78CE-4986-AD62-54F7D1DE41FA}"/>
    <hyperlink ref="C43" r:id="rId34" display="NREL 2021 ATB (Coal_FE tab, cell N103)" xr:uid="{8F7C02E3-9110-4671-94FE-5889A4ADE66C}"/>
    <hyperlink ref="H43" r:id="rId35" display="NREL 2021 ATB (Coal_FE tab, cell N103)" xr:uid="{FF2FD9FE-F742-4DFF-AF84-FE5FB1981FB6}"/>
    <hyperlink ref="M28" r:id="rId36" xr:uid="{A3A05BF9-8E17-4EB6-98B5-058534652887}"/>
    <hyperlink ref="I58" r:id="rId37" display="NREL 2021 ATB (Coal_FE tab, cell N103)" xr:uid="{DD61D2A3-DEEA-494E-8282-7E1A9297779B}"/>
    <hyperlink ref="H31" r:id="rId38" display="NREL 2021 ATB (Coal_FE tab, cell N103)" xr:uid="{718206B2-4859-4D97-B0A8-EBA9AADB3BB0}"/>
    <hyperlink ref="C44" r:id="rId39" display="NREL 2021 ATB (Coal_FE tab, cell N103)" xr:uid="{9D46BED4-71C3-4FD9-943C-27D96F5D466B}"/>
    <hyperlink ref="I59" r:id="rId40" display="NREL 2021 ATB (Coal_FE tab, cell N103)" xr:uid="{2B8F744C-3208-4C07-82FF-5AE3D8AE229E}"/>
    <hyperlink ref="H32" r:id="rId41" display="NREL 2021 ATB (Coal_FE tab, cell N103)" xr:uid="{D25AFFB1-1181-490F-B292-7427B206AE4D}"/>
    <hyperlink ref="C45" r:id="rId42" display="NREL 2021 ATB (Coal_FE tab, cell N103)" xr:uid="{D45FE13B-39FA-4718-A9D4-AD1FEED1E914}"/>
    <hyperlink ref="I60" r:id="rId43" display="NREL 2021 ATB (Coal_FE tab, cell N103)" xr:uid="{9908EF37-E11E-4D83-8FAA-CA4E0958064D}"/>
    <hyperlink ref="H33" r:id="rId44" display="NREL 2021 ATB (Coal_FE tab, cell N103)" xr:uid="{A6F33F7E-D23B-47B5-80BD-FF07D7B82716}"/>
    <hyperlink ref="C46" r:id="rId45" display="NREL 2021 ATB (Coal_FE tab, cell N103)" xr:uid="{72BD7F36-257C-400C-8D4E-800C53250AAA}"/>
    <hyperlink ref="I62" r:id="rId46" display="NREL 2021 ATB (Coal_FE tab, cell N103)" xr:uid="{A216084A-2534-4AE5-BDAE-BE139F5324D4}"/>
    <hyperlink ref="H35" r:id="rId47" display="NREL 2021 ATB (Coal_FE tab, cell N103)" xr:uid="{2F0E0BDF-4D03-44A6-A166-B6E646CB6934}"/>
    <hyperlink ref="H46" r:id="rId48" display="NREL 2021 ATB (Coal_FE tab, cell N103)" xr:uid="{884F2181-01E4-4A55-9A0F-A1BC65ADCF61}"/>
    <hyperlink ref="H45" r:id="rId49" display="NREL 2021 ATB (Coal_FE tab, cell N103)" xr:uid="{8188732C-7763-4620-A5AC-F9B6F1B2C2DC}"/>
    <hyperlink ref="H44" r:id="rId50" display="NREL 2021 ATB (Coal_FE tab, cell N103)" xr:uid="{2AB512CC-7A9C-411E-8688-BA6036FADC8B}"/>
    <hyperlink ref="H36" r:id="rId51" display="NREL 2021 ATB (Coal_FE tab, cell N103)" xr:uid="{EA110BA1-8541-4E99-B061-FBE158ABE07A}"/>
    <hyperlink ref="C49" r:id="rId52" display="NREL 2021 ATB (Coal_FE tab, cell N103)" xr:uid="{B7070084-D31D-4DB0-B598-2CA9D7A9477F}"/>
    <hyperlink ref="C50" r:id="rId53" display="NREL 2021 ATB (Coal_FE tab, cell N103)" xr:uid="{8B891122-7821-4087-9140-C932AA12DFB1}"/>
    <hyperlink ref="C48" r:id="rId54" display="NREL 2021 ATB (Coal_FE tab, cell N103)" xr:uid="{579B7F25-4755-46E5-8D8D-928ADF57E21D}"/>
    <hyperlink ref="H37" r:id="rId55" xr:uid="{7AF9E461-42E3-42EC-A8B8-6EDDD9B7F9F9}"/>
    <hyperlink ref="M56" r:id="rId56" display="NREL 2021 ATB (Coal_FE tab, cell N103)" xr:uid="{DD056ECA-F4F7-4B47-B524-AD0BB8B1DCB2}"/>
    <hyperlink ref="M57" r:id="rId57" display="PNNL 2020 Grid Energy Storage Technology Cost and Performance Assessment (page 61, Figure 7, &quot;Total ESS Installed Cost + Contingency Fee&quot;)" xr:uid="{0C59B58A-6E6D-4501-AAFD-223A8F7B7184}"/>
    <hyperlink ref="C15" r:id="rId58" display="NREL 2021 ATB (Definitions page, Technical Lifetimes for Technologies table)" xr:uid="{1F8E84AF-9245-487A-B1DD-C8BA5466DDC1}"/>
    <hyperlink ref="C16" r:id="rId59" display="NREL 2021 ATB (Definitions page, Technical Lifetimes for Technologies table)" xr:uid="{E6251722-946F-4008-A46F-FE12D6B91C97}"/>
  </hyperlinks>
  <pageMargins left="0.7" right="0.7" top="0.75" bottom="0.75" header="0.3" footer="0.3"/>
  <pageSetup orientation="portrait" r:id="rId60"/>
  <legacyDrawing r:id="rId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91"/>
  <sheetViews>
    <sheetView zoomScale="85" zoomScaleNormal="85" workbookViewId="0">
      <selection activeCell="A6" sqref="A6"/>
    </sheetView>
  </sheetViews>
  <sheetFormatPr defaultRowHeight="15" x14ac:dyDescent="0.25"/>
  <cols>
    <col min="1" max="1" width="65.140625"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20.28515625" customWidth="1"/>
  </cols>
  <sheetData>
    <row r="1" spans="1:15" ht="15.75" thickBot="1" x14ac:dyDescent="0.3">
      <c r="A1" s="9" t="s">
        <v>52</v>
      </c>
      <c r="B1" s="9">
        <v>0</v>
      </c>
      <c r="C1" s="9">
        <v>1</v>
      </c>
      <c r="D1" s="9">
        <v>2</v>
      </c>
      <c r="E1" s="9">
        <v>3</v>
      </c>
      <c r="F1" s="9">
        <v>4</v>
      </c>
      <c r="G1" s="9">
        <v>5</v>
      </c>
      <c r="H1" s="9">
        <v>6</v>
      </c>
      <c r="I1" s="9">
        <v>7</v>
      </c>
      <c r="J1" s="9">
        <v>8</v>
      </c>
      <c r="K1" s="9">
        <v>9</v>
      </c>
      <c r="L1" s="9">
        <v>10</v>
      </c>
      <c r="N1" s="110" t="s">
        <v>327</v>
      </c>
      <c r="O1" s="100">
        <f>'Event Tracker'!$P$1</f>
        <v>0</v>
      </c>
    </row>
    <row r="2" spans="1:15" x14ac:dyDescent="0.25">
      <c r="A2" t="s">
        <v>7</v>
      </c>
      <c r="B2" s="84">
        <v>0</v>
      </c>
      <c r="C2" s="84">
        <f>IF(OR('Initial Setup'!$B$3='Event Tracker'!$A$20,'Initial Setup'!$B$3='Event Tracker'!$A$21),'Event Tracker'!C32,'Event Tracker'!C42/8760/'Game Assumptions'!$G55+'Event Tracker'!C32+'Game Assumptions'!C144)</f>
        <v>0</v>
      </c>
      <c r="D2" s="84">
        <f>IF(OR('Initial Setup'!$B$3='Event Tracker'!$A$20,'Initial Setup'!$B$3='Event Tracker'!$A$21),'Event Tracker'!D32,'Event Tracker'!D42/8760/'Game Assumptions'!$G55+'Event Tracker'!D32+'Game Assumptions'!D144)</f>
        <v>0</v>
      </c>
      <c r="E2" s="84">
        <f>IF(OR('Initial Setup'!$B$3='Event Tracker'!$A$20,'Initial Setup'!$B$3='Event Tracker'!$A$21),'Event Tracker'!E32,'Event Tracker'!E42/8760/'Game Assumptions'!$G55+'Event Tracker'!E32+'Game Assumptions'!E144)</f>
        <v>0</v>
      </c>
      <c r="F2" s="84">
        <f>IF(OR('Initial Setup'!$B$3='Event Tracker'!$A$20,'Initial Setup'!$B$3='Event Tracker'!$A$21),'Event Tracker'!F32,'Event Tracker'!F42/8760/'Game Assumptions'!$G55+'Event Tracker'!F32+'Game Assumptions'!F144)</f>
        <v>0</v>
      </c>
      <c r="G2" s="84">
        <f>IF(OR('Initial Setup'!$B$3='Event Tracker'!$A$20,'Initial Setup'!$B$3='Event Tracker'!$A$21),'Event Tracker'!G32,'Event Tracker'!G42/8760/'Game Assumptions'!$G55+'Event Tracker'!G32+'Game Assumptions'!G144)</f>
        <v>0</v>
      </c>
      <c r="H2" s="84">
        <f>IF(OR('Initial Setup'!$B$3='Event Tracker'!$A$20,'Initial Setup'!$B$3='Event Tracker'!$A$21),'Event Tracker'!H32,'Event Tracker'!H42/8760/'Game Assumptions'!$G55+'Event Tracker'!H32+'Game Assumptions'!H144)</f>
        <v>0</v>
      </c>
      <c r="I2" s="84">
        <f>IF(OR('Initial Setup'!$B$3='Event Tracker'!$A$20,'Initial Setup'!$B$3='Event Tracker'!$A$21),'Event Tracker'!I32,'Event Tracker'!I42/8760/'Game Assumptions'!$G55+'Event Tracker'!I32+'Game Assumptions'!I144)</f>
        <v>0</v>
      </c>
      <c r="J2" s="84">
        <f>IF(OR('Initial Setup'!$B$3='Event Tracker'!$A$20,'Initial Setup'!$B$3='Event Tracker'!$A$21),'Event Tracker'!J32,'Event Tracker'!J42/8760/'Game Assumptions'!$G55+'Event Tracker'!J32+'Game Assumptions'!J144)</f>
        <v>0</v>
      </c>
      <c r="K2" s="84">
        <f>IF(OR('Initial Setup'!$B$3='Event Tracker'!$A$20,'Initial Setup'!$B$3='Event Tracker'!$A$21),'Event Tracker'!K32,'Event Tracker'!K42/8760/'Game Assumptions'!$G55+'Event Tracker'!K32+'Game Assumptions'!K144)</f>
        <v>0</v>
      </c>
      <c r="L2" s="84">
        <f>IF(OR('Initial Setup'!$B$3='Event Tracker'!$A$20,'Initial Setup'!$B$3='Event Tracker'!$A$21),'Event Tracker'!L32,'Event Tracker'!L42/8760/'Game Assumptions'!$G55+'Event Tracker'!L32+'Game Assumptions'!L144)</f>
        <v>0</v>
      </c>
    </row>
    <row r="3" spans="1:15" x14ac:dyDescent="0.25">
      <c r="A3" t="s">
        <v>8</v>
      </c>
      <c r="B3" s="84">
        <v>0</v>
      </c>
      <c r="C3" s="84">
        <f>IF(OR('Initial Setup'!$B$3='Event Tracker'!$A$20,'Initial Setup'!$B$3='Event Tracker'!$A$21),'Event Tracker'!C33,'Event Tracker'!C43/8760/'Game Assumptions'!$G56+'Event Tracker'!C33+'Game Assumptions'!C145)</f>
        <v>0</v>
      </c>
      <c r="D3" s="84">
        <f>IF(OR('Initial Setup'!$B$3='Event Tracker'!$A$20,'Initial Setup'!$B$3='Event Tracker'!$A$21),'Event Tracker'!D33,'Event Tracker'!D43/8760/'Game Assumptions'!$G56+'Event Tracker'!D33+'Game Assumptions'!D145)</f>
        <v>147.26311045895108</v>
      </c>
      <c r="E3" s="84">
        <f>IF(OR('Initial Setup'!$B$3='Event Tracker'!$A$20,'Initial Setup'!$B$3='Event Tracker'!$A$21),'Event Tracker'!E33,'Event Tracker'!E43/8760/'Game Assumptions'!$G56+'Event Tracker'!E33+'Game Assumptions'!E145)</f>
        <v>604.60132707912749</v>
      </c>
      <c r="F3" s="84">
        <f>IF(OR('Initial Setup'!$B$3='Event Tracker'!$A$20,'Initial Setup'!$B$3='Event Tracker'!$A$21),'Event Tracker'!F33,'Event Tracker'!F43/8760/'Game Assumptions'!$G56+'Event Tracker'!F33+'Game Assumptions'!F145)</f>
        <v>147.36447835066426</v>
      </c>
      <c r="G3" s="84">
        <f>IF(OR('Initial Setup'!$B$3='Event Tracker'!$A$20,'Initial Setup'!$B$3='Event Tracker'!$A$21),'Event Tracker'!G33,'Event Tracker'!G43/8760/'Game Assumptions'!$G56+'Event Tracker'!G33+'Game Assumptions'!G145)</f>
        <v>143.29889912886557</v>
      </c>
      <c r="H3" s="84">
        <f>IF(OR('Initial Setup'!$B$3='Event Tracker'!$A$20,'Initial Setup'!$B$3='Event Tracker'!$A$21),'Event Tracker'!H33,'Event Tracker'!H43/8760/'Game Assumptions'!$G56+'Event Tracker'!H33+'Game Assumptions'!H145)</f>
        <v>145.91293166643297</v>
      </c>
      <c r="I3" s="84">
        <f>IF(OR('Initial Setup'!$B$3='Event Tracker'!$A$20,'Initial Setup'!$B$3='Event Tracker'!$A$21),'Event Tracker'!I33,'Event Tracker'!I43/8760/'Game Assumptions'!$G56+'Event Tracker'!I33+'Game Assumptions'!I145)</f>
        <v>148.8385011042657</v>
      </c>
      <c r="J3" s="84">
        <f>IF(OR('Initial Setup'!$B$3='Event Tracker'!$A$20,'Initial Setup'!$B$3='Event Tracker'!$A$21),'Event Tracker'!J33,'Event Tracker'!J43/8760/'Game Assumptions'!$G56+'Event Tracker'!J33+'Game Assumptions'!J145)</f>
        <v>192.65479764304806</v>
      </c>
      <c r="K3" s="84">
        <f>IF(OR('Initial Setup'!$B$3='Event Tracker'!$A$20,'Initial Setup'!$B$3='Event Tracker'!$A$21),'Event Tracker'!K33,'Event Tracker'!K43/8760/'Game Assumptions'!$G56+'Event Tracker'!K33+'Game Assumptions'!K145)</f>
        <v>230.56634499500865</v>
      </c>
      <c r="L3" s="84">
        <f>IF(OR('Initial Setup'!$B$3='Event Tracker'!$A$20,'Initial Setup'!$B$3='Event Tracker'!$A$21),'Event Tracker'!L33,'Event Tracker'!L43/8760/'Game Assumptions'!$G56+'Event Tracker'!L33+'Game Assumptions'!L145)</f>
        <v>246.6676776023744</v>
      </c>
    </row>
    <row r="4" spans="1:15" x14ac:dyDescent="0.25">
      <c r="A4" t="s">
        <v>13</v>
      </c>
      <c r="B4" s="84">
        <v>0</v>
      </c>
      <c r="C4" s="84">
        <f>IF(OR('Initial Setup'!$B$3='Event Tracker'!$A$20,'Initial Setup'!$B$3='Event Tracker'!$A$21),'Event Tracker'!C34,'Event Tracker'!C44/8760/'Game Assumptions'!$G57+'Event Tracker'!C34+'Game Assumptions'!C146)</f>
        <v>0</v>
      </c>
      <c r="D4" s="84">
        <f>IF(OR('Initial Setup'!$B$3='Event Tracker'!$A$20,'Initial Setup'!$B$3='Event Tracker'!$A$21),'Event Tracker'!D34,'Event Tracker'!D44/8760/'Game Assumptions'!$G57+'Event Tracker'!D34+'Game Assumptions'!D146)</f>
        <v>0</v>
      </c>
      <c r="E4" s="84">
        <f>IF(OR('Initial Setup'!$B$3='Event Tracker'!$A$20,'Initial Setup'!$B$3='Event Tracker'!$A$21),'Event Tracker'!E34,'Event Tracker'!E44/8760/'Game Assumptions'!$G57+'Event Tracker'!E34+'Game Assumptions'!E146)</f>
        <v>0</v>
      </c>
      <c r="F4" s="84">
        <f>IF(OR('Initial Setup'!$B$3='Event Tracker'!$A$20,'Initial Setup'!$B$3='Event Tracker'!$A$21),'Event Tracker'!F34,'Event Tracker'!F44/8760/'Game Assumptions'!$G57+'Event Tracker'!F34+'Game Assumptions'!F146)</f>
        <v>0</v>
      </c>
      <c r="G4" s="84">
        <f>IF(OR('Initial Setup'!$B$3='Event Tracker'!$A$20,'Initial Setup'!$B$3='Event Tracker'!$A$21),'Event Tracker'!G34,'Event Tracker'!G44/8760/'Game Assumptions'!$G57+'Event Tracker'!G34+'Game Assumptions'!G146)</f>
        <v>0</v>
      </c>
      <c r="H4" s="84">
        <f>IF(OR('Initial Setup'!$B$3='Event Tracker'!$A$20,'Initial Setup'!$B$3='Event Tracker'!$A$21),'Event Tracker'!H34,'Event Tracker'!H44/8760/'Game Assumptions'!$G57+'Event Tracker'!H34+'Game Assumptions'!H146)</f>
        <v>0</v>
      </c>
      <c r="I4" s="84">
        <f>IF(OR('Initial Setup'!$B$3='Event Tracker'!$A$20,'Initial Setup'!$B$3='Event Tracker'!$A$21),'Event Tracker'!I34,'Event Tracker'!I44/8760/'Game Assumptions'!$G57+'Event Tracker'!I34+'Game Assumptions'!I146)</f>
        <v>0</v>
      </c>
      <c r="J4" s="84">
        <f>IF(OR('Initial Setup'!$B$3='Event Tracker'!$A$20,'Initial Setup'!$B$3='Event Tracker'!$A$21),'Event Tracker'!J34,'Event Tracker'!J44/8760/'Game Assumptions'!$G57+'Event Tracker'!J34+'Game Assumptions'!J146)</f>
        <v>0</v>
      </c>
      <c r="K4" s="84">
        <f>IF(OR('Initial Setup'!$B$3='Event Tracker'!$A$20,'Initial Setup'!$B$3='Event Tracker'!$A$21),'Event Tracker'!K34,'Event Tracker'!K44/8760/'Game Assumptions'!$G57+'Event Tracker'!K34+'Game Assumptions'!K146)</f>
        <v>0</v>
      </c>
      <c r="L4" s="84">
        <f>IF(OR('Initial Setup'!$B$3='Event Tracker'!$A$20,'Initial Setup'!$B$3='Event Tracker'!$A$21),'Event Tracker'!L34,'Event Tracker'!L44/8760/'Game Assumptions'!$G57+'Event Tracker'!L34+'Game Assumptions'!L146)</f>
        <v>0</v>
      </c>
    </row>
    <row r="5" spans="1:15" x14ac:dyDescent="0.25">
      <c r="A5" t="s">
        <v>9</v>
      </c>
      <c r="B5" s="84">
        <v>0</v>
      </c>
      <c r="C5" s="84">
        <f>IF(OR('Initial Setup'!$B$3='Event Tracker'!$A$20,'Initial Setup'!$B$3='Event Tracker'!$A$21),'Event Tracker'!C35,'Event Tracker'!C45/8760/'Game Assumptions'!$G58+'Event Tracker'!C35+'Game Assumptions'!C147)</f>
        <v>0</v>
      </c>
      <c r="D5" s="84">
        <f>IF(OR('Initial Setup'!$B$3='Event Tracker'!$A$20,'Initial Setup'!$B$3='Event Tracker'!$A$21),'Event Tracker'!D35,'Event Tracker'!D45/8760/'Game Assumptions'!$G58+'Event Tracker'!D35+'Game Assumptions'!D147)</f>
        <v>73.631555229475538</v>
      </c>
      <c r="E5" s="84">
        <f>IF(OR('Initial Setup'!$B$3='Event Tracker'!$A$20,'Initial Setup'!$B$3='Event Tracker'!$A$21),'Event Tracker'!E35,'Event Tracker'!E45/8760/'Game Assumptions'!$G58+'Event Tracker'!E35+'Game Assumptions'!E147)</f>
        <v>302.30066353956374</v>
      </c>
      <c r="F5" s="84">
        <f>IF(OR('Initial Setup'!$B$3='Event Tracker'!$A$20,'Initial Setup'!$B$3='Event Tracker'!$A$21),'Event Tracker'!F35,'Event Tracker'!F45/8760/'Game Assumptions'!$G58+'Event Tracker'!F35+'Game Assumptions'!F147)</f>
        <v>73.682239175332128</v>
      </c>
      <c r="G5" s="84">
        <f>IF(OR('Initial Setup'!$B$3='Event Tracker'!$A$20,'Initial Setup'!$B$3='Event Tracker'!$A$21),'Event Tracker'!G35,'Event Tracker'!G45/8760/'Game Assumptions'!$G58+'Event Tracker'!G35+'Game Assumptions'!G147)</f>
        <v>71.649449564432786</v>
      </c>
      <c r="H5" s="84">
        <f>IF(OR('Initial Setup'!$B$3='Event Tracker'!$A$20,'Initial Setup'!$B$3='Event Tracker'!$A$21),'Event Tracker'!H35,'Event Tracker'!H45/8760/'Game Assumptions'!$G58+'Event Tracker'!H35+'Game Assumptions'!H147)</f>
        <v>72.956465833216484</v>
      </c>
      <c r="I5" s="84">
        <f>IF(OR('Initial Setup'!$B$3='Event Tracker'!$A$20,'Initial Setup'!$B$3='Event Tracker'!$A$21),'Event Tracker'!I35,'Event Tracker'!I45/8760/'Game Assumptions'!$G58+'Event Tracker'!I35+'Game Assumptions'!I147)</f>
        <v>74.419250552132851</v>
      </c>
      <c r="J5" s="84">
        <f>IF(OR('Initial Setup'!$B$3='Event Tracker'!$A$20,'Initial Setup'!$B$3='Event Tracker'!$A$21),'Event Tracker'!J35,'Event Tracker'!J45/8760/'Game Assumptions'!$G58+'Event Tracker'!J35+'Game Assumptions'!J147)</f>
        <v>96.327398821524028</v>
      </c>
      <c r="K5" s="84">
        <f>IF(OR('Initial Setup'!$B$3='Event Tracker'!$A$20,'Initial Setup'!$B$3='Event Tracker'!$A$21),'Event Tracker'!K35,'Event Tracker'!K45/8760/'Game Assumptions'!$G58+'Event Tracker'!K35+'Game Assumptions'!K147)</f>
        <v>115.28317249750432</v>
      </c>
      <c r="L5" s="84">
        <f>IF(OR('Initial Setup'!$B$3='Event Tracker'!$A$20,'Initial Setup'!$B$3='Event Tracker'!$A$21),'Event Tracker'!L35,'Event Tracker'!L45/8760/'Game Assumptions'!$G58+'Event Tracker'!L35+'Game Assumptions'!L147)</f>
        <v>123.3338388011872</v>
      </c>
    </row>
    <row r="6" spans="1:15" x14ac:dyDescent="0.25">
      <c r="A6" t="s">
        <v>10</v>
      </c>
      <c r="B6" s="84">
        <v>0</v>
      </c>
      <c r="C6" s="84">
        <f>IF(OR('Initial Setup'!$B$3='Event Tracker'!$A$20,'Initial Setup'!$B$3='Event Tracker'!$A$21),'Event Tracker'!C36,'Event Tracker'!C46/8760/'Game Assumptions'!$G59+'Event Tracker'!C36+'Game Assumptions'!C148)</f>
        <v>0</v>
      </c>
      <c r="D6" s="84">
        <f>IF(OR('Initial Setup'!$B$3='Event Tracker'!$A$20,'Initial Setup'!$B$3='Event Tracker'!$A$21),'Event Tracker'!D36,'Event Tracker'!D46/8760/'Game Assumptions'!$G59+'Event Tracker'!D36+'Game Assumptions'!D148)</f>
        <v>73.631555229475538</v>
      </c>
      <c r="E6" s="84">
        <f>IF(OR('Initial Setup'!$B$3='Event Tracker'!$A$20,'Initial Setup'!$B$3='Event Tracker'!$A$21),'Event Tracker'!E36,'Event Tracker'!E46/8760/'Game Assumptions'!$G59+'Event Tracker'!E36+'Game Assumptions'!E148)</f>
        <v>302.30066353956374</v>
      </c>
      <c r="F6" s="84">
        <f>IF(OR('Initial Setup'!$B$3='Event Tracker'!$A$20,'Initial Setup'!$B$3='Event Tracker'!$A$21),'Event Tracker'!F36,'Event Tracker'!F46/8760/'Game Assumptions'!$G59+'Event Tracker'!F36+'Game Assumptions'!F148)</f>
        <v>73.682239175332128</v>
      </c>
      <c r="G6" s="84">
        <f>IF(OR('Initial Setup'!$B$3='Event Tracker'!$A$20,'Initial Setup'!$B$3='Event Tracker'!$A$21),'Event Tracker'!G36,'Event Tracker'!G46/8760/'Game Assumptions'!$G59+'Event Tracker'!G36+'Game Assumptions'!G148)</f>
        <v>71.649449564432786</v>
      </c>
      <c r="H6" s="84">
        <f>IF(OR('Initial Setup'!$B$3='Event Tracker'!$A$20,'Initial Setup'!$B$3='Event Tracker'!$A$21),'Event Tracker'!H36,'Event Tracker'!H46/8760/'Game Assumptions'!$G59+'Event Tracker'!H36+'Game Assumptions'!H148)</f>
        <v>72.956465833216484</v>
      </c>
      <c r="I6" s="84">
        <f>IF(OR('Initial Setup'!$B$3='Event Tracker'!$A$20,'Initial Setup'!$B$3='Event Tracker'!$A$21),'Event Tracker'!I36,'Event Tracker'!I46/8760/'Game Assumptions'!$G59+'Event Tracker'!I36+'Game Assumptions'!I148)</f>
        <v>74.419250552132851</v>
      </c>
      <c r="J6" s="84">
        <f>IF(OR('Initial Setup'!$B$3='Event Tracker'!$A$20,'Initial Setup'!$B$3='Event Tracker'!$A$21),'Event Tracker'!J36,'Event Tracker'!J46/8760/'Game Assumptions'!$G59+'Event Tracker'!J36+'Game Assumptions'!J148)</f>
        <v>96.327398821524028</v>
      </c>
      <c r="K6" s="84">
        <f>IF(OR('Initial Setup'!$B$3='Event Tracker'!$A$20,'Initial Setup'!$B$3='Event Tracker'!$A$21),'Event Tracker'!K36,'Event Tracker'!K46/8760/'Game Assumptions'!$G59+'Event Tracker'!K36+'Game Assumptions'!K148)</f>
        <v>115.28317249750432</v>
      </c>
      <c r="L6" s="84">
        <f>IF(OR('Initial Setup'!$B$3='Event Tracker'!$A$20,'Initial Setup'!$B$3='Event Tracker'!$A$21),'Event Tracker'!L36,'Event Tracker'!L46/8760/'Game Assumptions'!$G59+'Event Tracker'!L36+'Game Assumptions'!L148)</f>
        <v>123.3338388011872</v>
      </c>
    </row>
    <row r="7" spans="1:15" x14ac:dyDescent="0.25">
      <c r="A7" t="s">
        <v>11</v>
      </c>
      <c r="B7" s="84">
        <v>0</v>
      </c>
      <c r="C7" s="84">
        <f>IF(OR('Initial Setup'!$B$3='Event Tracker'!$A$20,'Initial Setup'!$B$3='Event Tracker'!$A$21),'Event Tracker'!C37,'Event Tracker'!C47/8760/'Game Assumptions'!$G60+'Event Tracker'!C37+'Game Assumptions'!C149)</f>
        <v>0</v>
      </c>
      <c r="D7" s="84">
        <f>IF(OR('Initial Setup'!$B$3='Event Tracker'!$A$20,'Initial Setup'!$B$3='Event Tracker'!$A$21),'Event Tracker'!D37,'Event Tracker'!D47/8760/'Game Assumptions'!$G60+'Event Tracker'!D37+'Game Assumptions'!D149)</f>
        <v>0</v>
      </c>
      <c r="E7" s="84">
        <f>IF(OR('Initial Setup'!$B$3='Event Tracker'!$A$20,'Initial Setup'!$B$3='Event Tracker'!$A$21),'Event Tracker'!E37,'Event Tracker'!E47/8760/'Game Assumptions'!$G60+'Event Tracker'!E37+'Game Assumptions'!E149)</f>
        <v>0</v>
      </c>
      <c r="F7" s="84">
        <f>IF(OR('Initial Setup'!$B$3='Event Tracker'!$A$20,'Initial Setup'!$B$3='Event Tracker'!$A$21),'Event Tracker'!F37,'Event Tracker'!F47/8760/'Game Assumptions'!$G60+'Event Tracker'!F37+'Game Assumptions'!F149)</f>
        <v>0</v>
      </c>
      <c r="G7" s="84">
        <f>IF(OR('Initial Setup'!$B$3='Event Tracker'!$A$20,'Initial Setup'!$B$3='Event Tracker'!$A$21),'Event Tracker'!G37,'Event Tracker'!G47/8760/'Game Assumptions'!$G60+'Event Tracker'!G37+'Game Assumptions'!G149)</f>
        <v>0</v>
      </c>
      <c r="H7" s="84">
        <f>IF(OR('Initial Setup'!$B$3='Event Tracker'!$A$20,'Initial Setup'!$B$3='Event Tracker'!$A$21),'Event Tracker'!H37,'Event Tracker'!H47/8760/'Game Assumptions'!$G60+'Event Tracker'!H37+'Game Assumptions'!H149)</f>
        <v>0</v>
      </c>
      <c r="I7" s="84">
        <f>IF(OR('Initial Setup'!$B$3='Event Tracker'!$A$20,'Initial Setup'!$B$3='Event Tracker'!$A$21),'Event Tracker'!I37,'Event Tracker'!I47/8760/'Game Assumptions'!$G60+'Event Tracker'!I37+'Game Assumptions'!I149)</f>
        <v>0</v>
      </c>
      <c r="J7" s="84">
        <f>IF(OR('Initial Setup'!$B$3='Event Tracker'!$A$20,'Initial Setup'!$B$3='Event Tracker'!$A$21),'Event Tracker'!J37,'Event Tracker'!J47/8760/'Game Assumptions'!$G60+'Event Tracker'!J37+'Game Assumptions'!J149)</f>
        <v>0</v>
      </c>
      <c r="K7" s="84">
        <f>IF(OR('Initial Setup'!$B$3='Event Tracker'!$A$20,'Initial Setup'!$B$3='Event Tracker'!$A$21),'Event Tracker'!K37,'Event Tracker'!K47/8760/'Game Assumptions'!$G60+'Event Tracker'!K37+'Game Assumptions'!K149)</f>
        <v>0</v>
      </c>
      <c r="L7" s="84">
        <f>IF(OR('Initial Setup'!$B$3='Event Tracker'!$A$20,'Initial Setup'!$B$3='Event Tracker'!$A$21),'Event Tracker'!L37,'Event Tracker'!L47/8760/'Game Assumptions'!$G60+'Event Tracker'!L37+'Game Assumptions'!L149)</f>
        <v>0</v>
      </c>
    </row>
    <row r="8" spans="1:15" x14ac:dyDescent="0.25">
      <c r="A8" t="s">
        <v>12</v>
      </c>
      <c r="B8" s="84">
        <v>0</v>
      </c>
      <c r="C8" s="84">
        <f>IF(OR('Initial Setup'!$B$3='Event Tracker'!$A$20,'Initial Setup'!$B$3='Event Tracker'!$A$21),'Event Tracker'!C38,'Event Tracker'!C48/8760/'Game Assumptions'!$G61+'Event Tracker'!C38+'Game Assumptions'!C150)+'Game Assumptions'!$B$186</f>
        <v>25</v>
      </c>
      <c r="D8" s="84">
        <f>IF(OR('Initial Setup'!$B$3='Event Tracker'!$A$20,'Initial Setup'!$B$3='Event Tracker'!$A$21),'Event Tracker'!D38,'Event Tracker'!D48/8760/'Game Assumptions'!$G61+'Event Tracker'!D38+'Game Assumptions'!D150)+'Game Assumptions'!$B$186</f>
        <v>98.631555229475538</v>
      </c>
      <c r="E8" s="84">
        <f>IF(OR('Initial Setup'!$B$3='Event Tracker'!$A$20,'Initial Setup'!$B$3='Event Tracker'!$A$21),'Event Tracker'!E38,'Event Tracker'!E48/8760/'Game Assumptions'!$G61+'Event Tracker'!E38+'Game Assumptions'!E150)+'Game Assumptions'!$B$186</f>
        <v>327.30066353956374</v>
      </c>
      <c r="F8" s="84">
        <f>IF(OR('Initial Setup'!$B$3='Event Tracker'!$A$20,'Initial Setup'!$B$3='Event Tracker'!$A$21),'Event Tracker'!F38,'Event Tracker'!F48/8760/'Game Assumptions'!$G61+'Event Tracker'!F38+'Game Assumptions'!F150)+'Game Assumptions'!$B$186</f>
        <v>98.682239175332128</v>
      </c>
      <c r="G8" s="84">
        <f>IF(OR('Initial Setup'!$B$3='Event Tracker'!$A$20,'Initial Setup'!$B$3='Event Tracker'!$A$21),'Event Tracker'!G38,'Event Tracker'!G48/8760/'Game Assumptions'!$G61+'Event Tracker'!G38+'Game Assumptions'!G150)+'Game Assumptions'!$B$186</f>
        <v>96.649449564432786</v>
      </c>
      <c r="H8" s="84">
        <f>IF(OR('Initial Setup'!$B$3='Event Tracker'!$A$20,'Initial Setup'!$B$3='Event Tracker'!$A$21),'Event Tracker'!H38,'Event Tracker'!H48/8760/'Game Assumptions'!$G61+'Event Tracker'!H38+'Game Assumptions'!H150)+'Game Assumptions'!$B$186</f>
        <v>97.956465833216484</v>
      </c>
      <c r="I8" s="84">
        <f>IF(OR('Initial Setup'!$B$3='Event Tracker'!$A$20,'Initial Setup'!$B$3='Event Tracker'!$A$21),'Event Tracker'!I38,'Event Tracker'!I48/8760/'Game Assumptions'!$G61+'Event Tracker'!I38+'Game Assumptions'!I150)+'Game Assumptions'!$B$186</f>
        <v>99.419250552132851</v>
      </c>
      <c r="J8" s="84">
        <f>IF(OR('Initial Setup'!$B$3='Event Tracker'!$A$20,'Initial Setup'!$B$3='Event Tracker'!$A$21),'Event Tracker'!J38,'Event Tracker'!J48/8760/'Game Assumptions'!$G61+'Event Tracker'!J38+'Game Assumptions'!J150)+'Game Assumptions'!$B$186</f>
        <v>121.32739882152403</v>
      </c>
      <c r="K8" s="84">
        <f>IF(OR('Initial Setup'!$B$3='Event Tracker'!$A$20,'Initial Setup'!$B$3='Event Tracker'!$A$21),'Event Tracker'!K38,'Event Tracker'!K48/8760/'Game Assumptions'!$G61+'Event Tracker'!K38+'Game Assumptions'!K150)+'Game Assumptions'!$B$186</f>
        <v>140.28317249750432</v>
      </c>
      <c r="L8" s="84">
        <f>IF(OR('Initial Setup'!$B$3='Event Tracker'!$A$20,'Initial Setup'!$B$3='Event Tracker'!$A$21),'Event Tracker'!L38,'Event Tracker'!L48/8760/'Game Assumptions'!$G61+'Event Tracker'!L38+'Game Assumptions'!L150)+'Game Assumptions'!$B$186</f>
        <v>148.3338388011872</v>
      </c>
    </row>
    <row r="9" spans="1:15" x14ac:dyDescent="0.25">
      <c r="A9" t="s">
        <v>367</v>
      </c>
      <c r="B9" s="16">
        <v>0</v>
      </c>
      <c r="C9" s="84">
        <f>IF(OR('Initial Setup'!$B$3='Event Tracker'!$A$20,'Initial Setup'!$B$3='Event Tracker'!$A$21),'Event Tracker'!C39,'Event Tracker'!C49/8760/'Game Assumptions'!$G62+'Event Tracker'!C39+'Game Assumptions'!C151)+'Game Assumptions'!$B$187</f>
        <v>10</v>
      </c>
      <c r="D9" s="84">
        <f>IF(OR('Initial Setup'!$B$3='Event Tracker'!$A$20,'Initial Setup'!$B$3='Event Tracker'!$A$21),'Event Tracker'!D39,'Event Tracker'!D49/8760/'Game Assumptions'!$G62+'Event Tracker'!D39+'Game Assumptions'!D151)+'Game Assumptions'!$B$187</f>
        <v>83.631555229475538</v>
      </c>
      <c r="E9" s="84">
        <f>IF(OR('Initial Setup'!$B$3='Event Tracker'!$A$20,'Initial Setup'!$B$3='Event Tracker'!$A$21),'Event Tracker'!E39,'Event Tracker'!E49/8760/'Game Assumptions'!$G62+'Event Tracker'!E39+'Game Assumptions'!E151)+'Game Assumptions'!$B$187</f>
        <v>312.30066353956374</v>
      </c>
      <c r="F9" s="84">
        <f>IF(OR('Initial Setup'!$B$3='Event Tracker'!$A$20,'Initial Setup'!$B$3='Event Tracker'!$A$21),'Event Tracker'!F39,'Event Tracker'!F49/8760/'Game Assumptions'!$G62+'Event Tracker'!F39+'Game Assumptions'!F151)+'Game Assumptions'!$B$187</f>
        <v>83.682239175332128</v>
      </c>
      <c r="G9" s="84">
        <f>IF(OR('Initial Setup'!$B$3='Event Tracker'!$A$20,'Initial Setup'!$B$3='Event Tracker'!$A$21),'Event Tracker'!G39,'Event Tracker'!G49/8760/'Game Assumptions'!$G62+'Event Tracker'!G39+'Game Assumptions'!G151)+'Game Assumptions'!$B$187</f>
        <v>81.649449564432786</v>
      </c>
      <c r="H9" s="84">
        <f>IF(OR('Initial Setup'!$B$3='Event Tracker'!$A$20,'Initial Setup'!$B$3='Event Tracker'!$A$21),'Event Tracker'!H39,'Event Tracker'!H49/8760/'Game Assumptions'!$G62+'Event Tracker'!H39+'Game Assumptions'!H151)+'Game Assumptions'!$B$187</f>
        <v>82.956465833216484</v>
      </c>
      <c r="I9" s="84">
        <f>IF(OR('Initial Setup'!$B$3='Event Tracker'!$A$20,'Initial Setup'!$B$3='Event Tracker'!$A$21),'Event Tracker'!I39,'Event Tracker'!I49/8760/'Game Assumptions'!$G62+'Event Tracker'!I39+'Game Assumptions'!I151)+'Game Assumptions'!$B$187</f>
        <v>84.419250552132851</v>
      </c>
      <c r="J9" s="84">
        <f>IF(OR('Initial Setup'!$B$3='Event Tracker'!$A$20,'Initial Setup'!$B$3='Event Tracker'!$A$21),'Event Tracker'!J39,'Event Tracker'!J49/8760/'Game Assumptions'!$G62+'Event Tracker'!J39+'Game Assumptions'!J151)+'Game Assumptions'!$B$187</f>
        <v>106.32739882152403</v>
      </c>
      <c r="K9" s="84">
        <f>IF(OR('Initial Setup'!$B$3='Event Tracker'!$A$20,'Initial Setup'!$B$3='Event Tracker'!$A$21),'Event Tracker'!K39,'Event Tracker'!K49/8760/'Game Assumptions'!$G62+'Event Tracker'!K39+'Game Assumptions'!K151)+'Game Assumptions'!$B$187</f>
        <v>125.28317249750432</v>
      </c>
      <c r="L9" s="84">
        <f>IF(OR('Initial Setup'!$B$3='Event Tracker'!$A$20,'Initial Setup'!$B$3='Event Tracker'!$A$21),'Event Tracker'!L39,'Event Tracker'!L49/8760/'Game Assumptions'!$G62+'Event Tracker'!L39+'Game Assumptions'!L151)+'Game Assumptions'!$B$187</f>
        <v>133.3338388011872</v>
      </c>
    </row>
    <row r="11" spans="1:15" x14ac:dyDescent="0.25">
      <c r="A11" s="9" t="s">
        <v>53</v>
      </c>
      <c r="B11" s="9">
        <v>0</v>
      </c>
      <c r="C11" s="9">
        <v>1</v>
      </c>
      <c r="D11" s="9">
        <v>2</v>
      </c>
      <c r="E11" s="9">
        <v>3</v>
      </c>
      <c r="F11" s="9">
        <v>4</v>
      </c>
      <c r="G11" s="9">
        <v>5</v>
      </c>
      <c r="H11" s="9">
        <v>6</v>
      </c>
      <c r="I11" s="9">
        <v>7</v>
      </c>
      <c r="J11" s="9">
        <v>8</v>
      </c>
      <c r="K11" s="9">
        <v>9</v>
      </c>
      <c r="L11" s="9">
        <v>10</v>
      </c>
    </row>
    <row r="12" spans="1:15" x14ac:dyDescent="0.25">
      <c r="A12" t="s">
        <v>7</v>
      </c>
      <c r="B12" s="84">
        <v>0</v>
      </c>
      <c r="C12" s="84">
        <f>'Game Assumptions'!C196+'Event Tracker'!C136</f>
        <v>0</v>
      </c>
      <c r="D12" s="84">
        <f>'Game Assumptions'!D196+'Event Tracker'!D136</f>
        <v>1000</v>
      </c>
      <c r="E12" s="84">
        <f>'Game Assumptions'!E196+'Event Tracker'!E136</f>
        <v>1000</v>
      </c>
      <c r="F12" s="84">
        <f>'Game Assumptions'!F196+'Event Tracker'!F136</f>
        <v>0</v>
      </c>
      <c r="G12" s="84">
        <f>'Game Assumptions'!G196+'Event Tracker'!G136</f>
        <v>0</v>
      </c>
      <c r="H12" s="84">
        <f>'Game Assumptions'!H196+'Event Tracker'!H136</f>
        <v>0</v>
      </c>
      <c r="I12" s="84">
        <f>'Game Assumptions'!I196+'Event Tracker'!I136</f>
        <v>0</v>
      </c>
      <c r="J12" s="84">
        <f>'Game Assumptions'!J196+'Event Tracker'!J136</f>
        <v>0</v>
      </c>
      <c r="K12" s="84">
        <f>'Game Assumptions'!K196+'Event Tracker'!K136</f>
        <v>0</v>
      </c>
      <c r="L12" s="84">
        <f>'Game Assumptions'!L196+'Event Tracker'!L136</f>
        <v>0</v>
      </c>
    </row>
    <row r="13" spans="1:15" x14ac:dyDescent="0.25">
      <c r="A13" t="s">
        <v>8</v>
      </c>
      <c r="B13" s="84">
        <v>0</v>
      </c>
      <c r="C13" s="84">
        <f>'Game Assumptions'!C197+'Event Tracker'!C137</f>
        <v>0</v>
      </c>
      <c r="D13" s="84">
        <f>'Game Assumptions'!D197+'Event Tracker'!D137</f>
        <v>0</v>
      </c>
      <c r="E13" s="84">
        <f>'Game Assumptions'!E197+'Event Tracker'!E137</f>
        <v>0</v>
      </c>
      <c r="F13" s="84">
        <f>'Game Assumptions'!F197+'Event Tracker'!F137</f>
        <v>0</v>
      </c>
      <c r="G13" s="84">
        <f>'Game Assumptions'!G197+'Event Tracker'!G137</f>
        <v>0</v>
      </c>
      <c r="H13" s="84">
        <f>'Game Assumptions'!H197+'Event Tracker'!H137</f>
        <v>0</v>
      </c>
      <c r="I13" s="84">
        <f>'Game Assumptions'!I197+'Event Tracker'!I137</f>
        <v>0</v>
      </c>
      <c r="J13" s="84">
        <f>'Game Assumptions'!J197+'Event Tracker'!J137</f>
        <v>0</v>
      </c>
      <c r="K13" s="84">
        <f>'Game Assumptions'!K197+'Event Tracker'!K137</f>
        <v>0</v>
      </c>
      <c r="L13" s="84">
        <f>'Game Assumptions'!L197+'Event Tracker'!L137</f>
        <v>0</v>
      </c>
    </row>
    <row r="14" spans="1:15" x14ac:dyDescent="0.25">
      <c r="A14" t="s">
        <v>13</v>
      </c>
      <c r="B14" s="84">
        <v>0</v>
      </c>
      <c r="C14" s="84">
        <f>'Game Assumptions'!C198+'Event Tracker'!C138</f>
        <v>1000</v>
      </c>
      <c r="D14" s="84">
        <f>'Game Assumptions'!D198+'Event Tracker'!D138</f>
        <v>0</v>
      </c>
      <c r="E14" s="84">
        <f>'Game Assumptions'!E198+'Event Tracker'!E138</f>
        <v>0</v>
      </c>
      <c r="F14" s="84">
        <f>'Game Assumptions'!F198+'Event Tracker'!F138</f>
        <v>0</v>
      </c>
      <c r="G14" s="84">
        <f>'Game Assumptions'!G198+'Event Tracker'!G138</f>
        <v>0</v>
      </c>
      <c r="H14" s="84">
        <f>'Game Assumptions'!H198+'Event Tracker'!H138</f>
        <v>0</v>
      </c>
      <c r="I14" s="84">
        <f>'Game Assumptions'!I198+'Event Tracker'!I138</f>
        <v>0</v>
      </c>
      <c r="J14" s="84">
        <f>'Game Assumptions'!J198+'Event Tracker'!J138</f>
        <v>0</v>
      </c>
      <c r="K14" s="84">
        <f>'Game Assumptions'!K198+'Event Tracker'!K138</f>
        <v>0</v>
      </c>
      <c r="L14" s="84">
        <f>'Game Assumptions'!L198+'Event Tracker'!L138</f>
        <v>0</v>
      </c>
    </row>
    <row r="15" spans="1:15" x14ac:dyDescent="0.25">
      <c r="A15" t="s">
        <v>9</v>
      </c>
      <c r="B15" s="84">
        <v>0</v>
      </c>
      <c r="C15" s="84">
        <f>'Game Assumptions'!C199+'Event Tracker'!C139</f>
        <v>0</v>
      </c>
      <c r="D15" s="84">
        <f>'Game Assumptions'!D199+'Event Tracker'!D139</f>
        <v>0</v>
      </c>
      <c r="E15" s="84">
        <f>'Game Assumptions'!E199+'Event Tracker'!E139</f>
        <v>0</v>
      </c>
      <c r="F15" s="84">
        <f>'Game Assumptions'!F199+'Event Tracker'!F139</f>
        <v>0</v>
      </c>
      <c r="G15" s="84">
        <f>'Game Assumptions'!G199+'Event Tracker'!G139</f>
        <v>0</v>
      </c>
      <c r="H15" s="84">
        <f>'Game Assumptions'!H199+'Event Tracker'!H139</f>
        <v>0</v>
      </c>
      <c r="I15" s="84">
        <f>'Game Assumptions'!I199+'Event Tracker'!I139</f>
        <v>0</v>
      </c>
      <c r="J15" s="84">
        <f>'Game Assumptions'!J199+'Event Tracker'!J139</f>
        <v>0</v>
      </c>
      <c r="K15" s="84">
        <f>'Game Assumptions'!K199+'Event Tracker'!K139</f>
        <v>0</v>
      </c>
      <c r="L15" s="84">
        <f>'Game Assumptions'!L199+'Event Tracker'!L139</f>
        <v>0</v>
      </c>
    </row>
    <row r="16" spans="1:15" x14ac:dyDescent="0.25">
      <c r="A16" t="s">
        <v>10</v>
      </c>
      <c r="B16" s="84">
        <v>0</v>
      </c>
      <c r="C16" s="84">
        <f>'Game Assumptions'!C200+'Event Tracker'!C140</f>
        <v>0</v>
      </c>
      <c r="D16" s="84">
        <f>'Game Assumptions'!D200+'Event Tracker'!D140</f>
        <v>0</v>
      </c>
      <c r="E16" s="84">
        <f>'Game Assumptions'!E200+'Event Tracker'!E140</f>
        <v>0</v>
      </c>
      <c r="F16" s="84">
        <f>'Game Assumptions'!F200+'Event Tracker'!F140</f>
        <v>0</v>
      </c>
      <c r="G16" s="84">
        <f>'Game Assumptions'!G200+'Event Tracker'!G140</f>
        <v>0</v>
      </c>
      <c r="H16" s="84">
        <f>'Game Assumptions'!H200+'Event Tracker'!H140</f>
        <v>0</v>
      </c>
      <c r="I16" s="84">
        <f>'Game Assumptions'!I200+'Event Tracker'!I140</f>
        <v>0</v>
      </c>
      <c r="J16" s="84">
        <f>'Game Assumptions'!J200+'Event Tracker'!J140</f>
        <v>0</v>
      </c>
      <c r="K16" s="84">
        <f>'Game Assumptions'!K200+'Event Tracker'!K140</f>
        <v>0</v>
      </c>
      <c r="L16" s="84">
        <f>'Game Assumptions'!L200+'Event Tracker'!L140</f>
        <v>0</v>
      </c>
    </row>
    <row r="17" spans="1:12" x14ac:dyDescent="0.25">
      <c r="A17" t="s">
        <v>11</v>
      </c>
      <c r="B17" s="84">
        <v>0</v>
      </c>
      <c r="C17" s="84">
        <f>'Game Assumptions'!C201+'Event Tracker'!C141</f>
        <v>0</v>
      </c>
      <c r="D17" s="84">
        <f>'Game Assumptions'!D201+'Event Tracker'!D141</f>
        <v>0</v>
      </c>
      <c r="E17" s="84">
        <f>'Game Assumptions'!E201+'Event Tracker'!E141</f>
        <v>0</v>
      </c>
      <c r="F17" s="84">
        <f>'Game Assumptions'!F201+'Event Tracker'!F141</f>
        <v>0</v>
      </c>
      <c r="G17" s="84">
        <f>'Game Assumptions'!G201+'Event Tracker'!G141</f>
        <v>0</v>
      </c>
      <c r="H17" s="84">
        <f>'Game Assumptions'!H201+'Event Tracker'!H141</f>
        <v>0</v>
      </c>
      <c r="I17" s="84">
        <f>'Game Assumptions'!I201+'Event Tracker'!I141</f>
        <v>0</v>
      </c>
      <c r="J17" s="84">
        <f>'Game Assumptions'!J201+'Event Tracker'!J141</f>
        <v>0</v>
      </c>
      <c r="K17" s="84">
        <f>'Game Assumptions'!K201+'Event Tracker'!K141</f>
        <v>0</v>
      </c>
      <c r="L17" s="84">
        <f>'Game Assumptions'!L201+'Event Tracker'!L141</f>
        <v>0</v>
      </c>
    </row>
    <row r="18" spans="1:12" x14ac:dyDescent="0.25">
      <c r="A18" t="s">
        <v>12</v>
      </c>
      <c r="B18" s="84">
        <v>0</v>
      </c>
      <c r="C18" s="84">
        <f>'Game Assumptions'!C202+'Event Tracker'!C142</f>
        <v>0</v>
      </c>
      <c r="D18" s="84">
        <f>'Game Assumptions'!D202+'Event Tracker'!D142</f>
        <v>0</v>
      </c>
      <c r="E18" s="84">
        <f>'Game Assumptions'!E202+'Event Tracker'!E142</f>
        <v>0</v>
      </c>
      <c r="F18" s="84">
        <f>'Game Assumptions'!F202+'Event Tracker'!F142</f>
        <v>0</v>
      </c>
      <c r="G18" s="84">
        <f>'Game Assumptions'!G202+'Event Tracker'!G142</f>
        <v>0</v>
      </c>
      <c r="H18" s="84">
        <f>'Game Assumptions'!H202+'Event Tracker'!H142</f>
        <v>0</v>
      </c>
      <c r="I18" s="84">
        <f>'Game Assumptions'!I202+'Event Tracker'!I142</f>
        <v>0</v>
      </c>
      <c r="J18" s="84">
        <f>'Game Assumptions'!J202+'Event Tracker'!J142</f>
        <v>0</v>
      </c>
      <c r="K18" s="84">
        <f>'Game Assumptions'!K202+'Event Tracker'!K142</f>
        <v>0</v>
      </c>
      <c r="L18" s="84">
        <f>'Game Assumptions'!L202+'Event Tracker'!L142</f>
        <v>0</v>
      </c>
    </row>
    <row r="19" spans="1:12" x14ac:dyDescent="0.25">
      <c r="A19" t="s">
        <v>367</v>
      </c>
      <c r="B19" s="84">
        <v>0</v>
      </c>
      <c r="C19" s="84">
        <f>'Game Assumptions'!C203+'Event Tracker'!C143</f>
        <v>0</v>
      </c>
      <c r="D19" s="84">
        <f>'Game Assumptions'!D203+'Event Tracker'!D143</f>
        <v>0</v>
      </c>
      <c r="E19" s="84">
        <f>'Game Assumptions'!E203+'Event Tracker'!E143</f>
        <v>0</v>
      </c>
      <c r="F19" s="84">
        <f>'Game Assumptions'!F203+'Event Tracker'!F143</f>
        <v>0</v>
      </c>
      <c r="G19" s="84">
        <f>'Game Assumptions'!G203+'Event Tracker'!G143</f>
        <v>0</v>
      </c>
      <c r="H19" s="84">
        <f>'Game Assumptions'!H203+'Event Tracker'!H143</f>
        <v>0</v>
      </c>
      <c r="I19" s="84">
        <f>'Game Assumptions'!I203+'Event Tracker'!I143</f>
        <v>0</v>
      </c>
      <c r="J19" s="84">
        <f>'Game Assumptions'!J203+'Event Tracker'!J143</f>
        <v>0</v>
      </c>
      <c r="K19" s="84">
        <f>'Game Assumptions'!K203+'Event Tracker'!K143</f>
        <v>0</v>
      </c>
      <c r="L19" s="84">
        <f>'Game Assumptions'!L203+'Event Tracker'!L143</f>
        <v>0</v>
      </c>
    </row>
    <row r="21" spans="1:12" x14ac:dyDescent="0.25">
      <c r="A21" s="9" t="s">
        <v>54</v>
      </c>
      <c r="B21" s="9">
        <v>0</v>
      </c>
      <c r="C21" s="9">
        <v>1</v>
      </c>
      <c r="D21" s="9">
        <v>2</v>
      </c>
      <c r="E21" s="9">
        <v>3</v>
      </c>
      <c r="F21" s="9">
        <v>4</v>
      </c>
      <c r="G21" s="9">
        <v>5</v>
      </c>
      <c r="H21" s="9">
        <v>6</v>
      </c>
      <c r="I21" s="9">
        <v>7</v>
      </c>
      <c r="J21" s="9">
        <v>8</v>
      </c>
      <c r="K21" s="9">
        <v>9</v>
      </c>
      <c r="L21" s="9">
        <v>10</v>
      </c>
    </row>
    <row r="22" spans="1:12" x14ac:dyDescent="0.25">
      <c r="A22" t="s">
        <v>7</v>
      </c>
      <c r="B22" s="127">
        <f>'Game Assumptions'!K41</f>
        <v>4000</v>
      </c>
      <c r="C22" s="127">
        <f>INDEX($B$22:$L$29,MATCH($A22,$A$22:$A$29,0),C$21)+INDEX($B$2:$L$9,MATCH($A22,$A$2:$A$9,0),C$21+1)-INDEX($B$12:$L$19,MATCH($A22,$A$12:$A$19,0),C$21+1)+'Event Tracker'!C121</f>
        <v>4000</v>
      </c>
      <c r="D22" s="127">
        <f t="shared" ref="D22:L29" si="0">INDEX($B$22:$L$29,MATCH($A22,$A$22:$A$29,0),D$21)+INDEX($B$2:$L$9,MATCH($A22,$A$2:$A$9,0),D$21+1)-INDEX($B$12:$L$19,MATCH($A22,$A$12:$A$19,0),D$21+1)</f>
        <v>3000</v>
      </c>
      <c r="E22" s="127">
        <f t="shared" si="0"/>
        <v>2000</v>
      </c>
      <c r="F22" s="127">
        <f t="shared" si="0"/>
        <v>2000</v>
      </c>
      <c r="G22" s="127">
        <f t="shared" si="0"/>
        <v>2000</v>
      </c>
      <c r="H22" s="127">
        <f t="shared" si="0"/>
        <v>2000</v>
      </c>
      <c r="I22" s="127">
        <f t="shared" si="0"/>
        <v>2000</v>
      </c>
      <c r="J22" s="127">
        <f t="shared" si="0"/>
        <v>2000</v>
      </c>
      <c r="K22" s="127">
        <f t="shared" si="0"/>
        <v>2000</v>
      </c>
      <c r="L22" s="127">
        <f t="shared" si="0"/>
        <v>2000</v>
      </c>
    </row>
    <row r="23" spans="1:12" x14ac:dyDescent="0.25">
      <c r="A23" t="s">
        <v>8</v>
      </c>
      <c r="B23" s="127">
        <f>'Game Assumptions'!K42</f>
        <v>8000</v>
      </c>
      <c r="C23" s="127">
        <f>INDEX($B$22:$L$29,MATCH($A23,$A$22:$A$29,0),C$21)+INDEX($B$2:$L$9,MATCH($A23,$A$2:$A$9,0),C$21+1)-INDEX($B$12:$L$19,MATCH($A23,$A$12:$A$19,0),C$21+1)+'Event Tracker'!C122</f>
        <v>8000</v>
      </c>
      <c r="D23" s="127">
        <f t="shared" si="0"/>
        <v>8147.2631104589509</v>
      </c>
      <c r="E23" s="127">
        <f t="shared" si="0"/>
        <v>8751.8644375380791</v>
      </c>
      <c r="F23" s="127">
        <f t="shared" si="0"/>
        <v>8899.2289158887434</v>
      </c>
      <c r="G23" s="127">
        <f t="shared" si="0"/>
        <v>9042.5278150176091</v>
      </c>
      <c r="H23" s="127">
        <f t="shared" si="0"/>
        <v>9188.4407466840421</v>
      </c>
      <c r="I23" s="127">
        <f t="shared" si="0"/>
        <v>9337.2792477883086</v>
      </c>
      <c r="J23" s="127">
        <f t="shared" si="0"/>
        <v>9529.9340454313569</v>
      </c>
      <c r="K23" s="127">
        <f t="shared" si="0"/>
        <v>9760.5003904263649</v>
      </c>
      <c r="L23" s="127">
        <f t="shared" si="0"/>
        <v>10007.168068028739</v>
      </c>
    </row>
    <row r="24" spans="1:12" x14ac:dyDescent="0.25">
      <c r="A24" t="s">
        <v>13</v>
      </c>
      <c r="B24" s="127">
        <f>'Game Assumptions'!K43</f>
        <v>2000</v>
      </c>
      <c r="C24" s="127">
        <f>INDEX($B$22:$L$29,MATCH($A24,$A$22:$A$29,0),C$21)+INDEX($B$2:$L$9,MATCH($A24,$A$2:$A$9,0),C$21+1)-INDEX($B$12:$L$19,MATCH($A24,$A$12:$A$19,0),C$21+1)+'Event Tracker'!C123</f>
        <v>1000</v>
      </c>
      <c r="D24" s="127">
        <f t="shared" si="0"/>
        <v>1000</v>
      </c>
      <c r="E24" s="127">
        <f t="shared" si="0"/>
        <v>1000</v>
      </c>
      <c r="F24" s="127">
        <f t="shared" si="0"/>
        <v>1000</v>
      </c>
      <c r="G24" s="127">
        <f t="shared" si="0"/>
        <v>1000</v>
      </c>
      <c r="H24" s="127">
        <f t="shared" si="0"/>
        <v>1000</v>
      </c>
      <c r="I24" s="127">
        <f t="shared" si="0"/>
        <v>1000</v>
      </c>
      <c r="J24" s="127">
        <f t="shared" si="0"/>
        <v>1000</v>
      </c>
      <c r="K24" s="127">
        <f t="shared" si="0"/>
        <v>1000</v>
      </c>
      <c r="L24" s="127">
        <f t="shared" si="0"/>
        <v>1000</v>
      </c>
    </row>
    <row r="25" spans="1:12" x14ac:dyDescent="0.25">
      <c r="A25" t="s">
        <v>9</v>
      </c>
      <c r="B25" s="127">
        <f>'Game Assumptions'!K44</f>
        <v>200</v>
      </c>
      <c r="C25" s="127">
        <f>INDEX($B$22:$L$29,MATCH($A25,$A$22:$A$29,0),C$21)+INDEX($B$2:$L$9,MATCH($A25,$A$2:$A$9,0),C$21+1)-INDEX($B$12:$L$19,MATCH($A25,$A$12:$A$19,0),C$21+1)+'Event Tracker'!C124</f>
        <v>200</v>
      </c>
      <c r="D25" s="127">
        <f t="shared" si="0"/>
        <v>273.63155522947557</v>
      </c>
      <c r="E25" s="127">
        <f t="shared" si="0"/>
        <v>575.93221876903931</v>
      </c>
      <c r="F25" s="127">
        <f t="shared" si="0"/>
        <v>649.61445794437145</v>
      </c>
      <c r="G25" s="127">
        <f t="shared" si="0"/>
        <v>721.26390750880421</v>
      </c>
      <c r="H25" s="127">
        <f t="shared" si="0"/>
        <v>794.22037334202071</v>
      </c>
      <c r="I25" s="127">
        <f t="shared" si="0"/>
        <v>868.6396238941536</v>
      </c>
      <c r="J25" s="127">
        <f t="shared" si="0"/>
        <v>964.96702271567767</v>
      </c>
      <c r="K25" s="127">
        <f t="shared" si="0"/>
        <v>1080.250195213182</v>
      </c>
      <c r="L25" s="127">
        <f t="shared" si="0"/>
        <v>1203.5840340143691</v>
      </c>
    </row>
    <row r="26" spans="1:12" x14ac:dyDescent="0.25">
      <c r="A26" t="s">
        <v>10</v>
      </c>
      <c r="B26" s="127">
        <f>'Game Assumptions'!K45</f>
        <v>200</v>
      </c>
      <c r="C26" s="127">
        <f>INDEX($B$22:$L$29,MATCH($A26,$A$22:$A$29,0),C$21)+INDEX($B$2:$L$9,MATCH($A26,$A$2:$A$9,0),C$21+1)-INDEX($B$12:$L$19,MATCH($A26,$A$12:$A$19,0),C$21+1)+'Event Tracker'!C125</f>
        <v>200</v>
      </c>
      <c r="D26" s="127">
        <f t="shared" si="0"/>
        <v>273.63155522947557</v>
      </c>
      <c r="E26" s="127">
        <f t="shared" si="0"/>
        <v>575.93221876903931</v>
      </c>
      <c r="F26" s="127">
        <f t="shared" si="0"/>
        <v>649.61445794437145</v>
      </c>
      <c r="G26" s="127">
        <f t="shared" si="0"/>
        <v>721.26390750880421</v>
      </c>
      <c r="H26" s="127">
        <f t="shared" si="0"/>
        <v>794.22037334202071</v>
      </c>
      <c r="I26" s="127">
        <f t="shared" si="0"/>
        <v>868.6396238941536</v>
      </c>
      <c r="J26" s="127">
        <f t="shared" si="0"/>
        <v>964.96702271567767</v>
      </c>
      <c r="K26" s="127">
        <f t="shared" si="0"/>
        <v>1080.250195213182</v>
      </c>
      <c r="L26" s="127">
        <f t="shared" si="0"/>
        <v>1203.5840340143691</v>
      </c>
    </row>
    <row r="27" spans="1:12" x14ac:dyDescent="0.25">
      <c r="A27" t="s">
        <v>11</v>
      </c>
      <c r="B27" s="127">
        <f>'Game Assumptions'!K46</f>
        <v>200</v>
      </c>
      <c r="C27" s="127">
        <f>INDEX($B$22:$L$29,MATCH($A27,$A$22:$A$29,0),C$21)+INDEX($B$2:$L$9,MATCH($A27,$A$2:$A$9,0),C$21+1)-INDEX($B$12:$L$19,MATCH($A27,$A$12:$A$19,0),C$21+1)+'Event Tracker'!C126</f>
        <v>200</v>
      </c>
      <c r="D27" s="127">
        <f t="shared" si="0"/>
        <v>200</v>
      </c>
      <c r="E27" s="127">
        <f t="shared" si="0"/>
        <v>200</v>
      </c>
      <c r="F27" s="127">
        <f t="shared" si="0"/>
        <v>200</v>
      </c>
      <c r="G27" s="127">
        <f t="shared" si="0"/>
        <v>200</v>
      </c>
      <c r="H27" s="127">
        <f t="shared" si="0"/>
        <v>200</v>
      </c>
      <c r="I27" s="127">
        <f t="shared" si="0"/>
        <v>200</v>
      </c>
      <c r="J27" s="127">
        <f t="shared" si="0"/>
        <v>200</v>
      </c>
      <c r="K27" s="127">
        <f t="shared" si="0"/>
        <v>200</v>
      </c>
      <c r="L27" s="127">
        <f t="shared" si="0"/>
        <v>200</v>
      </c>
    </row>
    <row r="28" spans="1:12" x14ac:dyDescent="0.25">
      <c r="A28" t="s">
        <v>12</v>
      </c>
      <c r="B28" s="127">
        <f>'Game Assumptions'!K47</f>
        <v>200</v>
      </c>
      <c r="C28" s="127">
        <f>INDEX($B$22:$L$29,MATCH($A28,$A$22:$A$29,0),C$21)+INDEX($B$2:$L$9,MATCH($A28,$A$2:$A$9,0),C$21+1)-INDEX($B$12:$L$19,MATCH($A28,$A$12:$A$19,0),C$21+1)+'Event Tracker'!C127</f>
        <v>225</v>
      </c>
      <c r="D28" s="127">
        <f t="shared" si="0"/>
        <v>323.63155522947557</v>
      </c>
      <c r="E28" s="127">
        <f t="shared" si="0"/>
        <v>650.93221876903931</v>
      </c>
      <c r="F28" s="127">
        <f t="shared" si="0"/>
        <v>749.61445794437145</v>
      </c>
      <c r="G28" s="127">
        <f t="shared" si="0"/>
        <v>846.26390750880421</v>
      </c>
      <c r="H28" s="127">
        <f t="shared" si="0"/>
        <v>944.22037334202071</v>
      </c>
      <c r="I28" s="127">
        <f t="shared" si="0"/>
        <v>1043.6396238941536</v>
      </c>
      <c r="J28" s="127">
        <f t="shared" si="0"/>
        <v>1164.9670227156776</v>
      </c>
      <c r="K28" s="127">
        <f t="shared" si="0"/>
        <v>1305.250195213182</v>
      </c>
      <c r="L28" s="127">
        <f t="shared" si="0"/>
        <v>1453.5840340143691</v>
      </c>
    </row>
    <row r="29" spans="1:12" x14ac:dyDescent="0.25">
      <c r="A29" t="s">
        <v>367</v>
      </c>
      <c r="B29" s="127">
        <f>'Game Assumptions'!K48</f>
        <v>50</v>
      </c>
      <c r="C29" s="127">
        <f>INDEX($B$22:$L$29,MATCH($A29,$A$22:$A$29,0),C$21)+INDEX($B$2:$L$9,MATCH($A29,$A$2:$A$9,0),C$21+1)-INDEX($B$12:$L$19,MATCH($A29,$A$12:$A$19,0),C$21+1)+'Event Tracker'!C128</f>
        <v>60</v>
      </c>
      <c r="D29" s="127">
        <f t="shared" si="0"/>
        <v>143.63155522947554</v>
      </c>
      <c r="E29" s="127">
        <f t="shared" si="0"/>
        <v>455.93221876903931</v>
      </c>
      <c r="F29" s="127">
        <f t="shared" si="0"/>
        <v>539.61445794437145</v>
      </c>
      <c r="G29" s="127">
        <f t="shared" si="0"/>
        <v>621.26390750880421</v>
      </c>
      <c r="H29" s="127">
        <f t="shared" si="0"/>
        <v>704.22037334202071</v>
      </c>
      <c r="I29" s="127">
        <f t="shared" si="0"/>
        <v>788.6396238941536</v>
      </c>
      <c r="J29" s="127">
        <f t="shared" si="0"/>
        <v>894.96702271567767</v>
      </c>
      <c r="K29" s="127">
        <f t="shared" si="0"/>
        <v>1020.250195213182</v>
      </c>
      <c r="L29" s="127">
        <f t="shared" si="0"/>
        <v>1153.5840340143691</v>
      </c>
    </row>
    <row r="30" spans="1:12" x14ac:dyDescent="0.25">
      <c r="A30" t="s">
        <v>169</v>
      </c>
      <c r="B30" s="16">
        <f>Reliability!B19</f>
        <v>300</v>
      </c>
      <c r="C30" s="16">
        <f>Reliability!C19</f>
        <v>300</v>
      </c>
      <c r="D30" s="16">
        <f>Reliability!D19</f>
        <v>300</v>
      </c>
      <c r="E30" s="16">
        <f>Reliability!E19</f>
        <v>300</v>
      </c>
      <c r="F30" s="16">
        <f>Reliability!F19</f>
        <v>300</v>
      </c>
      <c r="G30" s="16">
        <f>Reliability!G19</f>
        <v>300</v>
      </c>
      <c r="H30" s="16">
        <f>Reliability!H19</f>
        <v>300</v>
      </c>
      <c r="I30" s="16">
        <f>Reliability!I19</f>
        <v>300</v>
      </c>
      <c r="J30" s="16">
        <f>Reliability!J19</f>
        <v>300</v>
      </c>
      <c r="K30" s="16">
        <f>Reliability!K19</f>
        <v>300</v>
      </c>
      <c r="L30" s="16">
        <f>Reliability!L19</f>
        <v>300</v>
      </c>
    </row>
    <row r="31" spans="1:12" x14ac:dyDescent="0.25">
      <c r="A31" t="s">
        <v>148</v>
      </c>
      <c r="B31" s="16">
        <f>Reliability!B20</f>
        <v>10</v>
      </c>
      <c r="C31" s="16">
        <f>Reliability!C20</f>
        <v>10</v>
      </c>
      <c r="D31" s="16">
        <f>Reliability!D20</f>
        <v>10</v>
      </c>
      <c r="E31" s="16">
        <f>Reliability!E20</f>
        <v>10</v>
      </c>
      <c r="F31" s="16">
        <f>Reliability!F20</f>
        <v>10</v>
      </c>
      <c r="G31" s="16">
        <f>Reliability!G20</f>
        <v>10</v>
      </c>
      <c r="H31" s="16">
        <f>Reliability!H20</f>
        <v>10</v>
      </c>
      <c r="I31" s="16">
        <f>Reliability!I20</f>
        <v>10</v>
      </c>
      <c r="J31" s="16">
        <f>Reliability!J20</f>
        <v>10</v>
      </c>
      <c r="K31" s="16">
        <f>Reliability!K20</f>
        <v>10</v>
      </c>
      <c r="L31" s="16">
        <f>Reliability!L20</f>
        <v>10</v>
      </c>
    </row>
    <row r="32" spans="1:12" x14ac:dyDescent="0.25">
      <c r="A32" t="s">
        <v>147</v>
      </c>
      <c r="B32" s="16">
        <f>Reliability!B21</f>
        <v>200</v>
      </c>
      <c r="C32" s="16">
        <f>Reliability!C21</f>
        <v>200</v>
      </c>
      <c r="D32" s="16">
        <f>Reliability!D21</f>
        <v>200</v>
      </c>
      <c r="E32" s="16">
        <f>Reliability!E21</f>
        <v>200</v>
      </c>
      <c r="F32" s="16">
        <f>Reliability!F21</f>
        <v>200</v>
      </c>
      <c r="G32" s="16">
        <f>Reliability!G21</f>
        <v>200</v>
      </c>
      <c r="H32" s="16">
        <f>Reliability!H21</f>
        <v>200</v>
      </c>
      <c r="I32" s="16">
        <f>Reliability!I21</f>
        <v>200</v>
      </c>
      <c r="J32" s="16">
        <f>Reliability!J21</f>
        <v>200</v>
      </c>
      <c r="K32" s="16">
        <f>Reliability!K21</f>
        <v>200</v>
      </c>
      <c r="L32" s="16">
        <f>Reliability!L21</f>
        <v>200</v>
      </c>
    </row>
    <row r="33" spans="1:12" x14ac:dyDescent="0.25">
      <c r="A33" t="s">
        <v>36</v>
      </c>
      <c r="B33" s="16">
        <f>Reliability!B22</f>
        <v>100</v>
      </c>
      <c r="C33" s="16">
        <f>Reliability!C22</f>
        <v>100</v>
      </c>
      <c r="D33" s="16">
        <f>Reliability!D22</f>
        <v>100</v>
      </c>
      <c r="E33" s="16">
        <f>Reliability!E22</f>
        <v>100</v>
      </c>
      <c r="F33" s="16">
        <f>Reliability!F22</f>
        <v>100</v>
      </c>
      <c r="G33" s="16">
        <f>Reliability!G22</f>
        <v>100</v>
      </c>
      <c r="H33" s="16">
        <f>Reliability!H22</f>
        <v>100</v>
      </c>
      <c r="I33" s="16">
        <f>Reliability!I22</f>
        <v>100</v>
      </c>
      <c r="J33" s="16">
        <f>Reliability!J22</f>
        <v>100</v>
      </c>
      <c r="K33" s="16">
        <f>Reliability!K22</f>
        <v>100</v>
      </c>
      <c r="L33" s="16">
        <f>Reliability!L22</f>
        <v>100</v>
      </c>
    </row>
    <row r="34" spans="1:12" x14ac:dyDescent="0.25">
      <c r="B34" s="2"/>
      <c r="C34" s="84"/>
      <c r="D34" s="84"/>
      <c r="E34" s="84"/>
      <c r="F34" s="84"/>
      <c r="G34" s="84"/>
      <c r="H34" s="84"/>
      <c r="I34" s="84"/>
      <c r="J34" s="84"/>
      <c r="K34" s="84"/>
      <c r="L34" s="84"/>
    </row>
    <row r="35" spans="1:12" x14ac:dyDescent="0.25">
      <c r="A35" s="9" t="s">
        <v>164</v>
      </c>
      <c r="B35" s="9">
        <v>0</v>
      </c>
      <c r="C35" s="9">
        <v>1</v>
      </c>
      <c r="D35" s="9">
        <v>2</v>
      </c>
      <c r="E35" s="9">
        <v>3</v>
      </c>
      <c r="F35" s="9">
        <v>4</v>
      </c>
      <c r="G35" s="9">
        <v>5</v>
      </c>
      <c r="H35" s="9">
        <v>6</v>
      </c>
      <c r="I35" s="9">
        <v>7</v>
      </c>
      <c r="J35" s="9">
        <v>8</v>
      </c>
      <c r="K35" s="9">
        <v>9</v>
      </c>
      <c r="L35" s="9">
        <v>10</v>
      </c>
    </row>
    <row r="36" spans="1:12" x14ac:dyDescent="0.25">
      <c r="A36" t="s">
        <v>7</v>
      </c>
      <c r="B36" s="84">
        <f>(B22*'Game Assumptions'!$G55*8760)</f>
        <v>18921600</v>
      </c>
      <c r="C36" s="84">
        <f>(C22*'Game Assumptions'!$G55*8760)</f>
        <v>18921600</v>
      </c>
      <c r="D36" s="84">
        <f>(D22*'Game Assumptions'!$G55*8760)</f>
        <v>14191200</v>
      </c>
      <c r="E36" s="84">
        <f>(E22*'Game Assumptions'!$G55*8760)</f>
        <v>9460800</v>
      </c>
      <c r="F36" s="84">
        <f>(F22*'Game Assumptions'!$G55*8760)</f>
        <v>9460800</v>
      </c>
      <c r="G36" s="84">
        <f>(G22*'Game Assumptions'!$G55*8760)</f>
        <v>9460800</v>
      </c>
      <c r="H36" s="84">
        <f>(H22*'Game Assumptions'!$G55*8760)</f>
        <v>9460800</v>
      </c>
      <c r="I36" s="84">
        <f>(I22*'Game Assumptions'!$G55*8760)</f>
        <v>9460800</v>
      </c>
      <c r="J36" s="84">
        <f>(J22*'Game Assumptions'!$G55*8760)</f>
        <v>9460800</v>
      </c>
      <c r="K36" s="84">
        <f>(K22*'Game Assumptions'!$G55*8760)</f>
        <v>9460800</v>
      </c>
      <c r="L36" s="84">
        <f>(L22*'Game Assumptions'!$G55*8760)</f>
        <v>9460800</v>
      </c>
    </row>
    <row r="37" spans="1:12" x14ac:dyDescent="0.25">
      <c r="A37" t="s">
        <v>8</v>
      </c>
      <c r="B37" s="84">
        <f>(B23*'Game Assumptions'!$G56*8760)</f>
        <v>38544000</v>
      </c>
      <c r="C37" s="84">
        <f>(C23*'Game Assumptions'!$G56*8760)</f>
        <v>38544000</v>
      </c>
      <c r="D37" s="84">
        <f>(D23*'Game Assumptions'!$G56*8760)</f>
        <v>39253513.666191228</v>
      </c>
      <c r="E37" s="84">
        <f>(E23*'Game Assumptions'!$G56*8760)</f>
        <v>42166482.860058464</v>
      </c>
      <c r="F37" s="84">
        <f>(F23*'Game Assumptions'!$G56*8760)</f>
        <v>42876484.916751966</v>
      </c>
      <c r="G37" s="84">
        <f>(G23*'Game Assumptions'!$G56*8760)</f>
        <v>43566899.012754843</v>
      </c>
      <c r="H37" s="84">
        <f>(H23*'Game Assumptions'!$G56*8760)</f>
        <v>44269907.517523713</v>
      </c>
      <c r="I37" s="84">
        <f>(I23*'Game Assumptions'!$G56*8760)</f>
        <v>44987011.415844075</v>
      </c>
      <c r="J37" s="84">
        <f>(J23*'Game Assumptions'!$G56*8760)</f>
        <v>45915222.230888277</v>
      </c>
      <c r="K37" s="84">
        <f>(K23*'Game Assumptions'!$G56*8760)</f>
        <v>47026090.881074227</v>
      </c>
      <c r="L37" s="84">
        <f>(L23*'Game Assumptions'!$G56*8760)</f>
        <v>48214535.751762472</v>
      </c>
    </row>
    <row r="38" spans="1:12" x14ac:dyDescent="0.25">
      <c r="A38" t="s">
        <v>13</v>
      </c>
      <c r="B38" s="84">
        <f>(B24*'Game Assumptions'!$G57*8760)</f>
        <v>16363680</v>
      </c>
      <c r="C38" s="84">
        <f>(C24*'Game Assumptions'!$G57*8760)</f>
        <v>8181840</v>
      </c>
      <c r="D38" s="84">
        <f>(D24*'Game Assumptions'!$G57*8760)</f>
        <v>8181840</v>
      </c>
      <c r="E38" s="84">
        <f>(E24*'Game Assumptions'!$G57*8760)</f>
        <v>8181840</v>
      </c>
      <c r="F38" s="84">
        <f>(F24*'Game Assumptions'!$G57*8760)</f>
        <v>8181840</v>
      </c>
      <c r="G38" s="84">
        <f>(G24*'Game Assumptions'!$G57*8760)</f>
        <v>8181840</v>
      </c>
      <c r="H38" s="84">
        <f>(H24*'Game Assumptions'!$G57*8760)</f>
        <v>8181840</v>
      </c>
      <c r="I38" s="84">
        <f>(I24*'Game Assumptions'!$G57*8760)</f>
        <v>8181840</v>
      </c>
      <c r="J38" s="84">
        <f>(J24*'Game Assumptions'!$G57*8760)</f>
        <v>8181840</v>
      </c>
      <c r="K38" s="84">
        <f>(K24*'Game Assumptions'!$G57*8760)</f>
        <v>8181840</v>
      </c>
      <c r="L38" s="84">
        <f>(L24*'Game Assumptions'!$G57*8760)</f>
        <v>8181840</v>
      </c>
    </row>
    <row r="39" spans="1:12" x14ac:dyDescent="0.25">
      <c r="A39" t="s">
        <v>9</v>
      </c>
      <c r="B39" s="84">
        <f>(B25*'Game Assumptions'!$G58*8760)</f>
        <v>451665.6</v>
      </c>
      <c r="C39" s="84">
        <f>(C25*'Game Assumptions'!$G58*8760)</f>
        <v>451665.6</v>
      </c>
      <c r="D39" s="84">
        <f>(D25*'Game Assumptions'!$G58*8760)</f>
        <v>617949.80285827105</v>
      </c>
      <c r="E39" s="84">
        <f>(E25*'Game Assumptions'!$G58*8760)</f>
        <v>1300643.8557482469</v>
      </c>
      <c r="F39" s="84">
        <f>(F25*'Game Assumptions'!$G58*8760)</f>
        <v>1467042.5195805964</v>
      </c>
      <c r="G39" s="84">
        <f>(G25*'Game Assumptions'!$G58*8760)</f>
        <v>1628850.4777165428</v>
      </c>
      <c r="H39" s="84">
        <f>(H25*'Game Assumptions'!$G58*8760)</f>
        <v>1793610.1072887387</v>
      </c>
      <c r="I39" s="84">
        <f>(I25*'Game Assumptions'!$G58*8760)</f>
        <v>1961673.184549636</v>
      </c>
      <c r="J39" s="84">
        <f>(J25*'Game Assumptions'!$G58*8760)</f>
        <v>2179212.0464754505</v>
      </c>
      <c r="K39" s="84">
        <f>(K25*'Game Assumptions'!$G58*8760)</f>
        <v>2439559.2628553947</v>
      </c>
      <c r="L39" s="84">
        <f>(L25*'Game Assumptions'!$G58*8760)</f>
        <v>2718087.5243676021</v>
      </c>
    </row>
    <row r="40" spans="1:12" x14ac:dyDescent="0.25">
      <c r="A40" t="s">
        <v>10</v>
      </c>
      <c r="B40" s="84">
        <f>(B26*'Game Assumptions'!$G59*8760)</f>
        <v>765974.4</v>
      </c>
      <c r="C40" s="84">
        <f>(C26*'Game Assumptions'!$G59*8760)</f>
        <v>765974.4</v>
      </c>
      <c r="D40" s="84">
        <f>(D26*'Game Assumptions'!$G59*8760)</f>
        <v>1047973.8316898219</v>
      </c>
      <c r="E40" s="84">
        <f>(E26*'Game Assumptions'!$G59*8760)</f>
        <v>2205746.6785614179</v>
      </c>
      <c r="F40" s="84">
        <f>(F26*'Game Assumptions'!$G59*8760)</f>
        <v>2487940.2232763255</v>
      </c>
      <c r="G40" s="84">
        <f>(G26*'Game Assumptions'!$G59*8760)</f>
        <v>2762348.4439785588</v>
      </c>
      <c r="H40" s="84">
        <f>(H26*'Game Assumptions'!$G59*8760)</f>
        <v>3041762.3696921514</v>
      </c>
      <c r="I40" s="84">
        <f>(I26*'Game Assumptions'!$G59*8760)</f>
        <v>3326778.5736427498</v>
      </c>
      <c r="J40" s="84">
        <f>(J26*'Game Assumptions'!$G59*8760)</f>
        <v>3695700.1812221375</v>
      </c>
      <c r="K40" s="84">
        <f>(K26*'Game Assumptions'!$G59*8760)</f>
        <v>4137219.9756414997</v>
      </c>
      <c r="L40" s="84">
        <f>(L26*'Game Assumptions'!$G59*8760)</f>
        <v>4609572.7915186798</v>
      </c>
    </row>
    <row r="41" spans="1:12" x14ac:dyDescent="0.25">
      <c r="A41" t="s">
        <v>11</v>
      </c>
      <c r="B41" s="84">
        <f>(B27*'Game Assumptions'!$G60*8760)</f>
        <v>601286.40000000002</v>
      </c>
      <c r="C41" s="84">
        <f>(C27*'Game Assumptions'!$G60*8760)</f>
        <v>601286.40000000002</v>
      </c>
      <c r="D41" s="84">
        <f>(D27*'Game Assumptions'!$G60*8760)</f>
        <v>601286.40000000002</v>
      </c>
      <c r="E41" s="84">
        <f>(E27*'Game Assumptions'!$G60*8760)</f>
        <v>601286.40000000002</v>
      </c>
      <c r="F41" s="84">
        <f>(F27*'Game Assumptions'!$G60*8760)</f>
        <v>601286.40000000002</v>
      </c>
      <c r="G41" s="84">
        <f>(G27*'Game Assumptions'!$G60*8760)</f>
        <v>601286.40000000002</v>
      </c>
      <c r="H41" s="84">
        <f>(H27*'Game Assumptions'!$G60*8760)</f>
        <v>601286.40000000002</v>
      </c>
      <c r="I41" s="84">
        <f>(I27*'Game Assumptions'!$G60*8760)</f>
        <v>601286.40000000002</v>
      </c>
      <c r="J41" s="84">
        <f>(J27*'Game Assumptions'!$G60*8760)</f>
        <v>601286.40000000002</v>
      </c>
      <c r="K41" s="84">
        <f>(K27*'Game Assumptions'!$G60*8760)</f>
        <v>601286.40000000002</v>
      </c>
      <c r="L41" s="84">
        <f>(L27*'Game Assumptions'!$G60*8760)</f>
        <v>601286.40000000002</v>
      </c>
    </row>
    <row r="42" spans="1:12" x14ac:dyDescent="0.25">
      <c r="A42" t="s">
        <v>12</v>
      </c>
      <c r="B42" s="84">
        <f>(B28*'Game Assumptions'!$G61*8760)</f>
        <v>1752000</v>
      </c>
      <c r="C42" s="84">
        <f>(C28*'Game Assumptions'!$G61*8760)</f>
        <v>1971000</v>
      </c>
      <c r="D42" s="84">
        <f>(D28*'Game Assumptions'!$G61*8760)</f>
        <v>2835012.4238102059</v>
      </c>
      <c r="E42" s="84">
        <f>(E28*'Game Assumptions'!$G61*8760)</f>
        <v>5702166.2364167841</v>
      </c>
      <c r="F42" s="84">
        <f>(F28*'Game Assumptions'!$G61*8760)</f>
        <v>6566622.6515926942</v>
      </c>
      <c r="G42" s="84">
        <f>(G28*'Game Assumptions'!$G61*8760)</f>
        <v>7413271.8297771253</v>
      </c>
      <c r="H42" s="84">
        <f>(H28*'Game Assumptions'!$G61*8760)</f>
        <v>8271370.4704761012</v>
      </c>
      <c r="I42" s="84">
        <f>(I28*'Game Assumptions'!$G61*8760)</f>
        <v>9142283.1053127851</v>
      </c>
      <c r="J42" s="84">
        <f>(J28*'Game Assumptions'!$G61*8760)</f>
        <v>10205111.118989335</v>
      </c>
      <c r="K42" s="84">
        <f>(K28*'Game Assumptions'!$G61*8760)</f>
        <v>11433991.710067475</v>
      </c>
      <c r="L42" s="84">
        <f>(L28*'Game Assumptions'!$G61*8760)</f>
        <v>12733396.137965873</v>
      </c>
    </row>
    <row r="43" spans="1:12" x14ac:dyDescent="0.25">
      <c r="A43" t="s">
        <v>367</v>
      </c>
      <c r="B43" s="84">
        <f>(B29*'Game Assumptions'!$G62*8760)</f>
        <v>66707.399999999994</v>
      </c>
      <c r="C43" s="84">
        <f>(C29*'Game Assumptions'!$G62*8760)</f>
        <v>80048.88</v>
      </c>
      <c r="D43" s="84">
        <f>(D29*'Game Assumptions'!$G62*8760)</f>
        <v>191625.75214629431</v>
      </c>
      <c r="E43" s="84">
        <f>(E29*'Game Assumptions'!$G62*8760)</f>
        <v>608281.05780627625</v>
      </c>
      <c r="F43" s="84">
        <f>(F29*'Game Assumptions'!$G62*8760)</f>
        <v>719925.54983756726</v>
      </c>
      <c r="G43" s="84">
        <f>(G29*'Game Assumptions'!$G62*8760)</f>
        <v>828857.99967505608</v>
      </c>
      <c r="H43" s="84">
        <f>(H29*'Game Assumptions'!$G62*8760)</f>
        <v>939534.20265351015</v>
      </c>
      <c r="I43" s="84">
        <f>(I29*'Game Assumptions'!$G62*8760)</f>
        <v>1052161.9769391371</v>
      </c>
      <c r="J43" s="84">
        <f>(J29*'Game Assumptions'!$G62*8760)</f>
        <v>1194018.4634220758</v>
      </c>
      <c r="K43" s="84">
        <f>(K29*'Game Assumptions'!$G62*8760)</f>
        <v>1361164.7574432762</v>
      </c>
      <c r="L43" s="84">
        <f>(L29*'Game Assumptions'!$G62*8760)</f>
        <v>1539051.8318122022</v>
      </c>
    </row>
    <row r="44" spans="1:12" x14ac:dyDescent="0.25">
      <c r="A44" t="s">
        <v>169</v>
      </c>
      <c r="B44" s="84">
        <f>B30*'Game Assumptions'!$K55*8760</f>
        <v>315360</v>
      </c>
      <c r="C44" s="84">
        <f>C30*'Game Assumptions'!$K55*8760</f>
        <v>315360</v>
      </c>
      <c r="D44" s="84">
        <f>D30*'Game Assumptions'!$K55*8760</f>
        <v>315360</v>
      </c>
      <c r="E44" s="84">
        <f>E30*'Game Assumptions'!$K55*8760</f>
        <v>315360</v>
      </c>
      <c r="F44" s="84">
        <f>F30*'Game Assumptions'!$K55*8760</f>
        <v>315360</v>
      </c>
      <c r="G44" s="84">
        <f>G30*'Game Assumptions'!$K55*8760</f>
        <v>315360</v>
      </c>
      <c r="H44" s="84">
        <f>H30*'Game Assumptions'!$K55*8760</f>
        <v>315360</v>
      </c>
      <c r="I44" s="84">
        <f>I30*'Game Assumptions'!$K55*8760</f>
        <v>315360</v>
      </c>
      <c r="J44" s="84">
        <f>J30*'Game Assumptions'!$K55*8760</f>
        <v>315360</v>
      </c>
      <c r="K44" s="84">
        <f>K30*'Game Assumptions'!$K55*8760</f>
        <v>315360</v>
      </c>
      <c r="L44" s="84">
        <f>L30*'Game Assumptions'!$K55*8760</f>
        <v>315360</v>
      </c>
    </row>
    <row r="45" spans="1:12" x14ac:dyDescent="0.25">
      <c r="A45" t="s">
        <v>148</v>
      </c>
      <c r="B45" s="84">
        <f>B31*'Game Assumptions'!$K56*8760</f>
        <v>14629.2</v>
      </c>
      <c r="C45" s="84">
        <f>C31*'Game Assumptions'!$K56*8760</f>
        <v>14629.2</v>
      </c>
      <c r="D45" s="84">
        <f>D31*'Game Assumptions'!$K56*8760</f>
        <v>14629.2</v>
      </c>
      <c r="E45" s="84">
        <f>E31*'Game Assumptions'!$K56*8760</f>
        <v>14629.2</v>
      </c>
      <c r="F45" s="84">
        <f>F31*'Game Assumptions'!$K56*8760</f>
        <v>14629.2</v>
      </c>
      <c r="G45" s="84">
        <f>G31*'Game Assumptions'!$K56*8760</f>
        <v>14629.2</v>
      </c>
      <c r="H45" s="84">
        <f>H31*'Game Assumptions'!$K56*8760</f>
        <v>14629.2</v>
      </c>
      <c r="I45" s="84">
        <f>I31*'Game Assumptions'!$K56*8760</f>
        <v>14629.2</v>
      </c>
      <c r="J45" s="84">
        <f>J31*'Game Assumptions'!$K56*8760</f>
        <v>14629.2</v>
      </c>
      <c r="K45" s="84">
        <f>K31*'Game Assumptions'!$K56*8760</f>
        <v>14629.2</v>
      </c>
      <c r="L45" s="84">
        <f>L31*'Game Assumptions'!$K56*8760</f>
        <v>14629.2</v>
      </c>
    </row>
    <row r="46" spans="1:12" x14ac:dyDescent="0.25">
      <c r="A46" t="s">
        <v>147</v>
      </c>
      <c r="B46" s="84">
        <f>B32*'Game Assumptions'!$K57*8760</f>
        <v>438000</v>
      </c>
      <c r="C46" s="84">
        <f>C32*'Game Assumptions'!$K57*8760</f>
        <v>438000</v>
      </c>
      <c r="D46" s="84">
        <f>D32*'Game Assumptions'!$K57*8760</f>
        <v>438000</v>
      </c>
      <c r="E46" s="84">
        <f>E32*'Game Assumptions'!$K57*8760</f>
        <v>438000</v>
      </c>
      <c r="F46" s="84">
        <f>F32*'Game Assumptions'!$K57*8760</f>
        <v>438000</v>
      </c>
      <c r="G46" s="84">
        <f>G32*'Game Assumptions'!$K57*8760</f>
        <v>438000</v>
      </c>
      <c r="H46" s="84">
        <f>H32*'Game Assumptions'!$K57*8760</f>
        <v>438000</v>
      </c>
      <c r="I46" s="84">
        <f>I32*'Game Assumptions'!$K57*8760</f>
        <v>438000</v>
      </c>
      <c r="J46" s="84">
        <f>J32*'Game Assumptions'!$K57*8760</f>
        <v>438000</v>
      </c>
      <c r="K46" s="84">
        <f>K32*'Game Assumptions'!$K57*8760</f>
        <v>438000</v>
      </c>
      <c r="L46" s="84">
        <f>L32*'Game Assumptions'!$K57*8760</f>
        <v>438000</v>
      </c>
    </row>
    <row r="47" spans="1:12" x14ac:dyDescent="0.25">
      <c r="A47" t="s">
        <v>36</v>
      </c>
      <c r="B47" s="84">
        <f>B33*'Game Assumptions'!$K58*8760</f>
        <v>43800</v>
      </c>
      <c r="C47" s="84">
        <f>C33*'Game Assumptions'!$K58*8760</f>
        <v>43800</v>
      </c>
      <c r="D47" s="84">
        <f>D33*'Game Assumptions'!$K58*8760</f>
        <v>43800</v>
      </c>
      <c r="E47" s="84">
        <f>E33*'Game Assumptions'!$K58*8760</f>
        <v>43800</v>
      </c>
      <c r="F47" s="84">
        <f>F33*'Game Assumptions'!$K58*8760</f>
        <v>43800</v>
      </c>
      <c r="G47" s="84">
        <f>G33*'Game Assumptions'!$K58*8760</f>
        <v>43800</v>
      </c>
      <c r="H47" s="84">
        <f>H33*'Game Assumptions'!$K58*8760</f>
        <v>43800</v>
      </c>
      <c r="I47" s="84">
        <f>I33*'Game Assumptions'!$K58*8760</f>
        <v>43800</v>
      </c>
      <c r="J47" s="84">
        <f>J33*'Game Assumptions'!$K58*8760</f>
        <v>43800</v>
      </c>
      <c r="K47" s="84">
        <f>K33*'Game Assumptions'!$K58*8760</f>
        <v>43800</v>
      </c>
      <c r="L47" s="84">
        <f>L33*'Game Assumptions'!$K58*8760</f>
        <v>43800</v>
      </c>
    </row>
    <row r="50" spans="1:12" x14ac:dyDescent="0.25">
      <c r="A50" s="9" t="s">
        <v>165</v>
      </c>
      <c r="B50" s="9">
        <v>0</v>
      </c>
      <c r="C50" s="9">
        <v>1</v>
      </c>
      <c r="D50" s="9">
        <v>2</v>
      </c>
      <c r="E50" s="9">
        <v>3</v>
      </c>
      <c r="F50" s="9">
        <v>4</v>
      </c>
      <c r="G50" s="9">
        <v>5</v>
      </c>
      <c r="H50" s="9">
        <v>6</v>
      </c>
      <c r="I50" s="9">
        <v>7</v>
      </c>
      <c r="J50" s="9">
        <v>8</v>
      </c>
      <c r="K50" s="9">
        <v>9</v>
      </c>
      <c r="L50" s="9">
        <v>10</v>
      </c>
    </row>
    <row r="51" spans="1:12" x14ac:dyDescent="0.25">
      <c r="A51" t="s">
        <v>7</v>
      </c>
      <c r="B51" s="84">
        <f t="shared" ref="B51:L51" si="1">B36</f>
        <v>18921600</v>
      </c>
      <c r="C51" s="84">
        <f t="shared" si="1"/>
        <v>18921600</v>
      </c>
      <c r="D51" s="84">
        <f t="shared" si="1"/>
        <v>14191200</v>
      </c>
      <c r="E51" s="84">
        <f t="shared" si="1"/>
        <v>9460800</v>
      </c>
      <c r="F51" s="84">
        <f t="shared" si="1"/>
        <v>9460800</v>
      </c>
      <c r="G51" s="84">
        <f t="shared" si="1"/>
        <v>9460800</v>
      </c>
      <c r="H51" s="84">
        <f t="shared" si="1"/>
        <v>9460800</v>
      </c>
      <c r="I51" s="84">
        <f t="shared" si="1"/>
        <v>9460800</v>
      </c>
      <c r="J51" s="84">
        <f t="shared" si="1"/>
        <v>9460800</v>
      </c>
      <c r="K51" s="84">
        <f t="shared" si="1"/>
        <v>9460800</v>
      </c>
      <c r="L51" s="84">
        <f t="shared" si="1"/>
        <v>9460800</v>
      </c>
    </row>
    <row r="52" spans="1:12" x14ac:dyDescent="0.25">
      <c r="A52" t="s">
        <v>8</v>
      </c>
      <c r="B52" s="84">
        <f t="shared" ref="B52:L52" si="2">B37</f>
        <v>38544000</v>
      </c>
      <c r="C52" s="84">
        <f t="shared" si="2"/>
        <v>38544000</v>
      </c>
      <c r="D52" s="84">
        <f t="shared" si="2"/>
        <v>39253513.666191228</v>
      </c>
      <c r="E52" s="84">
        <f t="shared" si="2"/>
        <v>42166482.860058464</v>
      </c>
      <c r="F52" s="84">
        <f t="shared" si="2"/>
        <v>42876484.916751966</v>
      </c>
      <c r="G52" s="84">
        <f t="shared" si="2"/>
        <v>43566899.012754843</v>
      </c>
      <c r="H52" s="84">
        <f t="shared" si="2"/>
        <v>44269907.517523713</v>
      </c>
      <c r="I52" s="84">
        <f t="shared" si="2"/>
        <v>44987011.415844075</v>
      </c>
      <c r="J52" s="84">
        <f t="shared" si="2"/>
        <v>45915222.230888277</v>
      </c>
      <c r="K52" s="84">
        <f t="shared" si="2"/>
        <v>47026090.881074227</v>
      </c>
      <c r="L52" s="84">
        <f t="shared" si="2"/>
        <v>48214535.751762472</v>
      </c>
    </row>
    <row r="53" spans="1:12" x14ac:dyDescent="0.25">
      <c r="A53" t="s">
        <v>13</v>
      </c>
      <c r="B53" s="84">
        <f t="shared" ref="B53:L53" si="3">B38</f>
        <v>16363680</v>
      </c>
      <c r="C53" s="84">
        <f t="shared" si="3"/>
        <v>8181840</v>
      </c>
      <c r="D53" s="84">
        <f t="shared" si="3"/>
        <v>8181840</v>
      </c>
      <c r="E53" s="84">
        <f t="shared" si="3"/>
        <v>8181840</v>
      </c>
      <c r="F53" s="84">
        <f t="shared" si="3"/>
        <v>8181840</v>
      </c>
      <c r="G53" s="84">
        <f t="shared" si="3"/>
        <v>8181840</v>
      </c>
      <c r="H53" s="84">
        <f t="shared" si="3"/>
        <v>8181840</v>
      </c>
      <c r="I53" s="84">
        <f t="shared" si="3"/>
        <v>8181840</v>
      </c>
      <c r="J53" s="84">
        <f t="shared" si="3"/>
        <v>8181840</v>
      </c>
      <c r="K53" s="84">
        <f t="shared" si="3"/>
        <v>8181840</v>
      </c>
      <c r="L53" s="84">
        <f t="shared" si="3"/>
        <v>8181840</v>
      </c>
    </row>
    <row r="54" spans="1:12" x14ac:dyDescent="0.25">
      <c r="A54" t="s">
        <v>9</v>
      </c>
      <c r="B54" s="84">
        <f>MIN(B25,Reliability!B$54)*8760*'Game Assumptions'!$G$58</f>
        <v>451665.6</v>
      </c>
      <c r="C54" s="84">
        <f>MIN(C25,Reliability!C54)*8760*'Game Assumptions'!$G$58</f>
        <v>451665.6</v>
      </c>
      <c r="D54" s="84">
        <f>MIN(D25,Reliability!D54)*8760*'Game Assumptions'!$G$58</f>
        <v>617949.80285827105</v>
      </c>
      <c r="E54" s="84">
        <f>MIN(E25,Reliability!E54)*8760*'Game Assumptions'!$G$58</f>
        <v>1300643.8557482469</v>
      </c>
      <c r="F54" s="84">
        <f>MIN(F25,Reliability!F54)*8760*'Game Assumptions'!$G$58</f>
        <v>1417784.8254371637</v>
      </c>
      <c r="G54" s="84">
        <f>MIN(G25,Reliability!G54)*8760*'Game Assumptions'!$G$58</f>
        <v>1417784.8254371637</v>
      </c>
      <c r="H54" s="84">
        <f>MIN(H25,Reliability!H54)*8760*'Game Assumptions'!$G$58</f>
        <v>1417784.8254371637</v>
      </c>
      <c r="I54" s="84">
        <f>MIN(I25,Reliability!I54)*8760*'Game Assumptions'!$G$58</f>
        <v>1417784.8254371637</v>
      </c>
      <c r="J54" s="84">
        <f>MIN(J25,Reliability!J54)*8760*'Game Assumptions'!$G$58</f>
        <v>1417784.8254371637</v>
      </c>
      <c r="K54" s="84">
        <f>MIN(K25,Reliability!K54)*8760*'Game Assumptions'!$G$58</f>
        <v>1417784.8254371637</v>
      </c>
      <c r="L54" s="84">
        <f>MIN(L25,Reliability!L54)*8760*'Game Assumptions'!$G$58</f>
        <v>1417784.8254371637</v>
      </c>
    </row>
    <row r="55" spans="1:12" x14ac:dyDescent="0.25">
      <c r="A55" t="s">
        <v>10</v>
      </c>
      <c r="B55" s="84">
        <f>MIN(B26,Reliability!B54)*8760*'Game Assumptions'!$G$59</f>
        <v>765974.39999999991</v>
      </c>
      <c r="C55" s="84">
        <f>MIN(C26,Reliability!C54)*8760*'Game Assumptions'!$G$59</f>
        <v>765974.39999999991</v>
      </c>
      <c r="D55" s="84">
        <f>MIN(D26,Reliability!D54)*8760*'Game Assumptions'!$G$59</f>
        <v>1047973.8316898219</v>
      </c>
      <c r="E55" s="84">
        <f>MIN(E26,Reliability!E54)*8760*'Game Assumptions'!$G$59</f>
        <v>2205746.6785614179</v>
      </c>
      <c r="F55" s="84">
        <f>MIN(F26,Reliability!F54)*8760*'Game Assumptions'!$G$59</f>
        <v>2404404.6768080993</v>
      </c>
      <c r="G55" s="84">
        <f>MIN(G26,Reliability!G54)*8760*'Game Assumptions'!$G$59</f>
        <v>2404404.6768080993</v>
      </c>
      <c r="H55" s="84">
        <f>MIN(H26,Reliability!H54)*8760*'Game Assumptions'!$G$59</f>
        <v>2404404.6768080993</v>
      </c>
      <c r="I55" s="84">
        <f>MIN(I26,Reliability!I54)*8760*'Game Assumptions'!$G$59</f>
        <v>2404404.6768080993</v>
      </c>
      <c r="J55" s="84">
        <f>MIN(J26,Reliability!J54)*8760*'Game Assumptions'!$G$59</f>
        <v>2404404.6768080993</v>
      </c>
      <c r="K55" s="84">
        <f>MIN(K26,Reliability!K54)*8760*'Game Assumptions'!$G$59</f>
        <v>2404404.6768080993</v>
      </c>
      <c r="L55" s="84">
        <f>MIN(L26,Reliability!L54)*8760*'Game Assumptions'!$G$59</f>
        <v>2404404.6768080993</v>
      </c>
    </row>
    <row r="56" spans="1:12" x14ac:dyDescent="0.25">
      <c r="A56" t="s">
        <v>11</v>
      </c>
      <c r="B56" s="84">
        <f t="shared" ref="B56:L56" si="4">B41</f>
        <v>601286.40000000002</v>
      </c>
      <c r="C56" s="84">
        <f t="shared" si="4"/>
        <v>601286.40000000002</v>
      </c>
      <c r="D56" s="84">
        <f t="shared" si="4"/>
        <v>601286.40000000002</v>
      </c>
      <c r="E56" s="84">
        <f t="shared" si="4"/>
        <v>601286.40000000002</v>
      </c>
      <c r="F56" s="84">
        <f t="shared" si="4"/>
        <v>601286.40000000002</v>
      </c>
      <c r="G56" s="84">
        <f t="shared" si="4"/>
        <v>601286.40000000002</v>
      </c>
      <c r="H56" s="84">
        <f t="shared" si="4"/>
        <v>601286.40000000002</v>
      </c>
      <c r="I56" s="84">
        <f t="shared" si="4"/>
        <v>601286.40000000002</v>
      </c>
      <c r="J56" s="84">
        <f t="shared" si="4"/>
        <v>601286.40000000002</v>
      </c>
      <c r="K56" s="84">
        <f t="shared" si="4"/>
        <v>601286.40000000002</v>
      </c>
      <c r="L56" s="84">
        <f t="shared" si="4"/>
        <v>601286.40000000002</v>
      </c>
    </row>
    <row r="57" spans="1:12" x14ac:dyDescent="0.25">
      <c r="A57" t="s">
        <v>12</v>
      </c>
      <c r="B57" s="84">
        <f>MIN(B42,B$68*0.15)</f>
        <v>1752000</v>
      </c>
      <c r="C57" s="84">
        <f t="shared" ref="C57:L57" si="5">MIN(C42,C$68*0.15)</f>
        <v>1971000</v>
      </c>
      <c r="D57" s="84">
        <f t="shared" si="5"/>
        <v>2835012.4238102059</v>
      </c>
      <c r="E57" s="84">
        <f t="shared" si="5"/>
        <v>5702166.2364167841</v>
      </c>
      <c r="F57" s="84">
        <f t="shared" si="5"/>
        <v>6566622.6515926942</v>
      </c>
      <c r="G57" s="84">
        <f t="shared" si="5"/>
        <v>7413271.8297771253</v>
      </c>
      <c r="H57" s="84">
        <f t="shared" si="5"/>
        <v>8271370.4704761012</v>
      </c>
      <c r="I57" s="84">
        <f t="shared" si="5"/>
        <v>8500425</v>
      </c>
      <c r="J57" s="84">
        <f t="shared" si="5"/>
        <v>8400000</v>
      </c>
      <c r="K57" s="84">
        <f t="shared" si="5"/>
        <v>8283375</v>
      </c>
      <c r="L57" s="84">
        <f t="shared" si="5"/>
        <v>8274750</v>
      </c>
    </row>
    <row r="58" spans="1:12" x14ac:dyDescent="0.25">
      <c r="A58" t="s">
        <v>367</v>
      </c>
      <c r="B58" s="84">
        <f>MIN(B29,Reliability!B55)*8760*'Game Assumptions'!$G$62</f>
        <v>66707.399999999994</v>
      </c>
      <c r="C58" s="84">
        <f>MIN(C29,Reliability!C55)*8760*'Game Assumptions'!$G$62</f>
        <v>80048.87999999999</v>
      </c>
      <c r="D58" s="84">
        <f>MIN(D29,Reliability!D55)*8760*'Game Assumptions'!$G$62</f>
        <v>191625.75214629431</v>
      </c>
      <c r="E58" s="84">
        <f>MIN(E29,Reliability!E55)*8760*'Game Assumptions'!$G$62</f>
        <v>389424.60456200416</v>
      </c>
      <c r="F58" s="84">
        <f>MIN(F29,Reliability!F55)*8760*'Game Assumptions'!$G$62</f>
        <v>389424.60456200416</v>
      </c>
      <c r="G58" s="84">
        <f>MIN(G29,Reliability!G55)*8760*'Game Assumptions'!$G$62</f>
        <v>389424.60456200416</v>
      </c>
      <c r="H58" s="84">
        <f>MIN(H29,Reliability!H55)*8760*'Game Assumptions'!$G$62</f>
        <v>389424.60456200416</v>
      </c>
      <c r="I58" s="84">
        <f>MIN(I29,Reliability!I55)*8760*'Game Assumptions'!$G$62</f>
        <v>389424.60456200416</v>
      </c>
      <c r="J58" s="84">
        <f>MIN(J29,Reliability!J55)*8760*'Game Assumptions'!$G$62</f>
        <v>389424.60456200416</v>
      </c>
      <c r="K58" s="84">
        <f>MIN(K29,Reliability!K55)*8760*'Game Assumptions'!$G$62</f>
        <v>389424.60456200416</v>
      </c>
      <c r="L58" s="84">
        <f>MIN(L29,Reliability!L55)*8760*'Game Assumptions'!$G$62</f>
        <v>389424.60456200416</v>
      </c>
    </row>
    <row r="59" spans="1:12" x14ac:dyDescent="0.25">
      <c r="A59" t="s">
        <v>169</v>
      </c>
      <c r="B59" s="84">
        <f t="shared" ref="B59:L59" si="6">B44</f>
        <v>315360</v>
      </c>
      <c r="C59" s="84">
        <f t="shared" si="6"/>
        <v>315360</v>
      </c>
      <c r="D59" s="84">
        <f t="shared" si="6"/>
        <v>315360</v>
      </c>
      <c r="E59" s="84">
        <f t="shared" si="6"/>
        <v>315360</v>
      </c>
      <c r="F59" s="84">
        <f t="shared" si="6"/>
        <v>315360</v>
      </c>
      <c r="G59" s="84">
        <f t="shared" si="6"/>
        <v>315360</v>
      </c>
      <c r="H59" s="84">
        <f t="shared" si="6"/>
        <v>315360</v>
      </c>
      <c r="I59" s="84">
        <f t="shared" si="6"/>
        <v>315360</v>
      </c>
      <c r="J59" s="84">
        <f t="shared" si="6"/>
        <v>315360</v>
      </c>
      <c r="K59" s="84">
        <f t="shared" si="6"/>
        <v>315360</v>
      </c>
      <c r="L59" s="84">
        <f t="shared" si="6"/>
        <v>315360</v>
      </c>
    </row>
    <row r="60" spans="1:12" x14ac:dyDescent="0.25">
      <c r="A60" t="s">
        <v>148</v>
      </c>
      <c r="B60" s="84">
        <f t="shared" ref="B60:L60" si="7">B45</f>
        <v>14629.2</v>
      </c>
      <c r="C60" s="84">
        <f t="shared" si="7"/>
        <v>14629.2</v>
      </c>
      <c r="D60" s="84">
        <f t="shared" si="7"/>
        <v>14629.2</v>
      </c>
      <c r="E60" s="84">
        <f t="shared" si="7"/>
        <v>14629.2</v>
      </c>
      <c r="F60" s="84">
        <f t="shared" si="7"/>
        <v>14629.2</v>
      </c>
      <c r="G60" s="84">
        <f t="shared" si="7"/>
        <v>14629.2</v>
      </c>
      <c r="H60" s="84">
        <f t="shared" si="7"/>
        <v>14629.2</v>
      </c>
      <c r="I60" s="84">
        <f t="shared" si="7"/>
        <v>14629.2</v>
      </c>
      <c r="J60" s="84">
        <f t="shared" si="7"/>
        <v>14629.2</v>
      </c>
      <c r="K60" s="84">
        <f t="shared" si="7"/>
        <v>14629.2</v>
      </c>
      <c r="L60" s="84">
        <f t="shared" si="7"/>
        <v>14629.2</v>
      </c>
    </row>
    <row r="61" spans="1:12" x14ac:dyDescent="0.25">
      <c r="A61" t="s">
        <v>147</v>
      </c>
      <c r="B61" s="84">
        <f t="shared" ref="B61:L61" si="8">B46</f>
        <v>438000</v>
      </c>
      <c r="C61" s="84">
        <f t="shared" si="8"/>
        <v>438000</v>
      </c>
      <c r="D61" s="84">
        <f t="shared" si="8"/>
        <v>438000</v>
      </c>
      <c r="E61" s="84">
        <f t="shared" si="8"/>
        <v>438000</v>
      </c>
      <c r="F61" s="84">
        <f t="shared" si="8"/>
        <v>438000</v>
      </c>
      <c r="G61" s="84">
        <f t="shared" si="8"/>
        <v>438000</v>
      </c>
      <c r="H61" s="84">
        <f t="shared" si="8"/>
        <v>438000</v>
      </c>
      <c r="I61" s="84">
        <f t="shared" si="8"/>
        <v>438000</v>
      </c>
      <c r="J61" s="84">
        <f t="shared" si="8"/>
        <v>438000</v>
      </c>
      <c r="K61" s="84">
        <f t="shared" si="8"/>
        <v>438000</v>
      </c>
      <c r="L61" s="84">
        <f t="shared" si="8"/>
        <v>438000</v>
      </c>
    </row>
    <row r="62" spans="1:12" x14ac:dyDescent="0.25">
      <c r="A62" t="s">
        <v>36</v>
      </c>
      <c r="B62" s="84">
        <f t="shared" ref="B62:L62" si="9">MIN(B47,0.1*SUM(B36:B47))</f>
        <v>43800</v>
      </c>
      <c r="C62" s="84">
        <f t="shared" si="9"/>
        <v>43800</v>
      </c>
      <c r="D62" s="84">
        <f t="shared" si="9"/>
        <v>43800</v>
      </c>
      <c r="E62" s="84">
        <f t="shared" si="9"/>
        <v>43800</v>
      </c>
      <c r="F62" s="84">
        <f t="shared" si="9"/>
        <v>43800</v>
      </c>
      <c r="G62" s="84">
        <f t="shared" si="9"/>
        <v>43800</v>
      </c>
      <c r="H62" s="84">
        <f t="shared" si="9"/>
        <v>43800</v>
      </c>
      <c r="I62" s="84">
        <f t="shared" si="9"/>
        <v>43800</v>
      </c>
      <c r="J62" s="84">
        <f t="shared" si="9"/>
        <v>43800</v>
      </c>
      <c r="K62" s="84">
        <f t="shared" si="9"/>
        <v>43800</v>
      </c>
      <c r="L62" s="84">
        <f t="shared" si="9"/>
        <v>43800</v>
      </c>
    </row>
    <row r="64" spans="1:12" x14ac:dyDescent="0.25">
      <c r="A64" s="9" t="s">
        <v>32</v>
      </c>
      <c r="B64" s="9">
        <v>0</v>
      </c>
      <c r="C64" s="9">
        <v>1</v>
      </c>
      <c r="D64" s="9">
        <v>2</v>
      </c>
      <c r="E64" s="9">
        <v>3</v>
      </c>
      <c r="F64" s="9">
        <v>4</v>
      </c>
      <c r="G64" s="9">
        <v>5</v>
      </c>
      <c r="H64" s="9">
        <v>6</v>
      </c>
      <c r="I64" s="9">
        <v>7</v>
      </c>
      <c r="J64" s="9">
        <v>8</v>
      </c>
      <c r="K64" s="9">
        <v>9</v>
      </c>
      <c r="L64" s="9">
        <v>10</v>
      </c>
    </row>
    <row r="65" spans="1:12" x14ac:dyDescent="0.25">
      <c r="A65" s="17" t="s">
        <v>62</v>
      </c>
      <c r="B65" s="84">
        <f>'Game Assumptions'!B155</f>
        <v>60000000</v>
      </c>
      <c r="C65" s="84">
        <f>'Game Assumptions'!C155</f>
        <v>59500000</v>
      </c>
      <c r="D65" s="84">
        <f>'Game Assumptions'!D155</f>
        <v>59000000</v>
      </c>
      <c r="E65" s="84">
        <f>'Game Assumptions'!E155</f>
        <v>58500000</v>
      </c>
      <c r="F65" s="84">
        <f>'Game Assumptions'!F155</f>
        <v>58000000</v>
      </c>
      <c r="G65" s="84">
        <f>'Game Assumptions'!G155</f>
        <v>57500000</v>
      </c>
      <c r="H65" s="84">
        <f>'Game Assumptions'!H155</f>
        <v>57000000</v>
      </c>
      <c r="I65" s="84">
        <f>'Game Assumptions'!I155</f>
        <v>56500000</v>
      </c>
      <c r="J65" s="84">
        <f>'Game Assumptions'!J155</f>
        <v>56000000</v>
      </c>
      <c r="K65" s="84">
        <f>'Game Assumptions'!K155</f>
        <v>55500000</v>
      </c>
      <c r="L65" s="84">
        <f>'Game Assumptions'!L155</f>
        <v>55000000</v>
      </c>
    </row>
    <row r="66" spans="1:12" x14ac:dyDescent="0.25">
      <c r="A66" s="17" t="s">
        <v>447</v>
      </c>
      <c r="B66" s="84">
        <f>B65-SUM(B57:B62)</f>
        <v>57369503.399999999</v>
      </c>
      <c r="C66" s="84">
        <f t="shared" ref="C66:L66" si="10">C65-SUM(C57:C62)</f>
        <v>56637161.920000002</v>
      </c>
      <c r="D66" s="84">
        <f t="shared" si="10"/>
        <v>55161572.624043502</v>
      </c>
      <c r="E66" s="84">
        <f t="shared" si="10"/>
        <v>51596619.959021211</v>
      </c>
      <c r="F66" s="84">
        <f t="shared" si="10"/>
        <v>50232163.543845303</v>
      </c>
      <c r="G66" s="84">
        <f t="shared" si="10"/>
        <v>48885514.365660869</v>
      </c>
      <c r="H66" s="84">
        <f t="shared" si="10"/>
        <v>47527415.724961892</v>
      </c>
      <c r="I66" s="84">
        <f t="shared" si="10"/>
        <v>46798361.195437998</v>
      </c>
      <c r="J66" s="84">
        <f t="shared" si="10"/>
        <v>46398786.195437998</v>
      </c>
      <c r="K66" s="84">
        <f t="shared" si="10"/>
        <v>46015411.195437998</v>
      </c>
      <c r="L66" s="84">
        <f t="shared" si="10"/>
        <v>45524036.195437998</v>
      </c>
    </row>
    <row r="67" spans="1:12" x14ac:dyDescent="0.25">
      <c r="A67" s="17" t="s">
        <v>271</v>
      </c>
      <c r="B67" s="85">
        <v>60000000</v>
      </c>
      <c r="C67" s="85">
        <v>59797500</v>
      </c>
      <c r="D67" s="85">
        <v>59118000</v>
      </c>
      <c r="E67" s="85">
        <v>58207500</v>
      </c>
      <c r="F67" s="85">
        <v>58000000</v>
      </c>
      <c r="G67" s="85">
        <v>57615000</v>
      </c>
      <c r="H67" s="85">
        <v>56715000</v>
      </c>
      <c r="I67" s="85">
        <v>56669500</v>
      </c>
      <c r="J67" s="85">
        <v>56000000</v>
      </c>
      <c r="K67" s="85">
        <v>55222500</v>
      </c>
      <c r="L67" s="85">
        <v>55165000</v>
      </c>
    </row>
    <row r="68" spans="1:12" s="117" customFormat="1" x14ac:dyDescent="0.25">
      <c r="A68" s="117" t="s">
        <v>272</v>
      </c>
      <c r="B68" s="128">
        <f>B67+'Event Tracker'!B12*'Game Assumptions'!$B$21*'Resource Mix and Demand'!B67</f>
        <v>60000000</v>
      </c>
      <c r="C68" s="128">
        <f>C67+'Event Tracker'!C12*'Game Assumptions'!$B$21*'Resource Mix and Demand'!C67</f>
        <v>59797500</v>
      </c>
      <c r="D68" s="128">
        <f>D67+'Event Tracker'!D12*'Game Assumptions'!$B$21*'Resource Mix and Demand'!D67</f>
        <v>59118000</v>
      </c>
      <c r="E68" s="128">
        <f>E67+'Event Tracker'!E12*'Game Assumptions'!$B$21*'Resource Mix and Demand'!E67</f>
        <v>58207500</v>
      </c>
      <c r="F68" s="128">
        <f>F67+'Event Tracker'!F12*'Game Assumptions'!$B$21*'Resource Mix and Demand'!F67</f>
        <v>58000000</v>
      </c>
      <c r="G68" s="128">
        <f>G67+'Event Tracker'!G12*'Game Assumptions'!$B$21*'Resource Mix and Demand'!G67</f>
        <v>57615000</v>
      </c>
      <c r="H68" s="128">
        <f>H67+'Event Tracker'!H12*'Game Assumptions'!$B$21*'Resource Mix and Demand'!H67</f>
        <v>56715000</v>
      </c>
      <c r="I68" s="128">
        <f>I67+'Event Tracker'!I12*'Game Assumptions'!$B$21*'Resource Mix and Demand'!I67</f>
        <v>56669500</v>
      </c>
      <c r="J68" s="128">
        <f>J67+'Event Tracker'!J12*'Game Assumptions'!$B$21*'Resource Mix and Demand'!J67</f>
        <v>56000000</v>
      </c>
      <c r="K68" s="128">
        <f>K67+'Event Tracker'!K12*'Game Assumptions'!$B$21*'Resource Mix and Demand'!K67</f>
        <v>55222500</v>
      </c>
      <c r="L68" s="128">
        <f>L67+'Event Tracker'!L12*'Game Assumptions'!$B$21*'Resource Mix and Demand'!L67</f>
        <v>55165000</v>
      </c>
    </row>
    <row r="69" spans="1:12" x14ac:dyDescent="0.25">
      <c r="A69" s="17" t="s">
        <v>448</v>
      </c>
      <c r="B69" s="85">
        <f>B68-SUM(B57:B62)</f>
        <v>57369503.399999999</v>
      </c>
      <c r="C69" s="85">
        <f t="shared" ref="C69:L69" si="11">C68-SUM(C57:C62)</f>
        <v>56934661.920000002</v>
      </c>
      <c r="D69" s="85">
        <f t="shared" si="11"/>
        <v>55279572.624043502</v>
      </c>
      <c r="E69" s="85">
        <f t="shared" si="11"/>
        <v>51304119.959021211</v>
      </c>
      <c r="F69" s="85">
        <f t="shared" si="11"/>
        <v>50232163.543845303</v>
      </c>
      <c r="G69" s="85">
        <f t="shared" si="11"/>
        <v>49000514.365660869</v>
      </c>
      <c r="H69" s="85">
        <f t="shared" si="11"/>
        <v>47242415.724961892</v>
      </c>
      <c r="I69" s="85">
        <f t="shared" si="11"/>
        <v>46967861.195437998</v>
      </c>
      <c r="J69" s="85">
        <f t="shared" si="11"/>
        <v>46398786.195437998</v>
      </c>
      <c r="K69" s="85">
        <f t="shared" si="11"/>
        <v>45737911.195437998</v>
      </c>
      <c r="L69" s="85">
        <f t="shared" si="11"/>
        <v>45689036.195437998</v>
      </c>
    </row>
    <row r="70" spans="1:12" x14ac:dyDescent="0.25">
      <c r="A70" t="s">
        <v>93</v>
      </c>
      <c r="B70" s="84">
        <f t="shared" ref="B70:L70" si="12">B65/8760</f>
        <v>6849.3150684931506</v>
      </c>
      <c r="C70" s="84">
        <f t="shared" si="12"/>
        <v>6792.2374429223746</v>
      </c>
      <c r="D70" s="84">
        <f t="shared" si="12"/>
        <v>6735.1598173515986</v>
      </c>
      <c r="E70" s="84">
        <f t="shared" si="12"/>
        <v>6678.0821917808216</v>
      </c>
      <c r="F70" s="84">
        <f>F65/8760</f>
        <v>6621.0045662100456</v>
      </c>
      <c r="G70" s="84">
        <f t="shared" si="12"/>
        <v>6563.9269406392696</v>
      </c>
      <c r="H70" s="84">
        <f t="shared" si="12"/>
        <v>6506.8493150684935</v>
      </c>
      <c r="I70" s="84">
        <f t="shared" si="12"/>
        <v>6449.7716894977166</v>
      </c>
      <c r="J70" s="84">
        <f t="shared" si="12"/>
        <v>6392.6940639269405</v>
      </c>
      <c r="K70" s="84">
        <f t="shared" si="12"/>
        <v>6335.6164383561645</v>
      </c>
      <c r="L70" s="84">
        <f t="shared" si="12"/>
        <v>6278.5388127853885</v>
      </c>
    </row>
    <row r="71" spans="1:12" x14ac:dyDescent="0.25">
      <c r="A71" t="s">
        <v>236</v>
      </c>
      <c r="B71" s="84">
        <f>B70/'Game Assumptions'!$B$75</f>
        <v>9784.7358121330726</v>
      </c>
      <c r="C71" s="84">
        <f>C70/'Game Assumptions'!$B$75</f>
        <v>9703.1963470319643</v>
      </c>
      <c r="D71" s="84">
        <f>D70/'Game Assumptions'!$B$75</f>
        <v>9621.6568819308559</v>
      </c>
      <c r="E71" s="84">
        <f>E70/'Game Assumptions'!$B$75</f>
        <v>9540.1174168297457</v>
      </c>
      <c r="F71" s="84">
        <f>F70/'Game Assumptions'!$B$75</f>
        <v>9458.5779517286373</v>
      </c>
      <c r="G71" s="84">
        <f>G70/'Game Assumptions'!$B$75</f>
        <v>9377.038486627529</v>
      </c>
      <c r="H71" s="84">
        <f>H70/'Game Assumptions'!$B$75</f>
        <v>9295.4990215264206</v>
      </c>
      <c r="I71" s="84">
        <f>I70/'Game Assumptions'!$B$75</f>
        <v>9213.9595564253104</v>
      </c>
      <c r="J71" s="84">
        <f>J70/'Game Assumptions'!$B$75</f>
        <v>9132.4200913242021</v>
      </c>
      <c r="K71" s="84">
        <f>K70/'Game Assumptions'!$B$75</f>
        <v>9050.8806262230919</v>
      </c>
      <c r="L71" s="84">
        <f>L70/'Game Assumptions'!$B$75</f>
        <v>8969.3411611219835</v>
      </c>
    </row>
    <row r="72" spans="1:12" x14ac:dyDescent="0.25">
      <c r="A72" t="s">
        <v>237</v>
      </c>
      <c r="B72" s="84">
        <v>0</v>
      </c>
      <c r="C72" s="84">
        <f>IF('Event Tracker'!C5=1,'Resource Mix and Demand'!C71*'Game Assumptions'!$B$77*'Game Assumptions'!$G$93,0)</f>
        <v>0</v>
      </c>
      <c r="D72" s="84">
        <f>IF('Event Tracker'!D5=1,'Resource Mix and Demand'!D71*'Game Assumptions'!$B$77*'Game Assumptions'!$G$93,0)</f>
        <v>0</v>
      </c>
      <c r="E72" s="84">
        <f>IF('Event Tracker'!E5=1,'Resource Mix and Demand'!E71*'Game Assumptions'!$B$77*'Game Assumptions'!$G$93,0)</f>
        <v>0</v>
      </c>
      <c r="F72" s="84">
        <f>IF('Event Tracker'!F5=1,'Resource Mix and Demand'!F71*'Game Assumptions'!$B$77*'Game Assumptions'!$G$93,0)</f>
        <v>0</v>
      </c>
      <c r="G72" s="84">
        <f>IF('Event Tracker'!G5=1,'Resource Mix and Demand'!G71*'Game Assumptions'!$B$77*'Game Assumptions'!$G$93,0)</f>
        <v>0</v>
      </c>
      <c r="H72" s="84">
        <f>IF('Event Tracker'!H5=1,'Resource Mix and Demand'!H71*'Game Assumptions'!$B$77*'Game Assumptions'!$G$93,0)</f>
        <v>0</v>
      </c>
      <c r="I72" s="84">
        <f>IF('Event Tracker'!I5=1,'Resource Mix and Demand'!I71*'Game Assumptions'!$B$77*'Game Assumptions'!$G$93,0)</f>
        <v>0</v>
      </c>
      <c r="J72" s="84">
        <f>IF('Event Tracker'!J5=1,'Resource Mix and Demand'!J71*'Game Assumptions'!$B$77*'Game Assumptions'!$G$93,0)</f>
        <v>0</v>
      </c>
      <c r="K72" s="84">
        <f>IF('Event Tracker'!K5=1,'Resource Mix and Demand'!K71*'Game Assumptions'!$B$77*'Game Assumptions'!$G$93,0)</f>
        <v>0</v>
      </c>
      <c r="L72" s="84">
        <f>IF('Event Tracker'!L5=1,'Resource Mix and Demand'!L71*'Game Assumptions'!$B$77*'Game Assumptions'!$G$93,0)</f>
        <v>0</v>
      </c>
    </row>
    <row r="73" spans="1:12" x14ac:dyDescent="0.25">
      <c r="B73" s="84"/>
      <c r="C73" s="84"/>
      <c r="D73" s="84"/>
      <c r="E73" s="84"/>
      <c r="F73" s="84"/>
      <c r="G73" s="84"/>
      <c r="H73" s="84"/>
      <c r="I73" s="84"/>
      <c r="J73" s="84"/>
      <c r="K73" s="84"/>
      <c r="L73" s="84"/>
    </row>
    <row r="74" spans="1:12" x14ac:dyDescent="0.25">
      <c r="B74" s="84"/>
      <c r="C74" s="84"/>
      <c r="D74" s="84"/>
      <c r="E74" s="84"/>
      <c r="F74" s="84"/>
      <c r="G74" s="84"/>
      <c r="H74" s="84"/>
      <c r="I74" s="84"/>
      <c r="J74" s="84"/>
      <c r="K74" s="84"/>
      <c r="L74" s="84"/>
    </row>
    <row r="75" spans="1:12" x14ac:dyDescent="0.25">
      <c r="B75" s="84"/>
      <c r="C75" s="84"/>
      <c r="D75" s="84"/>
      <c r="E75" s="84"/>
      <c r="F75" s="84"/>
      <c r="G75" s="84"/>
      <c r="H75" s="84"/>
      <c r="I75" s="84"/>
      <c r="J75" s="84"/>
      <c r="K75" s="84"/>
      <c r="L75" s="84"/>
    </row>
    <row r="88" spans="1:1" x14ac:dyDescent="0.25">
      <c r="A88" s="6"/>
    </row>
    <row r="91" spans="1:1" x14ac:dyDescent="0.25">
      <c r="A91" s="7"/>
    </row>
  </sheetData>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O109"/>
  <sheetViews>
    <sheetView topLeftCell="A7" workbookViewId="0">
      <selection activeCell="G101" sqref="G101"/>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6" max="6" width="9.140625" customWidth="1"/>
    <col min="14" max="14" width="13.7109375" bestFit="1" customWidth="1"/>
  </cols>
  <sheetData>
    <row r="1" spans="1:15" ht="15.75" thickBot="1" x14ac:dyDescent="0.3">
      <c r="A1" s="9" t="s">
        <v>329</v>
      </c>
      <c r="B1" s="3"/>
      <c r="C1" s="3"/>
      <c r="D1" s="3"/>
      <c r="E1" s="3"/>
      <c r="F1" s="3"/>
      <c r="G1" s="3"/>
      <c r="H1" s="3"/>
      <c r="I1" s="3"/>
      <c r="J1" s="3"/>
      <c r="K1" s="3"/>
      <c r="N1" s="110" t="s">
        <v>263</v>
      </c>
      <c r="O1" s="100">
        <f>Current_Round</f>
        <v>0</v>
      </c>
    </row>
    <row r="2" spans="1:15" x14ac:dyDescent="0.25">
      <c r="A2" t="s">
        <v>331</v>
      </c>
      <c r="B2" t="s">
        <v>333</v>
      </c>
      <c r="C2" t="s">
        <v>330</v>
      </c>
      <c r="D2" t="s">
        <v>332</v>
      </c>
      <c r="E2" t="s">
        <v>429</v>
      </c>
    </row>
    <row r="3" spans="1:15" x14ac:dyDescent="0.25">
      <c r="A3">
        <f ca="1">YEAR(TODAY())-2</f>
        <v>2019</v>
      </c>
      <c r="B3">
        <v>0</v>
      </c>
      <c r="C3" s="49">
        <f>IF(COUNT($B$3:$B3)&lt;=$O$1+1,INDEX('Customer Bills'!$B$13:$L$13,1,MATCH(Graphs!B3,'Customer Bills'!$B$2:$L$2,0)),NA())</f>
        <v>99.776322752353039</v>
      </c>
      <c r="D3" s="15">
        <f>IF(C3="","",IF(OR(COUNT($C$3:$C3)-1=$O$1,COUNT($C$3:$C4)-1=$O$1),C3,NA()))</f>
        <v>99.776322752353039</v>
      </c>
      <c r="E3">
        <f>INDEX('Customer Bills'!$B$17:$G$17,1,MATCH(Graphs!B3,'Customer Bills'!$B$16:$G$16,0))</f>
        <v>99.776322752353039</v>
      </c>
    </row>
    <row r="4" spans="1:15" x14ac:dyDescent="0.25">
      <c r="A4">
        <f ca="1">A3+2</f>
        <v>2021</v>
      </c>
      <c r="B4">
        <v>1</v>
      </c>
      <c r="C4" s="49" t="e">
        <f>IF(COUNT($B$3:$B4)&lt;=$O$1+1,INDEX('Customer Bills'!$B$13:$L$13,1,MATCH(Graphs!B4,'Customer Bills'!$B$2:$L$2,0)),NA())</f>
        <v>#N/A</v>
      </c>
      <c r="D4" s="15" t="e">
        <f>IF(C4="","",IF(OR(COUNT($C$3:$C4)-1=$O$1,COUNT($C$3:$C5)-1=$O$1),C4,NA()))</f>
        <v>#N/A</v>
      </c>
      <c r="E4">
        <f>INDEX('Customer Bills'!$B$17:$G$17,1,MATCH(Graphs!B4,'Customer Bills'!$B$16:$G$16,0))</f>
        <v>99.776322752353039</v>
      </c>
    </row>
    <row r="5" spans="1:15" x14ac:dyDescent="0.25">
      <c r="A5">
        <f t="shared" ref="A5:A13" ca="1" si="0">A4+2</f>
        <v>2023</v>
      </c>
      <c r="B5">
        <v>2</v>
      </c>
      <c r="C5" s="49" t="e">
        <f>IF(COUNT($B$3:$B5)&lt;=$O$1+1,INDEX('Customer Bills'!$B$13:$L$13,1,MATCH(Graphs!B5,'Customer Bills'!$B$2:$L$2,0)),NA())</f>
        <v>#N/A</v>
      </c>
      <c r="D5" s="15" t="e">
        <f>IF(C5="","",IF(OR(COUNT($C$3:$C5)-1=$O$1,COUNT($C$3:$C6)-1=$O$1),C5,NA()))</f>
        <v>#N/A</v>
      </c>
      <c r="E5">
        <f>INDEX('Customer Bills'!$B$17:$G$17,1,MATCH(Graphs!B5,'Customer Bills'!$B$16:$G$16,0))</f>
        <v>99.776322752353039</v>
      </c>
    </row>
    <row r="6" spans="1:15" x14ac:dyDescent="0.25">
      <c r="A6">
        <f t="shared" ca="1" si="0"/>
        <v>2025</v>
      </c>
      <c r="B6">
        <v>3</v>
      </c>
      <c r="C6" s="49" t="e">
        <f>IF(COUNT($B$3:$B6)&lt;=$O$1+1,INDEX('Customer Bills'!$B$13:$L$13,1,MATCH(Graphs!B6,'Customer Bills'!$B$2:$L$2,0)),NA())</f>
        <v>#N/A</v>
      </c>
      <c r="D6" s="15" t="e">
        <f>IF(C6="","",IF(OR(COUNT($C$3:$C6)-1=$O$1,COUNT($C$3:$C7)-1=$O$1),C6,NA()))</f>
        <v>#N/A</v>
      </c>
      <c r="E6">
        <f>INDEX('Customer Bills'!$B$17:$G$17,1,MATCH(Graphs!B6,'Customer Bills'!$B$16:$G$16,0))</f>
        <v>99.776322752353039</v>
      </c>
    </row>
    <row r="7" spans="1:15" x14ac:dyDescent="0.25">
      <c r="A7">
        <f t="shared" ca="1" si="0"/>
        <v>2027</v>
      </c>
      <c r="B7">
        <v>4</v>
      </c>
      <c r="C7" s="49" t="e">
        <f>IF(COUNT($B$3:$B7)&lt;=$O$1+1,INDEX('Customer Bills'!$B$13:$L$13,1,MATCH(Graphs!B7,'Customer Bills'!$B$2:$L$2,0)),NA())</f>
        <v>#N/A</v>
      </c>
      <c r="D7" s="15" t="e">
        <f>IF(C7="","",IF(OR(COUNT($C$3:$C7)-1=$O$1,COUNT($C$3:$C8)-1=$O$1),C7,NA()))</f>
        <v>#N/A</v>
      </c>
      <c r="E7">
        <f>INDEX('Customer Bills'!$B$17:$G$17,1,MATCH(Graphs!B7,'Customer Bills'!$B$16:$G$16,0))</f>
        <v>99.776322752353039</v>
      </c>
    </row>
    <row r="8" spans="1:15" x14ac:dyDescent="0.25">
      <c r="A8">
        <f t="shared" ca="1" si="0"/>
        <v>2029</v>
      </c>
      <c r="B8">
        <v>5</v>
      </c>
      <c r="C8" s="49" t="e">
        <f>IF(COUNT($B$3:$B8)&lt;=$O$1+1,INDEX('Customer Bills'!$B$13:$L$13,1,MATCH(Graphs!B8,'Customer Bills'!$B$2:$L$2,0)),NA())</f>
        <v>#N/A</v>
      </c>
      <c r="D8" s="15" t="e">
        <f>IF(C8="","",IF(OR(COUNT($C$3:$C8)-1=$O$1,COUNT($C$3:$C9)-1=$O$1),C8,NA()))</f>
        <v>#N/A</v>
      </c>
      <c r="E8">
        <f>INDEX('Customer Bills'!$B$17:$G$17,1,MATCH(Graphs!B8,'Customer Bills'!$B$16:$G$16,0))</f>
        <v>99.776322752353039</v>
      </c>
    </row>
    <row r="9" spans="1:15" x14ac:dyDescent="0.25">
      <c r="A9">
        <f t="shared" ca="1" si="0"/>
        <v>2031</v>
      </c>
      <c r="B9">
        <v>6</v>
      </c>
      <c r="C9" s="49" t="e">
        <f>IF(COUNT($B$3:$B9)&lt;=$O$1+1,INDEX('Customer Bills'!$B$13:$L$13,1,MATCH(Graphs!B9,'Customer Bills'!$B$2:$L$2,0)),NA())</f>
        <v>#N/A</v>
      </c>
      <c r="D9" s="15" t="e">
        <f>IF(C9="","",IF(OR(COUNT($C$3:$C9)-1=$O$1,COUNT($C$3:$C10)-1=$O$1),C9,NA()))</f>
        <v>#N/A</v>
      </c>
      <c r="E9" t="e">
        <f>INDEX('Customer Bills'!$B$17:$G$17,1,MATCH(Graphs!B9,'Customer Bills'!$B$16:$G$16,0))</f>
        <v>#N/A</v>
      </c>
    </row>
    <row r="10" spans="1:15" x14ac:dyDescent="0.25">
      <c r="A10">
        <f t="shared" ca="1" si="0"/>
        <v>2033</v>
      </c>
      <c r="B10">
        <v>7</v>
      </c>
      <c r="C10" s="49" t="e">
        <f>IF(COUNT($B$3:$B10)&lt;=$O$1+1,INDEX('Customer Bills'!$B$13:$L$13,1,MATCH(Graphs!B10,'Customer Bills'!$B$2:$L$2,0)),NA())</f>
        <v>#N/A</v>
      </c>
      <c r="D10" s="15" t="e">
        <f>IF(C10="","",IF(OR(COUNT($C$3:$C10)-1=$O$1,COUNT($C$3:$C11)-1=$O$1),C10,NA()))</f>
        <v>#N/A</v>
      </c>
      <c r="E10" t="e">
        <f>INDEX('Customer Bills'!$B$17:$G$17,1,MATCH(Graphs!B10,'Customer Bills'!$B$16:$G$16,0))</f>
        <v>#N/A</v>
      </c>
    </row>
    <row r="11" spans="1:15" x14ac:dyDescent="0.25">
      <c r="A11">
        <f t="shared" ca="1" si="0"/>
        <v>2035</v>
      </c>
      <c r="B11">
        <v>8</v>
      </c>
      <c r="C11" s="49" t="e">
        <f>IF(COUNT($B$3:$B11)&lt;=$O$1+1,INDEX('Customer Bills'!$B$13:$L$13,1,MATCH(Graphs!B11,'Customer Bills'!$B$2:$L$2,0)),NA())</f>
        <v>#N/A</v>
      </c>
      <c r="D11" s="15" t="e">
        <f>IF(C11="","",IF(OR(COUNT($C$3:$C11)-1=$O$1,COUNT($C$3:$C12)-1=$O$1),C11,NA()))</f>
        <v>#N/A</v>
      </c>
      <c r="E11" t="e">
        <f>INDEX('Customer Bills'!$B$17:$G$17,1,MATCH(Graphs!B11,'Customer Bills'!$B$16:$G$16,0))</f>
        <v>#N/A</v>
      </c>
    </row>
    <row r="12" spans="1:15" x14ac:dyDescent="0.25">
      <c r="A12">
        <f t="shared" ca="1" si="0"/>
        <v>2037</v>
      </c>
      <c r="B12">
        <v>9</v>
      </c>
      <c r="C12" s="49" t="e">
        <f>IF(COUNT($B$3:$B12)&lt;=$O$1+1,INDEX('Customer Bills'!$B$13:$L$13,1,MATCH(Graphs!B12,'Customer Bills'!$B$2:$L$2,0)),NA())</f>
        <v>#N/A</v>
      </c>
      <c r="D12" s="15" t="e">
        <f>IF(C12="","",IF(OR(COUNT($C$3:$C12)-1=$O$1,COUNT($C$3:$C13)-1=$O$1),C12,NA()))</f>
        <v>#N/A</v>
      </c>
      <c r="E12" t="e">
        <f>INDEX('Customer Bills'!$B$17:$G$17,1,MATCH(Graphs!B12,'Customer Bills'!$B$16:$G$16,0))</f>
        <v>#N/A</v>
      </c>
    </row>
    <row r="13" spans="1:15" x14ac:dyDescent="0.25">
      <c r="A13">
        <f t="shared" ca="1" si="0"/>
        <v>2039</v>
      </c>
      <c r="B13">
        <v>10</v>
      </c>
      <c r="C13" s="49" t="e">
        <f>IF(COUNT($B$3:$B13)&lt;=$O$1+1,INDEX('Customer Bills'!$B$13:$L$13,1,MATCH(Graphs!B13,'Customer Bills'!$B$2:$L$2,0)),NA())</f>
        <v>#N/A</v>
      </c>
      <c r="D13" s="15" t="e">
        <f>IF(C13="","",IF(OR(COUNT($C$3:$C13)-1=$O$1,COUNT($C$3:$C14)-1=$O$1),C13,NA()))</f>
        <v>#N/A</v>
      </c>
      <c r="E13" t="e">
        <f>INDEX('Customer Bills'!$B$17:$G$17,1,MATCH(Graphs!B13,'Customer Bills'!$B$16:$G$16,0))</f>
        <v>#N/A</v>
      </c>
    </row>
    <row r="16" spans="1:15" x14ac:dyDescent="0.25">
      <c r="A16" s="9" t="s">
        <v>335</v>
      </c>
      <c r="B16" s="3"/>
      <c r="C16" s="3"/>
      <c r="D16" s="3"/>
      <c r="E16" s="3"/>
      <c r="F16" s="3"/>
      <c r="G16" s="3"/>
      <c r="H16" s="3"/>
      <c r="I16" s="3"/>
      <c r="J16" s="3"/>
      <c r="K16" s="3"/>
    </row>
    <row r="17" spans="1:11" x14ac:dyDescent="0.25">
      <c r="A17" t="s">
        <v>331</v>
      </c>
      <c r="B17" t="s">
        <v>333</v>
      </c>
      <c r="C17" t="s">
        <v>330</v>
      </c>
      <c r="D17" t="s">
        <v>332</v>
      </c>
      <c r="E17" t="s">
        <v>429</v>
      </c>
    </row>
    <row r="18" spans="1:11" x14ac:dyDescent="0.25">
      <c r="A18">
        <f ca="1">YEAR(TODAY())-2</f>
        <v>2019</v>
      </c>
      <c r="B18">
        <v>0</v>
      </c>
      <c r="C18" s="10">
        <f>IF(COUNT($B$18:$B18)&lt;=$O$1+1,INDEX('Environmental Performance'!$B$3:$L$3,1,MATCH(Graphs!B18,'Environmental Performance'!$B$1:$L$1,0)),NA())</f>
        <v>1036.288793097458</v>
      </c>
      <c r="D18" s="113">
        <f>IF(C18="","",IF(OR(COUNT($C$18:$C18)-1=$O$1,COUNT($C$18:$C19)-1=$O$1),C18,NA()))</f>
        <v>1036.288793097458</v>
      </c>
      <c r="E18">
        <f>INDEX('Environmental Performance'!$B$6:$G$6,1,MATCH(Graphs!B18,'Environmental Performance'!$B$5:$G$5,0))</f>
        <v>1036.288793097458</v>
      </c>
    </row>
    <row r="19" spans="1:11" x14ac:dyDescent="0.25">
      <c r="A19">
        <f ca="1">A18+2</f>
        <v>2021</v>
      </c>
      <c r="B19">
        <v>1</v>
      </c>
      <c r="C19" s="10" t="e">
        <f>IF(COUNT($B$18:$B19)&lt;=$O$1+1,INDEX('Environmental Performance'!$B$3:$L$3,1,MATCH(Graphs!B19,'Environmental Performance'!$B$1:$L$1,0)),NA())</f>
        <v>#N/A</v>
      </c>
      <c r="D19" s="113" t="e">
        <f>IF(C19="","",IF(OR(COUNT($C$18:$C19)-1=$O$1,COUNT($C$18:$C20)-1=$O$1),C19,NA()))</f>
        <v>#N/A</v>
      </c>
      <c r="E19">
        <f>INDEX('Environmental Performance'!$B$6:$G$6,1,MATCH(Graphs!B19,'Environmental Performance'!$B$5:$G$5,0))</f>
        <v>932.63103447796641</v>
      </c>
    </row>
    <row r="20" spans="1:11" x14ac:dyDescent="0.25">
      <c r="A20">
        <f t="shared" ref="A20:A28" ca="1" si="1">A19+2</f>
        <v>2023</v>
      </c>
      <c r="B20">
        <v>2</v>
      </c>
      <c r="C20" s="10" t="e">
        <f>IF(COUNT($B$18:$B20)&lt;=$O$1+1,INDEX('Environmental Performance'!$B$3:$L$3,1,MATCH(Graphs!B20,'Environmental Performance'!$B$1:$L$1,0)),NA())</f>
        <v>#N/A</v>
      </c>
      <c r="D20" s="113" t="e">
        <f>IF(C20="","",IF(OR(COUNT($C$18:$C20)-1=$O$1,COUNT($C$18:$C21)-1=$O$1),C20,NA()))</f>
        <v>#N/A</v>
      </c>
      <c r="E20">
        <f>INDEX('Environmental Performance'!$B$6:$G$6,1,MATCH(Graphs!B20,'Environmental Performance'!$B$5:$G$5,0))</f>
        <v>828.97327585847484</v>
      </c>
    </row>
    <row r="21" spans="1:11" x14ac:dyDescent="0.25">
      <c r="A21">
        <f t="shared" ca="1" si="1"/>
        <v>2025</v>
      </c>
      <c r="B21">
        <v>3</v>
      </c>
      <c r="C21" s="10" t="e">
        <f>IF(COUNT($B$18:$B21)&lt;=$O$1+1,INDEX('Environmental Performance'!$B$3:$L$3,1,MATCH(Graphs!B21,'Environmental Performance'!$B$1:$L$1,0)),NA())</f>
        <v>#N/A</v>
      </c>
      <c r="D21" s="113" t="e">
        <f>IF(C21="","",IF(OR(COUNT($C$18:$C21)-1=$O$1,COUNT($C$18:$C22)-1=$O$1),C21,NA()))</f>
        <v>#N/A</v>
      </c>
      <c r="E21">
        <f>INDEX('Environmental Performance'!$B$6:$G$6,1,MATCH(Graphs!B21,'Environmental Performance'!$B$5:$G$5,0))</f>
        <v>725.31551723898326</v>
      </c>
    </row>
    <row r="22" spans="1:11" x14ac:dyDescent="0.25">
      <c r="A22">
        <f t="shared" ca="1" si="1"/>
        <v>2027</v>
      </c>
      <c r="B22">
        <v>4</v>
      </c>
      <c r="C22" s="10" t="e">
        <f>IF(COUNT($B$18:$B22)&lt;=$O$1+1,INDEX('Environmental Performance'!$B$3:$L$3,1,MATCH(Graphs!B22,'Environmental Performance'!$B$1:$L$1,0)),NA())</f>
        <v>#N/A</v>
      </c>
      <c r="D22" s="113" t="e">
        <f>IF(C22="","",IF(OR(COUNT($C$18:$C22)-1=$O$1,COUNT($C$18:$C23)-1=$O$1),C22,NA()))</f>
        <v>#N/A</v>
      </c>
      <c r="E22">
        <f>INDEX('Environmental Performance'!$B$6:$G$6,1,MATCH(Graphs!B22,'Environmental Performance'!$B$5:$G$5,0))</f>
        <v>621.65775861949169</v>
      </c>
    </row>
    <row r="23" spans="1:11" x14ac:dyDescent="0.25">
      <c r="A23">
        <f t="shared" ca="1" si="1"/>
        <v>2029</v>
      </c>
      <c r="B23">
        <v>5</v>
      </c>
      <c r="C23" s="10" t="e">
        <f>IF(COUNT($B$18:$B23)&lt;=$O$1+1,INDEX('Environmental Performance'!$B$3:$L$3,1,MATCH(Graphs!B23,'Environmental Performance'!$B$1:$L$1,0)),NA())</f>
        <v>#N/A</v>
      </c>
      <c r="D23" s="113" t="e">
        <f>IF(C23="","",IF(OR(COUNT($C$18:$C23)-1=$O$1,COUNT($C$18:$C24)-1=$O$1),C23,NA()))</f>
        <v>#N/A</v>
      </c>
      <c r="E23">
        <f>INDEX('Environmental Performance'!$B$6:$G$6,1,MATCH(Graphs!B23,'Environmental Performance'!$B$5:$G$5,0))</f>
        <v>518</v>
      </c>
    </row>
    <row r="24" spans="1:11" x14ac:dyDescent="0.25">
      <c r="A24">
        <f t="shared" ca="1" si="1"/>
        <v>2031</v>
      </c>
      <c r="B24">
        <v>6</v>
      </c>
      <c r="C24" s="10" t="e">
        <f>IF(COUNT($B$18:$B24)&lt;=$O$1+1,INDEX('Environmental Performance'!$B$3:$L$3,1,MATCH(Graphs!B24,'Environmental Performance'!$B$1:$L$1,0)),NA())</f>
        <v>#N/A</v>
      </c>
      <c r="D24" s="113" t="e">
        <f>IF(C24="","",IF(OR(COUNT($C$18:$C24)-1=$O$1,COUNT($C$18:$C25)-1=$O$1),C24,NA()))</f>
        <v>#N/A</v>
      </c>
      <c r="E24" t="e">
        <f>INDEX('Environmental Performance'!$B$6:$G$6,1,MATCH(Graphs!B24,'Environmental Performance'!$B$5:$G$5,0))</f>
        <v>#N/A</v>
      </c>
    </row>
    <row r="25" spans="1:11" x14ac:dyDescent="0.25">
      <c r="A25">
        <f t="shared" ca="1" si="1"/>
        <v>2033</v>
      </c>
      <c r="B25">
        <v>7</v>
      </c>
      <c r="C25" s="10" t="e">
        <f>IF(COUNT($B$18:$B25)&lt;=$O$1+1,INDEX('Environmental Performance'!$B$3:$L$3,1,MATCH(Graphs!B25,'Environmental Performance'!$B$1:$L$1,0)),NA())</f>
        <v>#N/A</v>
      </c>
      <c r="D25" s="113" t="e">
        <f>IF(C25="","",IF(OR(COUNT($C$18:$C25)-1=$O$1,COUNT($C$18:$C26)-1=$O$1),C25,NA()))</f>
        <v>#N/A</v>
      </c>
      <c r="E25" t="e">
        <f>INDEX('Environmental Performance'!$B$6:$G$6,1,MATCH(Graphs!B25,'Environmental Performance'!$B$5:$G$5,0))</f>
        <v>#N/A</v>
      </c>
    </row>
    <row r="26" spans="1:11" x14ac:dyDescent="0.25">
      <c r="A26">
        <f t="shared" ca="1" si="1"/>
        <v>2035</v>
      </c>
      <c r="B26">
        <v>8</v>
      </c>
      <c r="C26" s="10" t="e">
        <f>IF(COUNT($B$18:$B26)&lt;=$O$1+1,INDEX('Environmental Performance'!$B$3:$L$3,1,MATCH(Graphs!B26,'Environmental Performance'!$B$1:$L$1,0)),NA())</f>
        <v>#N/A</v>
      </c>
      <c r="D26" s="113" t="e">
        <f>IF(C26="","",IF(OR(COUNT($C$18:$C26)-1=$O$1,COUNT($C$18:$C27)-1=$O$1),C26,NA()))</f>
        <v>#N/A</v>
      </c>
      <c r="E26" t="e">
        <f>INDEX('Environmental Performance'!$B$6:$G$6,1,MATCH(Graphs!B26,'Environmental Performance'!$B$5:$G$5,0))</f>
        <v>#N/A</v>
      </c>
    </row>
    <row r="27" spans="1:11" x14ac:dyDescent="0.25">
      <c r="A27">
        <f t="shared" ca="1" si="1"/>
        <v>2037</v>
      </c>
      <c r="B27">
        <v>9</v>
      </c>
      <c r="C27" s="10" t="e">
        <f>IF(COUNT($B$18:$B27)&lt;=$O$1+1,INDEX('Environmental Performance'!$B$3:$L$3,1,MATCH(Graphs!B27,'Environmental Performance'!$B$1:$L$1,0)),NA())</f>
        <v>#N/A</v>
      </c>
      <c r="D27" s="113" t="e">
        <f>IF(C27="","",IF(OR(COUNT($C$18:$C27)-1=$O$1,COUNT($C$18:$C28)-1=$O$1),C27,NA()))</f>
        <v>#N/A</v>
      </c>
      <c r="E27" t="e">
        <f>INDEX('Environmental Performance'!$B$6:$G$6,1,MATCH(Graphs!B27,'Environmental Performance'!$B$5:$G$5,0))</f>
        <v>#N/A</v>
      </c>
    </row>
    <row r="28" spans="1:11" x14ac:dyDescent="0.25">
      <c r="A28">
        <f t="shared" ca="1" si="1"/>
        <v>2039</v>
      </c>
      <c r="B28">
        <v>10</v>
      </c>
      <c r="C28" s="10" t="e">
        <f>IF(COUNT($B$18:$B28)&lt;=$O$1+1,INDEX('Environmental Performance'!$B$3:$L$3,1,MATCH(Graphs!B28,'Environmental Performance'!$B$1:$L$1,0)),NA())</f>
        <v>#N/A</v>
      </c>
      <c r="D28" s="113" t="e">
        <f>IF(C28="","",IF(OR(COUNT($C$18:$C28)-1=$O$1,COUNT($C$18:$C29)-1=$O$1),C28,NA()))</f>
        <v>#N/A</v>
      </c>
      <c r="E28" t="e">
        <f>INDEX('Environmental Performance'!$B$6:$G$6,1,MATCH(Graphs!B28,'Environmental Performance'!$B$5:$G$5,0))</f>
        <v>#N/A</v>
      </c>
    </row>
    <row r="32" spans="1:11" x14ac:dyDescent="0.25">
      <c r="A32" s="9" t="s">
        <v>369</v>
      </c>
      <c r="B32" s="3"/>
      <c r="C32" s="3"/>
      <c r="D32" s="3"/>
      <c r="E32" s="3"/>
      <c r="F32" s="3"/>
      <c r="G32" s="3"/>
      <c r="H32" s="3"/>
      <c r="I32" s="3"/>
      <c r="J32" s="3"/>
      <c r="K32" s="3"/>
    </row>
    <row r="33" spans="1:5" x14ac:dyDescent="0.25">
      <c r="A33" t="s">
        <v>331</v>
      </c>
      <c r="B33" t="s">
        <v>333</v>
      </c>
      <c r="C33" t="s">
        <v>330</v>
      </c>
      <c r="D33" t="s">
        <v>332</v>
      </c>
      <c r="E33" t="s">
        <v>429</v>
      </c>
    </row>
    <row r="34" spans="1:5" x14ac:dyDescent="0.25">
      <c r="A34">
        <f ca="1">YEAR(TODAY())-2</f>
        <v>2019</v>
      </c>
      <c r="B34">
        <v>0</v>
      </c>
      <c r="C34" s="121">
        <f>IF(COUNT($B$34:$B34)&lt;=$O$1+1,INDEX('Utility Revenue'!$B$151:$L$151,1,MATCH(Graphs!B34,'Utility Revenue'!$B$6:$L$6,0)),NA())</f>
        <v>0.54024054081148387</v>
      </c>
      <c r="D34" s="122">
        <f>IF(C34="","",IF(OR(COUNT($C$34:$C34)-1=$O$1,COUNT($C$34:$C35)-1=$O$1),C34,NA()))</f>
        <v>0.54024054081148387</v>
      </c>
    </row>
    <row r="35" spans="1:5" x14ac:dyDescent="0.25">
      <c r="A35">
        <f ca="1">A34+2</f>
        <v>2021</v>
      </c>
      <c r="B35">
        <v>1</v>
      </c>
      <c r="C35" s="121" t="e">
        <f>IF(COUNT($B$34:$B35)&lt;=$O$1+1,INDEX('Utility Revenue'!$B$151:$L$151,1,MATCH(Graphs!B35,'Utility Revenue'!$B$6:$L$6,0)),NA())</f>
        <v>#N/A</v>
      </c>
      <c r="D35" s="122" t="e">
        <f>IF(C35="","",IF(OR(COUNT($C$34:$C35)-1=$O$1,COUNT($C$34:$C36)-1=$O$1),C35,NA()))</f>
        <v>#N/A</v>
      </c>
    </row>
    <row r="36" spans="1:5" x14ac:dyDescent="0.25">
      <c r="A36">
        <f t="shared" ref="A36:A44" ca="1" si="2">A35+2</f>
        <v>2023</v>
      </c>
      <c r="B36">
        <v>2</v>
      </c>
      <c r="C36" s="121" t="e">
        <f>IF(COUNT($B$34:$B36)&lt;=$O$1+1,INDEX('Utility Revenue'!$B$151:$L$151,1,MATCH(Graphs!B36,'Utility Revenue'!$B$6:$L$6,0)),NA())</f>
        <v>#N/A</v>
      </c>
      <c r="D36" s="122" t="e">
        <f>IF(C36="","",IF(OR(COUNT($C$34:$C36)-1=$O$1,COUNT($C$34:$C37)-1=$O$1),C36,NA()))</f>
        <v>#N/A</v>
      </c>
    </row>
    <row r="37" spans="1:5" x14ac:dyDescent="0.25">
      <c r="A37">
        <f t="shared" ca="1" si="2"/>
        <v>2025</v>
      </c>
      <c r="B37">
        <v>3</v>
      </c>
      <c r="C37" s="121" t="e">
        <f>IF(COUNT($B$34:$B37)&lt;=$O$1+1,INDEX('Utility Revenue'!$B$151:$L$151,1,MATCH(Graphs!B37,'Utility Revenue'!$B$6:$L$6,0)),NA())</f>
        <v>#N/A</v>
      </c>
      <c r="D37" s="122" t="e">
        <f>IF(C37="","",IF(OR(COUNT($C$34:$C37)-1=$O$1,COUNT($C$34:$C38)-1=$O$1),C37,NA()))</f>
        <v>#N/A</v>
      </c>
    </row>
    <row r="38" spans="1:5" x14ac:dyDescent="0.25">
      <c r="A38">
        <f t="shared" ca="1" si="2"/>
        <v>2027</v>
      </c>
      <c r="B38">
        <v>4</v>
      </c>
      <c r="C38" s="121" t="e">
        <f>IF(COUNT($B$34:$B38)&lt;=$O$1+1,INDEX('Utility Revenue'!$B$151:$L$151,1,MATCH(Graphs!B38,'Utility Revenue'!$B$6:$L$6,0)),NA())</f>
        <v>#N/A</v>
      </c>
      <c r="D38" s="122" t="e">
        <f>IF(C38="","",IF(OR(COUNT($C$34:$C38)-1=$O$1,COUNT($C$34:$C39)-1=$O$1),C38,NA()))</f>
        <v>#N/A</v>
      </c>
    </row>
    <row r="39" spans="1:5" x14ac:dyDescent="0.25">
      <c r="A39">
        <f t="shared" ca="1" si="2"/>
        <v>2029</v>
      </c>
      <c r="B39">
        <v>5</v>
      </c>
      <c r="C39" s="121" t="e">
        <f>IF(COUNT($B$34:$B39)&lt;=$O$1+1,INDEX('Utility Revenue'!$B$151:$L$151,1,MATCH(Graphs!B39,'Utility Revenue'!$B$6:$L$6,0)),NA())</f>
        <v>#N/A</v>
      </c>
      <c r="D39" s="122" t="e">
        <f>IF(C39="","",IF(OR(COUNT($C$34:$C39)-1=$O$1,COUNT($C$34:$C40)-1=$O$1),C39,NA()))</f>
        <v>#N/A</v>
      </c>
    </row>
    <row r="40" spans="1:5" x14ac:dyDescent="0.25">
      <c r="A40">
        <f t="shared" ca="1" si="2"/>
        <v>2031</v>
      </c>
      <c r="B40">
        <v>6</v>
      </c>
      <c r="C40" s="121" t="e">
        <f>IF(COUNT($B$34:$B40)&lt;=$O$1+1,INDEX('Utility Revenue'!$B$151:$L$151,1,MATCH(Graphs!B40,'Utility Revenue'!$B$6:$L$6,0)),NA())</f>
        <v>#N/A</v>
      </c>
      <c r="D40" s="122" t="e">
        <f>IF(C40="","",IF(OR(COUNT($C$34:$C40)-1=$O$1,COUNT($C$34:$C41)-1=$O$1),C40,NA()))</f>
        <v>#N/A</v>
      </c>
    </row>
    <row r="41" spans="1:5" x14ac:dyDescent="0.25">
      <c r="A41">
        <f t="shared" ca="1" si="2"/>
        <v>2033</v>
      </c>
      <c r="B41">
        <v>7</v>
      </c>
      <c r="C41" s="121" t="e">
        <f>IF(COUNT($B$34:$B41)&lt;=$O$1+1,INDEX('Utility Revenue'!$B$151:$L$151,1,MATCH(Graphs!B41,'Utility Revenue'!$B$6:$L$6,0)),NA())</f>
        <v>#N/A</v>
      </c>
      <c r="D41" s="122" t="e">
        <f>IF(C41="","",IF(OR(COUNT($C$34:$C41)-1=$O$1,COUNT($C$34:$C42)-1=$O$1),C41,NA()))</f>
        <v>#N/A</v>
      </c>
    </row>
    <row r="42" spans="1:5" x14ac:dyDescent="0.25">
      <c r="A42">
        <f t="shared" ca="1" si="2"/>
        <v>2035</v>
      </c>
      <c r="B42">
        <v>8</v>
      </c>
      <c r="C42" s="121" t="e">
        <f>IF(COUNT($B$34:$B42)&lt;=$O$1+1,INDEX('Utility Revenue'!$B$151:$L$151,1,MATCH(Graphs!B42,'Utility Revenue'!$B$6:$L$6,0)),NA())</f>
        <v>#N/A</v>
      </c>
      <c r="D42" s="122" t="e">
        <f>IF(C42="","",IF(OR(COUNT($C$34:$C42)-1=$O$1,COUNT($C$34:$C43)-1=$O$1),C42,NA()))</f>
        <v>#N/A</v>
      </c>
    </row>
    <row r="43" spans="1:5" x14ac:dyDescent="0.25">
      <c r="A43">
        <f t="shared" ca="1" si="2"/>
        <v>2037</v>
      </c>
      <c r="B43">
        <v>9</v>
      </c>
      <c r="C43" s="121" t="e">
        <f>IF(COUNT($B$34:$B43)&lt;=$O$1+1,INDEX('Utility Revenue'!$B$151:$L$151,1,MATCH(Graphs!B43,'Utility Revenue'!$B$6:$L$6,0)),NA())</f>
        <v>#N/A</v>
      </c>
      <c r="D43" s="122" t="e">
        <f>IF(C43="","",IF(OR(COUNT($C$34:$C43)-1=$O$1,COUNT($C$34:$C44)-1=$O$1),C43,NA()))</f>
        <v>#N/A</v>
      </c>
    </row>
    <row r="44" spans="1:5" x14ac:dyDescent="0.25">
      <c r="A44">
        <f t="shared" ca="1" si="2"/>
        <v>2039</v>
      </c>
      <c r="B44">
        <v>10</v>
      </c>
      <c r="C44" s="121" t="e">
        <f>IF(COUNT($B$34:$B44)&lt;=$O$1+1,INDEX('Utility Revenue'!$B$151:$L$151,1,MATCH(Graphs!B44,'Utility Revenue'!$B$6:$L$6,0)),NA())</f>
        <v>#N/A</v>
      </c>
      <c r="D44" s="122" t="e">
        <f>IF(C44="","",IF(OR(COUNT($C$34:$C44)-1=$O$1,COUNT($C$34:$C45)-1=$O$1),C44,NA()))</f>
        <v>#N/A</v>
      </c>
    </row>
    <row r="49" spans="1:11" x14ac:dyDescent="0.25">
      <c r="A49" s="9" t="s">
        <v>134</v>
      </c>
      <c r="B49" s="3"/>
      <c r="C49" s="3"/>
      <c r="D49" s="3"/>
      <c r="E49" s="3"/>
      <c r="F49" s="3"/>
      <c r="G49" s="3"/>
      <c r="H49" s="3"/>
      <c r="I49" s="3"/>
      <c r="J49" s="3"/>
      <c r="K49" s="3"/>
    </row>
    <row r="50" spans="1:11" x14ac:dyDescent="0.25">
      <c r="A50" t="s">
        <v>331</v>
      </c>
      <c r="B50" t="s">
        <v>333</v>
      </c>
      <c r="C50" t="s">
        <v>330</v>
      </c>
      <c r="D50" t="s">
        <v>332</v>
      </c>
      <c r="E50" t="s">
        <v>429</v>
      </c>
    </row>
    <row r="51" spans="1:11" x14ac:dyDescent="0.25">
      <c r="A51">
        <f ca="1">YEAR(TODAY())-2</f>
        <v>2019</v>
      </c>
      <c r="B51">
        <v>0</v>
      </c>
      <c r="C51" s="16">
        <f>IF(COUNT($B$34:$B34)&lt;=$O$1+1,INDEX(Reliability!$B$95:$L$95,1,MATCH(Graphs!B34,Reliability!$B$94:$L$94,0)),NA())</f>
        <v>287</v>
      </c>
      <c r="D51" s="115">
        <f>IF(C51="","",IF(OR(COUNT($C$51:$C51)-1=$O$1,COUNT($C$51:$C52)-1=$O$1),C51,NA()))</f>
        <v>287</v>
      </c>
      <c r="E51">
        <f>INDEX(Reliability!$B$98:$G$98,1,MATCH(Graphs!B51,Reliability!$B$97:$G$97,0))</f>
        <v>287</v>
      </c>
    </row>
    <row r="52" spans="1:11" x14ac:dyDescent="0.25">
      <c r="A52">
        <f ca="1">A51+2</f>
        <v>2021</v>
      </c>
      <c r="B52">
        <v>1</v>
      </c>
      <c r="C52" s="16" t="e">
        <f>IF(COUNT($B$34:$B35)&lt;=$O$1+1,INDEX(Reliability!$B$95:$L$95,1,MATCH(Graphs!B35,Reliability!$B$94:$L$94,0)),NA())</f>
        <v>#N/A</v>
      </c>
      <c r="D52" s="115" t="e">
        <f>IF(C52="","",IF(OR(COUNT($C$51:$C52)-1=$O$1,COUNT($C$51:$C53)-1=$O$1),C52,NA()))</f>
        <v>#N/A</v>
      </c>
      <c r="E52">
        <f>INDEX(Reliability!$B$98:$G$98,1,MATCH(Graphs!B52,Reliability!$B$97:$G$97,0))</f>
        <v>275.60000000000002</v>
      </c>
    </row>
    <row r="53" spans="1:11" x14ac:dyDescent="0.25">
      <c r="A53">
        <f t="shared" ref="A53:A61" ca="1" si="3">A52+2</f>
        <v>2023</v>
      </c>
      <c r="B53">
        <v>2</v>
      </c>
      <c r="C53" s="16" t="e">
        <f>IF(COUNT($B$34:$B36)&lt;=$O$1+1,INDEX(Reliability!$B$95:$L$95,1,MATCH(Graphs!B36,Reliability!$B$94:$L$94,0)),NA())</f>
        <v>#N/A</v>
      </c>
      <c r="D53" s="115" t="e">
        <f>IF(C53="","",IF(OR(COUNT($C$51:$C53)-1=$O$1,COUNT($C$51:$C54)-1=$O$1),C53,NA()))</f>
        <v>#N/A</v>
      </c>
      <c r="E53">
        <f>INDEX(Reliability!$B$98:$G$98,1,MATCH(Graphs!B53,Reliability!$B$97:$G$97,0))</f>
        <v>264.20000000000005</v>
      </c>
    </row>
    <row r="54" spans="1:11" x14ac:dyDescent="0.25">
      <c r="A54">
        <f t="shared" ca="1" si="3"/>
        <v>2025</v>
      </c>
      <c r="B54">
        <v>3</v>
      </c>
      <c r="C54" s="16" t="e">
        <f>IF(COUNT($B$34:$B37)&lt;=$O$1+1,INDEX(Reliability!$B$95:$L$95,1,MATCH(Graphs!B37,Reliability!$B$94:$L$94,0)),NA())</f>
        <v>#N/A</v>
      </c>
      <c r="D54" s="115" t="e">
        <f>IF(C54="","",IF(OR(COUNT($C$51:$C54)-1=$O$1,COUNT($C$51:$C55)-1=$O$1),C54,NA()))</f>
        <v>#N/A</v>
      </c>
      <c r="E54">
        <f>INDEX(Reliability!$B$98:$G$98,1,MATCH(Graphs!B54,Reliability!$B$97:$G$97,0))</f>
        <v>252.80000000000004</v>
      </c>
    </row>
    <row r="55" spans="1:11" x14ac:dyDescent="0.25">
      <c r="A55">
        <f t="shared" ca="1" si="3"/>
        <v>2027</v>
      </c>
      <c r="B55">
        <v>4</v>
      </c>
      <c r="C55" s="16" t="e">
        <f>IF(COUNT($B$34:$B38)&lt;=$O$1+1,INDEX(Reliability!$B$95:$L$95,1,MATCH(Graphs!B38,Reliability!$B$94:$L$94,0)),NA())</f>
        <v>#N/A</v>
      </c>
      <c r="D55" s="115" t="e">
        <f>IF(C55="","",IF(OR(COUNT($C$51:$C55)-1=$O$1,COUNT($C$51:$C56)-1=$O$1),C55,NA()))</f>
        <v>#N/A</v>
      </c>
      <c r="E55">
        <f>INDEX(Reliability!$B$98:$G$98,1,MATCH(Graphs!B55,Reliability!$B$97:$G$97,0))</f>
        <v>241.40000000000003</v>
      </c>
    </row>
    <row r="56" spans="1:11" x14ac:dyDescent="0.25">
      <c r="A56">
        <f t="shared" ca="1" si="3"/>
        <v>2029</v>
      </c>
      <c r="B56">
        <v>5</v>
      </c>
      <c r="C56" s="16" t="e">
        <f>IF(COUNT($B$34:$B39)&lt;=$O$1+1,INDEX(Reliability!$B$95:$L$95,1,MATCH(Graphs!B39,Reliability!$B$94:$L$94,0)),NA())</f>
        <v>#N/A</v>
      </c>
      <c r="D56" s="115" t="e">
        <f>IF(C56="","",IF(OR(COUNT($C$51:$C56)-1=$O$1,COUNT($C$51:$C57)-1=$O$1),C56,NA()))</f>
        <v>#N/A</v>
      </c>
      <c r="E56">
        <f>INDEX(Reliability!$B$98:$G$98,1,MATCH(Graphs!B56,Reliability!$B$97:$G$97,0))</f>
        <v>230</v>
      </c>
    </row>
    <row r="57" spans="1:11" x14ac:dyDescent="0.25">
      <c r="A57">
        <f t="shared" ca="1" si="3"/>
        <v>2031</v>
      </c>
      <c r="B57">
        <v>6</v>
      </c>
      <c r="C57" s="16" t="e">
        <f>IF(COUNT($B$34:$B40)&lt;=$O$1+1,INDEX(Reliability!$B$95:$L$95,1,MATCH(Graphs!B40,Reliability!$B$94:$L$94,0)),NA())</f>
        <v>#N/A</v>
      </c>
      <c r="D57" s="115" t="e">
        <f>IF(C57="","",IF(OR(COUNT($C$51:$C57)-1=$O$1,COUNT($C$51:$C58)-1=$O$1),C57,NA()))</f>
        <v>#N/A</v>
      </c>
      <c r="E57" t="e">
        <f>INDEX(Reliability!$B$98:$G$98,1,MATCH(Graphs!B57,Reliability!$B$97:$G$97,0))</f>
        <v>#N/A</v>
      </c>
    </row>
    <row r="58" spans="1:11" x14ac:dyDescent="0.25">
      <c r="A58">
        <f t="shared" ca="1" si="3"/>
        <v>2033</v>
      </c>
      <c r="B58">
        <v>7</v>
      </c>
      <c r="C58" s="16" t="e">
        <f>IF(COUNT($B$34:$B41)&lt;=$O$1+1,INDEX(Reliability!$B$95:$L$95,1,MATCH(Graphs!B41,Reliability!$B$94:$L$94,0)),NA())</f>
        <v>#N/A</v>
      </c>
      <c r="D58" s="115" t="e">
        <f>IF(C58="","",IF(OR(COUNT($C$51:$C58)-1=$O$1,COUNT($C$51:$C59)-1=$O$1),C58,NA()))</f>
        <v>#N/A</v>
      </c>
      <c r="E58" t="e">
        <f>INDEX(Reliability!$B$98:$G$98,1,MATCH(Graphs!B58,Reliability!$B$97:$G$97,0))</f>
        <v>#N/A</v>
      </c>
    </row>
    <row r="59" spans="1:11" x14ac:dyDescent="0.25">
      <c r="A59">
        <f t="shared" ca="1" si="3"/>
        <v>2035</v>
      </c>
      <c r="B59">
        <v>8</v>
      </c>
      <c r="C59" s="16" t="e">
        <f>IF(COUNT($B$34:$B42)&lt;=$O$1+1,INDEX(Reliability!$B$95:$L$95,1,MATCH(Graphs!B42,Reliability!$B$94:$L$94,0)),NA())</f>
        <v>#N/A</v>
      </c>
      <c r="D59" s="115" t="e">
        <f>IF(C59="","",IF(OR(COUNT($C$51:$C59)-1=$O$1,COUNT($C$51:$C60)-1=$O$1),C59,NA()))</f>
        <v>#N/A</v>
      </c>
      <c r="E59" t="e">
        <f>INDEX(Reliability!$B$98:$G$98,1,MATCH(Graphs!B59,Reliability!$B$97:$G$97,0))</f>
        <v>#N/A</v>
      </c>
    </row>
    <row r="60" spans="1:11" x14ac:dyDescent="0.25">
      <c r="A60">
        <f t="shared" ca="1" si="3"/>
        <v>2037</v>
      </c>
      <c r="B60">
        <v>9</v>
      </c>
      <c r="C60" s="16" t="e">
        <f>IF(COUNT($B$34:$B43)&lt;=$O$1+1,INDEX(Reliability!$B$95:$L$95,1,MATCH(Graphs!B43,Reliability!$B$94:$L$94,0)),NA())</f>
        <v>#N/A</v>
      </c>
      <c r="D60" s="115" t="e">
        <f>IF(C60="","",IF(OR(COUNT($C$51:$C60)-1=$O$1,COUNT($C$51:$C61)-1=$O$1),C60,NA()))</f>
        <v>#N/A</v>
      </c>
      <c r="E60" t="e">
        <f>INDEX(Reliability!$B$98:$G$98,1,MATCH(Graphs!B60,Reliability!$B$97:$G$97,0))</f>
        <v>#N/A</v>
      </c>
    </row>
    <row r="61" spans="1:11" x14ac:dyDescent="0.25">
      <c r="A61">
        <f t="shared" ca="1" si="3"/>
        <v>2039</v>
      </c>
      <c r="B61">
        <v>10</v>
      </c>
      <c r="C61" s="16" t="e">
        <f>IF(COUNT($B$34:$B44)&lt;=$O$1+1,INDEX(Reliability!$B$95:$L$95,1,MATCH(Graphs!B44,Reliability!$B$94:$L$94,0)),NA())</f>
        <v>#N/A</v>
      </c>
      <c r="D61" s="115" t="e">
        <f>IF(C61="","",IF(OR(COUNT($C$51:$C61)-1=$O$1,COUNT($C$51:$C62)-1=$O$1),C61,NA()))</f>
        <v>#N/A</v>
      </c>
      <c r="E61" t="e">
        <f>INDEX(Reliability!$B$98:$G$98,1,MATCH(Graphs!B61,Reliability!$B$97:$G$97,0))</f>
        <v>#N/A</v>
      </c>
    </row>
    <row r="65" spans="1:11" x14ac:dyDescent="0.25">
      <c r="A65" s="9" t="s">
        <v>545</v>
      </c>
      <c r="B65" s="3"/>
      <c r="C65" s="3" t="str">
        <f>IF(OR('Event Tracker'!B20=1,'Event Tracker'!B21=1),"Capacity","Generation")</f>
        <v>Generation</v>
      </c>
      <c r="D65" s="3"/>
      <c r="E65" s="3"/>
      <c r="F65" s="3"/>
      <c r="G65" s="3"/>
      <c r="H65" s="3"/>
      <c r="I65" s="3"/>
      <c r="J65" s="3"/>
      <c r="K65" s="3"/>
    </row>
    <row r="66" spans="1:11" x14ac:dyDescent="0.25">
      <c r="A66" t="s">
        <v>7</v>
      </c>
      <c r="B66" s="84" t="e">
        <f>IF(OR('Event Tracker'!$B$20=1,'Event Tracker'!$B$21=1),INDEX('Resource Mix and Demand'!$C$22:$L$29,MATCH(Graphs!A66,'Resource Mix and Demand'!$A$22:$A$29,0),MATCH(Current_Round,'Resource Mix and Demand'!$C$21:$L$21,0)),INDEX(Dispatch!$C$186:$L$192,MATCH(Graphs!A66,Dispatch!$A$186:$A$192,0),MATCH(Current_Round,Dispatch!$C$185:$L$185,0)))</f>
        <v>#N/A</v>
      </c>
      <c r="C66" t="s">
        <v>16</v>
      </c>
    </row>
    <row r="67" spans="1:11" x14ac:dyDescent="0.25">
      <c r="A67" t="s">
        <v>8</v>
      </c>
      <c r="B67" s="84" t="e">
        <f>IF(OR('Event Tracker'!$B$20=1,'Event Tracker'!$B$21=1),INDEX('Resource Mix and Demand'!$C$22:$L$29,MATCH(Graphs!A67,'Resource Mix and Demand'!$A$22:$A$29,0),MATCH(Current_Round,'Resource Mix and Demand'!$C$21:$L$21,0)),INDEX(Dispatch!$C$186:$L$192,MATCH(Graphs!A67,Dispatch!$A$186:$A$192,0),MATCH(Current_Round,Dispatch!$C$185:$L$185,0)))</f>
        <v>#N/A</v>
      </c>
      <c r="C67" s="16" t="s">
        <v>17</v>
      </c>
      <c r="D67" s="115"/>
    </row>
    <row r="68" spans="1:11" x14ac:dyDescent="0.25">
      <c r="A68" t="s">
        <v>13</v>
      </c>
      <c r="B68" s="84" t="e">
        <f>IF(OR('Event Tracker'!$B$20=1,'Event Tracker'!$B$21=1),INDEX('Resource Mix and Demand'!$C$22:$L$29,MATCH(Graphs!A68,'Resource Mix and Demand'!$A$22:$A$29,0),MATCH(Current_Round,'Resource Mix and Demand'!$C$21:$L$21,0)),INDEX(Dispatch!$C$186:$L$192,MATCH(Graphs!A68,Dispatch!$A$186:$A$192,0),MATCH(Current_Round,Dispatch!$C$185:$L$185,0)))</f>
        <v>#N/A</v>
      </c>
      <c r="C68" s="16" t="s">
        <v>18</v>
      </c>
      <c r="D68" s="115"/>
    </row>
    <row r="69" spans="1:11" x14ac:dyDescent="0.25">
      <c r="A69" t="s">
        <v>9</v>
      </c>
      <c r="B69" s="84" t="e">
        <f>IF(OR('Event Tracker'!$B$20=1,'Event Tracker'!$B$21=1),INDEX('Resource Mix and Demand'!$C$22:$L$29,MATCH(Graphs!A69,'Resource Mix and Demand'!$A$22:$A$29,0),MATCH(Current_Round,'Resource Mix and Demand'!$C$21:$L$21,0)),INDEX(Dispatch!$C$186:$L$192,MATCH(Graphs!A69,Dispatch!$A$186:$A$192,0),MATCH(Current_Round,Dispatch!$C$185:$L$185,0)))</f>
        <v>#N/A</v>
      </c>
      <c r="C69" s="16" t="s">
        <v>546</v>
      </c>
      <c r="D69" s="115"/>
    </row>
    <row r="70" spans="1:11" x14ac:dyDescent="0.25">
      <c r="A70" t="s">
        <v>367</v>
      </c>
      <c r="B70" s="84" t="e">
        <f>IF(OR('Event Tracker'!$B$20=1,'Event Tracker'!$B$21=1),INDEX('Resource Mix and Demand'!$C$22:$L$29,MATCH(Graphs!A70,'Resource Mix and Demand'!$A$22:$A$29,0),MATCH(Current_Round,'Resource Mix and Demand'!$C$21:$L$21,0)),INDEX('Resource Mix and Demand'!B58:L58,1,MATCH(Current_Round,'Resource Mix and Demand'!C50:L50,0)))</f>
        <v>#N/A</v>
      </c>
      <c r="C70" s="16" t="s">
        <v>547</v>
      </c>
      <c r="D70" s="115"/>
    </row>
    <row r="71" spans="1:11" x14ac:dyDescent="0.25">
      <c r="A71" t="s">
        <v>10</v>
      </c>
      <c r="B71" s="84" t="e">
        <f>IF(OR('Event Tracker'!$B$20=1,'Event Tracker'!$B$21=1),INDEX('Resource Mix and Demand'!$C$22:$L$29,MATCH(Graphs!A71,'Resource Mix and Demand'!$A$22:$A$29,0),MATCH(Current_Round,'Resource Mix and Demand'!$C$21:$L$21,0)),INDEX(Dispatch!$C$186:$L$192,MATCH(Graphs!A71,Dispatch!$A$186:$A$192,0),MATCH(Current_Round,Dispatch!$C$185:$L$185,0)))</f>
        <v>#N/A</v>
      </c>
      <c r="C71" s="16" t="s">
        <v>365</v>
      </c>
      <c r="D71" s="115"/>
    </row>
    <row r="72" spans="1:11" x14ac:dyDescent="0.25">
      <c r="A72" t="s">
        <v>11</v>
      </c>
      <c r="B72" s="84" t="e">
        <f>IF(OR('Event Tracker'!$B$20=1,'Event Tracker'!$B$21=1),INDEX('Resource Mix and Demand'!$C$22:$L$29,MATCH(Graphs!A72,'Resource Mix and Demand'!$A$22:$A$29,0),MATCH(Current_Round,'Resource Mix and Demand'!$C$21:$L$21,0)),INDEX(Dispatch!$C$186:$L$192,MATCH(Graphs!A72,Dispatch!$A$186:$A$192,0),MATCH(Current_Round,Dispatch!$C$185:$L$185,0)))</f>
        <v>#N/A</v>
      </c>
      <c r="C72" s="16" t="s">
        <v>366</v>
      </c>
      <c r="D72" s="115"/>
    </row>
    <row r="73" spans="1:11" x14ac:dyDescent="0.25">
      <c r="A73" t="s">
        <v>12</v>
      </c>
      <c r="B73" s="84" t="e">
        <f>IF(OR('Event Tracker'!$B$20=1,'Event Tracker'!$B$21=1),INDEX('Resource Mix and Demand'!$C$22:$L$29,MATCH(Graphs!A73,'Resource Mix and Demand'!$A$22:$A$29,0),MATCH(Current_Round,'Resource Mix and Demand'!$C$21:$L$21,0)),INDEX(Dispatch!$C$186:$L$192,MATCH(Graphs!A73,Dispatch!$A$186:$A$192,0),MATCH(Current_Round,Dispatch!$C$185:$L$185,0)))</f>
        <v>#N/A</v>
      </c>
      <c r="C73" s="16" t="s">
        <v>513</v>
      </c>
      <c r="D73" s="115"/>
    </row>
    <row r="74" spans="1:11" x14ac:dyDescent="0.25">
      <c r="C74" s="16"/>
      <c r="D74" s="115"/>
    </row>
    <row r="75" spans="1:11" x14ac:dyDescent="0.25">
      <c r="C75" s="16"/>
      <c r="D75" s="115"/>
    </row>
    <row r="76" spans="1:11" x14ac:dyDescent="0.25">
      <c r="C76" s="16"/>
      <c r="D76" s="115"/>
    </row>
    <row r="77" spans="1:11" x14ac:dyDescent="0.25">
      <c r="C77" s="16"/>
      <c r="D77" s="115"/>
    </row>
    <row r="81" spans="1:12" x14ac:dyDescent="0.25">
      <c r="A81" s="9" t="s">
        <v>359</v>
      </c>
      <c r="B81" s="3"/>
      <c r="C81" s="3"/>
      <c r="D81" s="3"/>
      <c r="E81" s="3"/>
      <c r="F81" s="3"/>
      <c r="G81" s="3"/>
      <c r="H81" s="3"/>
      <c r="I81" s="3"/>
      <c r="J81" s="3"/>
      <c r="K81" s="3"/>
    </row>
    <row r="82" spans="1:12" x14ac:dyDescent="0.25">
      <c r="A82" t="s">
        <v>331</v>
      </c>
      <c r="B82" t="s">
        <v>333</v>
      </c>
      <c r="C82" t="s">
        <v>330</v>
      </c>
      <c r="D82" t="s">
        <v>332</v>
      </c>
      <c r="E82" t="s">
        <v>360</v>
      </c>
    </row>
    <row r="83" spans="1:12" x14ac:dyDescent="0.25">
      <c r="A83">
        <f ca="1">YEAR(TODAY())-2</f>
        <v>2019</v>
      </c>
      <c r="B83">
        <v>0</v>
      </c>
      <c r="C83" s="5">
        <f>IF(COUNT($B$34:$B34)&lt;=$O$1+1,INDEX(Reliability!$B$89:$L$89,1,MATCH(Graphs!B34,Reliability!$B$88:$L$88,0)),NA())</f>
        <v>0.35448266099999981</v>
      </c>
      <c r="D83" s="5">
        <f>IF(C83="","",IF(OR(COUNT($C$83:$C83)-1=$O$1,COUNT($C$83:$C84)-1=$O$1),C83,NA()))</f>
        <v>0.35448266099999981</v>
      </c>
      <c r="E83" s="18">
        <f>IF(SUM('Event Tracker'!$B$7:$L$7)=0,0.15,0.1)</f>
        <v>0.15</v>
      </c>
    </row>
    <row r="84" spans="1:12" x14ac:dyDescent="0.25">
      <c r="A84">
        <f ca="1">A83+2</f>
        <v>2021</v>
      </c>
      <c r="B84">
        <v>1</v>
      </c>
      <c r="C84" s="44" t="e">
        <f>IF(COUNT($B$34:$B35)&lt;=$O$1+1,INDEX(Reliability!$B$89:$L$89,1,MATCH(Graphs!B35,Reliability!$B$88:$L$88,0)),NA())</f>
        <v>#N/A</v>
      </c>
      <c r="D84" s="5" t="e">
        <f>IF(C84="","",IF(OR(COUNT($C$83:$C84)-1=$O$1,COUNT($C$83:$C85)-1=$O$1),C84,NA()))</f>
        <v>#N/A</v>
      </c>
      <c r="E84" s="18">
        <f>IF(SUM('Event Tracker'!$B$7:$L$7)=0,0.15,0.1)</f>
        <v>0.15</v>
      </c>
    </row>
    <row r="85" spans="1:12" x14ac:dyDescent="0.25">
      <c r="A85">
        <f t="shared" ref="A85:A93" ca="1" si="4">A84+2</f>
        <v>2023</v>
      </c>
      <c r="B85">
        <v>2</v>
      </c>
      <c r="C85" s="44" t="e">
        <f>IF(COUNT($B$34:$B36)&lt;=$O$1+1,INDEX(Reliability!$B$89:$L$89,1,MATCH(Graphs!B36,Reliability!$B$88:$L$88,0)),NA())</f>
        <v>#N/A</v>
      </c>
      <c r="D85" s="5" t="e">
        <f>IF(C85="","",IF(OR(COUNT($C$83:$C85)-1=$O$1,COUNT($C$83:$C86)-1=$O$1),C85,NA()))</f>
        <v>#N/A</v>
      </c>
      <c r="E85" s="18">
        <f>IF(SUM('Event Tracker'!$B$7:$L$7)=0,0.15,0.1)</f>
        <v>0.15</v>
      </c>
    </row>
    <row r="86" spans="1:12" x14ac:dyDescent="0.25">
      <c r="A86">
        <f t="shared" ca="1" si="4"/>
        <v>2025</v>
      </c>
      <c r="B86">
        <v>3</v>
      </c>
      <c r="C86" s="5" t="e">
        <f>IF(COUNT($B$34:$B37)&lt;=$O$1+1,INDEX(Reliability!$B$89:$L$89,1,MATCH(Graphs!B37,Reliability!$B$88:$L$88,0)),NA())</f>
        <v>#N/A</v>
      </c>
      <c r="D86" s="5" t="e">
        <f>IF(C86="","",IF(OR(COUNT($C$83:$C86)-1=$O$1,COUNT($C$83:$C87)-1=$O$1),C86,NA()))</f>
        <v>#N/A</v>
      </c>
      <c r="E86" s="18">
        <f>IF(SUM('Event Tracker'!$B$7:$L$7)=0,0.15,0.1)</f>
        <v>0.15</v>
      </c>
    </row>
    <row r="87" spans="1:12" x14ac:dyDescent="0.25">
      <c r="A87">
        <f t="shared" ca="1" si="4"/>
        <v>2027</v>
      </c>
      <c r="B87">
        <v>4</v>
      </c>
      <c r="C87" s="5" t="e">
        <f>IF(COUNT($B$34:$B38)&lt;=$O$1+1,INDEX(Reliability!$B$89:$L$89,1,MATCH(Graphs!B38,Reliability!$B$88:$L$88,0)),NA())</f>
        <v>#N/A</v>
      </c>
      <c r="D87" s="5" t="e">
        <f>IF(C87="","",IF(OR(COUNT($C$83:$C87)-1=$O$1,COUNT($C$83:$C88)-1=$O$1),C87,NA()))</f>
        <v>#N/A</v>
      </c>
      <c r="E87" s="18">
        <f>IF(SUM('Event Tracker'!$B$7:$L$7)=0,0.15,0.1)</f>
        <v>0.15</v>
      </c>
    </row>
    <row r="88" spans="1:12" x14ac:dyDescent="0.25">
      <c r="A88">
        <f t="shared" ca="1" si="4"/>
        <v>2029</v>
      </c>
      <c r="B88">
        <v>5</v>
      </c>
      <c r="C88" s="5" t="e">
        <f>IF(COUNT($B$34:$B39)&lt;=$O$1+1,INDEX(Reliability!$B$89:$L$89,1,MATCH(Graphs!B39,Reliability!$B$88:$L$88,0)),NA())</f>
        <v>#N/A</v>
      </c>
      <c r="D88" s="5" t="e">
        <f>IF(C88="","",IF(OR(COUNT($C$83:$C88)-1=$O$1,COUNT($C$83:$C89)-1=$O$1),C88,NA()))</f>
        <v>#N/A</v>
      </c>
      <c r="E88" s="18">
        <f>IF(SUM('Event Tracker'!$B$7:$L$7)=0,0.15,0.1)</f>
        <v>0.15</v>
      </c>
    </row>
    <row r="89" spans="1:12" x14ac:dyDescent="0.25">
      <c r="A89">
        <f t="shared" ca="1" si="4"/>
        <v>2031</v>
      </c>
      <c r="B89">
        <v>6</v>
      </c>
      <c r="C89" s="44" t="e">
        <f>IF(COUNT($B$34:$B40)&lt;=$O$1+1,INDEX(Reliability!$B$89:$L$89,1,MATCH(Graphs!B40,Reliability!$B$88:$L$88,0)),NA())</f>
        <v>#N/A</v>
      </c>
      <c r="D89" s="5" t="e">
        <f>IF(C89="","",IF(OR(COUNT($C$83:$C89)-1=$O$1,COUNT($C$83:$C90)-1=$O$1),C89,NA()))</f>
        <v>#N/A</v>
      </c>
      <c r="E89" s="18">
        <f>IF(SUM('Event Tracker'!$B$7:$L$7)=0,0.15,0.1)</f>
        <v>0.15</v>
      </c>
    </row>
    <row r="90" spans="1:12" x14ac:dyDescent="0.25">
      <c r="A90">
        <f t="shared" ca="1" si="4"/>
        <v>2033</v>
      </c>
      <c r="B90">
        <v>7</v>
      </c>
      <c r="C90" s="5" t="e">
        <f>IF(COUNT($B$34:$B41)&lt;=$O$1+1,INDEX(Reliability!$B$89:$L$89,1,MATCH(Graphs!B41,Reliability!$B$88:$L$88,0)),NA())</f>
        <v>#N/A</v>
      </c>
      <c r="D90" s="5" t="e">
        <f>IF(C90="","",IF(OR(COUNT($C$83:$C90)-1=$O$1,COUNT($C$83:$C91)-1=$O$1),C90,NA()))</f>
        <v>#N/A</v>
      </c>
      <c r="E90" s="18">
        <f>IF(SUM('Event Tracker'!$B$7:$L$7)=0,0.15,0.1)</f>
        <v>0.15</v>
      </c>
    </row>
    <row r="91" spans="1:12" x14ac:dyDescent="0.25">
      <c r="A91">
        <f t="shared" ca="1" si="4"/>
        <v>2035</v>
      </c>
      <c r="B91">
        <v>8</v>
      </c>
      <c r="C91" s="5" t="e">
        <f>IF(COUNT($B$34:$B42)&lt;=$O$1+1,INDEX(Reliability!$B$89:$L$89,1,MATCH(Graphs!B42,Reliability!$B$88:$L$88,0)),NA())</f>
        <v>#N/A</v>
      </c>
      <c r="D91" s="5" t="e">
        <f>IF(C91="","",IF(OR(COUNT($C$83:$C91)-1=$O$1,COUNT($C$83:$C92)-1=$O$1),C91,NA()))</f>
        <v>#N/A</v>
      </c>
      <c r="E91" s="18">
        <f>IF(SUM('Event Tracker'!$B$7:$L$7)=0,0.15,0.1)</f>
        <v>0.15</v>
      </c>
    </row>
    <row r="92" spans="1:12" x14ac:dyDescent="0.25">
      <c r="A92">
        <f t="shared" ca="1" si="4"/>
        <v>2037</v>
      </c>
      <c r="B92">
        <v>9</v>
      </c>
      <c r="C92" s="5" t="e">
        <f>IF(COUNT($B$34:$B43)&lt;=$O$1+1,INDEX(Reliability!$B$89:$L$89,1,MATCH(Graphs!B43,Reliability!$B$88:$L$88,0)),NA())</f>
        <v>#N/A</v>
      </c>
      <c r="D92" s="5" t="e">
        <f>IF(C92="","",IF(OR(COUNT($C$83:$C92)-1=$O$1,COUNT($C$83:$C93)-1=$O$1),C92,NA()))</f>
        <v>#N/A</v>
      </c>
      <c r="E92" s="18">
        <f>IF(SUM('Event Tracker'!$B$7:$L$7)=0,0.15,0.1)</f>
        <v>0.15</v>
      </c>
    </row>
    <row r="93" spans="1:12" x14ac:dyDescent="0.25">
      <c r="A93">
        <f t="shared" ca="1" si="4"/>
        <v>2039</v>
      </c>
      <c r="B93">
        <v>10</v>
      </c>
      <c r="C93" s="5" t="e">
        <f>IF(COUNT($B$34:$B44)&lt;=$O$1+1,INDEX(Reliability!$B$89:$L$89,1,MATCH(Graphs!B44,Reliability!$B$88:$L$88,0)),NA())</f>
        <v>#N/A</v>
      </c>
      <c r="D93" s="5" t="e">
        <f>IF(C93="","",IF(OR(COUNT($C$83:$C93)-1=$O$1,COUNT($C$83:$C94)-1=$O$1),C93,NA()))</f>
        <v>#N/A</v>
      </c>
      <c r="E93" s="18">
        <f>IF(SUM('Event Tracker'!$B$7:$L$7)=0,0.15,0.1)</f>
        <v>0.15</v>
      </c>
    </row>
    <row r="96" spans="1:12" x14ac:dyDescent="0.25">
      <c r="A96" s="9" t="s">
        <v>543</v>
      </c>
      <c r="B96" s="9">
        <v>0</v>
      </c>
      <c r="C96" s="9">
        <v>1</v>
      </c>
      <c r="D96" s="9">
        <v>2</v>
      </c>
      <c r="E96" s="9">
        <v>3</v>
      </c>
      <c r="F96" s="9">
        <v>4</v>
      </c>
      <c r="G96" s="9">
        <v>5</v>
      </c>
      <c r="H96" s="9">
        <v>6</v>
      </c>
      <c r="I96" s="9">
        <v>7</v>
      </c>
      <c r="J96" s="9">
        <v>8</v>
      </c>
      <c r="K96" s="9">
        <v>9</v>
      </c>
      <c r="L96" s="9">
        <v>10</v>
      </c>
    </row>
    <row r="97" spans="1:12" x14ac:dyDescent="0.25">
      <c r="A97" t="s">
        <v>544</v>
      </c>
      <c r="B97">
        <f>Reliability!B109</f>
        <v>0</v>
      </c>
      <c r="C97">
        <f>Reliability!C109</f>
        <v>0</v>
      </c>
      <c r="D97">
        <f>Reliability!D109</f>
        <v>264.13847807469756</v>
      </c>
      <c r="E97">
        <f>Reliability!E109</f>
        <v>1084.4431703154769</v>
      </c>
      <c r="F97">
        <f>Reliability!F109</f>
        <v>264.3202965936689</v>
      </c>
      <c r="G97">
        <f>Reliability!G109</f>
        <v>257.02807042248969</v>
      </c>
      <c r="H97">
        <f>Reliability!H109</f>
        <v>261.71672988349746</v>
      </c>
      <c r="I97">
        <f>Reliability!I109</f>
        <v>266.96417750566616</v>
      </c>
      <c r="J97">
        <f>Reliability!J109</f>
        <v>345.55527779245313</v>
      </c>
      <c r="K97">
        <f>Reliability!K109</f>
        <v>413.55532470029721</v>
      </c>
      <c r="L97">
        <f>Reliability!L109</f>
        <v>442.43547993149878</v>
      </c>
    </row>
    <row r="99" spans="1:12" x14ac:dyDescent="0.25">
      <c r="A99" s="9" t="s">
        <v>472</v>
      </c>
      <c r="B99" s="9"/>
      <c r="C99" s="9"/>
      <c r="D99" s="9"/>
      <c r="E99" s="9"/>
      <c r="F99" s="9"/>
      <c r="G99" s="9"/>
    </row>
    <row r="100" spans="1:12" x14ac:dyDescent="0.25">
      <c r="A100" t="s">
        <v>473</v>
      </c>
      <c r="B100">
        <f ca="1">YEAR(TODAY())-2</f>
        <v>2019</v>
      </c>
      <c r="C100">
        <f ca="1">B100+2</f>
        <v>2021</v>
      </c>
      <c r="D100">
        <f t="shared" ref="D100:G100" ca="1" si="5">C100+2</f>
        <v>2023</v>
      </c>
      <c r="E100">
        <f t="shared" ca="1" si="5"/>
        <v>2025</v>
      </c>
      <c r="F100">
        <f t="shared" ca="1" si="5"/>
        <v>2027</v>
      </c>
      <c r="G100">
        <f t="shared" ca="1" si="5"/>
        <v>2029</v>
      </c>
    </row>
    <row r="101" spans="1:12" x14ac:dyDescent="0.25">
      <c r="A101" t="s">
        <v>513</v>
      </c>
      <c r="B101" s="84">
        <f ca="1">'Resource Mix and Demand'!$B28+'Game Assumptions'!$B186*(Graphs!B$100-2015)/2</f>
        <v>250</v>
      </c>
      <c r="C101" s="84">
        <f ca="1">'Resource Mix and Demand'!$B28+'Game Assumptions'!$B186*(Graphs!C$100-2015)/2</f>
        <v>275</v>
      </c>
      <c r="D101" s="84">
        <f ca="1">'Resource Mix and Demand'!$B28+'Game Assumptions'!$B186*(Graphs!D$100-2015)/2</f>
        <v>300</v>
      </c>
      <c r="E101" s="84">
        <f ca="1">'Resource Mix and Demand'!$B28+'Game Assumptions'!$B186*(Graphs!E$100-2015)/2</f>
        <v>325</v>
      </c>
      <c r="F101" s="84">
        <f ca="1">'Resource Mix and Demand'!$B28+'Game Assumptions'!$B186*(Graphs!F$100-2015)/2</f>
        <v>350</v>
      </c>
      <c r="G101" s="84">
        <f ca="1">'Resource Mix and Demand'!$B28+'Game Assumptions'!$B186*(Graphs!G$100-2015)/2</f>
        <v>375</v>
      </c>
    </row>
    <row r="102" spans="1:12" x14ac:dyDescent="0.25">
      <c r="A102" t="s">
        <v>367</v>
      </c>
      <c r="B102" s="84">
        <f ca="1">'Resource Mix and Demand'!$B29+'Game Assumptions'!$B187*(Graphs!B$100-2015)/2</f>
        <v>70</v>
      </c>
      <c r="C102" s="84">
        <f ca="1">'Resource Mix and Demand'!$B29+'Game Assumptions'!$B187*(Graphs!C$100-2015)/2</f>
        <v>80</v>
      </c>
      <c r="D102" s="84">
        <f ca="1">'Resource Mix and Demand'!$B29+'Game Assumptions'!$B187*(Graphs!D$100-2015)/2</f>
        <v>90</v>
      </c>
      <c r="E102" s="84">
        <f ca="1">'Resource Mix and Demand'!$B29+'Game Assumptions'!$B187*(Graphs!E$100-2015)/2</f>
        <v>100</v>
      </c>
      <c r="F102" s="84">
        <f ca="1">'Resource Mix and Demand'!$B29+'Game Assumptions'!$B187*(Graphs!F$100-2015)/2</f>
        <v>110</v>
      </c>
      <c r="G102" s="84">
        <f ca="1">'Resource Mix and Demand'!$B29+'Game Assumptions'!$B187*(Graphs!G$100-2015)/2</f>
        <v>120</v>
      </c>
    </row>
    <row r="104" spans="1:12" x14ac:dyDescent="0.25">
      <c r="A104" s="9" t="s">
        <v>510</v>
      </c>
      <c r="B104" s="9"/>
    </row>
    <row r="105" spans="1:12" x14ac:dyDescent="0.25">
      <c r="A105" t="s">
        <v>395</v>
      </c>
      <c r="B105" t="str">
        <f>IFERROR(INDEX(Dispatch!$C$232:$L$233,1,Current_Round),"")</f>
        <v/>
      </c>
    </row>
    <row r="106" spans="1:12" x14ac:dyDescent="0.25">
      <c r="A106" t="s">
        <v>511</v>
      </c>
      <c r="B106" t="str">
        <f>IFERROR(INDEX(Dispatch!$C$232:$L$233,2,Current_Round),"")</f>
        <v/>
      </c>
    </row>
    <row r="109" spans="1:12" x14ac:dyDescent="0.25">
      <c r="A109" s="9"/>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6"/>
  </sheetPr>
  <dimension ref="A1:N246"/>
  <sheetViews>
    <sheetView topLeftCell="A223" zoomScale="85" zoomScaleNormal="85" workbookViewId="0">
      <selection activeCell="A6" sqref="A6"/>
    </sheetView>
  </sheetViews>
  <sheetFormatPr defaultRowHeight="15" x14ac:dyDescent="0.25"/>
  <cols>
    <col min="1" max="1" width="47.5703125"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4">
        <f>'Resource Mix and Demand'!B51</f>
        <v>18921600</v>
      </c>
      <c r="C2" s="84">
        <f>'Resource Mix and Demand'!C51</f>
        <v>18921600</v>
      </c>
      <c r="D2" s="84">
        <f>'Resource Mix and Demand'!D51</f>
        <v>14191200</v>
      </c>
      <c r="E2" s="84">
        <f>'Resource Mix and Demand'!E51</f>
        <v>9460800</v>
      </c>
      <c r="F2" s="84">
        <f>'Resource Mix and Demand'!F51</f>
        <v>9460800</v>
      </c>
      <c r="G2" s="84">
        <f>'Resource Mix and Demand'!G51</f>
        <v>9460800</v>
      </c>
      <c r="H2" s="84">
        <f>'Resource Mix and Demand'!H51</f>
        <v>9460800</v>
      </c>
      <c r="I2" s="84">
        <f>'Resource Mix and Demand'!I51</f>
        <v>9460800</v>
      </c>
      <c r="J2" s="84">
        <f>'Resource Mix and Demand'!J51</f>
        <v>9460800</v>
      </c>
      <c r="K2" s="84">
        <f>'Resource Mix and Demand'!K51</f>
        <v>9460800</v>
      </c>
      <c r="L2" s="84">
        <f>'Resource Mix and Demand'!L51</f>
        <v>9460800</v>
      </c>
    </row>
    <row r="3" spans="1:14" x14ac:dyDescent="0.25">
      <c r="A3" t="s">
        <v>8</v>
      </c>
      <c r="B3" s="84">
        <f>'Resource Mix and Demand'!B52</f>
        <v>38544000</v>
      </c>
      <c r="C3" s="84">
        <f>'Resource Mix and Demand'!C52</f>
        <v>38544000</v>
      </c>
      <c r="D3" s="84">
        <f>'Resource Mix and Demand'!D52</f>
        <v>39253513.666191228</v>
      </c>
      <c r="E3" s="84">
        <f>'Resource Mix and Demand'!E52</f>
        <v>42166482.860058464</v>
      </c>
      <c r="F3" s="84">
        <f>'Resource Mix and Demand'!F52</f>
        <v>42876484.916751966</v>
      </c>
      <c r="G3" s="84">
        <f>'Resource Mix and Demand'!G52</f>
        <v>43566899.012754843</v>
      </c>
      <c r="H3" s="84">
        <f>'Resource Mix and Demand'!H52</f>
        <v>44269907.517523713</v>
      </c>
      <c r="I3" s="84">
        <f>'Resource Mix and Demand'!I52</f>
        <v>44987011.415844075</v>
      </c>
      <c r="J3" s="84">
        <f>'Resource Mix and Demand'!J52</f>
        <v>45915222.230888277</v>
      </c>
      <c r="K3" s="84">
        <f>'Resource Mix and Demand'!K52</f>
        <v>47026090.881074227</v>
      </c>
      <c r="L3" s="84">
        <f>'Resource Mix and Demand'!L52</f>
        <v>48214535.751762472</v>
      </c>
    </row>
    <row r="4" spans="1:14" x14ac:dyDescent="0.25">
      <c r="A4" t="s">
        <v>13</v>
      </c>
      <c r="B4" s="84">
        <f>'Resource Mix and Demand'!B53</f>
        <v>16363680</v>
      </c>
      <c r="C4" s="84">
        <f>'Resource Mix and Demand'!C53</f>
        <v>8181840</v>
      </c>
      <c r="D4" s="84">
        <f>'Resource Mix and Demand'!D53</f>
        <v>8181840</v>
      </c>
      <c r="E4" s="84">
        <f>'Resource Mix and Demand'!E53</f>
        <v>8181840</v>
      </c>
      <c r="F4" s="84">
        <f>'Resource Mix and Demand'!F53</f>
        <v>8181840</v>
      </c>
      <c r="G4" s="84">
        <f>'Resource Mix and Demand'!G53</f>
        <v>8181840</v>
      </c>
      <c r="H4" s="84">
        <f>'Resource Mix and Demand'!H53</f>
        <v>8181840</v>
      </c>
      <c r="I4" s="84">
        <f>'Resource Mix and Demand'!I53</f>
        <v>8181840</v>
      </c>
      <c r="J4" s="84">
        <f>'Resource Mix and Demand'!J53</f>
        <v>8181840</v>
      </c>
      <c r="K4" s="84">
        <f>'Resource Mix and Demand'!K53</f>
        <v>8181840</v>
      </c>
      <c r="L4" s="84">
        <f>'Resource Mix and Demand'!L53</f>
        <v>8181840</v>
      </c>
    </row>
    <row r="5" spans="1:14" x14ac:dyDescent="0.25">
      <c r="A5" t="s">
        <v>9</v>
      </c>
      <c r="B5" s="84">
        <f>'Resource Mix and Demand'!B54</f>
        <v>451665.6</v>
      </c>
      <c r="C5" s="84">
        <f>'Resource Mix and Demand'!C54</f>
        <v>451665.6</v>
      </c>
      <c r="D5" s="84">
        <f>'Resource Mix and Demand'!D54</f>
        <v>617949.80285827105</v>
      </c>
      <c r="E5" s="84">
        <f>'Resource Mix and Demand'!E54</f>
        <v>1300643.8557482469</v>
      </c>
      <c r="F5" s="84">
        <f>'Resource Mix and Demand'!F54</f>
        <v>1417784.8254371637</v>
      </c>
      <c r="G5" s="84">
        <f>'Resource Mix and Demand'!G54</f>
        <v>1417784.8254371637</v>
      </c>
      <c r="H5" s="84">
        <f>'Resource Mix and Demand'!H54</f>
        <v>1417784.8254371637</v>
      </c>
      <c r="I5" s="84">
        <f>'Resource Mix and Demand'!I54</f>
        <v>1417784.8254371637</v>
      </c>
      <c r="J5" s="84">
        <f>'Resource Mix and Demand'!J54</f>
        <v>1417784.8254371637</v>
      </c>
      <c r="K5" s="84">
        <f>'Resource Mix and Demand'!K54</f>
        <v>1417784.8254371637</v>
      </c>
      <c r="L5" s="84">
        <f>'Resource Mix and Demand'!L54</f>
        <v>1417784.8254371637</v>
      </c>
    </row>
    <row r="6" spans="1:14" x14ac:dyDescent="0.25">
      <c r="A6" t="s">
        <v>10</v>
      </c>
      <c r="B6" s="84">
        <f>'Resource Mix and Demand'!B55</f>
        <v>765974.39999999991</v>
      </c>
      <c r="C6" s="84">
        <f>'Resource Mix and Demand'!C55</f>
        <v>765974.39999999991</v>
      </c>
      <c r="D6" s="84">
        <f>'Resource Mix and Demand'!D55</f>
        <v>1047973.8316898219</v>
      </c>
      <c r="E6" s="84">
        <f>'Resource Mix and Demand'!E55</f>
        <v>2205746.6785614179</v>
      </c>
      <c r="F6" s="84">
        <f>'Resource Mix and Demand'!F55</f>
        <v>2404404.6768080993</v>
      </c>
      <c r="G6" s="84">
        <f>'Resource Mix and Demand'!G55</f>
        <v>2404404.6768080993</v>
      </c>
      <c r="H6" s="84">
        <f>'Resource Mix and Demand'!H55</f>
        <v>2404404.6768080993</v>
      </c>
      <c r="I6" s="84">
        <f>'Resource Mix and Demand'!I55</f>
        <v>2404404.6768080993</v>
      </c>
      <c r="J6" s="84">
        <f>'Resource Mix and Demand'!J55</f>
        <v>2404404.6768080993</v>
      </c>
      <c r="K6" s="84">
        <f>'Resource Mix and Demand'!K55</f>
        <v>2404404.6768080993</v>
      </c>
      <c r="L6" s="84">
        <f>'Resource Mix and Demand'!L55</f>
        <v>2404404.6768080993</v>
      </c>
    </row>
    <row r="7" spans="1:14" x14ac:dyDescent="0.25">
      <c r="A7" t="s">
        <v>11</v>
      </c>
      <c r="B7" s="84">
        <f>'Resource Mix and Demand'!B56</f>
        <v>601286.40000000002</v>
      </c>
      <c r="C7" s="84">
        <f>'Resource Mix and Demand'!C56</f>
        <v>601286.40000000002</v>
      </c>
      <c r="D7" s="84">
        <f>'Resource Mix and Demand'!D56</f>
        <v>601286.40000000002</v>
      </c>
      <c r="E7" s="84">
        <f>'Resource Mix and Demand'!E56</f>
        <v>601286.40000000002</v>
      </c>
      <c r="F7" s="84">
        <f>'Resource Mix and Demand'!F56</f>
        <v>601286.40000000002</v>
      </c>
      <c r="G7" s="84">
        <f>'Resource Mix and Demand'!G56</f>
        <v>601286.40000000002</v>
      </c>
      <c r="H7" s="84">
        <f>'Resource Mix and Demand'!H56</f>
        <v>601286.40000000002</v>
      </c>
      <c r="I7" s="84">
        <f>'Resource Mix and Demand'!I56</f>
        <v>601286.40000000002</v>
      </c>
      <c r="J7" s="84">
        <f>'Resource Mix and Demand'!J56</f>
        <v>601286.40000000002</v>
      </c>
      <c r="K7" s="84">
        <f>'Resource Mix and Demand'!K56</f>
        <v>601286.40000000002</v>
      </c>
      <c r="L7" s="84">
        <f>'Resource Mix and Demand'!L56</f>
        <v>601286.40000000002</v>
      </c>
    </row>
    <row r="8" spans="1:14" x14ac:dyDescent="0.25">
      <c r="A8" t="s">
        <v>12</v>
      </c>
      <c r="B8" s="84">
        <f>MIN('Resource Mix and Demand'!B57,B144*'Game Assumptions'!$B$193)</f>
        <v>1752000</v>
      </c>
      <c r="C8" s="84">
        <f>MIN('Resource Mix and Demand'!C57,C144*'Game Assumptions'!$B$193)</f>
        <v>1971000</v>
      </c>
      <c r="D8" s="84">
        <f>MIN('Resource Mix and Demand'!D57,D144*'Game Assumptions'!$B$193)</f>
        <v>2835012.4238102059</v>
      </c>
      <c r="E8" s="84">
        <f>MIN('Resource Mix and Demand'!E57,E144*'Game Assumptions'!$B$193)</f>
        <v>5702166.2364167841</v>
      </c>
      <c r="F8" s="84">
        <f>MIN('Resource Mix and Demand'!F57,F144*'Game Assumptions'!$B$193)</f>
        <v>6566622.6515926942</v>
      </c>
      <c r="G8" s="84">
        <f>MIN('Resource Mix and Demand'!G57,G144*'Game Assumptions'!$B$193)</f>
        <v>7350077.1548491297</v>
      </c>
      <c r="H8" s="84">
        <f>MIN('Resource Mix and Demand'!H57,H144*'Game Assumptions'!$B$193)</f>
        <v>7086362.3587442832</v>
      </c>
      <c r="I8" s="84">
        <f>MIN('Resource Mix and Demand'!I57,I144*'Game Assumptions'!$B$193)</f>
        <v>7045179.1793156993</v>
      </c>
      <c r="J8" s="84">
        <f>MIN('Resource Mix and Demand'!J57,J144*'Game Assumptions'!$B$193)</f>
        <v>6959817.9293156993</v>
      </c>
      <c r="K8" s="84">
        <f>MIN('Resource Mix and Demand'!K57,K144*'Game Assumptions'!$B$193)</f>
        <v>6860686.6793156993</v>
      </c>
      <c r="L8" s="84">
        <f>MIN('Resource Mix and Demand'!L57,L144*'Game Assumptions'!$B$193)</f>
        <v>6853355.4293156993</v>
      </c>
    </row>
    <row r="10" spans="1:14" x14ac:dyDescent="0.25">
      <c r="A10" s="9" t="s">
        <v>420</v>
      </c>
      <c r="B10" s="9">
        <v>0</v>
      </c>
      <c r="C10" s="9">
        <v>1</v>
      </c>
      <c r="D10" s="9">
        <v>2</v>
      </c>
      <c r="E10" s="9">
        <v>3</v>
      </c>
      <c r="F10" s="9">
        <v>4</v>
      </c>
      <c r="G10" s="9">
        <v>5</v>
      </c>
      <c r="H10" s="9">
        <v>6</v>
      </c>
      <c r="I10" s="9">
        <v>7</v>
      </c>
      <c r="J10" s="9">
        <v>8</v>
      </c>
      <c r="K10" s="9">
        <v>9</v>
      </c>
      <c r="L10" s="9">
        <v>10</v>
      </c>
    </row>
    <row r="11" spans="1:14" x14ac:dyDescent="0.25">
      <c r="A11" t="s">
        <v>7</v>
      </c>
      <c r="B11" s="84">
        <f>IF(OR('Initial Setup'!$B$3='Event Tracker'!$A$22,'Initial Setup'!$B$3='Event Tracker'!$A$23,'Initial Setup'!$B$3='Event Tracker'!$A$24),'Event Tracker'!B42,0)</f>
        <v>0</v>
      </c>
      <c r="C11" s="84">
        <f>IF(OR('Initial Setup'!$B$3='Event Tracker'!$A$22,'Initial Setup'!$B$3='Event Tracker'!$A$23,'Initial Setup'!$B$3='Event Tracker'!$A$24),'Event Tracker'!C42,0)</f>
        <v>0</v>
      </c>
      <c r="D11" s="84">
        <f>IF(OR('Initial Setup'!$B$3='Event Tracker'!$A$22,'Initial Setup'!$B$3='Event Tracker'!$A$23,'Initial Setup'!$B$3='Event Tracker'!$A$24),'Event Tracker'!D42,0)</f>
        <v>0</v>
      </c>
      <c r="E11" s="84">
        <f>IF(OR('Initial Setup'!$B$3='Event Tracker'!$A$22,'Initial Setup'!$B$3='Event Tracker'!$A$23,'Initial Setup'!$B$3='Event Tracker'!$A$24),'Event Tracker'!E42,0)</f>
        <v>0</v>
      </c>
      <c r="F11" s="84">
        <f>IF(OR('Initial Setup'!$B$3='Event Tracker'!$A$22,'Initial Setup'!$B$3='Event Tracker'!$A$23,'Initial Setup'!$B$3='Event Tracker'!$A$24),'Event Tracker'!F42,0)</f>
        <v>0</v>
      </c>
      <c r="G11" s="84">
        <f>IF(OR('Initial Setup'!$B$3='Event Tracker'!$A$22,'Initial Setup'!$B$3='Event Tracker'!$A$23,'Initial Setup'!$B$3='Event Tracker'!$A$24),'Event Tracker'!G42,0)</f>
        <v>0</v>
      </c>
      <c r="H11" s="84">
        <f>IF(OR('Initial Setup'!$B$3='Event Tracker'!$A$22,'Initial Setup'!$B$3='Event Tracker'!$A$23,'Initial Setup'!$B$3='Event Tracker'!$A$24),'Event Tracker'!H42,0)</f>
        <v>0</v>
      </c>
      <c r="I11" s="84">
        <f>IF(OR('Initial Setup'!$B$3='Event Tracker'!$A$22,'Initial Setup'!$B$3='Event Tracker'!$A$23,'Initial Setup'!$B$3='Event Tracker'!$A$24),'Event Tracker'!I42,0)</f>
        <v>0</v>
      </c>
      <c r="J11" s="84">
        <f>IF(OR('Initial Setup'!$B$3='Event Tracker'!$A$22,'Initial Setup'!$B$3='Event Tracker'!$A$23,'Initial Setup'!$B$3='Event Tracker'!$A$24),'Event Tracker'!J42,0)</f>
        <v>0</v>
      </c>
      <c r="K11" s="84">
        <f>IF(OR('Initial Setup'!$B$3='Event Tracker'!$A$22,'Initial Setup'!$B$3='Event Tracker'!$A$23,'Initial Setup'!$B$3='Event Tracker'!$A$24),'Event Tracker'!K42,0)</f>
        <v>0</v>
      </c>
      <c r="L11" s="84">
        <f>IF(OR('Initial Setup'!$B$3='Event Tracker'!$A$22,'Initial Setup'!$B$3='Event Tracker'!$A$23,'Initial Setup'!$B$3='Event Tracker'!$A$24),'Event Tracker'!L42,0)</f>
        <v>0</v>
      </c>
    </row>
    <row r="12" spans="1:14" x14ac:dyDescent="0.25">
      <c r="A12" t="s">
        <v>8</v>
      </c>
      <c r="B12" s="84">
        <f>IF(OR('Initial Setup'!$B$3='Event Tracker'!$A$22,'Initial Setup'!$B$3='Event Tracker'!$A$23,'Initial Setup'!$B$3='Event Tracker'!$A$24),'Event Tracker'!B43,0)</f>
        <v>0</v>
      </c>
      <c r="C12" s="84">
        <f>IF(OR('Initial Setup'!$B$3='Event Tracker'!$A$22,'Initial Setup'!$B$3='Event Tracker'!$A$23,'Initial Setup'!$B$3='Event Tracker'!$A$24),'Event Tracker'!C43,0)</f>
        <v>0</v>
      </c>
      <c r="D12" s="84">
        <f>IF(OR('Initial Setup'!$B$3='Event Tracker'!$A$22,'Initial Setup'!$B$3='Event Tracker'!$A$23,'Initial Setup'!$B$3='Event Tracker'!$A$24),'Event Tracker'!D43,0)</f>
        <v>0</v>
      </c>
      <c r="E12" s="84">
        <f>IF(OR('Initial Setup'!$B$3='Event Tracker'!$A$22,'Initial Setup'!$B$3='Event Tracker'!$A$23,'Initial Setup'!$B$3='Event Tracker'!$A$24),'Event Tracker'!E43,0)</f>
        <v>0</v>
      </c>
      <c r="F12" s="84">
        <f>IF(OR('Initial Setup'!$B$3='Event Tracker'!$A$22,'Initial Setup'!$B$3='Event Tracker'!$A$23,'Initial Setup'!$B$3='Event Tracker'!$A$24),'Event Tracker'!F43,0)</f>
        <v>0</v>
      </c>
      <c r="G12" s="84">
        <f>IF(OR('Initial Setup'!$B$3='Event Tracker'!$A$22,'Initial Setup'!$B$3='Event Tracker'!$A$23,'Initial Setup'!$B$3='Event Tracker'!$A$24),'Event Tracker'!G43,0)</f>
        <v>0</v>
      </c>
      <c r="H12" s="84">
        <f>IF(OR('Initial Setup'!$B$3='Event Tracker'!$A$22,'Initial Setup'!$B$3='Event Tracker'!$A$23,'Initial Setup'!$B$3='Event Tracker'!$A$24),'Event Tracker'!H43,0)</f>
        <v>0</v>
      </c>
      <c r="I12" s="84">
        <f>IF(OR('Initial Setup'!$B$3='Event Tracker'!$A$22,'Initial Setup'!$B$3='Event Tracker'!$A$23,'Initial Setup'!$B$3='Event Tracker'!$A$24),'Event Tracker'!I43,0)</f>
        <v>0</v>
      </c>
      <c r="J12" s="84">
        <f>IF(OR('Initial Setup'!$B$3='Event Tracker'!$A$22,'Initial Setup'!$B$3='Event Tracker'!$A$23,'Initial Setup'!$B$3='Event Tracker'!$A$24),'Event Tracker'!J43,0)</f>
        <v>0</v>
      </c>
      <c r="K12" s="84">
        <f>IF(OR('Initial Setup'!$B$3='Event Tracker'!$A$22,'Initial Setup'!$B$3='Event Tracker'!$A$23,'Initial Setup'!$B$3='Event Tracker'!$A$24),'Event Tracker'!K43,0)</f>
        <v>0</v>
      </c>
      <c r="L12" s="84">
        <f>IF(OR('Initial Setup'!$B$3='Event Tracker'!$A$22,'Initial Setup'!$B$3='Event Tracker'!$A$23,'Initial Setup'!$B$3='Event Tracker'!$A$24),'Event Tracker'!L43,0)</f>
        <v>0</v>
      </c>
    </row>
    <row r="13" spans="1:14" x14ac:dyDescent="0.25">
      <c r="A13" t="s">
        <v>13</v>
      </c>
      <c r="B13" s="84">
        <f>IF(OR('Initial Setup'!$B$3='Event Tracker'!$A$22,'Initial Setup'!$B$3='Event Tracker'!$A$23,'Initial Setup'!$B$3='Event Tracker'!$A$24),'Event Tracker'!B44,0)</f>
        <v>0</v>
      </c>
      <c r="C13" s="84">
        <f>IF(OR('Initial Setup'!$B$3='Event Tracker'!$A$22,'Initial Setup'!$B$3='Event Tracker'!$A$23,'Initial Setup'!$B$3='Event Tracker'!$A$24),'Event Tracker'!C44,0)</f>
        <v>0</v>
      </c>
      <c r="D13" s="84">
        <f>IF(OR('Initial Setup'!$B$3='Event Tracker'!$A$22,'Initial Setup'!$B$3='Event Tracker'!$A$23,'Initial Setup'!$B$3='Event Tracker'!$A$24),'Event Tracker'!D44,0)</f>
        <v>0</v>
      </c>
      <c r="E13" s="84">
        <f>IF(OR('Initial Setup'!$B$3='Event Tracker'!$A$22,'Initial Setup'!$B$3='Event Tracker'!$A$23,'Initial Setup'!$B$3='Event Tracker'!$A$24),'Event Tracker'!E44,0)</f>
        <v>0</v>
      </c>
      <c r="F13" s="84">
        <f>IF(OR('Initial Setup'!$B$3='Event Tracker'!$A$22,'Initial Setup'!$B$3='Event Tracker'!$A$23,'Initial Setup'!$B$3='Event Tracker'!$A$24),'Event Tracker'!F44,0)</f>
        <v>0</v>
      </c>
      <c r="G13" s="84">
        <f>IF(OR('Initial Setup'!$B$3='Event Tracker'!$A$22,'Initial Setup'!$B$3='Event Tracker'!$A$23,'Initial Setup'!$B$3='Event Tracker'!$A$24),'Event Tracker'!G44,0)</f>
        <v>0</v>
      </c>
      <c r="H13" s="84">
        <f>IF(OR('Initial Setup'!$B$3='Event Tracker'!$A$22,'Initial Setup'!$B$3='Event Tracker'!$A$23,'Initial Setup'!$B$3='Event Tracker'!$A$24),'Event Tracker'!H44,0)</f>
        <v>0</v>
      </c>
      <c r="I13" s="84">
        <f>IF(OR('Initial Setup'!$B$3='Event Tracker'!$A$22,'Initial Setup'!$B$3='Event Tracker'!$A$23,'Initial Setup'!$B$3='Event Tracker'!$A$24),'Event Tracker'!I44,0)</f>
        <v>0</v>
      </c>
      <c r="J13" s="84">
        <f>IF(OR('Initial Setup'!$B$3='Event Tracker'!$A$22,'Initial Setup'!$B$3='Event Tracker'!$A$23,'Initial Setup'!$B$3='Event Tracker'!$A$24),'Event Tracker'!J44,0)</f>
        <v>0</v>
      </c>
      <c r="K13" s="84">
        <f>IF(OR('Initial Setup'!$B$3='Event Tracker'!$A$22,'Initial Setup'!$B$3='Event Tracker'!$A$23,'Initial Setup'!$B$3='Event Tracker'!$A$24),'Event Tracker'!K44,0)</f>
        <v>0</v>
      </c>
      <c r="L13" s="84">
        <f>IF(OR('Initial Setup'!$B$3='Event Tracker'!$A$22,'Initial Setup'!$B$3='Event Tracker'!$A$23,'Initial Setup'!$B$3='Event Tracker'!$A$24),'Event Tracker'!L44,0)</f>
        <v>0</v>
      </c>
    </row>
    <row r="14" spans="1:14" x14ac:dyDescent="0.25">
      <c r="A14" t="s">
        <v>9</v>
      </c>
      <c r="B14" s="84">
        <f>IF(OR('Initial Setup'!$B$3='Event Tracker'!$A$22,'Initial Setup'!$B$3='Event Tracker'!$A$23,'Initial Setup'!$B$3='Event Tracker'!$A$24),MIN('Event Tracker'!B45,Reliability!B54*8760*'Game Assumptions'!$G$58),0)</f>
        <v>0</v>
      </c>
      <c r="C14" s="84">
        <f>IF(OR('Initial Setup'!$B$3='Event Tracker'!$A$22,'Initial Setup'!$B$3='Event Tracker'!$A$23,'Initial Setup'!$B$3='Event Tracker'!$A$24),MIN('Event Tracker'!C45,Reliability!C54*8760*'Game Assumptions'!$G$58),0)</f>
        <v>0</v>
      </c>
      <c r="D14" s="84">
        <f>IF(OR('Initial Setup'!$B$3='Event Tracker'!$A$22,'Initial Setup'!$B$3='Event Tracker'!$A$23,'Initial Setup'!$B$3='Event Tracker'!$A$24),MIN('Event Tracker'!D45,Reliability!D54*8760*'Game Assumptions'!$G$58),0)</f>
        <v>0</v>
      </c>
      <c r="E14" s="84">
        <f>IF(OR('Initial Setup'!$B$3='Event Tracker'!$A$22,'Initial Setup'!$B$3='Event Tracker'!$A$23,'Initial Setup'!$B$3='Event Tracker'!$A$24),MIN('Event Tracker'!E45,Reliability!E54*8760*'Game Assumptions'!$G$58),0)</f>
        <v>0</v>
      </c>
      <c r="F14" s="84">
        <f>IF(OR('Initial Setup'!$B$3='Event Tracker'!$A$22,'Initial Setup'!$B$3='Event Tracker'!$A$23,'Initial Setup'!$B$3='Event Tracker'!$A$24),MIN('Event Tracker'!F45,Reliability!F54*8760*'Game Assumptions'!$G$58),0)</f>
        <v>0</v>
      </c>
      <c r="G14" s="84">
        <f>IF(OR('Initial Setup'!$B$3='Event Tracker'!$A$22,'Initial Setup'!$B$3='Event Tracker'!$A$23,'Initial Setup'!$B$3='Event Tracker'!$A$24),MIN('Event Tracker'!G45,Reliability!G54*8760*'Game Assumptions'!$G$58),0)</f>
        <v>0</v>
      </c>
      <c r="H14" s="84">
        <f>IF(OR('Initial Setup'!$B$3='Event Tracker'!$A$22,'Initial Setup'!$B$3='Event Tracker'!$A$23,'Initial Setup'!$B$3='Event Tracker'!$A$24),MIN('Event Tracker'!H45,Reliability!H54*8760*'Game Assumptions'!$G$58),0)</f>
        <v>0</v>
      </c>
      <c r="I14" s="84">
        <f>IF(OR('Initial Setup'!$B$3='Event Tracker'!$A$22,'Initial Setup'!$B$3='Event Tracker'!$A$23,'Initial Setup'!$B$3='Event Tracker'!$A$24),MIN('Event Tracker'!I45,Reliability!I54*8760*'Game Assumptions'!$G$58),0)</f>
        <v>0</v>
      </c>
      <c r="J14" s="84">
        <f>IF(OR('Initial Setup'!$B$3='Event Tracker'!$A$22,'Initial Setup'!$B$3='Event Tracker'!$A$23,'Initial Setup'!$B$3='Event Tracker'!$A$24),MIN('Event Tracker'!J45,Reliability!J54*8760*'Game Assumptions'!$G$58),0)</f>
        <v>0</v>
      </c>
      <c r="K14" s="84">
        <f>IF(OR('Initial Setup'!$B$3='Event Tracker'!$A$22,'Initial Setup'!$B$3='Event Tracker'!$A$23,'Initial Setup'!$B$3='Event Tracker'!$A$24),MIN('Event Tracker'!K45,Reliability!K54*8760*'Game Assumptions'!$G$58),0)</f>
        <v>0</v>
      </c>
      <c r="L14" s="84">
        <f>IF(OR('Initial Setup'!$B$3='Event Tracker'!$A$22,'Initial Setup'!$B$3='Event Tracker'!$A$23,'Initial Setup'!$B$3='Event Tracker'!$A$24),MIN('Event Tracker'!L45,Reliability!L54*8760*'Game Assumptions'!$G$58),0)</f>
        <v>0</v>
      </c>
    </row>
    <row r="15" spans="1:14" x14ac:dyDescent="0.25">
      <c r="A15" t="s">
        <v>10</v>
      </c>
      <c r="B15" s="84">
        <f>IF(OR('Initial Setup'!$B$3='Event Tracker'!$A$22,'Initial Setup'!$B$3='Event Tracker'!$A$23,'Initial Setup'!$B$3='Event Tracker'!$A$24),MIN('Event Tracker'!B46,Reliability!B54*8760*'Game Assumptions'!$G$59),0)</f>
        <v>0</v>
      </c>
      <c r="C15" s="84">
        <f>IF(OR('Initial Setup'!$B$3='Event Tracker'!$A$22,'Initial Setup'!$B$3='Event Tracker'!$A$23,'Initial Setup'!$B$3='Event Tracker'!$A$24),MIN('Event Tracker'!C46,Reliability!C54*8760*'Game Assumptions'!$G$59),0)</f>
        <v>0</v>
      </c>
      <c r="D15" s="84">
        <f>IF(OR('Initial Setup'!$B$3='Event Tracker'!$A$22,'Initial Setup'!$B$3='Event Tracker'!$A$23,'Initial Setup'!$B$3='Event Tracker'!$A$24),MIN('Event Tracker'!D46,Reliability!D54*8760*'Game Assumptions'!$G$59),0)</f>
        <v>0</v>
      </c>
      <c r="E15" s="84">
        <f>IF(OR('Initial Setup'!$B$3='Event Tracker'!$A$22,'Initial Setup'!$B$3='Event Tracker'!$A$23,'Initial Setup'!$B$3='Event Tracker'!$A$24),MIN('Event Tracker'!E46,Reliability!E54*8760*'Game Assumptions'!$G$59),0)</f>
        <v>0</v>
      </c>
      <c r="F15" s="84">
        <f>IF(OR('Initial Setup'!$B$3='Event Tracker'!$A$22,'Initial Setup'!$B$3='Event Tracker'!$A$23,'Initial Setup'!$B$3='Event Tracker'!$A$24),MIN('Event Tracker'!F46,Reliability!F54*8760*'Game Assumptions'!$G$59),0)</f>
        <v>0</v>
      </c>
      <c r="G15" s="84">
        <f>IF(OR('Initial Setup'!$B$3='Event Tracker'!$A$22,'Initial Setup'!$B$3='Event Tracker'!$A$23,'Initial Setup'!$B$3='Event Tracker'!$A$24),MIN('Event Tracker'!G46,Reliability!G54*8760*'Game Assumptions'!$G$59),0)</f>
        <v>0</v>
      </c>
      <c r="H15" s="84">
        <f>IF(OR('Initial Setup'!$B$3='Event Tracker'!$A$22,'Initial Setup'!$B$3='Event Tracker'!$A$23,'Initial Setup'!$B$3='Event Tracker'!$A$24),MIN('Event Tracker'!H46,Reliability!H54*8760*'Game Assumptions'!$G$59),0)</f>
        <v>0</v>
      </c>
      <c r="I15" s="84">
        <f>IF(OR('Initial Setup'!$B$3='Event Tracker'!$A$22,'Initial Setup'!$B$3='Event Tracker'!$A$23,'Initial Setup'!$B$3='Event Tracker'!$A$24),MIN('Event Tracker'!I46,Reliability!I54*8760*'Game Assumptions'!$G$59),0)</f>
        <v>0</v>
      </c>
      <c r="J15" s="84">
        <f>IF(OR('Initial Setup'!$B$3='Event Tracker'!$A$22,'Initial Setup'!$B$3='Event Tracker'!$A$23,'Initial Setup'!$B$3='Event Tracker'!$A$24),MIN('Event Tracker'!J46,Reliability!J54*8760*'Game Assumptions'!$G$59),0)</f>
        <v>0</v>
      </c>
      <c r="K15" s="84">
        <f>IF(OR('Initial Setup'!$B$3='Event Tracker'!$A$22,'Initial Setup'!$B$3='Event Tracker'!$A$23,'Initial Setup'!$B$3='Event Tracker'!$A$24),MIN('Event Tracker'!K46,Reliability!K54*8760*'Game Assumptions'!$G$59),0)</f>
        <v>0</v>
      </c>
      <c r="L15" s="84">
        <f>IF(OR('Initial Setup'!$B$3='Event Tracker'!$A$22,'Initial Setup'!$B$3='Event Tracker'!$A$23,'Initial Setup'!$B$3='Event Tracker'!$A$24),MIN('Event Tracker'!L46,Reliability!L54*8760*'Game Assumptions'!$G$59),0)</f>
        <v>0</v>
      </c>
    </row>
    <row r="16" spans="1:14" x14ac:dyDescent="0.25">
      <c r="A16" t="s">
        <v>11</v>
      </c>
      <c r="B16" s="84">
        <f>IF(OR('Initial Setup'!$B$3='Event Tracker'!$A$22,'Initial Setup'!$B$3='Event Tracker'!$A$23,'Initial Setup'!$B$3='Event Tracker'!$A$24),'Event Tracker'!B47,0)</f>
        <v>0</v>
      </c>
      <c r="C16" s="84">
        <f>IF(OR('Initial Setup'!$B$3='Event Tracker'!$A$22,'Initial Setup'!$B$3='Event Tracker'!$A$23,'Initial Setup'!$B$3='Event Tracker'!$A$24),'Event Tracker'!C47,0)</f>
        <v>0</v>
      </c>
      <c r="D16" s="84">
        <f>IF(OR('Initial Setup'!$B$3='Event Tracker'!$A$22,'Initial Setup'!$B$3='Event Tracker'!$A$23,'Initial Setup'!$B$3='Event Tracker'!$A$24),'Event Tracker'!D47,0)</f>
        <v>0</v>
      </c>
      <c r="E16" s="84">
        <f>IF(OR('Initial Setup'!$B$3='Event Tracker'!$A$22,'Initial Setup'!$B$3='Event Tracker'!$A$23,'Initial Setup'!$B$3='Event Tracker'!$A$24),'Event Tracker'!E47,0)</f>
        <v>0</v>
      </c>
      <c r="F16" s="84">
        <f>IF(OR('Initial Setup'!$B$3='Event Tracker'!$A$22,'Initial Setup'!$B$3='Event Tracker'!$A$23,'Initial Setup'!$B$3='Event Tracker'!$A$24),'Event Tracker'!F47,0)</f>
        <v>0</v>
      </c>
      <c r="G16" s="84">
        <f>IF(OR('Initial Setup'!$B$3='Event Tracker'!$A$22,'Initial Setup'!$B$3='Event Tracker'!$A$23,'Initial Setup'!$B$3='Event Tracker'!$A$24),'Event Tracker'!G47,0)</f>
        <v>0</v>
      </c>
      <c r="H16" s="84">
        <f>IF(OR('Initial Setup'!$B$3='Event Tracker'!$A$22,'Initial Setup'!$B$3='Event Tracker'!$A$23,'Initial Setup'!$B$3='Event Tracker'!$A$24),'Event Tracker'!H47,0)</f>
        <v>0</v>
      </c>
      <c r="I16" s="84">
        <f>IF(OR('Initial Setup'!$B$3='Event Tracker'!$A$22,'Initial Setup'!$B$3='Event Tracker'!$A$23,'Initial Setup'!$B$3='Event Tracker'!$A$24),'Event Tracker'!I47,0)</f>
        <v>0</v>
      </c>
      <c r="J16" s="84">
        <f>IF(OR('Initial Setup'!$B$3='Event Tracker'!$A$22,'Initial Setup'!$B$3='Event Tracker'!$A$23,'Initial Setup'!$B$3='Event Tracker'!$A$24),'Event Tracker'!J47,0)</f>
        <v>0</v>
      </c>
      <c r="K16" s="84">
        <f>IF(OR('Initial Setup'!$B$3='Event Tracker'!$A$22,'Initial Setup'!$B$3='Event Tracker'!$A$23,'Initial Setup'!$B$3='Event Tracker'!$A$24),'Event Tracker'!K47,0)</f>
        <v>0</v>
      </c>
      <c r="L16" s="84">
        <f>IF(OR('Initial Setup'!$B$3='Event Tracker'!$A$22,'Initial Setup'!$B$3='Event Tracker'!$A$23,'Initial Setup'!$B$3='Event Tracker'!$A$24),'Event Tracker'!L47,0)</f>
        <v>0</v>
      </c>
    </row>
    <row r="17" spans="1:12" x14ac:dyDescent="0.25">
      <c r="A17" t="s">
        <v>12</v>
      </c>
      <c r="B17" s="84">
        <f>IF(OR('Initial Setup'!$B$3='Event Tracker'!$A$22,'Initial Setup'!$B$3='Event Tracker'!$A$23,'Initial Setup'!$B$3='Event Tracker'!$A$24),MIN('Event Tracker'!B48,B144*'Game Assumptions'!$B$193),0)</f>
        <v>0</v>
      </c>
      <c r="C17" s="84">
        <f>IF(OR('Initial Setup'!$B$3='Event Tracker'!$A$22,'Initial Setup'!$B$3='Event Tracker'!$A$23,'Initial Setup'!$B$3='Event Tracker'!$A$24),MIN('Event Tracker'!C48,C144*'Game Assumptions'!$B$193),0)</f>
        <v>0</v>
      </c>
      <c r="D17" s="84">
        <f>IF(OR('Initial Setup'!$B$3='Event Tracker'!$A$22,'Initial Setup'!$B$3='Event Tracker'!$A$23,'Initial Setup'!$B$3='Event Tracker'!$A$24),MIN('Event Tracker'!D48,D144*'Game Assumptions'!$B$193),0)</f>
        <v>0</v>
      </c>
      <c r="E17" s="84">
        <f>IF(OR('Initial Setup'!$B$3='Event Tracker'!$A$22,'Initial Setup'!$B$3='Event Tracker'!$A$23,'Initial Setup'!$B$3='Event Tracker'!$A$24),MIN('Event Tracker'!E48,E144*'Game Assumptions'!$B$193),0)</f>
        <v>0</v>
      </c>
      <c r="F17" s="84">
        <f>IF(OR('Initial Setup'!$B$3='Event Tracker'!$A$22,'Initial Setup'!$B$3='Event Tracker'!$A$23,'Initial Setup'!$B$3='Event Tracker'!$A$24),MIN('Event Tracker'!F48,F144*'Game Assumptions'!$B$193),0)</f>
        <v>0</v>
      </c>
      <c r="G17" s="84">
        <f>IF(OR('Initial Setup'!$B$3='Event Tracker'!$A$22,'Initial Setup'!$B$3='Event Tracker'!$A$23,'Initial Setup'!$B$3='Event Tracker'!$A$24),MIN('Event Tracker'!G48,G144*'Game Assumptions'!$B$193),0)</f>
        <v>0</v>
      </c>
      <c r="H17" s="84">
        <f>IF(OR('Initial Setup'!$B$3='Event Tracker'!$A$22,'Initial Setup'!$B$3='Event Tracker'!$A$23,'Initial Setup'!$B$3='Event Tracker'!$A$24),MIN('Event Tracker'!H48,H144*'Game Assumptions'!$B$193),0)</f>
        <v>0</v>
      </c>
      <c r="I17" s="84">
        <f>IF(OR('Initial Setup'!$B$3='Event Tracker'!$A$22,'Initial Setup'!$B$3='Event Tracker'!$A$23,'Initial Setup'!$B$3='Event Tracker'!$A$24),MIN('Event Tracker'!I48,I144*'Game Assumptions'!$B$193),0)</f>
        <v>0</v>
      </c>
      <c r="J17" s="84">
        <f>IF(OR('Initial Setup'!$B$3='Event Tracker'!$A$22,'Initial Setup'!$B$3='Event Tracker'!$A$23,'Initial Setup'!$B$3='Event Tracker'!$A$24),MIN('Event Tracker'!J48,J144*'Game Assumptions'!$B$193),0)</f>
        <v>0</v>
      </c>
      <c r="K17" s="84">
        <f>IF(OR('Initial Setup'!$B$3='Event Tracker'!$A$22,'Initial Setup'!$B$3='Event Tracker'!$A$23,'Initial Setup'!$B$3='Event Tracker'!$A$24),MIN('Event Tracker'!K48,K144*'Game Assumptions'!$B$193),0)</f>
        <v>0</v>
      </c>
      <c r="L17" s="84">
        <f>IF(OR('Initial Setup'!$B$3='Event Tracker'!$A$22,'Initial Setup'!$B$3='Event Tracker'!$A$23,'Initial Setup'!$B$3='Event Tracker'!$A$24),MIN('Event Tracker'!L48,L144*'Game Assumptions'!$B$193),0)</f>
        <v>0</v>
      </c>
    </row>
    <row r="20" spans="1:12" x14ac:dyDescent="0.25">
      <c r="A20" s="9" t="s">
        <v>20</v>
      </c>
      <c r="B20" s="9">
        <v>0</v>
      </c>
      <c r="C20" s="9">
        <v>1</v>
      </c>
      <c r="D20" s="9">
        <v>2</v>
      </c>
      <c r="E20" s="9">
        <v>3</v>
      </c>
      <c r="F20" s="9">
        <v>4</v>
      </c>
      <c r="G20" s="9">
        <v>5</v>
      </c>
      <c r="H20" s="9">
        <v>6</v>
      </c>
      <c r="I20" s="9">
        <v>7</v>
      </c>
      <c r="J20" s="9">
        <v>8</v>
      </c>
      <c r="K20" s="9">
        <v>9</v>
      </c>
      <c r="L20" s="9">
        <v>10</v>
      </c>
    </row>
    <row r="21" spans="1:12" x14ac:dyDescent="0.25">
      <c r="A21" t="s">
        <v>21</v>
      </c>
      <c r="B21" s="15">
        <f>IF(SUM('Event Tracker'!$B$14:'Event Tracker'!B14)&gt;0,'Game Assumptions'!$B$23,0)</f>
        <v>0</v>
      </c>
      <c r="C21" s="15">
        <f>IF(SUM('Event Tracker'!$B$14:'Event Tracker'!C14)&gt;0,'Game Assumptions'!$B$23,0)</f>
        <v>0</v>
      </c>
      <c r="D21" s="15">
        <f>IF(SUM('Event Tracker'!$B$14:'Event Tracker'!D14)&gt;0,'Game Assumptions'!$B$23,0)</f>
        <v>0</v>
      </c>
      <c r="E21" s="15">
        <f>IF(SUM('Event Tracker'!$B$14:'Event Tracker'!E14)&gt;0,'Game Assumptions'!$B$23,0)</f>
        <v>0</v>
      </c>
      <c r="F21" s="15">
        <f>IF(SUM('Event Tracker'!$B$14:'Event Tracker'!F14)&gt;0,'Game Assumptions'!$B$23,0)</f>
        <v>0</v>
      </c>
      <c r="G21" s="15">
        <f>IF(SUM('Event Tracker'!$B$14:'Event Tracker'!G14)&gt;0,'Game Assumptions'!$B$23,0)</f>
        <v>0</v>
      </c>
      <c r="H21" s="15">
        <f>IF(SUM('Event Tracker'!$B$14:'Event Tracker'!H14)&gt;0,'Game Assumptions'!$B$23,0)</f>
        <v>0</v>
      </c>
      <c r="I21" s="15">
        <f>IF(SUM('Event Tracker'!$B$14:'Event Tracker'!I14)&gt;0,'Game Assumptions'!$B$23,0)</f>
        <v>0</v>
      </c>
      <c r="J21" s="15">
        <f>IF(SUM('Event Tracker'!$B$14:'Event Tracker'!J14)&gt;0,'Game Assumptions'!$B$23,0)</f>
        <v>0</v>
      </c>
      <c r="K21" s="15">
        <f>IF(SUM('Event Tracker'!$B$14:'Event Tracker'!K14)&gt;0,'Game Assumptions'!$B$23,0)</f>
        <v>0</v>
      </c>
      <c r="L21" s="15">
        <f>IF(SUM('Event Tracker'!$B$14:'Event Tracker'!L14)&gt;0,'Game Assumptions'!$B$23,0)</f>
        <v>0</v>
      </c>
    </row>
    <row r="23" spans="1:12" x14ac:dyDescent="0.25">
      <c r="A23" s="9" t="s">
        <v>22</v>
      </c>
      <c r="B23" s="9">
        <v>0</v>
      </c>
      <c r="C23" s="9">
        <v>1</v>
      </c>
      <c r="D23" s="9">
        <v>2</v>
      </c>
      <c r="E23" s="9">
        <v>3</v>
      </c>
      <c r="F23" s="9">
        <v>4</v>
      </c>
      <c r="G23" s="9">
        <v>5</v>
      </c>
      <c r="H23" s="9">
        <v>6</v>
      </c>
      <c r="I23" s="9">
        <v>7</v>
      </c>
      <c r="J23" s="9">
        <v>8</v>
      </c>
      <c r="K23" s="9">
        <v>9</v>
      </c>
      <c r="L23" s="9">
        <v>10</v>
      </c>
    </row>
    <row r="24" spans="1:12" x14ac:dyDescent="0.25">
      <c r="A24" t="s">
        <v>7</v>
      </c>
      <c r="B24" s="15">
        <f>B$21*'Game Assumptions'!$K28</f>
        <v>0</v>
      </c>
      <c r="C24" s="15">
        <f>C$21*'Game Assumptions'!$K28</f>
        <v>0</v>
      </c>
      <c r="D24" s="15">
        <f>D$21*'Game Assumptions'!$K28</f>
        <v>0</v>
      </c>
      <c r="E24" s="15">
        <f>E$21*'Game Assumptions'!$K28</f>
        <v>0</v>
      </c>
      <c r="F24" s="15">
        <f>F$21*'Game Assumptions'!$K28</f>
        <v>0</v>
      </c>
      <c r="G24" s="15">
        <f>G$21*'Game Assumptions'!$K28</f>
        <v>0</v>
      </c>
      <c r="H24" s="15">
        <f>H$21*'Game Assumptions'!$K28</f>
        <v>0</v>
      </c>
      <c r="I24" s="15">
        <f>I$21*'Game Assumptions'!$K28</f>
        <v>0</v>
      </c>
      <c r="J24" s="15">
        <f>J$21*'Game Assumptions'!$K28</f>
        <v>0</v>
      </c>
      <c r="K24" s="15">
        <f>K$21*'Game Assumptions'!$K28</f>
        <v>0</v>
      </c>
      <c r="L24" s="15">
        <f>L$21*'Game Assumptions'!$K28</f>
        <v>0</v>
      </c>
    </row>
    <row r="25" spans="1:12" x14ac:dyDescent="0.25">
      <c r="A25" t="s">
        <v>8</v>
      </c>
      <c r="B25" s="15">
        <f>B$21*'Game Assumptions'!$K29</f>
        <v>0</v>
      </c>
      <c r="C25" s="15">
        <f>C$21*'Game Assumptions'!$K29</f>
        <v>0</v>
      </c>
      <c r="D25" s="15">
        <f>D$21*'Game Assumptions'!$K29</f>
        <v>0</v>
      </c>
      <c r="E25" s="15">
        <f>E$21*'Game Assumptions'!$K29</f>
        <v>0</v>
      </c>
      <c r="F25" s="15">
        <f>F$21*'Game Assumptions'!$K29</f>
        <v>0</v>
      </c>
      <c r="G25" s="15">
        <f>G$21*'Game Assumptions'!$K29</f>
        <v>0</v>
      </c>
      <c r="H25" s="15">
        <f>H$21*'Game Assumptions'!$K29</f>
        <v>0</v>
      </c>
      <c r="I25" s="15">
        <f>I$21*'Game Assumptions'!$K29</f>
        <v>0</v>
      </c>
      <c r="J25" s="15">
        <f>J$21*'Game Assumptions'!$K29</f>
        <v>0</v>
      </c>
      <c r="K25" s="15">
        <f>K$21*'Game Assumptions'!$K29</f>
        <v>0</v>
      </c>
      <c r="L25" s="15">
        <f>L$21*'Game Assumptions'!$K29</f>
        <v>0</v>
      </c>
    </row>
    <row r="26" spans="1:12" x14ac:dyDescent="0.25">
      <c r="A26" t="s">
        <v>13</v>
      </c>
      <c r="B26" s="15">
        <f>B$21*'Game Assumptions'!$K30</f>
        <v>0</v>
      </c>
      <c r="C26" s="15">
        <f>C$21*'Game Assumptions'!$K30</f>
        <v>0</v>
      </c>
      <c r="D26" s="15">
        <f>D$21*'Game Assumptions'!$K30</f>
        <v>0</v>
      </c>
      <c r="E26" s="15">
        <f>E$21*'Game Assumptions'!$K30</f>
        <v>0</v>
      </c>
      <c r="F26" s="15">
        <f>F$21*'Game Assumptions'!$K30</f>
        <v>0</v>
      </c>
      <c r="G26" s="15">
        <f>G$21*'Game Assumptions'!$K30</f>
        <v>0</v>
      </c>
      <c r="H26" s="15">
        <f>H$21*'Game Assumptions'!$K30</f>
        <v>0</v>
      </c>
      <c r="I26" s="15">
        <f>I$21*'Game Assumptions'!$K30</f>
        <v>0</v>
      </c>
      <c r="J26" s="15">
        <f>J$21*'Game Assumptions'!$K30</f>
        <v>0</v>
      </c>
      <c r="K26" s="15">
        <f>K$21*'Game Assumptions'!$K30</f>
        <v>0</v>
      </c>
      <c r="L26" s="15">
        <f>L$21*'Game Assumptions'!$K30</f>
        <v>0</v>
      </c>
    </row>
    <row r="27" spans="1:12" x14ac:dyDescent="0.25">
      <c r="A27" t="s">
        <v>9</v>
      </c>
      <c r="B27" s="15">
        <f>B$21*'Game Assumptions'!$K31</f>
        <v>0</v>
      </c>
      <c r="C27" s="15">
        <f>C$21*'Game Assumptions'!$K31</f>
        <v>0</v>
      </c>
      <c r="D27" s="15">
        <f>D$21*'Game Assumptions'!$K31</f>
        <v>0</v>
      </c>
      <c r="E27" s="15">
        <f>E$21*'Game Assumptions'!$K31</f>
        <v>0</v>
      </c>
      <c r="F27" s="15">
        <f>F$21*'Game Assumptions'!$K31</f>
        <v>0</v>
      </c>
      <c r="G27" s="15">
        <f>G$21*'Game Assumptions'!$K31</f>
        <v>0</v>
      </c>
      <c r="H27" s="15">
        <f>H$21*'Game Assumptions'!$K31</f>
        <v>0</v>
      </c>
      <c r="I27" s="15">
        <f>I$21*'Game Assumptions'!$K31</f>
        <v>0</v>
      </c>
      <c r="J27" s="15">
        <f>J$21*'Game Assumptions'!$K31</f>
        <v>0</v>
      </c>
      <c r="K27" s="15">
        <f>K$21*'Game Assumptions'!$K31</f>
        <v>0</v>
      </c>
      <c r="L27" s="15">
        <f>L$21*'Game Assumptions'!$K31</f>
        <v>0</v>
      </c>
    </row>
    <row r="28" spans="1:12" x14ac:dyDescent="0.25">
      <c r="A28" t="s">
        <v>10</v>
      </c>
      <c r="B28" s="15">
        <f>B$21*'Game Assumptions'!$K32</f>
        <v>0</v>
      </c>
      <c r="C28" s="15">
        <f>C$21*'Game Assumptions'!$K32</f>
        <v>0</v>
      </c>
      <c r="D28" s="15">
        <f>D$21*'Game Assumptions'!$K32</f>
        <v>0</v>
      </c>
      <c r="E28" s="15">
        <f>E$21*'Game Assumptions'!$K32</f>
        <v>0</v>
      </c>
      <c r="F28" s="15">
        <f>F$21*'Game Assumptions'!$K32</f>
        <v>0</v>
      </c>
      <c r="G28" s="15">
        <f>G$21*'Game Assumptions'!$K32</f>
        <v>0</v>
      </c>
      <c r="H28" s="15">
        <f>H$21*'Game Assumptions'!$K32</f>
        <v>0</v>
      </c>
      <c r="I28" s="15">
        <f>I$21*'Game Assumptions'!$K32</f>
        <v>0</v>
      </c>
      <c r="J28" s="15">
        <f>J$21*'Game Assumptions'!$K32</f>
        <v>0</v>
      </c>
      <c r="K28" s="15">
        <f>K$21*'Game Assumptions'!$K32</f>
        <v>0</v>
      </c>
      <c r="L28" s="15">
        <f>L$21*'Game Assumptions'!$K32</f>
        <v>0</v>
      </c>
    </row>
    <row r="29" spans="1:12" x14ac:dyDescent="0.25">
      <c r="A29" t="s">
        <v>11</v>
      </c>
      <c r="B29" s="15">
        <f>B$21*'Game Assumptions'!$K33</f>
        <v>0</v>
      </c>
      <c r="C29" s="15">
        <f>C$21*'Game Assumptions'!$K33</f>
        <v>0</v>
      </c>
      <c r="D29" s="15">
        <f>D$21*'Game Assumptions'!$K33</f>
        <v>0</v>
      </c>
      <c r="E29" s="15">
        <f>E$21*'Game Assumptions'!$K33</f>
        <v>0</v>
      </c>
      <c r="F29" s="15">
        <f>F$21*'Game Assumptions'!$K33</f>
        <v>0</v>
      </c>
      <c r="G29" s="15">
        <f>G$21*'Game Assumptions'!$K33</f>
        <v>0</v>
      </c>
      <c r="H29" s="15">
        <f>H$21*'Game Assumptions'!$K33</f>
        <v>0</v>
      </c>
      <c r="I29" s="15">
        <f>I$21*'Game Assumptions'!$K33</f>
        <v>0</v>
      </c>
      <c r="J29" s="15">
        <f>J$21*'Game Assumptions'!$K33</f>
        <v>0</v>
      </c>
      <c r="K29" s="15">
        <f>K$21*'Game Assumptions'!$K33</f>
        <v>0</v>
      </c>
      <c r="L29" s="15">
        <f>L$21*'Game Assumptions'!$K33</f>
        <v>0</v>
      </c>
    </row>
    <row r="30" spans="1:12" x14ac:dyDescent="0.25">
      <c r="A30" t="s">
        <v>12</v>
      </c>
      <c r="B30" s="15">
        <f>B$21*'Game Assumptions'!$K34</f>
        <v>0</v>
      </c>
      <c r="C30" s="15">
        <f>C$21*'Game Assumptions'!$K34</f>
        <v>0</v>
      </c>
      <c r="D30" s="15">
        <f>D$21*'Game Assumptions'!$K34</f>
        <v>0</v>
      </c>
      <c r="E30" s="15">
        <f>E$21*'Game Assumptions'!$K34</f>
        <v>0</v>
      </c>
      <c r="F30" s="15">
        <f>F$21*'Game Assumptions'!$K34</f>
        <v>0</v>
      </c>
      <c r="G30" s="15">
        <f>G$21*'Game Assumptions'!$K34</f>
        <v>0</v>
      </c>
      <c r="H30" s="15">
        <f>H$21*'Game Assumptions'!$K34</f>
        <v>0</v>
      </c>
      <c r="I30" s="15">
        <f>I$21*'Game Assumptions'!$K34</f>
        <v>0</v>
      </c>
      <c r="J30" s="15">
        <f>J$21*'Game Assumptions'!$K34</f>
        <v>0</v>
      </c>
      <c r="K30" s="15">
        <f>K$21*'Game Assumptions'!$K34</f>
        <v>0</v>
      </c>
      <c r="L30" s="15">
        <f>L$21*'Game Assumptions'!$K34</f>
        <v>0</v>
      </c>
    </row>
    <row r="32" spans="1:12" x14ac:dyDescent="0.25">
      <c r="A32" s="9" t="s">
        <v>268</v>
      </c>
      <c r="B32" s="9">
        <v>0</v>
      </c>
      <c r="C32" s="9">
        <v>1</v>
      </c>
      <c r="D32" s="9">
        <v>2</v>
      </c>
      <c r="E32" s="9">
        <v>3</v>
      </c>
      <c r="F32" s="9">
        <v>4</v>
      </c>
      <c r="G32" s="9">
        <v>5</v>
      </c>
      <c r="H32" s="9">
        <v>6</v>
      </c>
      <c r="I32" s="9">
        <v>7</v>
      </c>
      <c r="J32" s="9">
        <v>8</v>
      </c>
      <c r="K32" s="9">
        <v>9</v>
      </c>
      <c r="L32" s="9">
        <v>10</v>
      </c>
    </row>
    <row r="33" spans="1:12" x14ac:dyDescent="0.25">
      <c r="A33" t="s">
        <v>269</v>
      </c>
      <c r="B33" s="15">
        <f>INDEX('Event Tracker'!$B$13:$L$13,1,MATCH(Dispatch!B32,'Event Tracker'!$B$11:$L$11,0))*'Game Assumptions'!$B$55*'Game Assumptions'!$B$20</f>
        <v>0</v>
      </c>
      <c r="C33" s="15">
        <f>INDEX('Event Tracker'!$B$13:$L$13,1,MATCH(Dispatch!C32,'Event Tracker'!$B$11:$L$11,0))*'Game Assumptions'!$B$55*'Game Assumptions'!$B$20</f>
        <v>0</v>
      </c>
      <c r="D33" s="15">
        <f>INDEX('Event Tracker'!$B$13:$L$13,1,MATCH(Dispatch!D32,'Event Tracker'!$B$11:$L$11,0))*'Game Assumptions'!$B$55*'Game Assumptions'!$B$20</f>
        <v>0</v>
      </c>
      <c r="E33" s="15">
        <f>INDEX('Event Tracker'!$B$13:$L$13,1,MATCH(Dispatch!E32,'Event Tracker'!$B$11:$L$11,0))*'Game Assumptions'!$B$55*'Game Assumptions'!$B$20</f>
        <v>0</v>
      </c>
      <c r="F33" s="15">
        <f>INDEX('Event Tracker'!$B$13:$L$13,1,MATCH(Dispatch!F32,'Event Tracker'!$B$11:$L$11,0))*'Game Assumptions'!$B$55*'Game Assumptions'!$B$20</f>
        <v>0</v>
      </c>
      <c r="G33" s="15">
        <f>INDEX('Event Tracker'!$B$13:$L$13,1,MATCH(Dispatch!G32,'Event Tracker'!$B$11:$L$11,0))*'Game Assumptions'!$B$55*'Game Assumptions'!$B$20</f>
        <v>0</v>
      </c>
      <c r="H33" s="15">
        <f>INDEX('Event Tracker'!$B$13:$L$13,1,MATCH(Dispatch!H32,'Event Tracker'!$B$11:$L$11,0))*'Game Assumptions'!$B$55*'Game Assumptions'!$B$20</f>
        <v>0</v>
      </c>
      <c r="I33" s="15">
        <f>INDEX('Event Tracker'!$B$13:$L$13,1,MATCH(Dispatch!I32,'Event Tracker'!$B$11:$L$11,0))*'Game Assumptions'!$B$55*'Game Assumptions'!$B$20</f>
        <v>0</v>
      </c>
      <c r="J33" s="15">
        <f>INDEX('Event Tracker'!$B$13:$L$13,1,MATCH(Dispatch!J32,'Event Tracker'!$B$11:$L$11,0))*'Game Assumptions'!$B$55*'Game Assumptions'!$B$20</f>
        <v>0</v>
      </c>
      <c r="K33" s="15">
        <f>INDEX('Event Tracker'!$B$13:$L$13,1,MATCH(Dispatch!K32,'Event Tracker'!$B$11:$L$11,0))*'Game Assumptions'!$B$55*'Game Assumptions'!$B$20</f>
        <v>0</v>
      </c>
      <c r="L33" s="15">
        <f>INDEX('Event Tracker'!$B$13:$L$13,1,MATCH(Dispatch!L32,'Event Tracker'!$B$11:$L$11,0))*'Game Assumptions'!$B$55*'Game Assumptions'!$B$20</f>
        <v>0</v>
      </c>
    </row>
    <row r="34" spans="1:12" x14ac:dyDescent="0.25">
      <c r="B34" s="15"/>
      <c r="C34" s="15"/>
      <c r="D34" s="15"/>
      <c r="E34" s="15"/>
      <c r="F34" s="15"/>
      <c r="G34" s="15"/>
      <c r="H34" s="15"/>
      <c r="I34" s="15"/>
      <c r="J34" s="15"/>
      <c r="K34" s="15"/>
      <c r="L34" s="15"/>
    </row>
    <row r="35" spans="1:12" x14ac:dyDescent="0.25">
      <c r="A35" s="9" t="s">
        <v>127</v>
      </c>
      <c r="B35" s="9">
        <v>0</v>
      </c>
      <c r="C35" s="9">
        <v>1</v>
      </c>
      <c r="D35" s="9">
        <v>2</v>
      </c>
      <c r="E35" s="9">
        <v>3</v>
      </c>
      <c r="F35" s="9">
        <v>4</v>
      </c>
      <c r="G35" s="9">
        <v>5</v>
      </c>
      <c r="H35" s="9">
        <v>6</v>
      </c>
      <c r="I35" s="9">
        <v>7</v>
      </c>
      <c r="J35" s="9">
        <v>8</v>
      </c>
      <c r="K35" s="9">
        <v>9</v>
      </c>
      <c r="L35" s="9">
        <v>10</v>
      </c>
    </row>
    <row r="36" spans="1:12" x14ac:dyDescent="0.25">
      <c r="A36" t="s">
        <v>7</v>
      </c>
      <c r="B36" s="49">
        <f>'Game Assumptions'!$G41+'Game Assumptions'!B68*'Game Assumptions'!$B54</f>
        <v>27.6798</v>
      </c>
      <c r="C36" s="49">
        <f>'Game Assumptions'!$G41+'Game Assumptions'!C68*'Game Assumptions'!$B54</f>
        <v>27.0869</v>
      </c>
      <c r="D36" s="49">
        <f>'Game Assumptions'!$G41+'Game Assumptions'!D68*'Game Assumptions'!$B54</f>
        <v>27.002199999999998</v>
      </c>
      <c r="E36" s="49">
        <f>'Game Assumptions'!$G41+'Game Assumptions'!E68*'Game Assumptions'!$B54</f>
        <v>26.9175</v>
      </c>
      <c r="F36" s="49">
        <f>'Game Assumptions'!$G41+'Game Assumptions'!F68*'Game Assumptions'!$B54</f>
        <v>27.0869</v>
      </c>
      <c r="G36" s="49">
        <f>'Game Assumptions'!$G41+'Game Assumptions'!G68*'Game Assumptions'!$B54</f>
        <v>27.341000000000001</v>
      </c>
      <c r="H36" s="49">
        <f>'Game Assumptions'!$G41+'Game Assumptions'!H68*'Game Assumptions'!$B54</f>
        <v>27.6798</v>
      </c>
      <c r="I36" s="49">
        <f>'Game Assumptions'!$G41+'Game Assumptions'!I68*'Game Assumptions'!$B54</f>
        <v>28.018599999999999</v>
      </c>
      <c r="J36" s="49">
        <f>'Game Assumptions'!$G41+'Game Assumptions'!J68*'Game Assumptions'!$B54</f>
        <v>28.357400000000002</v>
      </c>
      <c r="K36" s="49">
        <f>'Game Assumptions'!$G41+'Game Assumptions'!K68*'Game Assumptions'!$B54</f>
        <v>28.611500000000003</v>
      </c>
      <c r="L36" s="49">
        <f>'Game Assumptions'!$G41+'Game Assumptions'!L68*'Game Assumptions'!$B54</f>
        <v>28.865600000000001</v>
      </c>
    </row>
    <row r="37" spans="1:12" x14ac:dyDescent="0.25">
      <c r="A37" t="s">
        <v>8</v>
      </c>
      <c r="B37" s="49">
        <f>'Game Assumptions'!$G42+'Game Assumptions'!B69*'Game Assumptions'!$B55+B33</f>
        <v>29.724000000000004</v>
      </c>
      <c r="C37" s="49">
        <f>'Game Assumptions'!$G42+'Game Assumptions'!C69*'Game Assumptions'!$B55+C33</f>
        <v>33.794400000000003</v>
      </c>
      <c r="D37" s="49">
        <f>'Game Assumptions'!$G42+'Game Assumptions'!D69*'Game Assumptions'!$B55+D33</f>
        <v>29.596799999999998</v>
      </c>
      <c r="E37" s="49">
        <f>'Game Assumptions'!$G42+'Game Assumptions'!E69*'Game Assumptions'!$B55+E33</f>
        <v>29.851199999999999</v>
      </c>
      <c r="F37" s="49">
        <f>'Game Assumptions'!$G42+'Game Assumptions'!F69*'Game Assumptions'!$B55+F33</f>
        <v>29.724000000000004</v>
      </c>
      <c r="G37" s="49">
        <f>'Game Assumptions'!$G42+'Game Assumptions'!G69*'Game Assumptions'!$B55+G33</f>
        <v>30.550800000000002</v>
      </c>
      <c r="H37" s="49">
        <f>'Game Assumptions'!$G42+'Game Assumptions'!H69*'Game Assumptions'!$B55+H33</f>
        <v>33.285600000000002</v>
      </c>
      <c r="I37" s="49">
        <f>'Game Assumptions'!$G42+'Game Assumptions'!I69*'Game Assumptions'!$B55+I33</f>
        <v>36.020400000000002</v>
      </c>
      <c r="J37" s="49">
        <f>'Game Assumptions'!$G42+'Game Assumptions'!J69*'Game Assumptions'!$B55+J33</f>
        <v>37.674000000000007</v>
      </c>
      <c r="K37" s="49">
        <f>'Game Assumptions'!$G42+'Game Assumptions'!K69*'Game Assumptions'!$B55+K33</f>
        <v>38.628</v>
      </c>
      <c r="L37" s="49">
        <f>'Game Assumptions'!$G42+'Game Assumptions'!L69*'Game Assumptions'!$B55+L33</f>
        <v>39.709200000000003</v>
      </c>
    </row>
    <row r="38" spans="1:12" x14ac:dyDescent="0.25">
      <c r="A38" t="s">
        <v>13</v>
      </c>
      <c r="B38" s="49">
        <f>'Game Assumptions'!$G43+'Game Assumptions'!B70*'Game Assumptions'!$B56</f>
        <v>11.241</v>
      </c>
      <c r="C38" s="49">
        <f>'Game Assumptions'!$G43+'Game Assumptions'!C70*'Game Assumptions'!$B56</f>
        <v>11.241</v>
      </c>
      <c r="D38" s="49">
        <f>'Game Assumptions'!$G43+'Game Assumptions'!D70*'Game Assumptions'!$B56</f>
        <v>11.241</v>
      </c>
      <c r="E38" s="49">
        <f>'Game Assumptions'!$G43+'Game Assumptions'!E70*'Game Assumptions'!$B56</f>
        <v>11.241</v>
      </c>
      <c r="F38" s="49">
        <f>'Game Assumptions'!$G43+'Game Assumptions'!F70*'Game Assumptions'!$B56</f>
        <v>11.241</v>
      </c>
      <c r="G38" s="49">
        <f>'Game Assumptions'!$G43+'Game Assumptions'!G70*'Game Assumptions'!$B56</f>
        <v>11.241</v>
      </c>
      <c r="H38" s="49">
        <f>'Game Assumptions'!$G43+'Game Assumptions'!H70*'Game Assumptions'!$B56</f>
        <v>11.241</v>
      </c>
      <c r="I38" s="49">
        <f>'Game Assumptions'!$G43+'Game Assumptions'!I70*'Game Assumptions'!$B56</f>
        <v>11.241</v>
      </c>
      <c r="J38" s="49">
        <f>'Game Assumptions'!$G43+'Game Assumptions'!J70*'Game Assumptions'!$B56</f>
        <v>11.241</v>
      </c>
      <c r="K38" s="49">
        <f>'Game Assumptions'!$G43+'Game Assumptions'!K70*'Game Assumptions'!$B56</f>
        <v>11.241</v>
      </c>
      <c r="L38" s="49">
        <f>'Game Assumptions'!$G43+'Game Assumptions'!L70*'Game Assumptions'!$B56</f>
        <v>11.241</v>
      </c>
    </row>
    <row r="39" spans="1:12" x14ac:dyDescent="0.25">
      <c r="A39" t="s">
        <v>9</v>
      </c>
      <c r="B39" s="49">
        <f>'Game Assumptions'!$G44</f>
        <v>0.01</v>
      </c>
      <c r="C39" s="49">
        <f>'Game Assumptions'!$G44</f>
        <v>0.01</v>
      </c>
      <c r="D39" s="49">
        <f>'Game Assumptions'!$G44</f>
        <v>0.01</v>
      </c>
      <c r="E39" s="49">
        <f>'Game Assumptions'!$G44</f>
        <v>0.01</v>
      </c>
      <c r="F39" s="49">
        <f>'Game Assumptions'!$G44</f>
        <v>0.01</v>
      </c>
      <c r="G39" s="49">
        <f>'Game Assumptions'!$G44</f>
        <v>0.01</v>
      </c>
      <c r="H39" s="49">
        <f>'Game Assumptions'!$G44</f>
        <v>0.01</v>
      </c>
      <c r="I39" s="49">
        <f>'Game Assumptions'!$G44</f>
        <v>0.01</v>
      </c>
      <c r="J39" s="49">
        <f>'Game Assumptions'!$G44</f>
        <v>0.01</v>
      </c>
      <c r="K39" s="49">
        <f>'Game Assumptions'!$G44</f>
        <v>0.01</v>
      </c>
      <c r="L39" s="49">
        <f>'Game Assumptions'!$G44</f>
        <v>0.01</v>
      </c>
    </row>
    <row r="40" spans="1:12" x14ac:dyDescent="0.25">
      <c r="A40" t="s">
        <v>10</v>
      </c>
      <c r="B40" s="49">
        <f>'Game Assumptions'!$G45</f>
        <v>0.02</v>
      </c>
      <c r="C40" s="49">
        <f>'Game Assumptions'!$G45</f>
        <v>0.02</v>
      </c>
      <c r="D40" s="49">
        <f>'Game Assumptions'!$G45</f>
        <v>0.02</v>
      </c>
      <c r="E40" s="49">
        <f>'Game Assumptions'!$G45</f>
        <v>0.02</v>
      </c>
      <c r="F40" s="49">
        <f>'Game Assumptions'!$G45</f>
        <v>0.02</v>
      </c>
      <c r="G40" s="49">
        <f>'Game Assumptions'!$G45</f>
        <v>0.02</v>
      </c>
      <c r="H40" s="49">
        <f>'Game Assumptions'!$G45</f>
        <v>0.02</v>
      </c>
      <c r="I40" s="49">
        <f>'Game Assumptions'!$G45</f>
        <v>0.02</v>
      </c>
      <c r="J40" s="49">
        <f>'Game Assumptions'!$G45</f>
        <v>0.02</v>
      </c>
      <c r="K40" s="49">
        <f>'Game Assumptions'!$G45</f>
        <v>0.02</v>
      </c>
      <c r="L40" s="49">
        <f>'Game Assumptions'!$G45</f>
        <v>0.02</v>
      </c>
    </row>
    <row r="41" spans="1:12" x14ac:dyDescent="0.25">
      <c r="A41" t="s">
        <v>11</v>
      </c>
      <c r="B41" s="49">
        <f>'Game Assumptions'!$G46</f>
        <v>0.03</v>
      </c>
      <c r="C41" s="49">
        <f>'Game Assumptions'!$G46</f>
        <v>0.03</v>
      </c>
      <c r="D41" s="49">
        <f>'Game Assumptions'!$G46</f>
        <v>0.03</v>
      </c>
      <c r="E41" s="49">
        <f>'Game Assumptions'!$G46</f>
        <v>0.03</v>
      </c>
      <c r="F41" s="49">
        <f>'Game Assumptions'!$G46</f>
        <v>0.03</v>
      </c>
      <c r="G41" s="49">
        <f>'Game Assumptions'!$G46</f>
        <v>0.03</v>
      </c>
      <c r="H41" s="49">
        <f>'Game Assumptions'!$G46</f>
        <v>0.03</v>
      </c>
      <c r="I41" s="49">
        <f>'Game Assumptions'!$G46</f>
        <v>0.03</v>
      </c>
      <c r="J41" s="49">
        <f>'Game Assumptions'!$G46</f>
        <v>0.03</v>
      </c>
      <c r="K41" s="49">
        <f>'Game Assumptions'!$G46</f>
        <v>0.03</v>
      </c>
      <c r="L41" s="49">
        <f>'Game Assumptions'!$G46</f>
        <v>0.03</v>
      </c>
    </row>
    <row r="42" spans="1:12" x14ac:dyDescent="0.25">
      <c r="A42" t="s">
        <v>12</v>
      </c>
      <c r="B42" s="49">
        <f>'Game Assumptions'!$G47</f>
        <v>0</v>
      </c>
      <c r="C42" s="49">
        <f>'Game Assumptions'!$G47</f>
        <v>0</v>
      </c>
      <c r="D42" s="49">
        <f>'Game Assumptions'!$G47</f>
        <v>0</v>
      </c>
      <c r="E42" s="49">
        <f>'Game Assumptions'!$G47</f>
        <v>0</v>
      </c>
      <c r="F42" s="49">
        <f>'Game Assumptions'!$G47</f>
        <v>0</v>
      </c>
      <c r="G42" s="49">
        <f>'Game Assumptions'!$G47</f>
        <v>0</v>
      </c>
      <c r="H42" s="49">
        <f>'Game Assumptions'!$G47</f>
        <v>0</v>
      </c>
      <c r="I42" s="49">
        <f>'Game Assumptions'!$G47</f>
        <v>0</v>
      </c>
      <c r="J42" s="49">
        <f>'Game Assumptions'!$G47</f>
        <v>0</v>
      </c>
      <c r="K42" s="49">
        <f>'Game Assumptions'!$G47</f>
        <v>0</v>
      </c>
      <c r="L42" s="49">
        <f>'Game Assumptions'!$G47</f>
        <v>0</v>
      </c>
    </row>
    <row r="44" spans="1:12" x14ac:dyDescent="0.25">
      <c r="A44" s="9" t="s">
        <v>26</v>
      </c>
      <c r="B44" s="9">
        <v>0</v>
      </c>
      <c r="C44" s="9">
        <v>1</v>
      </c>
      <c r="D44" s="9">
        <v>2</v>
      </c>
      <c r="E44" s="9">
        <v>3</v>
      </c>
      <c r="F44" s="9">
        <v>4</v>
      </c>
      <c r="G44" s="9">
        <v>5</v>
      </c>
      <c r="H44" s="9">
        <v>6</v>
      </c>
      <c r="I44" s="9">
        <v>7</v>
      </c>
      <c r="J44" s="9">
        <v>8</v>
      </c>
      <c r="K44" s="9">
        <v>9</v>
      </c>
      <c r="L44" s="9">
        <v>10</v>
      </c>
    </row>
    <row r="45" spans="1:12" x14ac:dyDescent="0.25">
      <c r="A45" t="s">
        <v>7</v>
      </c>
      <c r="B45" s="15">
        <f t="shared" ref="B45:L45" si="0">B36+B24</f>
        <v>27.6798</v>
      </c>
      <c r="C45" s="15">
        <f t="shared" si="0"/>
        <v>27.0869</v>
      </c>
      <c r="D45" s="15">
        <f t="shared" si="0"/>
        <v>27.002199999999998</v>
      </c>
      <c r="E45" s="15">
        <f t="shared" si="0"/>
        <v>26.9175</v>
      </c>
      <c r="F45" s="15">
        <f t="shared" si="0"/>
        <v>27.0869</v>
      </c>
      <c r="G45" s="15">
        <f t="shared" si="0"/>
        <v>27.341000000000001</v>
      </c>
      <c r="H45" s="15">
        <f t="shared" si="0"/>
        <v>27.6798</v>
      </c>
      <c r="I45" s="15">
        <f t="shared" si="0"/>
        <v>28.018599999999999</v>
      </c>
      <c r="J45" s="15">
        <f t="shared" si="0"/>
        <v>28.357400000000002</v>
      </c>
      <c r="K45" s="15">
        <f t="shared" si="0"/>
        <v>28.611500000000003</v>
      </c>
      <c r="L45" s="15">
        <f t="shared" si="0"/>
        <v>28.865600000000001</v>
      </c>
    </row>
    <row r="46" spans="1:12" x14ac:dyDescent="0.25">
      <c r="A46" t="s">
        <v>8</v>
      </c>
      <c r="B46" s="15">
        <f t="shared" ref="B46:L46" si="1">B37+B25</f>
        <v>29.724000000000004</v>
      </c>
      <c r="C46" s="15">
        <f t="shared" si="1"/>
        <v>33.794400000000003</v>
      </c>
      <c r="D46" s="15">
        <f t="shared" si="1"/>
        <v>29.596799999999998</v>
      </c>
      <c r="E46" s="15">
        <f t="shared" si="1"/>
        <v>29.851199999999999</v>
      </c>
      <c r="F46" s="15">
        <f t="shared" si="1"/>
        <v>29.724000000000004</v>
      </c>
      <c r="G46" s="15">
        <f t="shared" si="1"/>
        <v>30.550800000000002</v>
      </c>
      <c r="H46" s="15">
        <f t="shared" si="1"/>
        <v>33.285600000000002</v>
      </c>
      <c r="I46" s="15">
        <f t="shared" si="1"/>
        <v>36.020400000000002</v>
      </c>
      <c r="J46" s="15">
        <f t="shared" si="1"/>
        <v>37.674000000000007</v>
      </c>
      <c r="K46" s="15">
        <f t="shared" si="1"/>
        <v>38.628</v>
      </c>
      <c r="L46" s="15">
        <f t="shared" si="1"/>
        <v>39.709200000000003</v>
      </c>
    </row>
    <row r="47" spans="1:12" x14ac:dyDescent="0.25">
      <c r="A47" t="s">
        <v>13</v>
      </c>
      <c r="B47" s="15">
        <f t="shared" ref="B47:L47" si="2">B38+B26</f>
        <v>11.241</v>
      </c>
      <c r="C47" s="15">
        <f t="shared" si="2"/>
        <v>11.241</v>
      </c>
      <c r="D47" s="15">
        <f t="shared" si="2"/>
        <v>11.241</v>
      </c>
      <c r="E47" s="15">
        <f t="shared" si="2"/>
        <v>11.241</v>
      </c>
      <c r="F47" s="15">
        <f t="shared" si="2"/>
        <v>11.241</v>
      </c>
      <c r="G47" s="15">
        <f t="shared" si="2"/>
        <v>11.241</v>
      </c>
      <c r="H47" s="15">
        <f t="shared" si="2"/>
        <v>11.241</v>
      </c>
      <c r="I47" s="15">
        <f t="shared" si="2"/>
        <v>11.241</v>
      </c>
      <c r="J47" s="15">
        <f t="shared" si="2"/>
        <v>11.241</v>
      </c>
      <c r="K47" s="15">
        <f t="shared" si="2"/>
        <v>11.241</v>
      </c>
      <c r="L47" s="15">
        <f t="shared" si="2"/>
        <v>11.241</v>
      </c>
    </row>
    <row r="48" spans="1:12" x14ac:dyDescent="0.25">
      <c r="A48" t="s">
        <v>9</v>
      </c>
      <c r="B48" s="15">
        <f t="shared" ref="B48:L48" si="3">B39+B27</f>
        <v>0.01</v>
      </c>
      <c r="C48" s="15">
        <f t="shared" si="3"/>
        <v>0.01</v>
      </c>
      <c r="D48" s="15">
        <f t="shared" si="3"/>
        <v>0.01</v>
      </c>
      <c r="E48" s="15">
        <f t="shared" si="3"/>
        <v>0.01</v>
      </c>
      <c r="F48" s="15">
        <f t="shared" si="3"/>
        <v>0.01</v>
      </c>
      <c r="G48" s="15">
        <f t="shared" si="3"/>
        <v>0.01</v>
      </c>
      <c r="H48" s="15">
        <f t="shared" si="3"/>
        <v>0.01</v>
      </c>
      <c r="I48" s="15">
        <f t="shared" si="3"/>
        <v>0.01</v>
      </c>
      <c r="J48" s="15">
        <f t="shared" si="3"/>
        <v>0.01</v>
      </c>
      <c r="K48" s="15">
        <f t="shared" si="3"/>
        <v>0.01</v>
      </c>
      <c r="L48" s="15">
        <f t="shared" si="3"/>
        <v>0.01</v>
      </c>
    </row>
    <row r="49" spans="1:12" x14ac:dyDescent="0.25">
      <c r="A49" t="s">
        <v>10</v>
      </c>
      <c r="B49" s="15">
        <f t="shared" ref="B49:L49" si="4">B40+B28</f>
        <v>0.02</v>
      </c>
      <c r="C49" s="15">
        <f t="shared" si="4"/>
        <v>0.02</v>
      </c>
      <c r="D49" s="15">
        <f t="shared" si="4"/>
        <v>0.02</v>
      </c>
      <c r="E49" s="15">
        <f t="shared" si="4"/>
        <v>0.02</v>
      </c>
      <c r="F49" s="15">
        <f t="shared" si="4"/>
        <v>0.02</v>
      </c>
      <c r="G49" s="15">
        <f t="shared" si="4"/>
        <v>0.02</v>
      </c>
      <c r="H49" s="15">
        <f t="shared" si="4"/>
        <v>0.02</v>
      </c>
      <c r="I49" s="15">
        <f t="shared" si="4"/>
        <v>0.02</v>
      </c>
      <c r="J49" s="15">
        <f t="shared" si="4"/>
        <v>0.02</v>
      </c>
      <c r="K49" s="15">
        <f t="shared" si="4"/>
        <v>0.02</v>
      </c>
      <c r="L49" s="15">
        <f t="shared" si="4"/>
        <v>0.02</v>
      </c>
    </row>
    <row r="50" spans="1:12" x14ac:dyDescent="0.25">
      <c r="A50" t="s">
        <v>11</v>
      </c>
      <c r="B50" s="15">
        <f t="shared" ref="B50:L50" si="5">B41+B29</f>
        <v>0.03</v>
      </c>
      <c r="C50" s="15">
        <f t="shared" si="5"/>
        <v>0.03</v>
      </c>
      <c r="D50" s="15">
        <f t="shared" si="5"/>
        <v>0.03</v>
      </c>
      <c r="E50" s="15">
        <f t="shared" si="5"/>
        <v>0.03</v>
      </c>
      <c r="F50" s="15">
        <f t="shared" si="5"/>
        <v>0.03</v>
      </c>
      <c r="G50" s="15">
        <f t="shared" si="5"/>
        <v>0.03</v>
      </c>
      <c r="H50" s="15">
        <f t="shared" si="5"/>
        <v>0.03</v>
      </c>
      <c r="I50" s="15">
        <f t="shared" si="5"/>
        <v>0.03</v>
      </c>
      <c r="J50" s="15">
        <f t="shared" si="5"/>
        <v>0.03</v>
      </c>
      <c r="K50" s="15">
        <f t="shared" si="5"/>
        <v>0.03</v>
      </c>
      <c r="L50" s="15">
        <f t="shared" si="5"/>
        <v>0.03</v>
      </c>
    </row>
    <row r="51" spans="1:12" x14ac:dyDescent="0.25">
      <c r="A51" t="s">
        <v>12</v>
      </c>
      <c r="B51" s="15">
        <f>B42+B30</f>
        <v>0</v>
      </c>
      <c r="C51" s="15">
        <f t="shared" ref="C51:L51" si="6">C42+C30</f>
        <v>0</v>
      </c>
      <c r="D51" s="15">
        <f t="shared" si="6"/>
        <v>0</v>
      </c>
      <c r="E51" s="15">
        <f t="shared" si="6"/>
        <v>0</v>
      </c>
      <c r="F51" s="15">
        <f t="shared" si="6"/>
        <v>0</v>
      </c>
      <c r="G51" s="15">
        <f t="shared" si="6"/>
        <v>0</v>
      </c>
      <c r="H51" s="15">
        <f t="shared" si="6"/>
        <v>0</v>
      </c>
      <c r="I51" s="15">
        <f t="shared" si="6"/>
        <v>0</v>
      </c>
      <c r="J51" s="15">
        <f t="shared" si="6"/>
        <v>0</v>
      </c>
      <c r="K51" s="15">
        <f t="shared" si="6"/>
        <v>0</v>
      </c>
      <c r="L51" s="15">
        <f t="shared" si="6"/>
        <v>0</v>
      </c>
    </row>
    <row r="53" spans="1:12" x14ac:dyDescent="0.25">
      <c r="A53" s="9" t="s">
        <v>117</v>
      </c>
      <c r="B53" s="9">
        <v>0</v>
      </c>
      <c r="C53" s="9">
        <v>1</v>
      </c>
      <c r="D53" s="9">
        <v>2</v>
      </c>
      <c r="E53" s="9">
        <v>3</v>
      </c>
      <c r="F53" s="9">
        <v>4</v>
      </c>
      <c r="G53" s="9">
        <v>5</v>
      </c>
      <c r="H53" s="9">
        <v>6</v>
      </c>
      <c r="I53" s="9">
        <v>7</v>
      </c>
      <c r="J53" s="9">
        <v>8</v>
      </c>
      <c r="K53" s="9">
        <v>9</v>
      </c>
      <c r="L53" s="9">
        <v>10</v>
      </c>
    </row>
    <row r="54" spans="1:12" x14ac:dyDescent="0.25">
      <c r="A54" t="s">
        <v>7</v>
      </c>
      <c r="B54">
        <f>RANK(B45,B$45:B$51,1)</f>
        <v>6</v>
      </c>
      <c r="C54">
        <f t="shared" ref="C54:L54" si="7">RANK(C45,C$45:C$51,1)</f>
        <v>6</v>
      </c>
      <c r="D54">
        <f t="shared" si="7"/>
        <v>6</v>
      </c>
      <c r="E54">
        <f t="shared" si="7"/>
        <v>6</v>
      </c>
      <c r="F54">
        <f t="shared" si="7"/>
        <v>6</v>
      </c>
      <c r="G54">
        <f t="shared" si="7"/>
        <v>6</v>
      </c>
      <c r="H54">
        <f t="shared" si="7"/>
        <v>6</v>
      </c>
      <c r="I54">
        <f t="shared" si="7"/>
        <v>6</v>
      </c>
      <c r="J54">
        <f t="shared" si="7"/>
        <v>6</v>
      </c>
      <c r="K54">
        <f t="shared" si="7"/>
        <v>6</v>
      </c>
      <c r="L54">
        <f t="shared" si="7"/>
        <v>6</v>
      </c>
    </row>
    <row r="55" spans="1:12" x14ac:dyDescent="0.25">
      <c r="A55" t="s">
        <v>8</v>
      </c>
      <c r="B55">
        <f t="shared" ref="B55:L60" si="8">RANK(B46,B$45:B$51,1)</f>
        <v>7</v>
      </c>
      <c r="C55">
        <f t="shared" si="8"/>
        <v>7</v>
      </c>
      <c r="D55">
        <f t="shared" si="8"/>
        <v>7</v>
      </c>
      <c r="E55">
        <f t="shared" si="8"/>
        <v>7</v>
      </c>
      <c r="F55">
        <f t="shared" si="8"/>
        <v>7</v>
      </c>
      <c r="G55">
        <f t="shared" si="8"/>
        <v>7</v>
      </c>
      <c r="H55">
        <f t="shared" si="8"/>
        <v>7</v>
      </c>
      <c r="I55">
        <f t="shared" si="8"/>
        <v>7</v>
      </c>
      <c r="J55">
        <f t="shared" si="8"/>
        <v>7</v>
      </c>
      <c r="K55">
        <f t="shared" si="8"/>
        <v>7</v>
      </c>
      <c r="L55">
        <f t="shared" si="8"/>
        <v>7</v>
      </c>
    </row>
    <row r="56" spans="1:12" x14ac:dyDescent="0.25">
      <c r="A56" t="s">
        <v>13</v>
      </c>
      <c r="B56">
        <f t="shared" si="8"/>
        <v>5</v>
      </c>
      <c r="C56">
        <f t="shared" si="8"/>
        <v>5</v>
      </c>
      <c r="D56">
        <f t="shared" si="8"/>
        <v>5</v>
      </c>
      <c r="E56">
        <f t="shared" si="8"/>
        <v>5</v>
      </c>
      <c r="F56">
        <f t="shared" si="8"/>
        <v>5</v>
      </c>
      <c r="G56">
        <f t="shared" si="8"/>
        <v>5</v>
      </c>
      <c r="H56">
        <f t="shared" si="8"/>
        <v>5</v>
      </c>
      <c r="I56">
        <f t="shared" si="8"/>
        <v>5</v>
      </c>
      <c r="J56">
        <f t="shared" si="8"/>
        <v>5</v>
      </c>
      <c r="K56">
        <f t="shared" si="8"/>
        <v>5</v>
      </c>
      <c r="L56">
        <f t="shared" si="8"/>
        <v>5</v>
      </c>
    </row>
    <row r="57" spans="1:12" x14ac:dyDescent="0.25">
      <c r="A57" t="s">
        <v>9</v>
      </c>
      <c r="B57">
        <f t="shared" si="8"/>
        <v>2</v>
      </c>
      <c r="C57">
        <f t="shared" si="8"/>
        <v>2</v>
      </c>
      <c r="D57">
        <f t="shared" si="8"/>
        <v>2</v>
      </c>
      <c r="E57">
        <f t="shared" si="8"/>
        <v>2</v>
      </c>
      <c r="F57">
        <f t="shared" si="8"/>
        <v>2</v>
      </c>
      <c r="G57">
        <f t="shared" si="8"/>
        <v>2</v>
      </c>
      <c r="H57">
        <f t="shared" si="8"/>
        <v>2</v>
      </c>
      <c r="I57">
        <f t="shared" si="8"/>
        <v>2</v>
      </c>
      <c r="J57">
        <f t="shared" si="8"/>
        <v>2</v>
      </c>
      <c r="K57">
        <f t="shared" si="8"/>
        <v>2</v>
      </c>
      <c r="L57">
        <f t="shared" si="8"/>
        <v>2</v>
      </c>
    </row>
    <row r="58" spans="1:12" x14ac:dyDescent="0.25">
      <c r="A58" t="s">
        <v>10</v>
      </c>
      <c r="B58">
        <f t="shared" si="8"/>
        <v>3</v>
      </c>
      <c r="C58">
        <f t="shared" si="8"/>
        <v>3</v>
      </c>
      <c r="D58">
        <f t="shared" si="8"/>
        <v>3</v>
      </c>
      <c r="E58">
        <f t="shared" si="8"/>
        <v>3</v>
      </c>
      <c r="F58">
        <f t="shared" si="8"/>
        <v>3</v>
      </c>
      <c r="G58">
        <f t="shared" si="8"/>
        <v>3</v>
      </c>
      <c r="H58">
        <f t="shared" si="8"/>
        <v>3</v>
      </c>
      <c r="I58">
        <f t="shared" si="8"/>
        <v>3</v>
      </c>
      <c r="J58">
        <f t="shared" si="8"/>
        <v>3</v>
      </c>
      <c r="K58">
        <f t="shared" si="8"/>
        <v>3</v>
      </c>
      <c r="L58">
        <f t="shared" si="8"/>
        <v>3</v>
      </c>
    </row>
    <row r="59" spans="1:12" x14ac:dyDescent="0.25">
      <c r="A59" t="s">
        <v>11</v>
      </c>
      <c r="B59">
        <f t="shared" si="8"/>
        <v>4</v>
      </c>
      <c r="C59">
        <f t="shared" si="8"/>
        <v>4</v>
      </c>
      <c r="D59">
        <f t="shared" si="8"/>
        <v>4</v>
      </c>
      <c r="E59">
        <f t="shared" si="8"/>
        <v>4</v>
      </c>
      <c r="F59">
        <f t="shared" si="8"/>
        <v>4</v>
      </c>
      <c r="G59">
        <f t="shared" si="8"/>
        <v>4</v>
      </c>
      <c r="H59">
        <f t="shared" si="8"/>
        <v>4</v>
      </c>
      <c r="I59">
        <f t="shared" si="8"/>
        <v>4</v>
      </c>
      <c r="J59">
        <f t="shared" si="8"/>
        <v>4</v>
      </c>
      <c r="K59">
        <f t="shared" si="8"/>
        <v>4</v>
      </c>
      <c r="L59">
        <f t="shared" si="8"/>
        <v>4</v>
      </c>
    </row>
    <row r="60" spans="1:12" x14ac:dyDescent="0.25">
      <c r="A60" t="s">
        <v>12</v>
      </c>
      <c r="B60">
        <f t="shared" si="8"/>
        <v>1</v>
      </c>
      <c r="C60">
        <f t="shared" si="8"/>
        <v>1</v>
      </c>
      <c r="D60">
        <f t="shared" si="8"/>
        <v>1</v>
      </c>
      <c r="E60">
        <f t="shared" si="8"/>
        <v>1</v>
      </c>
      <c r="F60">
        <f t="shared" si="8"/>
        <v>1</v>
      </c>
      <c r="G60">
        <f t="shared" si="8"/>
        <v>1</v>
      </c>
      <c r="H60">
        <f t="shared" si="8"/>
        <v>1</v>
      </c>
      <c r="I60">
        <f t="shared" si="8"/>
        <v>1</v>
      </c>
      <c r="J60">
        <f t="shared" si="8"/>
        <v>1</v>
      </c>
      <c r="K60">
        <f t="shared" si="8"/>
        <v>1</v>
      </c>
      <c r="L60">
        <f t="shared" si="8"/>
        <v>1</v>
      </c>
    </row>
    <row r="62" spans="1:12" x14ac:dyDescent="0.25">
      <c r="A62" s="9" t="s">
        <v>118</v>
      </c>
      <c r="B62" s="9">
        <v>0</v>
      </c>
      <c r="C62" s="9">
        <v>1</v>
      </c>
      <c r="D62" s="9">
        <v>2</v>
      </c>
      <c r="E62" s="9">
        <v>3</v>
      </c>
      <c r="F62" s="9">
        <v>4</v>
      </c>
      <c r="G62" s="9">
        <v>5</v>
      </c>
      <c r="H62" s="9">
        <v>6</v>
      </c>
      <c r="I62" s="9">
        <v>7</v>
      </c>
      <c r="J62" s="9">
        <v>8</v>
      </c>
      <c r="K62" s="9">
        <v>9</v>
      </c>
      <c r="L62" s="9">
        <v>10</v>
      </c>
    </row>
    <row r="63" spans="1:12" x14ac:dyDescent="0.25">
      <c r="A63">
        <v>1</v>
      </c>
      <c r="B63" t="str">
        <f t="shared" ref="B63:L69" si="9">INDEX($A$54:$A$60,MATCH($A63,B$54:B$60,0))</f>
        <v>EE</v>
      </c>
      <c r="C63" t="str">
        <f t="shared" si="9"/>
        <v>EE</v>
      </c>
      <c r="D63" t="str">
        <f t="shared" si="9"/>
        <v>EE</v>
      </c>
      <c r="E63" t="str">
        <f t="shared" si="9"/>
        <v>EE</v>
      </c>
      <c r="F63" t="str">
        <f t="shared" si="9"/>
        <v>EE</v>
      </c>
      <c r="G63" t="str">
        <f t="shared" si="9"/>
        <v>EE</v>
      </c>
      <c r="H63" t="str">
        <f t="shared" si="9"/>
        <v>EE</v>
      </c>
      <c r="I63" t="str">
        <f t="shared" si="9"/>
        <v>EE</v>
      </c>
      <c r="J63" t="str">
        <f t="shared" si="9"/>
        <v>EE</v>
      </c>
      <c r="K63" t="str">
        <f t="shared" si="9"/>
        <v>EE</v>
      </c>
      <c r="L63" t="str">
        <f t="shared" si="9"/>
        <v>EE</v>
      </c>
    </row>
    <row r="64" spans="1:12" x14ac:dyDescent="0.25">
      <c r="A64">
        <v>2</v>
      </c>
      <c r="B64" t="str">
        <f t="shared" si="9"/>
        <v>solar</v>
      </c>
      <c r="C64" t="str">
        <f t="shared" si="9"/>
        <v>solar</v>
      </c>
      <c r="D64" t="str">
        <f t="shared" si="9"/>
        <v>solar</v>
      </c>
      <c r="E64" t="str">
        <f t="shared" si="9"/>
        <v>solar</v>
      </c>
      <c r="F64" t="str">
        <f t="shared" si="9"/>
        <v>solar</v>
      </c>
      <c r="G64" t="str">
        <f t="shared" si="9"/>
        <v>solar</v>
      </c>
      <c r="H64" t="str">
        <f t="shared" si="9"/>
        <v>solar</v>
      </c>
      <c r="I64" t="str">
        <f t="shared" si="9"/>
        <v>solar</v>
      </c>
      <c r="J64" t="str">
        <f t="shared" si="9"/>
        <v>solar</v>
      </c>
      <c r="K64" t="str">
        <f t="shared" si="9"/>
        <v>solar</v>
      </c>
      <c r="L64" t="str">
        <f t="shared" si="9"/>
        <v>solar</v>
      </c>
    </row>
    <row r="65" spans="1:12" x14ac:dyDescent="0.25">
      <c r="A65">
        <v>3</v>
      </c>
      <c r="B65" t="str">
        <f t="shared" si="9"/>
        <v>wind</v>
      </c>
      <c r="C65" t="str">
        <f t="shared" si="9"/>
        <v>wind</v>
      </c>
      <c r="D65" t="str">
        <f t="shared" si="9"/>
        <v>wind</v>
      </c>
      <c r="E65" t="str">
        <f t="shared" si="9"/>
        <v>wind</v>
      </c>
      <c r="F65" t="str">
        <f t="shared" si="9"/>
        <v>wind</v>
      </c>
      <c r="G65" t="str">
        <f t="shared" si="9"/>
        <v>wind</v>
      </c>
      <c r="H65" t="str">
        <f t="shared" si="9"/>
        <v>wind</v>
      </c>
      <c r="I65" t="str">
        <f t="shared" si="9"/>
        <v>wind</v>
      </c>
      <c r="J65" t="str">
        <f t="shared" si="9"/>
        <v>wind</v>
      </c>
      <c r="K65" t="str">
        <f t="shared" si="9"/>
        <v>wind</v>
      </c>
      <c r="L65" t="str">
        <f t="shared" si="9"/>
        <v>wind</v>
      </c>
    </row>
    <row r="66" spans="1:12" x14ac:dyDescent="0.25">
      <c r="A66">
        <v>4</v>
      </c>
      <c r="B66" t="str">
        <f t="shared" si="9"/>
        <v>hydro</v>
      </c>
      <c r="C66" t="str">
        <f t="shared" si="9"/>
        <v>hydro</v>
      </c>
      <c r="D66" t="str">
        <f t="shared" si="9"/>
        <v>hydro</v>
      </c>
      <c r="E66" t="str">
        <f t="shared" si="9"/>
        <v>hydro</v>
      </c>
      <c r="F66" t="str">
        <f t="shared" si="9"/>
        <v>hydro</v>
      </c>
      <c r="G66" t="str">
        <f t="shared" si="9"/>
        <v>hydro</v>
      </c>
      <c r="H66" t="str">
        <f t="shared" si="9"/>
        <v>hydro</v>
      </c>
      <c r="I66" t="str">
        <f t="shared" si="9"/>
        <v>hydro</v>
      </c>
      <c r="J66" t="str">
        <f t="shared" si="9"/>
        <v>hydro</v>
      </c>
      <c r="K66" t="str">
        <f t="shared" si="9"/>
        <v>hydro</v>
      </c>
      <c r="L66" t="str">
        <f t="shared" si="9"/>
        <v>hydro</v>
      </c>
    </row>
    <row r="67" spans="1:12" x14ac:dyDescent="0.25">
      <c r="A67">
        <v>5</v>
      </c>
      <c r="B67" t="str">
        <f t="shared" si="9"/>
        <v>nuclear</v>
      </c>
      <c r="C67" t="str">
        <f t="shared" si="9"/>
        <v>nuclear</v>
      </c>
      <c r="D67" t="str">
        <f t="shared" si="9"/>
        <v>nuclear</v>
      </c>
      <c r="E67" t="str">
        <f t="shared" si="9"/>
        <v>nuclear</v>
      </c>
      <c r="F67" t="str">
        <f t="shared" si="9"/>
        <v>nuclear</v>
      </c>
      <c r="G67" t="str">
        <f t="shared" si="9"/>
        <v>nuclear</v>
      </c>
      <c r="H67" t="str">
        <f t="shared" si="9"/>
        <v>nuclear</v>
      </c>
      <c r="I67" t="str">
        <f t="shared" si="9"/>
        <v>nuclear</v>
      </c>
      <c r="J67" t="str">
        <f t="shared" si="9"/>
        <v>nuclear</v>
      </c>
      <c r="K67" t="str">
        <f t="shared" si="9"/>
        <v>nuclear</v>
      </c>
      <c r="L67" t="str">
        <f t="shared" si="9"/>
        <v>nuclear</v>
      </c>
    </row>
    <row r="68" spans="1:12" x14ac:dyDescent="0.25">
      <c r="A68">
        <v>6</v>
      </c>
      <c r="B68" t="str">
        <f t="shared" si="9"/>
        <v>coal</v>
      </c>
      <c r="C68" t="str">
        <f t="shared" si="9"/>
        <v>coal</v>
      </c>
      <c r="D68" t="str">
        <f t="shared" si="9"/>
        <v>coal</v>
      </c>
      <c r="E68" t="str">
        <f t="shared" si="9"/>
        <v>coal</v>
      </c>
      <c r="F68" t="str">
        <f t="shared" si="9"/>
        <v>coal</v>
      </c>
      <c r="G68" t="str">
        <f t="shared" si="9"/>
        <v>coal</v>
      </c>
      <c r="H68" t="str">
        <f t="shared" si="9"/>
        <v>coal</v>
      </c>
      <c r="I68" t="str">
        <f t="shared" si="9"/>
        <v>coal</v>
      </c>
      <c r="J68" t="str">
        <f t="shared" si="9"/>
        <v>coal</v>
      </c>
      <c r="K68" t="str">
        <f t="shared" si="9"/>
        <v>coal</v>
      </c>
      <c r="L68" t="str">
        <f t="shared" si="9"/>
        <v>coal</v>
      </c>
    </row>
    <row r="69" spans="1:12" x14ac:dyDescent="0.25">
      <c r="A69">
        <v>7</v>
      </c>
      <c r="B69" t="str">
        <f t="shared" si="9"/>
        <v>natural gas</v>
      </c>
      <c r="C69" t="str">
        <f t="shared" si="9"/>
        <v>natural gas</v>
      </c>
      <c r="D69" t="str">
        <f t="shared" si="9"/>
        <v>natural gas</v>
      </c>
      <c r="E69" t="str">
        <f t="shared" si="9"/>
        <v>natural gas</v>
      </c>
      <c r="F69" t="str">
        <f t="shared" si="9"/>
        <v>natural gas</v>
      </c>
      <c r="G69" t="str">
        <f t="shared" si="9"/>
        <v>natural gas</v>
      </c>
      <c r="H69" t="str">
        <f t="shared" si="9"/>
        <v>natural gas</v>
      </c>
      <c r="I69" t="str">
        <f t="shared" si="9"/>
        <v>natural gas</v>
      </c>
      <c r="J69" t="str">
        <f t="shared" si="9"/>
        <v>natural gas</v>
      </c>
      <c r="K69" t="str">
        <f t="shared" si="9"/>
        <v>natural gas</v>
      </c>
      <c r="L69" t="str">
        <f t="shared" si="9"/>
        <v>natural gas</v>
      </c>
    </row>
    <row r="71" spans="1:12" x14ac:dyDescent="0.25">
      <c r="A71" s="9" t="s">
        <v>119</v>
      </c>
      <c r="B71" s="9">
        <v>0</v>
      </c>
      <c r="C71" s="9">
        <v>1</v>
      </c>
      <c r="D71" s="9">
        <v>2</v>
      </c>
      <c r="E71" s="9">
        <v>3</v>
      </c>
      <c r="F71" s="9">
        <v>4</v>
      </c>
      <c r="G71" s="9">
        <v>5</v>
      </c>
      <c r="H71" s="9">
        <v>6</v>
      </c>
      <c r="I71" s="9">
        <v>7</v>
      </c>
      <c r="J71" s="9">
        <v>8</v>
      </c>
      <c r="K71" s="9">
        <v>9</v>
      </c>
      <c r="L71" s="9">
        <v>10</v>
      </c>
    </row>
    <row r="72" spans="1:12" x14ac:dyDescent="0.25">
      <c r="A72">
        <v>1</v>
      </c>
      <c r="B72" s="33">
        <f t="shared" ref="B72:L72" si="10">INDEX(B$2:B$8,MATCH(B63,$A$2:$A$8,0),1)</f>
        <v>1752000</v>
      </c>
      <c r="C72" s="33">
        <f t="shared" si="10"/>
        <v>1971000</v>
      </c>
      <c r="D72" s="33">
        <f t="shared" si="10"/>
        <v>2835012.4238102059</v>
      </c>
      <c r="E72" s="33">
        <f t="shared" si="10"/>
        <v>5702166.2364167841</v>
      </c>
      <c r="F72" s="33">
        <f t="shared" si="10"/>
        <v>6566622.6515926942</v>
      </c>
      <c r="G72" s="33">
        <f t="shared" si="10"/>
        <v>7350077.1548491297</v>
      </c>
      <c r="H72" s="33">
        <f t="shared" si="10"/>
        <v>7086362.3587442832</v>
      </c>
      <c r="I72" s="33">
        <f t="shared" si="10"/>
        <v>7045179.1793156993</v>
      </c>
      <c r="J72" s="33">
        <f t="shared" si="10"/>
        <v>6959817.9293156993</v>
      </c>
      <c r="K72" s="33">
        <f t="shared" si="10"/>
        <v>6860686.6793156993</v>
      </c>
      <c r="L72" s="33">
        <f t="shared" si="10"/>
        <v>6853355.4293156993</v>
      </c>
    </row>
    <row r="73" spans="1:12" x14ac:dyDescent="0.25">
      <c r="A73">
        <v>2</v>
      </c>
      <c r="B73" s="33">
        <f t="shared" ref="B73:L78" si="11">INDEX(B$2:B$8,MATCH(B64,$A$2:$A$8,0),1)+B72</f>
        <v>2203665.6</v>
      </c>
      <c r="C73" s="33">
        <f t="shared" si="11"/>
        <v>2422665.6</v>
      </c>
      <c r="D73" s="33">
        <f t="shared" si="11"/>
        <v>3452962.2266684771</v>
      </c>
      <c r="E73" s="33">
        <f t="shared" si="11"/>
        <v>7002810.0921650305</v>
      </c>
      <c r="F73" s="33">
        <f t="shared" si="11"/>
        <v>7984407.4770298582</v>
      </c>
      <c r="G73" s="33">
        <f t="shared" si="11"/>
        <v>8767861.9802862927</v>
      </c>
      <c r="H73" s="33">
        <f t="shared" si="11"/>
        <v>8504147.1841814462</v>
      </c>
      <c r="I73" s="33">
        <f t="shared" si="11"/>
        <v>8462964.0047528632</v>
      </c>
      <c r="J73" s="33">
        <f t="shared" si="11"/>
        <v>8377602.7547528632</v>
      </c>
      <c r="K73" s="33">
        <f t="shared" si="11"/>
        <v>8278471.5047528632</v>
      </c>
      <c r="L73" s="33">
        <f t="shared" si="11"/>
        <v>8271140.2547528632</v>
      </c>
    </row>
    <row r="74" spans="1:12" x14ac:dyDescent="0.25">
      <c r="A74">
        <v>3</v>
      </c>
      <c r="B74" s="33">
        <f t="shared" si="11"/>
        <v>2969640</v>
      </c>
      <c r="C74" s="33">
        <f t="shared" si="11"/>
        <v>3188640</v>
      </c>
      <c r="D74" s="33">
        <f t="shared" si="11"/>
        <v>4500936.0583582986</v>
      </c>
      <c r="E74" s="33">
        <f t="shared" si="11"/>
        <v>9208556.7707264479</v>
      </c>
      <c r="F74" s="33">
        <f t="shared" si="11"/>
        <v>10388812.153837956</v>
      </c>
      <c r="G74" s="33">
        <f t="shared" si="11"/>
        <v>11172266.657094393</v>
      </c>
      <c r="H74" s="33">
        <f t="shared" si="11"/>
        <v>10908551.860989545</v>
      </c>
      <c r="I74" s="33">
        <f t="shared" si="11"/>
        <v>10867368.681560963</v>
      </c>
      <c r="J74" s="33">
        <f t="shared" si="11"/>
        <v>10782007.431560963</v>
      </c>
      <c r="K74" s="33">
        <f t="shared" si="11"/>
        <v>10682876.181560963</v>
      </c>
      <c r="L74" s="33">
        <f t="shared" si="11"/>
        <v>10675544.931560963</v>
      </c>
    </row>
    <row r="75" spans="1:12" x14ac:dyDescent="0.25">
      <c r="A75">
        <v>4</v>
      </c>
      <c r="B75" s="33">
        <f t="shared" si="11"/>
        <v>3570926.4</v>
      </c>
      <c r="C75" s="33">
        <f t="shared" si="11"/>
        <v>3789926.3999999999</v>
      </c>
      <c r="D75" s="33">
        <f t="shared" si="11"/>
        <v>5102222.458358299</v>
      </c>
      <c r="E75" s="33">
        <f t="shared" si="11"/>
        <v>9809843.1707264483</v>
      </c>
      <c r="F75" s="33">
        <f t="shared" si="11"/>
        <v>10990098.553837957</v>
      </c>
      <c r="G75" s="33">
        <f t="shared" si="11"/>
        <v>11773553.057094393</v>
      </c>
      <c r="H75" s="33">
        <f t="shared" si="11"/>
        <v>11509838.260989545</v>
      </c>
      <c r="I75" s="33">
        <f t="shared" si="11"/>
        <v>11468655.081560964</v>
      </c>
      <c r="J75" s="33">
        <f t="shared" si="11"/>
        <v>11383293.831560964</v>
      </c>
      <c r="K75" s="33">
        <f t="shared" si="11"/>
        <v>11284162.581560964</v>
      </c>
      <c r="L75" s="33">
        <f t="shared" si="11"/>
        <v>11276831.331560964</v>
      </c>
    </row>
    <row r="76" spans="1:12" x14ac:dyDescent="0.25">
      <c r="A76">
        <v>5</v>
      </c>
      <c r="B76" s="33">
        <f t="shared" si="11"/>
        <v>19934606.399999999</v>
      </c>
      <c r="C76" s="33">
        <f t="shared" si="11"/>
        <v>11971766.4</v>
      </c>
      <c r="D76" s="33">
        <f t="shared" si="11"/>
        <v>13284062.458358299</v>
      </c>
      <c r="E76" s="33">
        <f t="shared" si="11"/>
        <v>17991683.170726448</v>
      </c>
      <c r="F76" s="33">
        <f t="shared" si="11"/>
        <v>19171938.553837955</v>
      </c>
      <c r="G76" s="33">
        <f t="shared" si="11"/>
        <v>19955393.057094395</v>
      </c>
      <c r="H76" s="33">
        <f t="shared" si="11"/>
        <v>19691678.260989547</v>
      </c>
      <c r="I76" s="33">
        <f t="shared" si="11"/>
        <v>19650495.081560962</v>
      </c>
      <c r="J76" s="33">
        <f t="shared" si="11"/>
        <v>19565133.831560962</v>
      </c>
      <c r="K76" s="33">
        <f t="shared" si="11"/>
        <v>19466002.581560962</v>
      </c>
      <c r="L76" s="33">
        <f t="shared" si="11"/>
        <v>19458671.331560962</v>
      </c>
    </row>
    <row r="77" spans="1:12" x14ac:dyDescent="0.25">
      <c r="A77">
        <v>6</v>
      </c>
      <c r="B77" s="33">
        <f t="shared" si="11"/>
        <v>38856206.399999999</v>
      </c>
      <c r="C77" s="33">
        <f t="shared" si="11"/>
        <v>30893366.399999999</v>
      </c>
      <c r="D77" s="33">
        <f t="shared" si="11"/>
        <v>27475262.458358299</v>
      </c>
      <c r="E77" s="33">
        <f t="shared" si="11"/>
        <v>27452483.170726448</v>
      </c>
      <c r="F77" s="33">
        <f t="shared" si="11"/>
        <v>28632738.553837955</v>
      </c>
      <c r="G77" s="33">
        <f t="shared" si="11"/>
        <v>29416193.057094395</v>
      </c>
      <c r="H77" s="33">
        <f t="shared" si="11"/>
        <v>29152478.260989547</v>
      </c>
      <c r="I77" s="33">
        <f t="shared" si="11"/>
        <v>29111295.081560962</v>
      </c>
      <c r="J77" s="33">
        <f t="shared" si="11"/>
        <v>29025933.831560962</v>
      </c>
      <c r="K77" s="33">
        <f t="shared" si="11"/>
        <v>28926802.581560962</v>
      </c>
      <c r="L77" s="33">
        <f t="shared" si="11"/>
        <v>28919471.331560962</v>
      </c>
    </row>
    <row r="78" spans="1:12" x14ac:dyDescent="0.25">
      <c r="A78">
        <v>7</v>
      </c>
      <c r="B78" s="33">
        <f t="shared" si="11"/>
        <v>77400206.400000006</v>
      </c>
      <c r="C78" s="33">
        <f t="shared" si="11"/>
        <v>69437366.400000006</v>
      </c>
      <c r="D78" s="33">
        <f t="shared" si="11"/>
        <v>66728776.124549523</v>
      </c>
      <c r="E78" s="33">
        <f t="shared" si="11"/>
        <v>69618966.030784905</v>
      </c>
      <c r="F78" s="33">
        <f t="shared" si="11"/>
        <v>71509223.470589921</v>
      </c>
      <c r="G78" s="33">
        <f t="shared" si="11"/>
        <v>72983092.069849238</v>
      </c>
      <c r="H78" s="33">
        <f t="shared" si="11"/>
        <v>73422385.778513253</v>
      </c>
      <c r="I78" s="33">
        <f t="shared" si="11"/>
        <v>74098306.497405037</v>
      </c>
      <c r="J78" s="33">
        <f t="shared" si="11"/>
        <v>74941156.062449247</v>
      </c>
      <c r="K78" s="33">
        <f t="shared" si="11"/>
        <v>75952893.462635189</v>
      </c>
      <c r="L78" s="33">
        <f t="shared" si="11"/>
        <v>77134007.083323434</v>
      </c>
    </row>
    <row r="81" spans="1:12" ht="18.75" x14ac:dyDescent="0.3">
      <c r="A81" s="20" t="s">
        <v>124</v>
      </c>
      <c r="B81" s="20"/>
      <c r="C81" s="20"/>
      <c r="D81" s="20"/>
      <c r="E81" s="20"/>
      <c r="F81" s="20"/>
      <c r="G81" s="20"/>
      <c r="H81" s="20"/>
      <c r="I81" s="20"/>
      <c r="J81" s="20"/>
      <c r="K81" s="20"/>
      <c r="L81" s="20"/>
    </row>
    <row r="82" spans="1:12" x14ac:dyDescent="0.25">
      <c r="A82" s="9" t="s">
        <v>254</v>
      </c>
      <c r="B82" s="9">
        <v>0</v>
      </c>
      <c r="C82" s="9">
        <v>1</v>
      </c>
      <c r="D82" s="9">
        <v>2</v>
      </c>
      <c r="E82" s="9">
        <v>3</v>
      </c>
      <c r="F82" s="9">
        <v>4</v>
      </c>
      <c r="G82" s="9">
        <v>5</v>
      </c>
      <c r="H82" s="9">
        <v>6</v>
      </c>
      <c r="I82" s="9">
        <v>7</v>
      </c>
      <c r="J82" s="9">
        <v>8</v>
      </c>
      <c r="K82" s="9">
        <v>9</v>
      </c>
      <c r="L82" s="9">
        <v>10</v>
      </c>
    </row>
    <row r="83" spans="1:12" x14ac:dyDescent="0.25">
      <c r="A83" t="s">
        <v>121</v>
      </c>
      <c r="B83" s="84">
        <f>'Resource Mix and Demand'!B66</f>
        <v>57369503.399999999</v>
      </c>
      <c r="C83" s="84">
        <f>'Resource Mix and Demand'!C66</f>
        <v>56637161.920000002</v>
      </c>
      <c r="D83" s="84">
        <f>'Resource Mix and Demand'!D66</f>
        <v>55161572.624043502</v>
      </c>
      <c r="E83" s="84">
        <f>'Resource Mix and Demand'!E66</f>
        <v>51596619.959021211</v>
      </c>
      <c r="F83" s="84">
        <f>'Resource Mix and Demand'!F66</f>
        <v>50232163.543845303</v>
      </c>
      <c r="G83" s="84">
        <f>'Resource Mix and Demand'!G66</f>
        <v>48885514.365660869</v>
      </c>
      <c r="H83" s="84">
        <f>'Resource Mix and Demand'!H66</f>
        <v>47527415.724961892</v>
      </c>
      <c r="I83" s="84">
        <f>'Resource Mix and Demand'!I66</f>
        <v>46798361.195437998</v>
      </c>
      <c r="J83" s="84">
        <f>'Resource Mix and Demand'!J66</f>
        <v>46398786.195437998</v>
      </c>
      <c r="K83" s="84">
        <f>'Resource Mix and Demand'!K66</f>
        <v>46015411.195437998</v>
      </c>
      <c r="L83" s="84">
        <f>'Resource Mix and Demand'!L66</f>
        <v>45524036.195437998</v>
      </c>
    </row>
    <row r="85" spans="1:12" x14ac:dyDescent="0.25">
      <c r="A85" s="9" t="s">
        <v>428</v>
      </c>
      <c r="B85" s="9">
        <v>0</v>
      </c>
      <c r="C85" s="9">
        <v>1</v>
      </c>
      <c r="D85" s="9">
        <v>2</v>
      </c>
      <c r="E85" s="9">
        <v>3</v>
      </c>
      <c r="F85" s="9">
        <v>4</v>
      </c>
      <c r="G85" s="9">
        <v>5</v>
      </c>
      <c r="H85" s="9">
        <v>6</v>
      </c>
      <c r="I85" s="9">
        <v>7</v>
      </c>
      <c r="J85" s="9">
        <v>8</v>
      </c>
      <c r="K85" s="9">
        <v>9</v>
      </c>
      <c r="L85" s="9">
        <v>10</v>
      </c>
    </row>
    <row r="86" spans="1:12" x14ac:dyDescent="0.25">
      <c r="A86">
        <v>1</v>
      </c>
      <c r="B86">
        <f>INDEX(B$11:B$17,MATCH(B63,$A$11:$A$17,0),1)</f>
        <v>0</v>
      </c>
      <c r="C86">
        <f t="shared" ref="C86:L86" si="12">INDEX(C$11:C$17,MATCH(C63,$A$11:$A$17,0),1)</f>
        <v>0</v>
      </c>
      <c r="D86">
        <f t="shared" si="12"/>
        <v>0</v>
      </c>
      <c r="E86">
        <f t="shared" si="12"/>
        <v>0</v>
      </c>
      <c r="F86">
        <f t="shared" si="12"/>
        <v>0</v>
      </c>
      <c r="G86">
        <f t="shared" si="12"/>
        <v>0</v>
      </c>
      <c r="H86">
        <f t="shared" si="12"/>
        <v>0</v>
      </c>
      <c r="I86">
        <f t="shared" si="12"/>
        <v>0</v>
      </c>
      <c r="J86">
        <f t="shared" si="12"/>
        <v>0</v>
      </c>
      <c r="K86">
        <f t="shared" si="12"/>
        <v>0</v>
      </c>
      <c r="L86">
        <f t="shared" si="12"/>
        <v>0</v>
      </c>
    </row>
    <row r="87" spans="1:12" x14ac:dyDescent="0.25">
      <c r="A87">
        <v>2</v>
      </c>
      <c r="B87">
        <f t="shared" ref="B87:L92" si="13">INDEX(B$11:B$17,MATCH(B64,$A$11:$A$17,0),1)</f>
        <v>0</v>
      </c>
      <c r="C87">
        <f t="shared" si="13"/>
        <v>0</v>
      </c>
      <c r="D87">
        <f t="shared" si="13"/>
        <v>0</v>
      </c>
      <c r="E87">
        <f t="shared" si="13"/>
        <v>0</v>
      </c>
      <c r="F87">
        <f t="shared" si="13"/>
        <v>0</v>
      </c>
      <c r="G87">
        <f t="shared" si="13"/>
        <v>0</v>
      </c>
      <c r="H87">
        <f t="shared" si="13"/>
        <v>0</v>
      </c>
      <c r="I87">
        <f t="shared" si="13"/>
        <v>0</v>
      </c>
      <c r="J87">
        <f t="shared" si="13"/>
        <v>0</v>
      </c>
      <c r="K87">
        <f t="shared" si="13"/>
        <v>0</v>
      </c>
      <c r="L87">
        <f t="shared" si="13"/>
        <v>0</v>
      </c>
    </row>
    <row r="88" spans="1:12" x14ac:dyDescent="0.25">
      <c r="A88">
        <v>3</v>
      </c>
      <c r="B88">
        <f t="shared" si="13"/>
        <v>0</v>
      </c>
      <c r="C88">
        <f t="shared" si="13"/>
        <v>0</v>
      </c>
      <c r="D88">
        <f t="shared" si="13"/>
        <v>0</v>
      </c>
      <c r="E88">
        <f t="shared" si="13"/>
        <v>0</v>
      </c>
      <c r="F88">
        <f t="shared" si="13"/>
        <v>0</v>
      </c>
      <c r="G88">
        <f t="shared" si="13"/>
        <v>0</v>
      </c>
      <c r="H88">
        <f t="shared" si="13"/>
        <v>0</v>
      </c>
      <c r="I88">
        <f t="shared" si="13"/>
        <v>0</v>
      </c>
      <c r="J88">
        <f t="shared" si="13"/>
        <v>0</v>
      </c>
      <c r="K88">
        <f t="shared" si="13"/>
        <v>0</v>
      </c>
      <c r="L88">
        <f t="shared" si="13"/>
        <v>0</v>
      </c>
    </row>
    <row r="89" spans="1:12" x14ac:dyDescent="0.25">
      <c r="A89">
        <v>4</v>
      </c>
      <c r="B89">
        <f t="shared" si="13"/>
        <v>0</v>
      </c>
      <c r="C89">
        <f t="shared" si="13"/>
        <v>0</v>
      </c>
      <c r="D89">
        <f t="shared" si="13"/>
        <v>0</v>
      </c>
      <c r="E89">
        <f t="shared" si="13"/>
        <v>0</v>
      </c>
      <c r="F89">
        <f t="shared" si="13"/>
        <v>0</v>
      </c>
      <c r="G89">
        <f t="shared" si="13"/>
        <v>0</v>
      </c>
      <c r="H89">
        <f t="shared" si="13"/>
        <v>0</v>
      </c>
      <c r="I89">
        <f t="shared" si="13"/>
        <v>0</v>
      </c>
      <c r="J89">
        <f t="shared" si="13"/>
        <v>0</v>
      </c>
      <c r="K89">
        <f t="shared" si="13"/>
        <v>0</v>
      </c>
      <c r="L89">
        <f t="shared" si="13"/>
        <v>0</v>
      </c>
    </row>
    <row r="90" spans="1:12" x14ac:dyDescent="0.25">
      <c r="A90">
        <v>5</v>
      </c>
      <c r="B90">
        <f t="shared" si="13"/>
        <v>0</v>
      </c>
      <c r="C90">
        <f t="shared" si="13"/>
        <v>0</v>
      </c>
      <c r="D90">
        <f t="shared" si="13"/>
        <v>0</v>
      </c>
      <c r="E90">
        <f t="shared" si="13"/>
        <v>0</v>
      </c>
      <c r="F90">
        <f t="shared" si="13"/>
        <v>0</v>
      </c>
      <c r="G90">
        <f t="shared" si="13"/>
        <v>0</v>
      </c>
      <c r="H90">
        <f t="shared" si="13"/>
        <v>0</v>
      </c>
      <c r="I90">
        <f t="shared" si="13"/>
        <v>0</v>
      </c>
      <c r="J90">
        <f t="shared" si="13"/>
        <v>0</v>
      </c>
      <c r="K90">
        <f t="shared" si="13"/>
        <v>0</v>
      </c>
      <c r="L90">
        <f t="shared" si="13"/>
        <v>0</v>
      </c>
    </row>
    <row r="91" spans="1:12" x14ac:dyDescent="0.25">
      <c r="A91">
        <v>6</v>
      </c>
      <c r="B91">
        <f t="shared" si="13"/>
        <v>0</v>
      </c>
      <c r="C91">
        <f t="shared" si="13"/>
        <v>0</v>
      </c>
      <c r="D91">
        <f t="shared" si="13"/>
        <v>0</v>
      </c>
      <c r="E91">
        <f t="shared" si="13"/>
        <v>0</v>
      </c>
      <c r="F91">
        <f t="shared" si="13"/>
        <v>0</v>
      </c>
      <c r="G91">
        <f t="shared" si="13"/>
        <v>0</v>
      </c>
      <c r="H91">
        <f t="shared" si="13"/>
        <v>0</v>
      </c>
      <c r="I91">
        <f t="shared" si="13"/>
        <v>0</v>
      </c>
      <c r="J91">
        <f t="shared" si="13"/>
        <v>0</v>
      </c>
      <c r="K91">
        <f t="shared" si="13"/>
        <v>0</v>
      </c>
      <c r="L91">
        <f t="shared" si="13"/>
        <v>0</v>
      </c>
    </row>
    <row r="92" spans="1:12" x14ac:dyDescent="0.25">
      <c r="A92">
        <v>7</v>
      </c>
      <c r="B92">
        <f t="shared" si="13"/>
        <v>0</v>
      </c>
      <c r="C92">
        <f t="shared" si="13"/>
        <v>0</v>
      </c>
      <c r="D92">
        <f t="shared" si="13"/>
        <v>0</v>
      </c>
      <c r="E92">
        <f t="shared" si="13"/>
        <v>0</v>
      </c>
      <c r="F92">
        <f t="shared" si="13"/>
        <v>0</v>
      </c>
      <c r="G92">
        <f t="shared" si="13"/>
        <v>0</v>
      </c>
      <c r="H92">
        <f t="shared" si="13"/>
        <v>0</v>
      </c>
      <c r="I92">
        <f t="shared" si="13"/>
        <v>0</v>
      </c>
      <c r="J92">
        <f t="shared" si="13"/>
        <v>0</v>
      </c>
      <c r="K92">
        <f t="shared" si="13"/>
        <v>0</v>
      </c>
      <c r="L92">
        <f t="shared" si="13"/>
        <v>0</v>
      </c>
    </row>
    <row r="94" spans="1:12" x14ac:dyDescent="0.25">
      <c r="A94" s="9" t="s">
        <v>423</v>
      </c>
      <c r="B94" s="9">
        <v>0</v>
      </c>
      <c r="C94" s="9">
        <v>1</v>
      </c>
      <c r="D94" s="9">
        <v>2</v>
      </c>
      <c r="E94" s="9">
        <v>3</v>
      </c>
      <c r="F94" s="9">
        <v>4</v>
      </c>
      <c r="G94" s="9">
        <v>5</v>
      </c>
      <c r="H94" s="9">
        <v>6</v>
      </c>
      <c r="I94" s="9">
        <v>7</v>
      </c>
      <c r="J94" s="9">
        <v>8</v>
      </c>
      <c r="K94" s="9">
        <v>9</v>
      </c>
      <c r="L94" s="9">
        <v>10</v>
      </c>
    </row>
    <row r="95" spans="1:12" x14ac:dyDescent="0.25">
      <c r="A95">
        <v>1</v>
      </c>
      <c r="B95" s="84">
        <f>INDEX(B$2:B$8,MATCH(B63,$A$2:$A$8,0),1)-INDEX(B$11:B$17,MATCH(B63,$A$11:$A$17,0),1)</f>
        <v>1752000</v>
      </c>
      <c r="C95" s="84">
        <f t="shared" ref="C95:L95" si="14">INDEX(C$2:C$8,MATCH(C63,$A$2:$A$8,0),1)-INDEX(C$11:C$17,MATCH(C63,$A$11:$A$17,0),1)</f>
        <v>1971000</v>
      </c>
      <c r="D95" s="84">
        <f t="shared" si="14"/>
        <v>2835012.4238102059</v>
      </c>
      <c r="E95" s="84">
        <f t="shared" si="14"/>
        <v>5702166.2364167841</v>
      </c>
      <c r="F95" s="84">
        <f t="shared" si="14"/>
        <v>6566622.6515926942</v>
      </c>
      <c r="G95" s="84">
        <f t="shared" si="14"/>
        <v>7350077.1548491297</v>
      </c>
      <c r="H95" s="84">
        <f t="shared" si="14"/>
        <v>7086362.3587442832</v>
      </c>
      <c r="I95" s="84">
        <f t="shared" si="14"/>
        <v>7045179.1793156993</v>
      </c>
      <c r="J95" s="84">
        <f t="shared" si="14"/>
        <v>6959817.9293156993</v>
      </c>
      <c r="K95" s="84">
        <f t="shared" si="14"/>
        <v>6860686.6793156993</v>
      </c>
      <c r="L95" s="84">
        <f t="shared" si="14"/>
        <v>6853355.4293156993</v>
      </c>
    </row>
    <row r="96" spans="1:12" x14ac:dyDescent="0.25">
      <c r="A96">
        <v>2</v>
      </c>
      <c r="B96" s="84">
        <f t="shared" ref="B96:L101" si="15">INDEX(B$2:B$8,MATCH(B64,$A$2:$A$8,0),1)-INDEX(B$11:B$17,MATCH(B64,$A$11:$A$17,0),1)</f>
        <v>451665.6</v>
      </c>
      <c r="C96" s="84">
        <f t="shared" si="15"/>
        <v>451665.6</v>
      </c>
      <c r="D96" s="84">
        <f t="shared" si="15"/>
        <v>617949.80285827105</v>
      </c>
      <c r="E96" s="84">
        <f t="shared" si="15"/>
        <v>1300643.8557482469</v>
      </c>
      <c r="F96" s="84">
        <f t="shared" si="15"/>
        <v>1417784.8254371637</v>
      </c>
      <c r="G96" s="84">
        <f t="shared" si="15"/>
        <v>1417784.8254371637</v>
      </c>
      <c r="H96" s="84">
        <f t="shared" si="15"/>
        <v>1417784.8254371637</v>
      </c>
      <c r="I96" s="84">
        <f t="shared" si="15"/>
        <v>1417784.8254371637</v>
      </c>
      <c r="J96" s="84">
        <f t="shared" si="15"/>
        <v>1417784.8254371637</v>
      </c>
      <c r="K96" s="84">
        <f t="shared" si="15"/>
        <v>1417784.8254371637</v>
      </c>
      <c r="L96" s="84">
        <f t="shared" si="15"/>
        <v>1417784.8254371637</v>
      </c>
    </row>
    <row r="97" spans="1:12" x14ac:dyDescent="0.25">
      <c r="A97">
        <v>3</v>
      </c>
      <c r="B97" s="84">
        <f t="shared" si="15"/>
        <v>765974.39999999991</v>
      </c>
      <c r="C97" s="84">
        <f t="shared" si="15"/>
        <v>765974.39999999991</v>
      </c>
      <c r="D97" s="84">
        <f t="shared" si="15"/>
        <v>1047973.8316898219</v>
      </c>
      <c r="E97" s="84">
        <f t="shared" si="15"/>
        <v>2205746.6785614179</v>
      </c>
      <c r="F97" s="84">
        <f t="shared" si="15"/>
        <v>2404404.6768080993</v>
      </c>
      <c r="G97" s="84">
        <f t="shared" si="15"/>
        <v>2404404.6768080993</v>
      </c>
      <c r="H97" s="84">
        <f t="shared" si="15"/>
        <v>2404404.6768080993</v>
      </c>
      <c r="I97" s="84">
        <f t="shared" si="15"/>
        <v>2404404.6768080993</v>
      </c>
      <c r="J97" s="84">
        <f t="shared" si="15"/>
        <v>2404404.6768080993</v>
      </c>
      <c r="K97" s="84">
        <f t="shared" si="15"/>
        <v>2404404.6768080993</v>
      </c>
      <c r="L97" s="84">
        <f t="shared" si="15"/>
        <v>2404404.6768080993</v>
      </c>
    </row>
    <row r="98" spans="1:12" x14ac:dyDescent="0.25">
      <c r="A98">
        <v>4</v>
      </c>
      <c r="B98" s="84">
        <f t="shared" si="15"/>
        <v>601286.40000000002</v>
      </c>
      <c r="C98" s="84">
        <f t="shared" si="15"/>
        <v>601286.40000000002</v>
      </c>
      <c r="D98" s="84">
        <f t="shared" si="15"/>
        <v>601286.40000000002</v>
      </c>
      <c r="E98" s="84">
        <f t="shared" si="15"/>
        <v>601286.40000000002</v>
      </c>
      <c r="F98" s="84">
        <f t="shared" si="15"/>
        <v>601286.40000000002</v>
      </c>
      <c r="G98" s="84">
        <f t="shared" si="15"/>
        <v>601286.40000000002</v>
      </c>
      <c r="H98" s="84">
        <f t="shared" si="15"/>
        <v>601286.40000000002</v>
      </c>
      <c r="I98" s="84">
        <f t="shared" si="15"/>
        <v>601286.40000000002</v>
      </c>
      <c r="J98" s="84">
        <f t="shared" si="15"/>
        <v>601286.40000000002</v>
      </c>
      <c r="K98" s="84">
        <f t="shared" si="15"/>
        <v>601286.40000000002</v>
      </c>
      <c r="L98" s="84">
        <f t="shared" si="15"/>
        <v>601286.40000000002</v>
      </c>
    </row>
    <row r="99" spans="1:12" x14ac:dyDescent="0.25">
      <c r="A99">
        <v>5</v>
      </c>
      <c r="B99" s="84">
        <f t="shared" si="15"/>
        <v>16363680</v>
      </c>
      <c r="C99" s="84">
        <f t="shared" si="15"/>
        <v>8181840</v>
      </c>
      <c r="D99" s="84">
        <f t="shared" si="15"/>
        <v>8181840</v>
      </c>
      <c r="E99" s="84">
        <f t="shared" si="15"/>
        <v>8181840</v>
      </c>
      <c r="F99" s="84">
        <f t="shared" si="15"/>
        <v>8181840</v>
      </c>
      <c r="G99" s="84">
        <f t="shared" si="15"/>
        <v>8181840</v>
      </c>
      <c r="H99" s="84">
        <f t="shared" si="15"/>
        <v>8181840</v>
      </c>
      <c r="I99" s="84">
        <f t="shared" si="15"/>
        <v>8181840</v>
      </c>
      <c r="J99" s="84">
        <f t="shared" si="15"/>
        <v>8181840</v>
      </c>
      <c r="K99" s="84">
        <f t="shared" si="15"/>
        <v>8181840</v>
      </c>
      <c r="L99" s="84">
        <f t="shared" si="15"/>
        <v>8181840</v>
      </c>
    </row>
    <row r="100" spans="1:12" x14ac:dyDescent="0.25">
      <c r="A100">
        <v>6</v>
      </c>
      <c r="B100" s="84">
        <f t="shared" si="15"/>
        <v>18921600</v>
      </c>
      <c r="C100" s="84">
        <f t="shared" si="15"/>
        <v>18921600</v>
      </c>
      <c r="D100" s="84">
        <f t="shared" si="15"/>
        <v>14191200</v>
      </c>
      <c r="E100" s="84">
        <f t="shared" si="15"/>
        <v>9460800</v>
      </c>
      <c r="F100" s="84">
        <f t="shared" si="15"/>
        <v>9460800</v>
      </c>
      <c r="G100" s="84">
        <f t="shared" si="15"/>
        <v>9460800</v>
      </c>
      <c r="H100" s="84">
        <f t="shared" si="15"/>
        <v>9460800</v>
      </c>
      <c r="I100" s="84">
        <f t="shared" si="15"/>
        <v>9460800</v>
      </c>
      <c r="J100" s="84">
        <f t="shared" si="15"/>
        <v>9460800</v>
      </c>
      <c r="K100" s="84">
        <f t="shared" si="15"/>
        <v>9460800</v>
      </c>
      <c r="L100" s="84">
        <f t="shared" si="15"/>
        <v>9460800</v>
      </c>
    </row>
    <row r="101" spans="1:12" x14ac:dyDescent="0.25">
      <c r="A101">
        <v>7</v>
      </c>
      <c r="B101" s="84">
        <f t="shared" si="15"/>
        <v>38544000</v>
      </c>
      <c r="C101" s="84">
        <f t="shared" si="15"/>
        <v>38544000</v>
      </c>
      <c r="D101" s="84">
        <f t="shared" si="15"/>
        <v>39253513.666191228</v>
      </c>
      <c r="E101" s="84">
        <f t="shared" si="15"/>
        <v>42166482.860058464</v>
      </c>
      <c r="F101" s="84">
        <f t="shared" si="15"/>
        <v>42876484.916751966</v>
      </c>
      <c r="G101" s="84">
        <f t="shared" si="15"/>
        <v>43566899.012754843</v>
      </c>
      <c r="H101" s="84">
        <f t="shared" si="15"/>
        <v>44269907.517523713</v>
      </c>
      <c r="I101" s="84">
        <f t="shared" si="15"/>
        <v>44987011.415844075</v>
      </c>
      <c r="J101" s="84">
        <f t="shared" si="15"/>
        <v>45915222.230888277</v>
      </c>
      <c r="K101" s="84">
        <f t="shared" si="15"/>
        <v>47026090.881074227</v>
      </c>
      <c r="L101" s="84">
        <f t="shared" si="15"/>
        <v>48214535.751762472</v>
      </c>
    </row>
    <row r="103" spans="1:12" x14ac:dyDescent="0.25">
      <c r="A103" s="9" t="s">
        <v>421</v>
      </c>
      <c r="B103" s="9">
        <v>0</v>
      </c>
      <c r="C103" s="9">
        <v>1</v>
      </c>
      <c r="D103" s="9">
        <v>2</v>
      </c>
      <c r="E103" s="9">
        <v>3</v>
      </c>
      <c r="F103" s="9">
        <v>4</v>
      </c>
      <c r="G103" s="9">
        <v>5</v>
      </c>
      <c r="H103" s="9">
        <v>6</v>
      </c>
      <c r="I103" s="9">
        <v>7</v>
      </c>
      <c r="J103" s="9">
        <v>8</v>
      </c>
      <c r="K103" s="9">
        <v>9</v>
      </c>
      <c r="L103" s="9">
        <v>10</v>
      </c>
    </row>
    <row r="104" spans="1:12" x14ac:dyDescent="0.25">
      <c r="A104" t="s">
        <v>121</v>
      </c>
      <c r="B104" s="84">
        <f>B83-SUM(B86:B92)</f>
        <v>57369503.399999999</v>
      </c>
      <c r="C104" s="84">
        <f t="shared" ref="C104:L104" si="16">C83-SUM(C86:C92)</f>
        <v>56637161.920000002</v>
      </c>
      <c r="D104" s="84">
        <f t="shared" si="16"/>
        <v>55161572.624043502</v>
      </c>
      <c r="E104" s="84">
        <f t="shared" si="16"/>
        <v>51596619.959021211</v>
      </c>
      <c r="F104" s="84">
        <f t="shared" si="16"/>
        <v>50232163.543845303</v>
      </c>
      <c r="G104" s="84">
        <f t="shared" si="16"/>
        <v>48885514.365660869</v>
      </c>
      <c r="H104" s="84">
        <f t="shared" si="16"/>
        <v>47527415.724961892</v>
      </c>
      <c r="I104" s="84">
        <f t="shared" si="16"/>
        <v>46798361.195437998</v>
      </c>
      <c r="J104" s="84">
        <f t="shared" si="16"/>
        <v>46398786.195437998</v>
      </c>
      <c r="K104" s="84">
        <f t="shared" si="16"/>
        <v>46015411.195437998</v>
      </c>
      <c r="L104" s="84">
        <f t="shared" si="16"/>
        <v>45524036.195437998</v>
      </c>
    </row>
    <row r="106" spans="1:12" x14ac:dyDescent="0.25">
      <c r="A106" s="9" t="s">
        <v>422</v>
      </c>
      <c r="B106" s="9">
        <v>0</v>
      </c>
      <c r="C106" s="9">
        <v>1</v>
      </c>
      <c r="D106" s="9">
        <v>2</v>
      </c>
      <c r="E106" s="9">
        <v>3</v>
      </c>
      <c r="F106" s="9">
        <v>4</v>
      </c>
      <c r="G106" s="9">
        <v>5</v>
      </c>
      <c r="H106" s="9">
        <v>6</v>
      </c>
      <c r="I106" s="9">
        <v>7</v>
      </c>
      <c r="J106" s="9">
        <v>8</v>
      </c>
      <c r="K106" s="9">
        <v>9</v>
      </c>
      <c r="L106" s="9">
        <v>10</v>
      </c>
    </row>
    <row r="107" spans="1:12" x14ac:dyDescent="0.25">
      <c r="A107">
        <v>1</v>
      </c>
      <c r="B107" s="16">
        <f>IF(IF(SUM(B$95:B95)-B$104&lt;0,B95,B$104-SUM(B94:B$95))&lt;0,0,IF(SUM(B$95:B95)-B$104&lt;0,B95,B$104-SUM(B94:B$95)))</f>
        <v>1752000</v>
      </c>
      <c r="C107" s="16">
        <f>IF(IF(SUM(C$95:C95)-C$104&lt;0,C95,C$104-SUM(C94:C$95))&lt;0,0,IF(SUM(C$95:C95)-C$104&lt;0,C95,C$104-SUM(C94:C$95)))</f>
        <v>1971000</v>
      </c>
      <c r="D107" s="16">
        <f>IF(IF(SUM(D$95:D95)-D$104&lt;0,D95,D$104-SUM(D94:D$95))&lt;0,0,IF(SUM(D$95:D95)-D$104&lt;0,D95,D$104-SUM(D94:D$95)))</f>
        <v>2835012.4238102059</v>
      </c>
      <c r="E107" s="16">
        <f>IF(IF(SUM(E$95:E95)-E$104&lt;0,E95,E$104-SUM(E94:E$95))&lt;0,0,IF(SUM(E$95:E95)-E$104&lt;0,E95,E$104-SUM(E94:E$95)))</f>
        <v>5702166.2364167841</v>
      </c>
      <c r="F107" s="16">
        <f>IF(IF(SUM(F$95:F95)-F$104&lt;0,F95,F$104-SUM(F94:F$95))&lt;0,0,IF(SUM(F$95:F95)-F$104&lt;0,F95,F$104-SUM(F94:F$95)))</f>
        <v>6566622.6515926942</v>
      </c>
      <c r="G107" s="16">
        <f>IF(IF(SUM(G$95:G95)-G$104&lt;0,G95,G$104-SUM(G94:G$95))&lt;0,0,IF(SUM(G$95:G95)-G$104&lt;0,G95,G$104-SUM(G94:G$95)))</f>
        <v>7350077.1548491297</v>
      </c>
      <c r="H107" s="16">
        <f>IF(IF(SUM(H$95:H95)-H$104&lt;0,H95,H$104-SUM(H94:H$95))&lt;0,0,IF(SUM(H$95:H95)-H$104&lt;0,H95,H$104-SUM(H94:H$95)))</f>
        <v>7086362.3587442832</v>
      </c>
      <c r="I107" s="16">
        <f>IF(IF(SUM(I$95:I95)-I$104&lt;0,I95,I$104-SUM(I94:I$95))&lt;0,0,IF(SUM(I$95:I95)-I$104&lt;0,I95,I$104-SUM(I94:I$95)))</f>
        <v>7045179.1793156993</v>
      </c>
      <c r="J107" s="16">
        <f>IF(IF(SUM(J$95:J95)-J$104&lt;0,J95,J$104-SUM(J94:J$95))&lt;0,0,IF(SUM(J$95:J95)-J$104&lt;0,J95,J$104-SUM(J94:J$95)))</f>
        <v>6959817.9293156993</v>
      </c>
      <c r="K107" s="16">
        <f>IF(IF(SUM(K$95:K95)-K$104&lt;0,K95,K$104-SUM(K94:K$95))&lt;0,0,IF(SUM(K$95:K95)-K$104&lt;0,K95,K$104-SUM(K94:K$95)))</f>
        <v>6860686.6793156993</v>
      </c>
      <c r="L107" s="16">
        <f>IF(IF(SUM(L$95:L95)-L$104&lt;0,L95,L$104-SUM(L94:L$95))&lt;0,0,IF(SUM(L$95:L95)-L$104&lt;0,L95,L$104-SUM(L94:L$95)))</f>
        <v>6853355.4293156993</v>
      </c>
    </row>
    <row r="108" spans="1:12" x14ac:dyDescent="0.25">
      <c r="A108">
        <v>2</v>
      </c>
      <c r="B108" s="16">
        <f>IF(IF(SUM(B$95:B96)-B$104&lt;0,B96,B$104-SUM(B$95:B95))&lt;0,0,IF(SUM(B$95:B96)-B$104&lt;0,B96,B$104-SUM(B$95:B95)))</f>
        <v>451665.6</v>
      </c>
      <c r="C108" s="16">
        <f>IF(IF(SUM(C$95:C96)-C$104&lt;0,C96,C$104-SUM(C$95:C95))&lt;0,0,IF(SUM(C$95:C96)-C$104&lt;0,C96,C$104-SUM(C$95:C95)))</f>
        <v>451665.6</v>
      </c>
      <c r="D108" s="16">
        <f>IF(IF(SUM(D$95:D96)-D$104&lt;0,D96,D$104-SUM(D$95:D95))&lt;0,0,IF(SUM(D$95:D96)-D$104&lt;0,D96,D$104-SUM(D$95:D95)))</f>
        <v>617949.80285827105</v>
      </c>
      <c r="E108" s="16">
        <f>IF(IF(SUM(E$95:E96)-E$104&lt;0,E96,E$104-SUM(E$95:E95))&lt;0,0,IF(SUM(E$95:E96)-E$104&lt;0,E96,E$104-SUM(E$95:E95)))</f>
        <v>1300643.8557482469</v>
      </c>
      <c r="F108" s="16">
        <f>IF(IF(SUM(F$95:F96)-F$104&lt;0,F96,F$104-SUM(F$95:F95))&lt;0,0,IF(SUM(F$95:F96)-F$104&lt;0,F96,F$104-SUM(F$95:F95)))</f>
        <v>1417784.8254371637</v>
      </c>
      <c r="G108" s="16">
        <f>IF(IF(SUM(G$95:G96)-G$104&lt;0,G96,G$104-SUM(G$95:G95))&lt;0,0,IF(SUM(G$95:G96)-G$104&lt;0,G96,G$104-SUM(G$95:G95)))</f>
        <v>1417784.8254371637</v>
      </c>
      <c r="H108" s="16">
        <f>IF(IF(SUM(H$95:H96)-H$104&lt;0,H96,H$104-SUM(H$95:H95))&lt;0,0,IF(SUM(H$95:H96)-H$104&lt;0,H96,H$104-SUM(H$95:H95)))</f>
        <v>1417784.8254371637</v>
      </c>
      <c r="I108" s="16">
        <f>IF(IF(SUM(I$95:I96)-I$104&lt;0,I96,I$104-SUM(I$95:I95))&lt;0,0,IF(SUM(I$95:I96)-I$104&lt;0,I96,I$104-SUM(I$95:I95)))</f>
        <v>1417784.8254371637</v>
      </c>
      <c r="J108" s="16">
        <f>IF(IF(SUM(J$95:J96)-J$104&lt;0,J96,J$104-SUM(J$95:J95))&lt;0,0,IF(SUM(J$95:J96)-J$104&lt;0,J96,J$104-SUM(J$95:J95)))</f>
        <v>1417784.8254371637</v>
      </c>
      <c r="K108" s="16">
        <f>IF(IF(SUM(K$95:K96)-K$104&lt;0,K96,K$104-SUM(K$95:K95))&lt;0,0,IF(SUM(K$95:K96)-K$104&lt;0,K96,K$104-SUM(K$95:K95)))</f>
        <v>1417784.8254371637</v>
      </c>
      <c r="L108" s="16">
        <f>IF(IF(SUM(L$95:L96)-L$104&lt;0,L96,L$104-SUM(L$95:L95))&lt;0,0,IF(SUM(L$95:L96)-L$104&lt;0,L96,L$104-SUM(L$95:L95)))</f>
        <v>1417784.8254371637</v>
      </c>
    </row>
    <row r="109" spans="1:12" x14ac:dyDescent="0.25">
      <c r="A109">
        <v>3</v>
      </c>
      <c r="B109" s="16">
        <f>IF(IF(SUM(B$95:B97)-B$104&lt;0,B97,B$104-SUM(B$95:B96))&lt;0,0,IF(SUM(B$95:B97)-B$104&lt;0,B97,B$104-SUM(B$95:B96)))</f>
        <v>765974.39999999991</v>
      </c>
      <c r="C109" s="16">
        <f>IF(IF(SUM(C$95:C97)-C$104&lt;0,C97,C$104-SUM(C$95:C96))&lt;0,0,IF(SUM(C$95:C97)-C$104&lt;0,C97,C$104-SUM(C$95:C96)))</f>
        <v>765974.39999999991</v>
      </c>
      <c r="D109" s="16">
        <f>IF(IF(SUM(D$95:D97)-D$104&lt;0,D97,D$104-SUM(D$95:D96))&lt;0,0,IF(SUM(D$95:D97)-D$104&lt;0,D97,D$104-SUM(D$95:D96)))</f>
        <v>1047973.8316898219</v>
      </c>
      <c r="E109" s="16">
        <f>IF(IF(SUM(E$95:E97)-E$104&lt;0,E97,E$104-SUM(E$95:E96))&lt;0,0,IF(SUM(E$95:E97)-E$104&lt;0,E97,E$104-SUM(E$95:E96)))</f>
        <v>2205746.6785614179</v>
      </c>
      <c r="F109" s="16">
        <f>IF(IF(SUM(F$95:F97)-F$104&lt;0,F97,F$104-SUM(F$95:F96))&lt;0,0,IF(SUM(F$95:F97)-F$104&lt;0,F97,F$104-SUM(F$95:F96)))</f>
        <v>2404404.6768080993</v>
      </c>
      <c r="G109" s="16">
        <f>IF(IF(SUM(G$95:G97)-G$104&lt;0,G97,G$104-SUM(G$95:G96))&lt;0,0,IF(SUM(G$95:G97)-G$104&lt;0,G97,G$104-SUM(G$95:G96)))</f>
        <v>2404404.6768080993</v>
      </c>
      <c r="H109" s="16">
        <f>IF(IF(SUM(H$95:H97)-H$104&lt;0,H97,H$104-SUM(H$95:H96))&lt;0,0,IF(SUM(H$95:H97)-H$104&lt;0,H97,H$104-SUM(H$95:H96)))</f>
        <v>2404404.6768080993</v>
      </c>
      <c r="I109" s="16">
        <f>IF(IF(SUM(I$95:I97)-I$104&lt;0,I97,I$104-SUM(I$95:I96))&lt;0,0,IF(SUM(I$95:I97)-I$104&lt;0,I97,I$104-SUM(I$95:I96)))</f>
        <v>2404404.6768080993</v>
      </c>
      <c r="J109" s="16">
        <f>IF(IF(SUM(J$95:J97)-J$104&lt;0,J97,J$104-SUM(J$95:J96))&lt;0,0,IF(SUM(J$95:J97)-J$104&lt;0,J97,J$104-SUM(J$95:J96)))</f>
        <v>2404404.6768080993</v>
      </c>
      <c r="K109" s="16">
        <f>IF(IF(SUM(K$95:K97)-K$104&lt;0,K97,K$104-SUM(K$95:K96))&lt;0,0,IF(SUM(K$95:K97)-K$104&lt;0,K97,K$104-SUM(K$95:K96)))</f>
        <v>2404404.6768080993</v>
      </c>
      <c r="L109" s="16">
        <f>IF(IF(SUM(L$95:L97)-L$104&lt;0,L97,L$104-SUM(L$95:L96))&lt;0,0,IF(SUM(L$95:L97)-L$104&lt;0,L97,L$104-SUM(L$95:L96)))</f>
        <v>2404404.6768080993</v>
      </c>
    </row>
    <row r="110" spans="1:12" x14ac:dyDescent="0.25">
      <c r="A110">
        <v>4</v>
      </c>
      <c r="B110" s="16">
        <f>IF(IF(SUM(B$95:B98)-B$104&lt;0,B98,B$104-SUM(B$95:B97))&lt;0,0,IF(SUM(B$95:B98)-B$104&lt;0,B98,B$104-SUM(B$95:B97)))</f>
        <v>601286.40000000002</v>
      </c>
      <c r="C110" s="16">
        <f>IF(IF(SUM(C$95:C98)-C$104&lt;0,C98,C$104-SUM(C$95:C97))&lt;0,0,IF(SUM(C$95:C98)-C$104&lt;0,C98,C$104-SUM(C$95:C97)))</f>
        <v>601286.40000000002</v>
      </c>
      <c r="D110" s="16">
        <f>IF(IF(SUM(D$95:D98)-D$104&lt;0,D98,D$104-SUM(D$95:D97))&lt;0,0,IF(SUM(D$95:D98)-D$104&lt;0,D98,D$104-SUM(D$95:D97)))</f>
        <v>601286.40000000002</v>
      </c>
      <c r="E110" s="16">
        <f>IF(IF(SUM(E$95:E98)-E$104&lt;0,E98,E$104-SUM(E$95:E97))&lt;0,0,IF(SUM(E$95:E98)-E$104&lt;0,E98,E$104-SUM(E$95:E97)))</f>
        <v>601286.40000000002</v>
      </c>
      <c r="F110" s="16">
        <f>IF(IF(SUM(F$95:F98)-F$104&lt;0,F98,F$104-SUM(F$95:F97))&lt;0,0,IF(SUM(F$95:F98)-F$104&lt;0,F98,F$104-SUM(F$95:F97)))</f>
        <v>601286.40000000002</v>
      </c>
      <c r="G110" s="16">
        <f>IF(IF(SUM(G$95:G98)-G$104&lt;0,G98,G$104-SUM(G$95:G97))&lt;0,0,IF(SUM(G$95:G98)-G$104&lt;0,G98,G$104-SUM(G$95:G97)))</f>
        <v>601286.40000000002</v>
      </c>
      <c r="H110" s="16">
        <f>IF(IF(SUM(H$95:H98)-H$104&lt;0,H98,H$104-SUM(H$95:H97))&lt;0,0,IF(SUM(H$95:H98)-H$104&lt;0,H98,H$104-SUM(H$95:H97)))</f>
        <v>601286.40000000002</v>
      </c>
      <c r="I110" s="16">
        <f>IF(IF(SUM(I$95:I98)-I$104&lt;0,I98,I$104-SUM(I$95:I97))&lt;0,0,IF(SUM(I$95:I98)-I$104&lt;0,I98,I$104-SUM(I$95:I97)))</f>
        <v>601286.40000000002</v>
      </c>
      <c r="J110" s="16">
        <f>IF(IF(SUM(J$95:J98)-J$104&lt;0,J98,J$104-SUM(J$95:J97))&lt;0,0,IF(SUM(J$95:J98)-J$104&lt;0,J98,J$104-SUM(J$95:J97)))</f>
        <v>601286.40000000002</v>
      </c>
      <c r="K110" s="16">
        <f>IF(IF(SUM(K$95:K98)-K$104&lt;0,K98,K$104-SUM(K$95:K97))&lt;0,0,IF(SUM(K$95:K98)-K$104&lt;0,K98,K$104-SUM(K$95:K97)))</f>
        <v>601286.40000000002</v>
      </c>
      <c r="L110" s="16">
        <f>IF(IF(SUM(L$95:L98)-L$104&lt;0,L98,L$104-SUM(L$95:L97))&lt;0,0,IF(SUM(L$95:L98)-L$104&lt;0,L98,L$104-SUM(L$95:L97)))</f>
        <v>601286.40000000002</v>
      </c>
    </row>
    <row r="111" spans="1:12" x14ac:dyDescent="0.25">
      <c r="A111">
        <v>5</v>
      </c>
      <c r="B111" s="16">
        <f>IF(IF(SUM(B$95:B99)-B$104&lt;0,B99,B$104-SUM(B$95:B98))&lt;0,0,IF(SUM(B$95:B99)-B$104&lt;0,B99,B$104-SUM(B$95:B98)))</f>
        <v>16363680</v>
      </c>
      <c r="C111" s="16">
        <f>IF(IF(SUM(C$95:C99)-C$104&lt;0,C99,C$104-SUM(C$95:C98))&lt;0,0,IF(SUM(C$95:C99)-C$104&lt;0,C99,C$104-SUM(C$95:C98)))</f>
        <v>8181840</v>
      </c>
      <c r="D111" s="16">
        <f>IF(IF(SUM(D$95:D99)-D$104&lt;0,D99,D$104-SUM(D$95:D98))&lt;0,0,IF(SUM(D$95:D99)-D$104&lt;0,D99,D$104-SUM(D$95:D98)))</f>
        <v>8181840</v>
      </c>
      <c r="E111" s="16">
        <f>IF(IF(SUM(E$95:E99)-E$104&lt;0,E99,E$104-SUM(E$95:E98))&lt;0,0,IF(SUM(E$95:E99)-E$104&lt;0,E99,E$104-SUM(E$95:E98)))</f>
        <v>8181840</v>
      </c>
      <c r="F111" s="16">
        <f>IF(IF(SUM(F$95:F99)-F$104&lt;0,F99,F$104-SUM(F$95:F98))&lt;0,0,IF(SUM(F$95:F99)-F$104&lt;0,F99,F$104-SUM(F$95:F98)))</f>
        <v>8181840</v>
      </c>
      <c r="G111" s="16">
        <f>IF(IF(SUM(G$95:G99)-G$104&lt;0,G99,G$104-SUM(G$95:G98))&lt;0,0,IF(SUM(G$95:G99)-G$104&lt;0,G99,G$104-SUM(G$95:G98)))</f>
        <v>8181840</v>
      </c>
      <c r="H111" s="16">
        <f>IF(IF(SUM(H$95:H99)-H$104&lt;0,H99,H$104-SUM(H$95:H98))&lt;0,0,IF(SUM(H$95:H99)-H$104&lt;0,H99,H$104-SUM(H$95:H98)))</f>
        <v>8181840</v>
      </c>
      <c r="I111" s="16">
        <f>IF(IF(SUM(I$95:I99)-I$104&lt;0,I99,I$104-SUM(I$95:I98))&lt;0,0,IF(SUM(I$95:I99)-I$104&lt;0,I99,I$104-SUM(I$95:I98)))</f>
        <v>8181840</v>
      </c>
      <c r="J111" s="16">
        <f>IF(IF(SUM(J$95:J99)-J$104&lt;0,J99,J$104-SUM(J$95:J98))&lt;0,0,IF(SUM(J$95:J99)-J$104&lt;0,J99,J$104-SUM(J$95:J98)))</f>
        <v>8181840</v>
      </c>
      <c r="K111" s="16">
        <f>IF(IF(SUM(K$95:K99)-K$104&lt;0,K99,K$104-SUM(K$95:K98))&lt;0,0,IF(SUM(K$95:K99)-K$104&lt;0,K99,K$104-SUM(K$95:K98)))</f>
        <v>8181840</v>
      </c>
      <c r="L111" s="16">
        <f>IF(IF(SUM(L$95:L99)-L$104&lt;0,L99,L$104-SUM(L$95:L98))&lt;0,0,IF(SUM(L$95:L99)-L$104&lt;0,L99,L$104-SUM(L$95:L98)))</f>
        <v>8181840</v>
      </c>
    </row>
    <row r="112" spans="1:12" x14ac:dyDescent="0.25">
      <c r="A112">
        <v>6</v>
      </c>
      <c r="B112" s="16">
        <f>IF(IF(SUM(B$95:B100)-B$104&lt;0,B100,B$104-SUM(B$95:B99))&lt;0,0,IF(SUM(B$95:B100)-B$104&lt;0,B100,B$104-SUM(B$95:B99)))</f>
        <v>18921600</v>
      </c>
      <c r="C112" s="16">
        <f>IF(IF(SUM(C$95:C100)-C$104&lt;0,C100,C$104-SUM(C$95:C99))&lt;0,0,IF(SUM(C$95:C100)-C$104&lt;0,C100,C$104-SUM(C$95:C99)))</f>
        <v>18921600</v>
      </c>
      <c r="D112" s="16">
        <f>IF(IF(SUM(D$95:D100)-D$104&lt;0,D100,D$104-SUM(D$95:D99))&lt;0,0,IF(SUM(D$95:D100)-D$104&lt;0,D100,D$104-SUM(D$95:D99)))</f>
        <v>14191200</v>
      </c>
      <c r="E112" s="16">
        <f>IF(IF(SUM(E$95:E100)-E$104&lt;0,E100,E$104-SUM(E$95:E99))&lt;0,0,IF(SUM(E$95:E100)-E$104&lt;0,E100,E$104-SUM(E$95:E99)))</f>
        <v>9460800</v>
      </c>
      <c r="F112" s="16">
        <f>IF(IF(SUM(F$95:F100)-F$104&lt;0,F100,F$104-SUM(F$95:F99))&lt;0,0,IF(SUM(F$95:F100)-F$104&lt;0,F100,F$104-SUM(F$95:F99)))</f>
        <v>9460800</v>
      </c>
      <c r="G112" s="16">
        <f>IF(IF(SUM(G$95:G100)-G$104&lt;0,G100,G$104-SUM(G$95:G99))&lt;0,0,IF(SUM(G$95:G100)-G$104&lt;0,G100,G$104-SUM(G$95:G99)))</f>
        <v>9460800</v>
      </c>
      <c r="H112" s="16">
        <f>IF(IF(SUM(H$95:H100)-H$104&lt;0,H100,H$104-SUM(H$95:H99))&lt;0,0,IF(SUM(H$95:H100)-H$104&lt;0,H100,H$104-SUM(H$95:H99)))</f>
        <v>9460800</v>
      </c>
      <c r="I112" s="16">
        <f>IF(IF(SUM(I$95:I100)-I$104&lt;0,I100,I$104-SUM(I$95:I99))&lt;0,0,IF(SUM(I$95:I100)-I$104&lt;0,I100,I$104-SUM(I$95:I99)))</f>
        <v>9460800</v>
      </c>
      <c r="J112" s="16">
        <f>IF(IF(SUM(J$95:J100)-J$104&lt;0,J100,J$104-SUM(J$95:J99))&lt;0,0,IF(SUM(J$95:J100)-J$104&lt;0,J100,J$104-SUM(J$95:J99)))</f>
        <v>9460800</v>
      </c>
      <c r="K112" s="16">
        <f>IF(IF(SUM(K$95:K100)-K$104&lt;0,K100,K$104-SUM(K$95:K99))&lt;0,0,IF(SUM(K$95:K100)-K$104&lt;0,K100,K$104-SUM(K$95:K99)))</f>
        <v>9460800</v>
      </c>
      <c r="L112" s="16">
        <f>IF(IF(SUM(L$95:L100)-L$104&lt;0,L100,L$104-SUM(L$95:L99))&lt;0,0,IF(SUM(L$95:L100)-L$104&lt;0,L100,L$104-SUM(L$95:L99)))</f>
        <v>9460800</v>
      </c>
    </row>
    <row r="113" spans="1:12" x14ac:dyDescent="0.25">
      <c r="A113">
        <v>7</v>
      </c>
      <c r="B113" s="16">
        <f>IF(IF(SUM(B$95:B101)-B$104&lt;0,B101,B$104-SUM(B$95:B100))&lt;0,0,IF(SUM(B$95:B101)-B$104&lt;0,B101,B$104-SUM(B$95:B100)))</f>
        <v>18513297</v>
      </c>
      <c r="C113" s="16">
        <f>IF(IF(SUM(C$95:C101)-C$104&lt;0,C101,C$104-SUM(C$95:C100))&lt;0,0,IF(SUM(C$95:C101)-C$104&lt;0,C101,C$104-SUM(C$95:C100)))</f>
        <v>25743795.520000003</v>
      </c>
      <c r="D113" s="16">
        <f>IF(IF(SUM(D$95:D101)-D$104&lt;0,D101,D$104-SUM(D$95:D100))&lt;0,0,IF(SUM(D$95:D101)-D$104&lt;0,D101,D$104-SUM(D$95:D100)))</f>
        <v>27686310.165685203</v>
      </c>
      <c r="E113" s="16">
        <f>IF(IF(SUM(E$95:E101)-E$104&lt;0,E101,E$104-SUM(E$95:E100))&lt;0,0,IF(SUM(E$95:E101)-E$104&lt;0,E101,E$104-SUM(E$95:E100)))</f>
        <v>24144136.788294762</v>
      </c>
      <c r="F113" s="16">
        <f>IF(IF(SUM(F$95:F101)-F$104&lt;0,F101,F$104-SUM(F$95:F100))&lt;0,0,IF(SUM(F$95:F101)-F$104&lt;0,F101,F$104-SUM(F$95:F100)))</f>
        <v>21599424.990007348</v>
      </c>
      <c r="G113" s="16">
        <f>IF(IF(SUM(G$95:G101)-G$104&lt;0,G101,G$104-SUM(G$95:G100))&lt;0,0,IF(SUM(G$95:G101)-G$104&lt;0,G101,G$104-SUM(G$95:G100)))</f>
        <v>19469321.308566473</v>
      </c>
      <c r="H113" s="16">
        <f>IF(IF(SUM(H$95:H101)-H$104&lt;0,H101,H$104-SUM(H$95:H100))&lt;0,0,IF(SUM(H$95:H101)-H$104&lt;0,H101,H$104-SUM(H$95:H100)))</f>
        <v>18374937.463972345</v>
      </c>
      <c r="I113" s="16">
        <f>IF(IF(SUM(I$95:I101)-I$104&lt;0,I101,I$104-SUM(I$95:I100))&lt;0,0,IF(SUM(I$95:I101)-I$104&lt;0,I101,I$104-SUM(I$95:I100)))</f>
        <v>17687066.113877036</v>
      </c>
      <c r="J113" s="16">
        <f>IF(IF(SUM(J$95:J101)-J$104&lt;0,J101,J$104-SUM(J$95:J100))&lt;0,0,IF(SUM(J$95:J101)-J$104&lt;0,J101,J$104-SUM(J$95:J100)))</f>
        <v>17372852.363877036</v>
      </c>
      <c r="K113" s="16">
        <f>IF(IF(SUM(K$95:K101)-K$104&lt;0,K101,K$104-SUM(K$95:K100))&lt;0,0,IF(SUM(K$95:K101)-K$104&lt;0,K101,K$104-SUM(K$95:K100)))</f>
        <v>17088608.613877036</v>
      </c>
      <c r="L113" s="16">
        <f>IF(IF(SUM(L$95:L101)-L$104&lt;0,L101,L$104-SUM(L$95:L100))&lt;0,0,IF(SUM(L$95:L101)-L$104&lt;0,L101,L$104-SUM(L$95:L100)))</f>
        <v>16604564.863877036</v>
      </c>
    </row>
    <row r="115" spans="1:12" x14ac:dyDescent="0.25">
      <c r="A115" s="9" t="s">
        <v>424</v>
      </c>
      <c r="B115" s="9">
        <v>0</v>
      </c>
      <c r="C115" s="9">
        <v>1</v>
      </c>
      <c r="D115" s="9">
        <v>2</v>
      </c>
      <c r="E115" s="9">
        <v>3</v>
      </c>
      <c r="F115" s="9">
        <v>4</v>
      </c>
      <c r="G115" s="9">
        <v>5</v>
      </c>
      <c r="H115" s="9">
        <v>6</v>
      </c>
      <c r="I115" s="9">
        <v>7</v>
      </c>
      <c r="J115" s="9">
        <v>8</v>
      </c>
      <c r="K115" s="9">
        <v>9</v>
      </c>
      <c r="L115" s="9">
        <v>10</v>
      </c>
    </row>
    <row r="116" spans="1:12" x14ac:dyDescent="0.25">
      <c r="A116">
        <v>1</v>
      </c>
      <c r="B116" s="16">
        <f>SUM(B107,B86)</f>
        <v>1752000</v>
      </c>
      <c r="C116" s="16">
        <f t="shared" ref="C116:L116" si="17">SUM(C107,C86)</f>
        <v>1971000</v>
      </c>
      <c r="D116" s="16">
        <f t="shared" si="17"/>
        <v>2835012.4238102059</v>
      </c>
      <c r="E116" s="16">
        <f t="shared" si="17"/>
        <v>5702166.2364167841</v>
      </c>
      <c r="F116" s="16">
        <f t="shared" si="17"/>
        <v>6566622.6515926942</v>
      </c>
      <c r="G116" s="16">
        <f t="shared" si="17"/>
        <v>7350077.1548491297</v>
      </c>
      <c r="H116" s="16">
        <f t="shared" si="17"/>
        <v>7086362.3587442832</v>
      </c>
      <c r="I116" s="16">
        <f t="shared" si="17"/>
        <v>7045179.1793156993</v>
      </c>
      <c r="J116" s="16">
        <f t="shared" si="17"/>
        <v>6959817.9293156993</v>
      </c>
      <c r="K116" s="16">
        <f t="shared" si="17"/>
        <v>6860686.6793156993</v>
      </c>
      <c r="L116" s="16">
        <f t="shared" si="17"/>
        <v>6853355.4293156993</v>
      </c>
    </row>
    <row r="117" spans="1:12" x14ac:dyDescent="0.25">
      <c r="A117">
        <v>2</v>
      </c>
      <c r="B117" s="16">
        <f t="shared" ref="B117:L122" si="18">SUM(B108,B87)</f>
        <v>451665.6</v>
      </c>
      <c r="C117" s="16">
        <f t="shared" si="18"/>
        <v>451665.6</v>
      </c>
      <c r="D117" s="16">
        <f t="shared" si="18"/>
        <v>617949.80285827105</v>
      </c>
      <c r="E117" s="16">
        <f t="shared" si="18"/>
        <v>1300643.8557482469</v>
      </c>
      <c r="F117" s="16">
        <f t="shared" si="18"/>
        <v>1417784.8254371637</v>
      </c>
      <c r="G117" s="16">
        <f t="shared" si="18"/>
        <v>1417784.8254371637</v>
      </c>
      <c r="H117" s="16">
        <f t="shared" si="18"/>
        <v>1417784.8254371637</v>
      </c>
      <c r="I117" s="16">
        <f t="shared" si="18"/>
        <v>1417784.8254371637</v>
      </c>
      <c r="J117" s="16">
        <f t="shared" si="18"/>
        <v>1417784.8254371637</v>
      </c>
      <c r="K117" s="16">
        <f t="shared" si="18"/>
        <v>1417784.8254371637</v>
      </c>
      <c r="L117" s="16">
        <f t="shared" si="18"/>
        <v>1417784.8254371637</v>
      </c>
    </row>
    <row r="118" spans="1:12" x14ac:dyDescent="0.25">
      <c r="A118">
        <v>3</v>
      </c>
      <c r="B118" s="16">
        <f t="shared" si="18"/>
        <v>765974.39999999991</v>
      </c>
      <c r="C118" s="16">
        <f t="shared" si="18"/>
        <v>765974.39999999991</v>
      </c>
      <c r="D118" s="16">
        <f t="shared" si="18"/>
        <v>1047973.8316898219</v>
      </c>
      <c r="E118" s="16">
        <f t="shared" si="18"/>
        <v>2205746.6785614179</v>
      </c>
      <c r="F118" s="16">
        <f t="shared" si="18"/>
        <v>2404404.6768080993</v>
      </c>
      <c r="G118" s="16">
        <f t="shared" si="18"/>
        <v>2404404.6768080993</v>
      </c>
      <c r="H118" s="16">
        <f t="shared" si="18"/>
        <v>2404404.6768080993</v>
      </c>
      <c r="I118" s="16">
        <f t="shared" si="18"/>
        <v>2404404.6768080993</v>
      </c>
      <c r="J118" s="16">
        <f t="shared" si="18"/>
        <v>2404404.6768080993</v>
      </c>
      <c r="K118" s="16">
        <f t="shared" si="18"/>
        <v>2404404.6768080993</v>
      </c>
      <c r="L118" s="16">
        <f t="shared" si="18"/>
        <v>2404404.6768080993</v>
      </c>
    </row>
    <row r="119" spans="1:12" x14ac:dyDescent="0.25">
      <c r="A119">
        <v>4</v>
      </c>
      <c r="B119" s="16">
        <f t="shared" si="18"/>
        <v>601286.40000000002</v>
      </c>
      <c r="C119" s="16">
        <f t="shared" si="18"/>
        <v>601286.40000000002</v>
      </c>
      <c r="D119" s="16">
        <f t="shared" si="18"/>
        <v>601286.40000000002</v>
      </c>
      <c r="E119" s="16">
        <f t="shared" si="18"/>
        <v>601286.40000000002</v>
      </c>
      <c r="F119" s="16">
        <f t="shared" si="18"/>
        <v>601286.40000000002</v>
      </c>
      <c r="G119" s="16">
        <f t="shared" si="18"/>
        <v>601286.40000000002</v>
      </c>
      <c r="H119" s="16">
        <f t="shared" si="18"/>
        <v>601286.40000000002</v>
      </c>
      <c r="I119" s="16">
        <f t="shared" si="18"/>
        <v>601286.40000000002</v>
      </c>
      <c r="J119" s="16">
        <f t="shared" si="18"/>
        <v>601286.40000000002</v>
      </c>
      <c r="K119" s="16">
        <f t="shared" si="18"/>
        <v>601286.40000000002</v>
      </c>
      <c r="L119" s="16">
        <f t="shared" si="18"/>
        <v>601286.40000000002</v>
      </c>
    </row>
    <row r="120" spans="1:12" x14ac:dyDescent="0.25">
      <c r="A120">
        <v>5</v>
      </c>
      <c r="B120" s="16">
        <f t="shared" si="18"/>
        <v>16363680</v>
      </c>
      <c r="C120" s="16">
        <f t="shared" si="18"/>
        <v>8181840</v>
      </c>
      <c r="D120" s="16">
        <f t="shared" si="18"/>
        <v>8181840</v>
      </c>
      <c r="E120" s="16">
        <f t="shared" si="18"/>
        <v>8181840</v>
      </c>
      <c r="F120" s="16">
        <f t="shared" si="18"/>
        <v>8181840</v>
      </c>
      <c r="G120" s="16">
        <f t="shared" si="18"/>
        <v>8181840</v>
      </c>
      <c r="H120" s="16">
        <f t="shared" si="18"/>
        <v>8181840</v>
      </c>
      <c r="I120" s="16">
        <f t="shared" si="18"/>
        <v>8181840</v>
      </c>
      <c r="J120" s="16">
        <f t="shared" si="18"/>
        <v>8181840</v>
      </c>
      <c r="K120" s="16">
        <f t="shared" si="18"/>
        <v>8181840</v>
      </c>
      <c r="L120" s="16">
        <f t="shared" si="18"/>
        <v>8181840</v>
      </c>
    </row>
    <row r="121" spans="1:12" x14ac:dyDescent="0.25">
      <c r="A121">
        <v>6</v>
      </c>
      <c r="B121" s="16">
        <f t="shared" si="18"/>
        <v>18921600</v>
      </c>
      <c r="C121" s="16">
        <f t="shared" si="18"/>
        <v>18921600</v>
      </c>
      <c r="D121" s="16">
        <f t="shared" si="18"/>
        <v>14191200</v>
      </c>
      <c r="E121" s="16">
        <f t="shared" si="18"/>
        <v>9460800</v>
      </c>
      <c r="F121" s="16">
        <f t="shared" si="18"/>
        <v>9460800</v>
      </c>
      <c r="G121" s="16">
        <f t="shared" si="18"/>
        <v>9460800</v>
      </c>
      <c r="H121" s="16">
        <f t="shared" si="18"/>
        <v>9460800</v>
      </c>
      <c r="I121" s="16">
        <f t="shared" si="18"/>
        <v>9460800</v>
      </c>
      <c r="J121" s="16">
        <f t="shared" si="18"/>
        <v>9460800</v>
      </c>
      <c r="K121" s="16">
        <f t="shared" si="18"/>
        <v>9460800</v>
      </c>
      <c r="L121" s="16">
        <f t="shared" si="18"/>
        <v>9460800</v>
      </c>
    </row>
    <row r="122" spans="1:12" x14ac:dyDescent="0.25">
      <c r="A122">
        <v>7</v>
      </c>
      <c r="B122" s="16">
        <f t="shared" si="18"/>
        <v>18513297</v>
      </c>
      <c r="C122" s="16">
        <f t="shared" si="18"/>
        <v>25743795.520000003</v>
      </c>
      <c r="D122" s="16">
        <f t="shared" si="18"/>
        <v>27686310.165685203</v>
      </c>
      <c r="E122" s="16">
        <f t="shared" si="18"/>
        <v>24144136.788294762</v>
      </c>
      <c r="F122" s="16">
        <f t="shared" si="18"/>
        <v>21599424.990007348</v>
      </c>
      <c r="G122" s="16">
        <f t="shared" si="18"/>
        <v>19469321.308566473</v>
      </c>
      <c r="H122" s="16">
        <f t="shared" si="18"/>
        <v>18374937.463972345</v>
      </c>
      <c r="I122" s="16">
        <f t="shared" si="18"/>
        <v>17687066.113877036</v>
      </c>
      <c r="J122" s="16">
        <f t="shared" si="18"/>
        <v>17372852.363877036</v>
      </c>
      <c r="K122" s="16">
        <f t="shared" si="18"/>
        <v>17088608.613877036</v>
      </c>
      <c r="L122" s="16">
        <f t="shared" si="18"/>
        <v>16604564.863877036</v>
      </c>
    </row>
    <row r="124" spans="1:12" x14ac:dyDescent="0.25">
      <c r="A124" s="9" t="s">
        <v>122</v>
      </c>
      <c r="B124" s="9">
        <v>0</v>
      </c>
      <c r="C124" s="9">
        <v>1</v>
      </c>
      <c r="D124" s="9">
        <v>2</v>
      </c>
      <c r="E124" s="9">
        <v>3</v>
      </c>
      <c r="F124" s="9">
        <v>4</v>
      </c>
      <c r="G124" s="9">
        <v>5</v>
      </c>
      <c r="H124" s="9">
        <v>6</v>
      </c>
      <c r="I124" s="9">
        <v>7</v>
      </c>
      <c r="J124" s="9">
        <v>8</v>
      </c>
      <c r="K124" s="9">
        <v>9</v>
      </c>
      <c r="L124" s="9">
        <v>10</v>
      </c>
    </row>
    <row r="125" spans="1:12" x14ac:dyDescent="0.25">
      <c r="A125" t="s">
        <v>7</v>
      </c>
      <c r="B125">
        <f>INDEX(B$116:B$122,MATCH($A125,B$63:B$69,0),1)</f>
        <v>18921600</v>
      </c>
      <c r="C125">
        <f t="shared" ref="C125:L125" si="19">INDEX(C$116:C$122,MATCH($A125,C$63:C$69,0),1)</f>
        <v>18921600</v>
      </c>
      <c r="D125">
        <f t="shared" si="19"/>
        <v>14191200</v>
      </c>
      <c r="E125">
        <f t="shared" si="19"/>
        <v>9460800</v>
      </c>
      <c r="F125">
        <f t="shared" si="19"/>
        <v>9460800</v>
      </c>
      <c r="G125">
        <f t="shared" si="19"/>
        <v>9460800</v>
      </c>
      <c r="H125">
        <f t="shared" si="19"/>
        <v>9460800</v>
      </c>
      <c r="I125">
        <f t="shared" si="19"/>
        <v>9460800</v>
      </c>
      <c r="J125">
        <f t="shared" si="19"/>
        <v>9460800</v>
      </c>
      <c r="K125">
        <f t="shared" si="19"/>
        <v>9460800</v>
      </c>
      <c r="L125">
        <f t="shared" si="19"/>
        <v>9460800</v>
      </c>
    </row>
    <row r="126" spans="1:12" x14ac:dyDescent="0.25">
      <c r="A126" t="s">
        <v>8</v>
      </c>
      <c r="B126">
        <f t="shared" ref="B126:L131" si="20">INDEX(B$116:B$122,MATCH($A126,B$63:B$69,0),1)</f>
        <v>18513297</v>
      </c>
      <c r="C126">
        <f t="shared" si="20"/>
        <v>25743795.520000003</v>
      </c>
      <c r="D126">
        <f t="shared" si="20"/>
        <v>27686310.165685203</v>
      </c>
      <c r="E126">
        <f t="shared" si="20"/>
        <v>24144136.788294762</v>
      </c>
      <c r="F126">
        <f t="shared" si="20"/>
        <v>21599424.990007348</v>
      </c>
      <c r="G126">
        <f t="shared" si="20"/>
        <v>19469321.308566473</v>
      </c>
      <c r="H126">
        <f t="shared" si="20"/>
        <v>18374937.463972345</v>
      </c>
      <c r="I126">
        <f t="shared" si="20"/>
        <v>17687066.113877036</v>
      </c>
      <c r="J126">
        <f t="shared" si="20"/>
        <v>17372852.363877036</v>
      </c>
      <c r="K126">
        <f t="shared" si="20"/>
        <v>17088608.613877036</v>
      </c>
      <c r="L126">
        <f t="shared" si="20"/>
        <v>16604564.863877036</v>
      </c>
    </row>
    <row r="127" spans="1:12" x14ac:dyDescent="0.25">
      <c r="A127" t="s">
        <v>13</v>
      </c>
      <c r="B127">
        <f t="shared" si="20"/>
        <v>16363680</v>
      </c>
      <c r="C127">
        <f t="shared" si="20"/>
        <v>8181840</v>
      </c>
      <c r="D127">
        <f t="shared" si="20"/>
        <v>8181840</v>
      </c>
      <c r="E127">
        <f t="shared" si="20"/>
        <v>8181840</v>
      </c>
      <c r="F127">
        <f t="shared" si="20"/>
        <v>8181840</v>
      </c>
      <c r="G127">
        <f t="shared" si="20"/>
        <v>8181840</v>
      </c>
      <c r="H127">
        <f t="shared" si="20"/>
        <v>8181840</v>
      </c>
      <c r="I127">
        <f t="shared" si="20"/>
        <v>8181840</v>
      </c>
      <c r="J127">
        <f t="shared" si="20"/>
        <v>8181840</v>
      </c>
      <c r="K127">
        <f t="shared" si="20"/>
        <v>8181840</v>
      </c>
      <c r="L127">
        <f t="shared" si="20"/>
        <v>8181840</v>
      </c>
    </row>
    <row r="128" spans="1:12" x14ac:dyDescent="0.25">
      <c r="A128" t="s">
        <v>9</v>
      </c>
      <c r="B128">
        <f t="shared" si="20"/>
        <v>451665.6</v>
      </c>
      <c r="C128">
        <f t="shared" si="20"/>
        <v>451665.6</v>
      </c>
      <c r="D128">
        <f t="shared" si="20"/>
        <v>617949.80285827105</v>
      </c>
      <c r="E128">
        <f t="shared" si="20"/>
        <v>1300643.8557482469</v>
      </c>
      <c r="F128">
        <f t="shared" si="20"/>
        <v>1417784.8254371637</v>
      </c>
      <c r="G128">
        <f t="shared" si="20"/>
        <v>1417784.8254371637</v>
      </c>
      <c r="H128">
        <f t="shared" si="20"/>
        <v>1417784.8254371637</v>
      </c>
      <c r="I128">
        <f t="shared" si="20"/>
        <v>1417784.8254371637</v>
      </c>
      <c r="J128">
        <f t="shared" si="20"/>
        <v>1417784.8254371637</v>
      </c>
      <c r="K128">
        <f t="shared" si="20"/>
        <v>1417784.8254371637</v>
      </c>
      <c r="L128">
        <f t="shared" si="20"/>
        <v>1417784.8254371637</v>
      </c>
    </row>
    <row r="129" spans="1:12" x14ac:dyDescent="0.25">
      <c r="A129" t="s">
        <v>10</v>
      </c>
      <c r="B129">
        <f t="shared" si="20"/>
        <v>765974.39999999991</v>
      </c>
      <c r="C129">
        <f t="shared" si="20"/>
        <v>765974.39999999991</v>
      </c>
      <c r="D129">
        <f t="shared" si="20"/>
        <v>1047973.8316898219</v>
      </c>
      <c r="E129">
        <f t="shared" si="20"/>
        <v>2205746.6785614179</v>
      </c>
      <c r="F129">
        <f t="shared" si="20"/>
        <v>2404404.6768080993</v>
      </c>
      <c r="G129">
        <f t="shared" si="20"/>
        <v>2404404.6768080993</v>
      </c>
      <c r="H129">
        <f t="shared" si="20"/>
        <v>2404404.6768080993</v>
      </c>
      <c r="I129">
        <f t="shared" si="20"/>
        <v>2404404.6768080993</v>
      </c>
      <c r="J129">
        <f t="shared" si="20"/>
        <v>2404404.6768080993</v>
      </c>
      <c r="K129">
        <f t="shared" si="20"/>
        <v>2404404.6768080993</v>
      </c>
      <c r="L129">
        <f t="shared" si="20"/>
        <v>2404404.6768080993</v>
      </c>
    </row>
    <row r="130" spans="1:12" x14ac:dyDescent="0.25">
      <c r="A130" t="s">
        <v>11</v>
      </c>
      <c r="B130">
        <f t="shared" si="20"/>
        <v>601286.40000000002</v>
      </c>
      <c r="C130">
        <f t="shared" si="20"/>
        <v>601286.40000000002</v>
      </c>
      <c r="D130">
        <f t="shared" si="20"/>
        <v>601286.40000000002</v>
      </c>
      <c r="E130">
        <f t="shared" si="20"/>
        <v>601286.40000000002</v>
      </c>
      <c r="F130">
        <f t="shared" si="20"/>
        <v>601286.40000000002</v>
      </c>
      <c r="G130">
        <f t="shared" si="20"/>
        <v>601286.40000000002</v>
      </c>
      <c r="H130">
        <f t="shared" si="20"/>
        <v>601286.40000000002</v>
      </c>
      <c r="I130">
        <f t="shared" si="20"/>
        <v>601286.40000000002</v>
      </c>
      <c r="J130">
        <f t="shared" si="20"/>
        <v>601286.40000000002</v>
      </c>
      <c r="K130">
        <f t="shared" si="20"/>
        <v>601286.40000000002</v>
      </c>
      <c r="L130">
        <f t="shared" si="20"/>
        <v>601286.40000000002</v>
      </c>
    </row>
    <row r="131" spans="1:12" x14ac:dyDescent="0.25">
      <c r="A131" t="s">
        <v>12</v>
      </c>
      <c r="B131">
        <f t="shared" si="20"/>
        <v>1752000</v>
      </c>
      <c r="C131">
        <f t="shared" si="20"/>
        <v>1971000</v>
      </c>
      <c r="D131">
        <f t="shared" si="20"/>
        <v>2835012.4238102059</v>
      </c>
      <c r="E131">
        <f t="shared" si="20"/>
        <v>5702166.2364167841</v>
      </c>
      <c r="F131">
        <f t="shared" si="20"/>
        <v>6566622.6515926942</v>
      </c>
      <c r="G131">
        <f t="shared" si="20"/>
        <v>7350077.1548491297</v>
      </c>
      <c r="H131">
        <f t="shared" si="20"/>
        <v>7086362.3587442832</v>
      </c>
      <c r="I131">
        <f t="shared" si="20"/>
        <v>7045179.1793156993</v>
      </c>
      <c r="J131">
        <f t="shared" si="20"/>
        <v>6959817.9293156993</v>
      </c>
      <c r="K131">
        <f t="shared" si="20"/>
        <v>6860686.6793156993</v>
      </c>
      <c r="L131">
        <f t="shared" si="20"/>
        <v>6853355.4293156993</v>
      </c>
    </row>
    <row r="133" spans="1:12" x14ac:dyDescent="0.25">
      <c r="A133" s="9" t="s">
        <v>123</v>
      </c>
      <c r="B133" s="9">
        <v>0</v>
      </c>
      <c r="C133" s="9">
        <v>1</v>
      </c>
      <c r="D133" s="9">
        <v>2</v>
      </c>
      <c r="E133" s="9">
        <v>3</v>
      </c>
      <c r="F133" s="9">
        <v>4</v>
      </c>
      <c r="G133" s="9">
        <v>5</v>
      </c>
      <c r="H133" s="9">
        <v>6</v>
      </c>
      <c r="I133" s="9">
        <v>7</v>
      </c>
      <c r="J133" s="9">
        <v>8</v>
      </c>
      <c r="K133" s="9">
        <v>9</v>
      </c>
      <c r="L133" s="9">
        <v>10</v>
      </c>
    </row>
    <row r="134" spans="1:12" x14ac:dyDescent="0.25">
      <c r="A134" t="s">
        <v>7</v>
      </c>
      <c r="B134" s="33">
        <f>B125*'Game Assumptions'!$B54</f>
        <v>160265952</v>
      </c>
      <c r="C134" s="33">
        <f>C125*'Game Assumptions'!$B54</f>
        <v>160265952</v>
      </c>
      <c r="D134" s="33">
        <f>D125*'Game Assumptions'!$B54</f>
        <v>120199464.00000001</v>
      </c>
      <c r="E134" s="33">
        <f>E125*'Game Assumptions'!$B54</f>
        <v>80132976</v>
      </c>
      <c r="F134" s="33">
        <f>F125*'Game Assumptions'!$B54</f>
        <v>80132976</v>
      </c>
      <c r="G134" s="33">
        <f>G125*'Game Assumptions'!$B54</f>
        <v>80132976</v>
      </c>
      <c r="H134" s="33">
        <f>H125*'Game Assumptions'!$B54</f>
        <v>80132976</v>
      </c>
      <c r="I134" s="33">
        <f>I125*'Game Assumptions'!$B54</f>
        <v>80132976</v>
      </c>
      <c r="J134" s="33">
        <f>J125*'Game Assumptions'!$B54</f>
        <v>80132976</v>
      </c>
      <c r="K134" s="33">
        <f>K125*'Game Assumptions'!$B54</f>
        <v>80132976</v>
      </c>
      <c r="L134" s="33">
        <f>L125*'Game Assumptions'!$B54</f>
        <v>80132976</v>
      </c>
    </row>
    <row r="135" spans="1:12" x14ac:dyDescent="0.25">
      <c r="A135" t="s">
        <v>8</v>
      </c>
      <c r="B135" s="33">
        <f>B126*'Game Assumptions'!$B55</f>
        <v>117744568.92</v>
      </c>
      <c r="C135" s="33">
        <f>C126*'Game Assumptions'!$B55</f>
        <v>163730539.50720003</v>
      </c>
      <c r="D135" s="33">
        <f>D126*'Game Assumptions'!$B55</f>
        <v>176084932.6537579</v>
      </c>
      <c r="E135" s="33">
        <f>E126*'Game Assumptions'!$B55</f>
        <v>153556709.9735547</v>
      </c>
      <c r="F135" s="33">
        <f>F126*'Game Assumptions'!$B55</f>
        <v>137372342.93644676</v>
      </c>
      <c r="G135" s="33">
        <f>G126*'Game Assumptions'!$B55</f>
        <v>123824883.52248278</v>
      </c>
      <c r="H135" s="33">
        <f>H126*'Game Assumptions'!$B55</f>
        <v>116864602.27086411</v>
      </c>
      <c r="I135" s="33">
        <f>I126*'Game Assumptions'!$B55</f>
        <v>112489740.48425795</v>
      </c>
      <c r="J135" s="33">
        <f>J126*'Game Assumptions'!$B55</f>
        <v>110491341.03425795</v>
      </c>
      <c r="K135" s="33">
        <f>K126*'Game Assumptions'!$B55</f>
        <v>108683550.78425795</v>
      </c>
      <c r="L135" s="33">
        <f>L126*'Game Assumptions'!$B55</f>
        <v>105605032.53425795</v>
      </c>
    </row>
    <row r="136" spans="1:12" x14ac:dyDescent="0.25">
      <c r="A136" t="s">
        <v>13</v>
      </c>
      <c r="B136" s="33">
        <f>B127*'Game Assumptions'!$B56</f>
        <v>171164092.80000001</v>
      </c>
      <c r="C136" s="33">
        <f>C127*'Game Assumptions'!$B56</f>
        <v>85582046.400000006</v>
      </c>
      <c r="D136" s="33">
        <f>D127*'Game Assumptions'!$B56</f>
        <v>85582046.400000006</v>
      </c>
      <c r="E136" s="33">
        <f>E127*'Game Assumptions'!$B56</f>
        <v>85582046.400000006</v>
      </c>
      <c r="F136" s="33">
        <f>F127*'Game Assumptions'!$B56</f>
        <v>85582046.400000006</v>
      </c>
      <c r="G136" s="33">
        <f>G127*'Game Assumptions'!$B56</f>
        <v>85582046.400000006</v>
      </c>
      <c r="H136" s="33">
        <f>H127*'Game Assumptions'!$B56</f>
        <v>85582046.400000006</v>
      </c>
      <c r="I136" s="33">
        <f>I127*'Game Assumptions'!$B56</f>
        <v>85582046.400000006</v>
      </c>
      <c r="J136" s="33">
        <f>J127*'Game Assumptions'!$B56</f>
        <v>85582046.400000006</v>
      </c>
      <c r="K136" s="33">
        <f>K127*'Game Assumptions'!$B56</f>
        <v>85582046.400000006</v>
      </c>
      <c r="L136" s="33">
        <f>L127*'Game Assumptions'!$B56</f>
        <v>85582046.400000006</v>
      </c>
    </row>
    <row r="137" spans="1:12" x14ac:dyDescent="0.25">
      <c r="A137" t="s">
        <v>9</v>
      </c>
      <c r="B137" s="33">
        <f>B128*'Game Assumptions'!$B57</f>
        <v>0</v>
      </c>
      <c r="C137" s="33">
        <f>C128*'Game Assumptions'!$B57</f>
        <v>0</v>
      </c>
      <c r="D137" s="33">
        <f>D128*'Game Assumptions'!$B57</f>
        <v>0</v>
      </c>
      <c r="E137" s="33">
        <f>E128*'Game Assumptions'!$B57</f>
        <v>0</v>
      </c>
      <c r="F137" s="33">
        <f>F128*'Game Assumptions'!$B57</f>
        <v>0</v>
      </c>
      <c r="G137" s="33">
        <f>G128*'Game Assumptions'!$B57</f>
        <v>0</v>
      </c>
      <c r="H137" s="33">
        <f>H128*'Game Assumptions'!$B57</f>
        <v>0</v>
      </c>
      <c r="I137" s="33">
        <f>I128*'Game Assumptions'!$B57</f>
        <v>0</v>
      </c>
      <c r="J137" s="33">
        <f>J128*'Game Assumptions'!$B57</f>
        <v>0</v>
      </c>
      <c r="K137" s="33">
        <f>K128*'Game Assumptions'!$B57</f>
        <v>0</v>
      </c>
      <c r="L137" s="33">
        <f>L128*'Game Assumptions'!$B57</f>
        <v>0</v>
      </c>
    </row>
    <row r="138" spans="1:12" x14ac:dyDescent="0.25">
      <c r="A138" t="s">
        <v>10</v>
      </c>
      <c r="B138" s="33">
        <f>B129*'Game Assumptions'!$B58</f>
        <v>0</v>
      </c>
      <c r="C138" s="33">
        <f>C129*'Game Assumptions'!$B58</f>
        <v>0</v>
      </c>
      <c r="D138" s="33">
        <f>D129*'Game Assumptions'!$B58</f>
        <v>0</v>
      </c>
      <c r="E138" s="33">
        <f>E129*'Game Assumptions'!$B58</f>
        <v>0</v>
      </c>
      <c r="F138" s="33">
        <f>F129*'Game Assumptions'!$B58</f>
        <v>0</v>
      </c>
      <c r="G138" s="33">
        <f>G129*'Game Assumptions'!$B58</f>
        <v>0</v>
      </c>
      <c r="H138" s="33">
        <f>H129*'Game Assumptions'!$B58</f>
        <v>0</v>
      </c>
      <c r="I138" s="33">
        <f>I129*'Game Assumptions'!$B58</f>
        <v>0</v>
      </c>
      <c r="J138" s="33">
        <f>J129*'Game Assumptions'!$B58</f>
        <v>0</v>
      </c>
      <c r="K138" s="33">
        <f>K129*'Game Assumptions'!$B58</f>
        <v>0</v>
      </c>
      <c r="L138" s="33">
        <f>L129*'Game Assumptions'!$B58</f>
        <v>0</v>
      </c>
    </row>
    <row r="139" spans="1:12" x14ac:dyDescent="0.25">
      <c r="A139" t="s">
        <v>11</v>
      </c>
      <c r="B139" s="33">
        <f>B130*'Game Assumptions'!$B59</f>
        <v>0</v>
      </c>
      <c r="C139" s="33">
        <f>C130*'Game Assumptions'!$B59</f>
        <v>0</v>
      </c>
      <c r="D139" s="33">
        <f>D130*'Game Assumptions'!$B59</f>
        <v>0</v>
      </c>
      <c r="E139" s="33">
        <f>E130*'Game Assumptions'!$B59</f>
        <v>0</v>
      </c>
      <c r="F139" s="33">
        <f>F130*'Game Assumptions'!$B59</f>
        <v>0</v>
      </c>
      <c r="G139" s="33">
        <f>G130*'Game Assumptions'!$B59</f>
        <v>0</v>
      </c>
      <c r="H139" s="33">
        <f>H130*'Game Assumptions'!$B59</f>
        <v>0</v>
      </c>
      <c r="I139" s="33">
        <f>I130*'Game Assumptions'!$B59</f>
        <v>0</v>
      </c>
      <c r="J139" s="33">
        <f>J130*'Game Assumptions'!$B59</f>
        <v>0</v>
      </c>
      <c r="K139" s="33">
        <f>K130*'Game Assumptions'!$B59</f>
        <v>0</v>
      </c>
      <c r="L139" s="33">
        <f>L130*'Game Assumptions'!$B59</f>
        <v>0</v>
      </c>
    </row>
    <row r="140" spans="1:12" x14ac:dyDescent="0.25">
      <c r="A140" t="s">
        <v>12</v>
      </c>
      <c r="B140" s="33">
        <f>B131*'Game Assumptions'!$B60</f>
        <v>0</v>
      </c>
      <c r="C140" s="33">
        <f>C131*'Game Assumptions'!$B60</f>
        <v>0</v>
      </c>
      <c r="D140" s="33">
        <f>D131*'Game Assumptions'!$B60</f>
        <v>0</v>
      </c>
      <c r="E140" s="33">
        <f>E131*'Game Assumptions'!$B60</f>
        <v>0</v>
      </c>
      <c r="F140" s="33">
        <f>F131*'Game Assumptions'!$B60</f>
        <v>0</v>
      </c>
      <c r="G140" s="33">
        <f>G131*'Game Assumptions'!$B60</f>
        <v>0</v>
      </c>
      <c r="H140" s="33">
        <f>H131*'Game Assumptions'!$B60</f>
        <v>0</v>
      </c>
      <c r="I140" s="33">
        <f>I131*'Game Assumptions'!$B60</f>
        <v>0</v>
      </c>
      <c r="J140" s="33">
        <f>J131*'Game Assumptions'!$B60</f>
        <v>0</v>
      </c>
      <c r="K140" s="33">
        <f>K131*'Game Assumptions'!$B60</f>
        <v>0</v>
      </c>
      <c r="L140" s="33">
        <f>L131*'Game Assumptions'!$B60</f>
        <v>0</v>
      </c>
    </row>
    <row r="142" spans="1:12" ht="18.75" x14ac:dyDescent="0.3">
      <c r="A142" s="20" t="s">
        <v>125</v>
      </c>
      <c r="B142" s="20"/>
      <c r="C142" s="20"/>
      <c r="D142" s="20"/>
      <c r="E142" s="20"/>
      <c r="F142" s="20"/>
      <c r="G142" s="20"/>
      <c r="H142" s="20"/>
      <c r="I142" s="20"/>
      <c r="J142" s="20"/>
      <c r="K142" s="20"/>
      <c r="L142" s="20"/>
    </row>
    <row r="143" spans="1:12" x14ac:dyDescent="0.25">
      <c r="A143" s="9" t="s">
        <v>86</v>
      </c>
      <c r="B143" s="9">
        <v>0</v>
      </c>
      <c r="C143" s="9">
        <v>1</v>
      </c>
      <c r="D143" s="9">
        <v>2</v>
      </c>
      <c r="E143" s="9">
        <v>3</v>
      </c>
      <c r="F143" s="9">
        <v>4</v>
      </c>
      <c r="G143" s="9">
        <v>5</v>
      </c>
      <c r="H143" s="9">
        <v>6</v>
      </c>
      <c r="I143" s="9">
        <v>7</v>
      </c>
      <c r="J143" s="9">
        <v>8</v>
      </c>
      <c r="K143" s="9">
        <v>9</v>
      </c>
      <c r="L143" s="9">
        <v>10</v>
      </c>
    </row>
    <row r="144" spans="1:12" x14ac:dyDescent="0.25">
      <c r="A144" t="s">
        <v>121</v>
      </c>
      <c r="B144" s="84">
        <f>'Resource Mix and Demand'!B69</f>
        <v>57369503.399999999</v>
      </c>
      <c r="C144" s="84">
        <f>'Resource Mix and Demand'!C69</f>
        <v>56934661.920000002</v>
      </c>
      <c r="D144" s="84">
        <f>'Resource Mix and Demand'!D69</f>
        <v>55279572.624043502</v>
      </c>
      <c r="E144" s="84">
        <f>'Resource Mix and Demand'!E69</f>
        <v>51304119.959021211</v>
      </c>
      <c r="F144" s="84">
        <f>'Resource Mix and Demand'!F69</f>
        <v>50232163.543845303</v>
      </c>
      <c r="G144" s="84">
        <f>'Resource Mix and Demand'!G69</f>
        <v>49000514.365660869</v>
      </c>
      <c r="H144" s="84">
        <f>'Resource Mix and Demand'!H69</f>
        <v>47242415.724961892</v>
      </c>
      <c r="I144" s="84">
        <f>'Resource Mix and Demand'!I69</f>
        <v>46967861.195437998</v>
      </c>
      <c r="J144" s="84">
        <f>'Resource Mix and Demand'!J69</f>
        <v>46398786.195437998</v>
      </c>
      <c r="K144" s="84">
        <f>'Resource Mix and Demand'!K69</f>
        <v>45737911.195437998</v>
      </c>
      <c r="L144" s="84">
        <f>'Resource Mix and Demand'!L69</f>
        <v>45689036.195437998</v>
      </c>
    </row>
    <row r="146" spans="1:12" x14ac:dyDescent="0.25">
      <c r="A146" s="9" t="s">
        <v>428</v>
      </c>
      <c r="B146" s="9">
        <v>0</v>
      </c>
      <c r="C146" s="9">
        <v>1</v>
      </c>
      <c r="D146" s="9">
        <v>2</v>
      </c>
      <c r="E146" s="9">
        <v>3</v>
      </c>
      <c r="F146" s="9">
        <v>4</v>
      </c>
      <c r="G146" s="9">
        <v>5</v>
      </c>
      <c r="H146" s="9">
        <v>6</v>
      </c>
      <c r="I146" s="9">
        <v>7</v>
      </c>
      <c r="J146" s="9">
        <v>8</v>
      </c>
      <c r="K146" s="9">
        <v>9</v>
      </c>
      <c r="L146" s="9">
        <v>10</v>
      </c>
    </row>
    <row r="147" spans="1:12" x14ac:dyDescent="0.25">
      <c r="A147">
        <v>1</v>
      </c>
      <c r="B147">
        <f>INDEX(B$11:B$17,MATCH(B63,$A$11:$A$17,0),1)</f>
        <v>0</v>
      </c>
      <c r="C147">
        <f t="shared" ref="C147:L147" si="21">INDEX(C$11:C$17,MATCH(C63,$A$11:$A$17,0),1)</f>
        <v>0</v>
      </c>
      <c r="D147">
        <f t="shared" si="21"/>
        <v>0</v>
      </c>
      <c r="E147">
        <f t="shared" si="21"/>
        <v>0</v>
      </c>
      <c r="F147">
        <f t="shared" si="21"/>
        <v>0</v>
      </c>
      <c r="G147">
        <f t="shared" si="21"/>
        <v>0</v>
      </c>
      <c r="H147">
        <f t="shared" si="21"/>
        <v>0</v>
      </c>
      <c r="I147">
        <f t="shared" si="21"/>
        <v>0</v>
      </c>
      <c r="J147">
        <f t="shared" si="21"/>
        <v>0</v>
      </c>
      <c r="K147">
        <f t="shared" si="21"/>
        <v>0</v>
      </c>
      <c r="L147">
        <f t="shared" si="21"/>
        <v>0</v>
      </c>
    </row>
    <row r="148" spans="1:12" x14ac:dyDescent="0.25">
      <c r="A148">
        <v>2</v>
      </c>
      <c r="B148">
        <f t="shared" ref="B148:L153" si="22">INDEX(B$11:B$17,MATCH(B64,$A$11:$A$17,0),1)</f>
        <v>0</v>
      </c>
      <c r="C148">
        <f t="shared" si="22"/>
        <v>0</v>
      </c>
      <c r="D148">
        <f t="shared" si="22"/>
        <v>0</v>
      </c>
      <c r="E148">
        <f t="shared" si="22"/>
        <v>0</v>
      </c>
      <c r="F148">
        <f t="shared" si="22"/>
        <v>0</v>
      </c>
      <c r="G148">
        <f t="shared" si="22"/>
        <v>0</v>
      </c>
      <c r="H148">
        <f t="shared" si="22"/>
        <v>0</v>
      </c>
      <c r="I148">
        <f t="shared" si="22"/>
        <v>0</v>
      </c>
      <c r="J148">
        <f t="shared" si="22"/>
        <v>0</v>
      </c>
      <c r="K148">
        <f t="shared" si="22"/>
        <v>0</v>
      </c>
      <c r="L148">
        <f t="shared" si="22"/>
        <v>0</v>
      </c>
    </row>
    <row r="149" spans="1:12" x14ac:dyDescent="0.25">
      <c r="A149">
        <v>3</v>
      </c>
      <c r="B149">
        <f t="shared" si="22"/>
        <v>0</v>
      </c>
      <c r="C149">
        <f t="shared" si="22"/>
        <v>0</v>
      </c>
      <c r="D149">
        <f t="shared" si="22"/>
        <v>0</v>
      </c>
      <c r="E149">
        <f t="shared" si="22"/>
        <v>0</v>
      </c>
      <c r="F149">
        <f t="shared" si="22"/>
        <v>0</v>
      </c>
      <c r="G149">
        <f t="shared" si="22"/>
        <v>0</v>
      </c>
      <c r="H149">
        <f t="shared" si="22"/>
        <v>0</v>
      </c>
      <c r="I149">
        <f t="shared" si="22"/>
        <v>0</v>
      </c>
      <c r="J149">
        <f t="shared" si="22"/>
        <v>0</v>
      </c>
      <c r="K149">
        <f t="shared" si="22"/>
        <v>0</v>
      </c>
      <c r="L149">
        <f t="shared" si="22"/>
        <v>0</v>
      </c>
    </row>
    <row r="150" spans="1:12" x14ac:dyDescent="0.25">
      <c r="A150">
        <v>4</v>
      </c>
      <c r="B150">
        <f t="shared" si="22"/>
        <v>0</v>
      </c>
      <c r="C150">
        <f t="shared" si="22"/>
        <v>0</v>
      </c>
      <c r="D150">
        <f t="shared" si="22"/>
        <v>0</v>
      </c>
      <c r="E150">
        <f t="shared" si="22"/>
        <v>0</v>
      </c>
      <c r="F150">
        <f t="shared" si="22"/>
        <v>0</v>
      </c>
      <c r="G150">
        <f t="shared" si="22"/>
        <v>0</v>
      </c>
      <c r="H150">
        <f t="shared" si="22"/>
        <v>0</v>
      </c>
      <c r="I150">
        <f t="shared" si="22"/>
        <v>0</v>
      </c>
      <c r="J150">
        <f t="shared" si="22"/>
        <v>0</v>
      </c>
      <c r="K150">
        <f t="shared" si="22"/>
        <v>0</v>
      </c>
      <c r="L150">
        <f t="shared" si="22"/>
        <v>0</v>
      </c>
    </row>
    <row r="151" spans="1:12" x14ac:dyDescent="0.25">
      <c r="A151">
        <v>5</v>
      </c>
      <c r="B151">
        <f t="shared" si="22"/>
        <v>0</v>
      </c>
      <c r="C151">
        <f t="shared" si="22"/>
        <v>0</v>
      </c>
      <c r="D151">
        <f t="shared" si="22"/>
        <v>0</v>
      </c>
      <c r="E151">
        <f t="shared" si="22"/>
        <v>0</v>
      </c>
      <c r="F151">
        <f t="shared" si="22"/>
        <v>0</v>
      </c>
      <c r="G151">
        <f t="shared" si="22"/>
        <v>0</v>
      </c>
      <c r="H151">
        <f t="shared" si="22"/>
        <v>0</v>
      </c>
      <c r="I151">
        <f t="shared" si="22"/>
        <v>0</v>
      </c>
      <c r="J151">
        <f t="shared" si="22"/>
        <v>0</v>
      </c>
      <c r="K151">
        <f t="shared" si="22"/>
        <v>0</v>
      </c>
      <c r="L151">
        <f t="shared" si="22"/>
        <v>0</v>
      </c>
    </row>
    <row r="152" spans="1:12" x14ac:dyDescent="0.25">
      <c r="A152">
        <v>6</v>
      </c>
      <c r="B152">
        <f t="shared" si="22"/>
        <v>0</v>
      </c>
      <c r="C152">
        <f t="shared" si="22"/>
        <v>0</v>
      </c>
      <c r="D152">
        <f t="shared" si="22"/>
        <v>0</v>
      </c>
      <c r="E152">
        <f t="shared" si="22"/>
        <v>0</v>
      </c>
      <c r="F152">
        <f t="shared" si="22"/>
        <v>0</v>
      </c>
      <c r="G152">
        <f t="shared" si="22"/>
        <v>0</v>
      </c>
      <c r="H152">
        <f t="shared" si="22"/>
        <v>0</v>
      </c>
      <c r="I152">
        <f t="shared" si="22"/>
        <v>0</v>
      </c>
      <c r="J152">
        <f t="shared" si="22"/>
        <v>0</v>
      </c>
      <c r="K152">
        <f t="shared" si="22"/>
        <v>0</v>
      </c>
      <c r="L152">
        <f t="shared" si="22"/>
        <v>0</v>
      </c>
    </row>
    <row r="153" spans="1:12" x14ac:dyDescent="0.25">
      <c r="A153">
        <v>7</v>
      </c>
      <c r="B153">
        <f t="shared" si="22"/>
        <v>0</v>
      </c>
      <c r="C153">
        <f t="shared" si="22"/>
        <v>0</v>
      </c>
      <c r="D153">
        <f t="shared" si="22"/>
        <v>0</v>
      </c>
      <c r="E153">
        <f t="shared" si="22"/>
        <v>0</v>
      </c>
      <c r="F153">
        <f t="shared" si="22"/>
        <v>0</v>
      </c>
      <c r="G153">
        <f t="shared" si="22"/>
        <v>0</v>
      </c>
      <c r="H153">
        <f t="shared" si="22"/>
        <v>0</v>
      </c>
      <c r="I153">
        <f t="shared" si="22"/>
        <v>0</v>
      </c>
      <c r="J153">
        <f t="shared" si="22"/>
        <v>0</v>
      </c>
      <c r="K153">
        <f t="shared" si="22"/>
        <v>0</v>
      </c>
      <c r="L153">
        <f t="shared" si="22"/>
        <v>0</v>
      </c>
    </row>
    <row r="155" spans="1:12" x14ac:dyDescent="0.25">
      <c r="A155" s="9" t="s">
        <v>423</v>
      </c>
      <c r="B155" s="9">
        <v>0</v>
      </c>
      <c r="C155" s="9">
        <v>1</v>
      </c>
      <c r="D155" s="9">
        <v>2</v>
      </c>
      <c r="E155" s="9">
        <v>3</v>
      </c>
      <c r="F155" s="9">
        <v>4</v>
      </c>
      <c r="G155" s="9">
        <v>5</v>
      </c>
      <c r="H155" s="9">
        <v>6</v>
      </c>
      <c r="I155" s="9">
        <v>7</v>
      </c>
      <c r="J155" s="9">
        <v>8</v>
      </c>
      <c r="K155" s="9">
        <v>9</v>
      </c>
      <c r="L155" s="9">
        <v>10</v>
      </c>
    </row>
    <row r="156" spans="1:12" x14ac:dyDescent="0.25">
      <c r="A156">
        <v>1</v>
      </c>
      <c r="B156" s="84">
        <f>INDEX(B$2:B$8,MATCH(B63,$A$2:$A$8,0),1)-INDEX(B$11:B$17,MATCH(B63,$A$11:$A$17,0),1)</f>
        <v>1752000</v>
      </c>
      <c r="C156" s="84">
        <f t="shared" ref="C156:L156" si="23">INDEX(C$2:C$8,MATCH(C63,$A$2:$A$8,0),1)-INDEX(C$11:C$17,MATCH(C63,$A$11:$A$17,0),1)</f>
        <v>1971000</v>
      </c>
      <c r="D156" s="84">
        <f t="shared" si="23"/>
        <v>2835012.4238102059</v>
      </c>
      <c r="E156" s="84">
        <f t="shared" si="23"/>
        <v>5702166.2364167841</v>
      </c>
      <c r="F156" s="84">
        <f t="shared" si="23"/>
        <v>6566622.6515926942</v>
      </c>
      <c r="G156" s="84">
        <f t="shared" si="23"/>
        <v>7350077.1548491297</v>
      </c>
      <c r="H156" s="84">
        <f t="shared" si="23"/>
        <v>7086362.3587442832</v>
      </c>
      <c r="I156" s="84">
        <f t="shared" si="23"/>
        <v>7045179.1793156993</v>
      </c>
      <c r="J156" s="84">
        <f t="shared" si="23"/>
        <v>6959817.9293156993</v>
      </c>
      <c r="K156" s="84">
        <f t="shared" si="23"/>
        <v>6860686.6793156993</v>
      </c>
      <c r="L156" s="84">
        <f t="shared" si="23"/>
        <v>6853355.4293156993</v>
      </c>
    </row>
    <row r="157" spans="1:12" x14ac:dyDescent="0.25">
      <c r="A157">
        <v>2</v>
      </c>
      <c r="B157" s="84">
        <f t="shared" ref="B157:L162" si="24">INDEX(B$2:B$8,MATCH(B64,$A$2:$A$8,0),1)-INDEX(B$11:B$17,MATCH(B64,$A$11:$A$17,0),1)</f>
        <v>451665.6</v>
      </c>
      <c r="C157" s="84">
        <f t="shared" si="24"/>
        <v>451665.6</v>
      </c>
      <c r="D157" s="84">
        <f t="shared" si="24"/>
        <v>617949.80285827105</v>
      </c>
      <c r="E157" s="84">
        <f t="shared" si="24"/>
        <v>1300643.8557482469</v>
      </c>
      <c r="F157" s="84">
        <f t="shared" si="24"/>
        <v>1417784.8254371637</v>
      </c>
      <c r="G157" s="84">
        <f t="shared" si="24"/>
        <v>1417784.8254371637</v>
      </c>
      <c r="H157" s="84">
        <f t="shared" si="24"/>
        <v>1417784.8254371637</v>
      </c>
      <c r="I157" s="84">
        <f t="shared" si="24"/>
        <v>1417784.8254371637</v>
      </c>
      <c r="J157" s="84">
        <f t="shared" si="24"/>
        <v>1417784.8254371637</v>
      </c>
      <c r="K157" s="84">
        <f t="shared" si="24"/>
        <v>1417784.8254371637</v>
      </c>
      <c r="L157" s="84">
        <f t="shared" si="24"/>
        <v>1417784.8254371637</v>
      </c>
    </row>
    <row r="158" spans="1:12" x14ac:dyDescent="0.25">
      <c r="A158">
        <v>3</v>
      </c>
      <c r="B158" s="84">
        <f t="shared" si="24"/>
        <v>765974.39999999991</v>
      </c>
      <c r="C158" s="84">
        <f t="shared" si="24"/>
        <v>765974.39999999991</v>
      </c>
      <c r="D158" s="84">
        <f t="shared" si="24"/>
        <v>1047973.8316898219</v>
      </c>
      <c r="E158" s="84">
        <f t="shared" si="24"/>
        <v>2205746.6785614179</v>
      </c>
      <c r="F158" s="84">
        <f t="shared" si="24"/>
        <v>2404404.6768080993</v>
      </c>
      <c r="G158" s="84">
        <f t="shared" si="24"/>
        <v>2404404.6768080993</v>
      </c>
      <c r="H158" s="84">
        <f t="shared" si="24"/>
        <v>2404404.6768080993</v>
      </c>
      <c r="I158" s="84">
        <f t="shared" si="24"/>
        <v>2404404.6768080993</v>
      </c>
      <c r="J158" s="84">
        <f t="shared" si="24"/>
        <v>2404404.6768080993</v>
      </c>
      <c r="K158" s="84">
        <f t="shared" si="24"/>
        <v>2404404.6768080993</v>
      </c>
      <c r="L158" s="84">
        <f t="shared" si="24"/>
        <v>2404404.6768080993</v>
      </c>
    </row>
    <row r="159" spans="1:12" x14ac:dyDescent="0.25">
      <c r="A159">
        <v>4</v>
      </c>
      <c r="B159" s="84">
        <f t="shared" si="24"/>
        <v>601286.40000000002</v>
      </c>
      <c r="C159" s="84">
        <f t="shared" si="24"/>
        <v>601286.40000000002</v>
      </c>
      <c r="D159" s="84">
        <f t="shared" si="24"/>
        <v>601286.40000000002</v>
      </c>
      <c r="E159" s="84">
        <f t="shared" si="24"/>
        <v>601286.40000000002</v>
      </c>
      <c r="F159" s="84">
        <f t="shared" si="24"/>
        <v>601286.40000000002</v>
      </c>
      <c r="G159" s="84">
        <f t="shared" si="24"/>
        <v>601286.40000000002</v>
      </c>
      <c r="H159" s="84">
        <f t="shared" si="24"/>
        <v>601286.40000000002</v>
      </c>
      <c r="I159" s="84">
        <f t="shared" si="24"/>
        <v>601286.40000000002</v>
      </c>
      <c r="J159" s="84">
        <f t="shared" si="24"/>
        <v>601286.40000000002</v>
      </c>
      <c r="K159" s="84">
        <f t="shared" si="24"/>
        <v>601286.40000000002</v>
      </c>
      <c r="L159" s="84">
        <f t="shared" si="24"/>
        <v>601286.40000000002</v>
      </c>
    </row>
    <row r="160" spans="1:12" x14ac:dyDescent="0.25">
      <c r="A160">
        <v>5</v>
      </c>
      <c r="B160" s="84">
        <f t="shared" si="24"/>
        <v>16363680</v>
      </c>
      <c r="C160" s="84">
        <f t="shared" si="24"/>
        <v>8181840</v>
      </c>
      <c r="D160" s="84">
        <f t="shared" si="24"/>
        <v>8181840</v>
      </c>
      <c r="E160" s="84">
        <f t="shared" si="24"/>
        <v>8181840</v>
      </c>
      <c r="F160" s="84">
        <f t="shared" si="24"/>
        <v>8181840</v>
      </c>
      <c r="G160" s="84">
        <f t="shared" si="24"/>
        <v>8181840</v>
      </c>
      <c r="H160" s="84">
        <f t="shared" si="24"/>
        <v>8181840</v>
      </c>
      <c r="I160" s="84">
        <f t="shared" si="24"/>
        <v>8181840</v>
      </c>
      <c r="J160" s="84">
        <f t="shared" si="24"/>
        <v>8181840</v>
      </c>
      <c r="K160" s="84">
        <f t="shared" si="24"/>
        <v>8181840</v>
      </c>
      <c r="L160" s="84">
        <f t="shared" si="24"/>
        <v>8181840</v>
      </c>
    </row>
    <row r="161" spans="1:12" x14ac:dyDescent="0.25">
      <c r="A161">
        <v>6</v>
      </c>
      <c r="B161" s="84">
        <f t="shared" si="24"/>
        <v>18921600</v>
      </c>
      <c r="C161" s="84">
        <f t="shared" si="24"/>
        <v>18921600</v>
      </c>
      <c r="D161" s="84">
        <f t="shared" si="24"/>
        <v>14191200</v>
      </c>
      <c r="E161" s="84">
        <f t="shared" si="24"/>
        <v>9460800</v>
      </c>
      <c r="F161" s="84">
        <f t="shared" si="24"/>
        <v>9460800</v>
      </c>
      <c r="G161" s="84">
        <f t="shared" si="24"/>
        <v>9460800</v>
      </c>
      <c r="H161" s="84">
        <f t="shared" si="24"/>
        <v>9460800</v>
      </c>
      <c r="I161" s="84">
        <f t="shared" si="24"/>
        <v>9460800</v>
      </c>
      <c r="J161" s="84">
        <f t="shared" si="24"/>
        <v>9460800</v>
      </c>
      <c r="K161" s="84">
        <f t="shared" si="24"/>
        <v>9460800</v>
      </c>
      <c r="L161" s="84">
        <f t="shared" si="24"/>
        <v>9460800</v>
      </c>
    </row>
    <row r="162" spans="1:12" x14ac:dyDescent="0.25">
      <c r="A162">
        <v>7</v>
      </c>
      <c r="B162" s="84">
        <f t="shared" si="24"/>
        <v>38544000</v>
      </c>
      <c r="C162" s="84">
        <f t="shared" si="24"/>
        <v>38544000</v>
      </c>
      <c r="D162" s="84">
        <f t="shared" si="24"/>
        <v>39253513.666191228</v>
      </c>
      <c r="E162" s="84">
        <f t="shared" si="24"/>
        <v>42166482.860058464</v>
      </c>
      <c r="F162" s="84">
        <f t="shared" si="24"/>
        <v>42876484.916751966</v>
      </c>
      <c r="G162" s="84">
        <f t="shared" si="24"/>
        <v>43566899.012754843</v>
      </c>
      <c r="H162" s="84">
        <f t="shared" si="24"/>
        <v>44269907.517523713</v>
      </c>
      <c r="I162" s="84">
        <f t="shared" si="24"/>
        <v>44987011.415844075</v>
      </c>
      <c r="J162" s="84">
        <f t="shared" si="24"/>
        <v>45915222.230888277</v>
      </c>
      <c r="K162" s="84">
        <f t="shared" si="24"/>
        <v>47026090.881074227</v>
      </c>
      <c r="L162" s="84">
        <f t="shared" si="24"/>
        <v>48214535.751762472</v>
      </c>
    </row>
    <row r="164" spans="1:12" x14ac:dyDescent="0.25">
      <c r="A164" s="9" t="s">
        <v>421</v>
      </c>
      <c r="B164" s="9">
        <v>0</v>
      </c>
      <c r="C164" s="9">
        <v>1</v>
      </c>
      <c r="D164" s="9">
        <v>2</v>
      </c>
      <c r="E164" s="9">
        <v>3</v>
      </c>
      <c r="F164" s="9">
        <v>4</v>
      </c>
      <c r="G164" s="9">
        <v>5</v>
      </c>
      <c r="H164" s="9">
        <v>6</v>
      </c>
      <c r="I164" s="9">
        <v>7</v>
      </c>
      <c r="J164" s="9">
        <v>8</v>
      </c>
      <c r="K164" s="9">
        <v>9</v>
      </c>
      <c r="L164" s="9">
        <v>10</v>
      </c>
    </row>
    <row r="165" spans="1:12" x14ac:dyDescent="0.25">
      <c r="A165" t="s">
        <v>121</v>
      </c>
      <c r="B165" s="84">
        <f>B144-SUM(B147:B153)</f>
        <v>57369503.399999999</v>
      </c>
      <c r="C165" s="84">
        <f t="shared" ref="C165:L165" si="25">C144-SUM(C147:C153)</f>
        <v>56934661.920000002</v>
      </c>
      <c r="D165" s="84">
        <f t="shared" si="25"/>
        <v>55279572.624043502</v>
      </c>
      <c r="E165" s="84">
        <f t="shared" si="25"/>
        <v>51304119.959021211</v>
      </c>
      <c r="F165" s="84">
        <f t="shared" si="25"/>
        <v>50232163.543845303</v>
      </c>
      <c r="G165" s="84">
        <f t="shared" si="25"/>
        <v>49000514.365660869</v>
      </c>
      <c r="H165" s="84">
        <f t="shared" si="25"/>
        <v>47242415.724961892</v>
      </c>
      <c r="I165" s="84">
        <f t="shared" si="25"/>
        <v>46967861.195437998</v>
      </c>
      <c r="J165" s="84">
        <f t="shared" si="25"/>
        <v>46398786.195437998</v>
      </c>
      <c r="K165" s="84">
        <f t="shared" si="25"/>
        <v>45737911.195437998</v>
      </c>
      <c r="L165" s="84">
        <f t="shared" si="25"/>
        <v>45689036.195437998</v>
      </c>
    </row>
    <row r="167" spans="1:12" x14ac:dyDescent="0.25">
      <c r="A167" s="9" t="s">
        <v>425</v>
      </c>
      <c r="B167" s="9">
        <v>0</v>
      </c>
      <c r="C167" s="9">
        <v>1</v>
      </c>
      <c r="D167" s="9">
        <v>2</v>
      </c>
      <c r="E167" s="9">
        <v>3</v>
      </c>
      <c r="F167" s="9">
        <v>4</v>
      </c>
      <c r="G167" s="9">
        <v>5</v>
      </c>
      <c r="H167" s="9">
        <v>6</v>
      </c>
      <c r="I167" s="9">
        <v>7</v>
      </c>
      <c r="J167" s="9">
        <v>8</v>
      </c>
      <c r="K167" s="9">
        <v>9</v>
      </c>
      <c r="L167" s="9">
        <v>10</v>
      </c>
    </row>
    <row r="168" spans="1:12" x14ac:dyDescent="0.25">
      <c r="A168">
        <v>1</v>
      </c>
      <c r="B168" s="16">
        <f>IF(IF(SUM(B$156:B156)-B$165&lt;0,B156,B$165-SUM(B155:B$156))&lt;0,0,IF(SUM(B$156:B156)-B$165&lt;0,B156,B$165-SUM(B155:B$156)))</f>
        <v>1752000</v>
      </c>
      <c r="C168" s="16">
        <f>IF(IF(SUM(C$156:C156)-C$165&lt;0,C156,C$165-SUM(C155:C$156))&lt;0,0,IF(SUM(C$156:C156)-C$165&lt;0,C156,C$165-SUM(C155:C$156)))</f>
        <v>1971000</v>
      </c>
      <c r="D168" s="16">
        <f>IF(IF(SUM(D$156:D156)-D$165&lt;0,D156,D$165-SUM(D155:D$156))&lt;0,0,IF(SUM(D$156:D156)-D$165&lt;0,D156,D$165-SUM(D155:D$156)))</f>
        <v>2835012.4238102059</v>
      </c>
      <c r="E168" s="16">
        <f>IF(IF(SUM(E$156:E156)-E$165&lt;0,E156,E$165-SUM(E155:E$156))&lt;0,0,IF(SUM(E$156:E156)-E$165&lt;0,E156,E$165-SUM(E155:E$156)))</f>
        <v>5702166.2364167841</v>
      </c>
      <c r="F168" s="16">
        <f>IF(IF(SUM(F$156:F156)-F$165&lt;0,F156,F$165-SUM(F155:F$156))&lt;0,0,IF(SUM(F$156:F156)-F$165&lt;0,F156,F$165-SUM(F155:F$156)))</f>
        <v>6566622.6515926942</v>
      </c>
      <c r="G168" s="16">
        <f>IF(IF(SUM(G$156:G156)-G$165&lt;0,G156,G$165-SUM(G155:G$156))&lt;0,0,IF(SUM(G$156:G156)-G$165&lt;0,G156,G$165-SUM(G155:G$156)))</f>
        <v>7350077.1548491297</v>
      </c>
      <c r="H168" s="16">
        <f>IF(IF(SUM(H$156:H156)-H$165&lt;0,H156,H$165-SUM(H155:H$156))&lt;0,0,IF(SUM(H$156:H156)-H$165&lt;0,H156,H$165-SUM(H155:H$156)))</f>
        <v>7086362.3587442832</v>
      </c>
      <c r="I168" s="16">
        <f>IF(IF(SUM(I$156:I156)-I$165&lt;0,I156,I$165-SUM(I155:I$156))&lt;0,0,IF(SUM(I$156:I156)-I$165&lt;0,I156,I$165-SUM(I155:I$156)))</f>
        <v>7045179.1793156993</v>
      </c>
      <c r="J168" s="16">
        <f>IF(IF(SUM(J$156:J156)-J$165&lt;0,J156,J$165-SUM(J155:J$156))&lt;0,0,IF(SUM(J$156:J156)-J$165&lt;0,J156,J$165-SUM(J155:J$156)))</f>
        <v>6959817.9293156993</v>
      </c>
      <c r="K168" s="16">
        <f>IF(IF(SUM(K$156:K156)-K$165&lt;0,K156,K$165-SUM(K155:K$156))&lt;0,0,IF(SUM(K$156:K156)-K$165&lt;0,K156,K$165-SUM(K155:K$156)))</f>
        <v>6860686.6793156993</v>
      </c>
      <c r="L168" s="16">
        <f>IF(IF(SUM(L$156:L156)-L$165&lt;0,L156,L$165-SUM(L155:L$156))&lt;0,0,IF(SUM(L$156:L156)-L$165&lt;0,L156,L$165-SUM(L155:L$156)))</f>
        <v>6853355.4293156993</v>
      </c>
    </row>
    <row r="169" spans="1:12" x14ac:dyDescent="0.25">
      <c r="A169">
        <v>2</v>
      </c>
      <c r="B169" s="16">
        <f>IF(IF(SUM(B$156:B157)-B$165&lt;0,B157,B$165-SUM(B$156:B156))&lt;0,0,IF(SUM(B$156:B157)-B$165&lt;0,B157,B$165-SUM(B$156:B156)))</f>
        <v>451665.6</v>
      </c>
      <c r="C169" s="16">
        <f>IF(IF(SUM(C$156:C157)-C$165&lt;0,C157,C$165-SUM(C$156:C156))&lt;0,0,IF(SUM(C$156:C157)-C$165&lt;0,C157,C$165-SUM(C$156:C156)))</f>
        <v>451665.6</v>
      </c>
      <c r="D169" s="16">
        <f>IF(IF(SUM(D$156:D157)-D$165&lt;0,D157,D$165-SUM(D$156:D156))&lt;0,0,IF(SUM(D$156:D157)-D$165&lt;0,D157,D$165-SUM(D$156:D156)))</f>
        <v>617949.80285827105</v>
      </c>
      <c r="E169" s="16">
        <f>IF(IF(SUM(E$156:E157)-E$165&lt;0,E157,E$165-SUM(E$156:E156))&lt;0,0,IF(SUM(E$156:E157)-E$165&lt;0,E157,E$165-SUM(E$156:E156)))</f>
        <v>1300643.8557482469</v>
      </c>
      <c r="F169" s="16">
        <f>IF(IF(SUM(F$156:F157)-F$165&lt;0,F157,F$165-SUM(F$156:F156))&lt;0,0,IF(SUM(F$156:F157)-F$165&lt;0,F157,F$165-SUM(F$156:F156)))</f>
        <v>1417784.8254371637</v>
      </c>
      <c r="G169" s="16">
        <f>IF(IF(SUM(G$156:G157)-G$165&lt;0,G157,G$165-SUM(G$156:G156))&lt;0,0,IF(SUM(G$156:G157)-G$165&lt;0,G157,G$165-SUM(G$156:G156)))</f>
        <v>1417784.8254371637</v>
      </c>
      <c r="H169" s="16">
        <f>IF(IF(SUM(H$156:H157)-H$165&lt;0,H157,H$165-SUM(H$156:H156))&lt;0,0,IF(SUM(H$156:H157)-H$165&lt;0,H157,H$165-SUM(H$156:H156)))</f>
        <v>1417784.8254371637</v>
      </c>
      <c r="I169" s="16">
        <f>IF(IF(SUM(I$156:I157)-I$165&lt;0,I157,I$165-SUM(I$156:I156))&lt;0,0,IF(SUM(I$156:I157)-I$165&lt;0,I157,I$165-SUM(I$156:I156)))</f>
        <v>1417784.8254371637</v>
      </c>
      <c r="J169" s="16">
        <f>IF(IF(SUM(J$156:J157)-J$165&lt;0,J157,J$165-SUM(J$156:J156))&lt;0,0,IF(SUM(J$156:J157)-J$165&lt;0,J157,J$165-SUM(J$156:J156)))</f>
        <v>1417784.8254371637</v>
      </c>
      <c r="K169" s="16">
        <f>IF(IF(SUM(K$156:K157)-K$165&lt;0,K157,K$165-SUM(K$156:K156))&lt;0,0,IF(SUM(K$156:K157)-K$165&lt;0,K157,K$165-SUM(K$156:K156)))</f>
        <v>1417784.8254371637</v>
      </c>
      <c r="L169" s="16">
        <f>IF(IF(SUM(L$156:L157)-L$165&lt;0,L157,L$165-SUM(L$156:L156))&lt;0,0,IF(SUM(L$156:L157)-L$165&lt;0,L157,L$165-SUM(L$156:L156)))</f>
        <v>1417784.8254371637</v>
      </c>
    </row>
    <row r="170" spans="1:12" x14ac:dyDescent="0.25">
      <c r="A170">
        <v>3</v>
      </c>
      <c r="B170" s="16">
        <f>IF(IF(SUM(B$156:B158)-B$165&lt;0,B158,B$165-SUM(B$156:B157))&lt;0,0,IF(SUM(B$156:B158)-B$165&lt;0,B158,B$165-SUM(B$156:B157)))</f>
        <v>765974.39999999991</v>
      </c>
      <c r="C170" s="16">
        <f>IF(IF(SUM(C$156:C158)-C$165&lt;0,C158,C$165-SUM(C$156:C157))&lt;0,0,IF(SUM(C$156:C158)-C$165&lt;0,C158,C$165-SUM(C$156:C157)))</f>
        <v>765974.39999999991</v>
      </c>
      <c r="D170" s="16">
        <f>IF(IF(SUM(D$156:D158)-D$165&lt;0,D158,D$165-SUM(D$156:D157))&lt;0,0,IF(SUM(D$156:D158)-D$165&lt;0,D158,D$165-SUM(D$156:D157)))</f>
        <v>1047973.8316898219</v>
      </c>
      <c r="E170" s="16">
        <f>IF(IF(SUM(E$156:E158)-E$165&lt;0,E158,E$165-SUM(E$156:E157))&lt;0,0,IF(SUM(E$156:E158)-E$165&lt;0,E158,E$165-SUM(E$156:E157)))</f>
        <v>2205746.6785614179</v>
      </c>
      <c r="F170" s="16">
        <f>IF(IF(SUM(F$156:F158)-F$165&lt;0,F158,F$165-SUM(F$156:F157))&lt;0,0,IF(SUM(F$156:F158)-F$165&lt;0,F158,F$165-SUM(F$156:F157)))</f>
        <v>2404404.6768080993</v>
      </c>
      <c r="G170" s="16">
        <f>IF(IF(SUM(G$156:G158)-G$165&lt;0,G158,G$165-SUM(G$156:G157))&lt;0,0,IF(SUM(G$156:G158)-G$165&lt;0,G158,G$165-SUM(G$156:G157)))</f>
        <v>2404404.6768080993</v>
      </c>
      <c r="H170" s="16">
        <f>IF(IF(SUM(H$156:H158)-H$165&lt;0,H158,H$165-SUM(H$156:H157))&lt;0,0,IF(SUM(H$156:H158)-H$165&lt;0,H158,H$165-SUM(H$156:H157)))</f>
        <v>2404404.6768080993</v>
      </c>
      <c r="I170" s="16">
        <f>IF(IF(SUM(I$156:I158)-I$165&lt;0,I158,I$165-SUM(I$156:I157))&lt;0,0,IF(SUM(I$156:I158)-I$165&lt;0,I158,I$165-SUM(I$156:I157)))</f>
        <v>2404404.6768080993</v>
      </c>
      <c r="J170" s="16">
        <f>IF(IF(SUM(J$156:J158)-J$165&lt;0,J158,J$165-SUM(J$156:J157))&lt;0,0,IF(SUM(J$156:J158)-J$165&lt;0,J158,J$165-SUM(J$156:J157)))</f>
        <v>2404404.6768080993</v>
      </c>
      <c r="K170" s="16">
        <f>IF(IF(SUM(K$156:K158)-K$165&lt;0,K158,K$165-SUM(K$156:K157))&lt;0,0,IF(SUM(K$156:K158)-K$165&lt;0,K158,K$165-SUM(K$156:K157)))</f>
        <v>2404404.6768080993</v>
      </c>
      <c r="L170" s="16">
        <f>IF(IF(SUM(L$156:L158)-L$165&lt;0,L158,L$165-SUM(L$156:L157))&lt;0,0,IF(SUM(L$156:L158)-L$165&lt;0,L158,L$165-SUM(L$156:L157)))</f>
        <v>2404404.6768080993</v>
      </c>
    </row>
    <row r="171" spans="1:12" x14ac:dyDescent="0.25">
      <c r="A171">
        <v>4</v>
      </c>
      <c r="B171" s="16">
        <f>IF(IF(SUM(B$156:B159)-B$165&lt;0,B159,B$165-SUM(B$156:B158))&lt;0,0,IF(SUM(B$156:B159)-B$165&lt;0,B159,B$165-SUM(B$156:B158)))</f>
        <v>601286.40000000002</v>
      </c>
      <c r="C171" s="16">
        <f>IF(IF(SUM(C$156:C159)-C$165&lt;0,C159,C$165-SUM(C$156:C158))&lt;0,0,IF(SUM(C$156:C159)-C$165&lt;0,C159,C$165-SUM(C$156:C158)))</f>
        <v>601286.40000000002</v>
      </c>
      <c r="D171" s="16">
        <f>IF(IF(SUM(D$156:D159)-D$165&lt;0,D159,D$165-SUM(D$156:D158))&lt;0,0,IF(SUM(D$156:D159)-D$165&lt;0,D159,D$165-SUM(D$156:D158)))</f>
        <v>601286.40000000002</v>
      </c>
      <c r="E171" s="16">
        <f>IF(IF(SUM(E$156:E159)-E$165&lt;0,E159,E$165-SUM(E$156:E158))&lt;0,0,IF(SUM(E$156:E159)-E$165&lt;0,E159,E$165-SUM(E$156:E158)))</f>
        <v>601286.40000000002</v>
      </c>
      <c r="F171" s="16">
        <f>IF(IF(SUM(F$156:F159)-F$165&lt;0,F159,F$165-SUM(F$156:F158))&lt;0,0,IF(SUM(F$156:F159)-F$165&lt;0,F159,F$165-SUM(F$156:F158)))</f>
        <v>601286.40000000002</v>
      </c>
      <c r="G171" s="16">
        <f>IF(IF(SUM(G$156:G159)-G$165&lt;0,G159,G$165-SUM(G$156:G158))&lt;0,0,IF(SUM(G$156:G159)-G$165&lt;0,G159,G$165-SUM(G$156:G158)))</f>
        <v>601286.40000000002</v>
      </c>
      <c r="H171" s="16">
        <f>IF(IF(SUM(H$156:H159)-H$165&lt;0,H159,H$165-SUM(H$156:H158))&lt;0,0,IF(SUM(H$156:H159)-H$165&lt;0,H159,H$165-SUM(H$156:H158)))</f>
        <v>601286.40000000002</v>
      </c>
      <c r="I171" s="16">
        <f>IF(IF(SUM(I$156:I159)-I$165&lt;0,I159,I$165-SUM(I$156:I158))&lt;0,0,IF(SUM(I$156:I159)-I$165&lt;0,I159,I$165-SUM(I$156:I158)))</f>
        <v>601286.40000000002</v>
      </c>
      <c r="J171" s="16">
        <f>IF(IF(SUM(J$156:J159)-J$165&lt;0,J159,J$165-SUM(J$156:J158))&lt;0,0,IF(SUM(J$156:J159)-J$165&lt;0,J159,J$165-SUM(J$156:J158)))</f>
        <v>601286.40000000002</v>
      </c>
      <c r="K171" s="16">
        <f>IF(IF(SUM(K$156:K159)-K$165&lt;0,K159,K$165-SUM(K$156:K158))&lt;0,0,IF(SUM(K$156:K159)-K$165&lt;0,K159,K$165-SUM(K$156:K158)))</f>
        <v>601286.40000000002</v>
      </c>
      <c r="L171" s="16">
        <f>IF(IF(SUM(L$156:L159)-L$165&lt;0,L159,L$165-SUM(L$156:L158))&lt;0,0,IF(SUM(L$156:L159)-L$165&lt;0,L159,L$165-SUM(L$156:L158)))</f>
        <v>601286.40000000002</v>
      </c>
    </row>
    <row r="172" spans="1:12" x14ac:dyDescent="0.25">
      <c r="A172">
        <v>5</v>
      </c>
      <c r="B172" s="16">
        <f>IF(IF(SUM(B$156:B160)-B$165&lt;0,B160,B$165-SUM(B$156:B159))&lt;0,0,IF(SUM(B$156:B160)-B$165&lt;0,B160,B$165-SUM(B$156:B159)))</f>
        <v>16363680</v>
      </c>
      <c r="C172" s="16">
        <f>IF(IF(SUM(C$156:C160)-C$165&lt;0,C160,C$165-SUM(C$156:C159))&lt;0,0,IF(SUM(C$156:C160)-C$165&lt;0,C160,C$165-SUM(C$156:C159)))</f>
        <v>8181840</v>
      </c>
      <c r="D172" s="16">
        <f>IF(IF(SUM(D$156:D160)-D$165&lt;0,D160,D$165-SUM(D$156:D159))&lt;0,0,IF(SUM(D$156:D160)-D$165&lt;0,D160,D$165-SUM(D$156:D159)))</f>
        <v>8181840</v>
      </c>
      <c r="E172" s="16">
        <f>IF(IF(SUM(E$156:E160)-E$165&lt;0,E160,E$165-SUM(E$156:E159))&lt;0,0,IF(SUM(E$156:E160)-E$165&lt;0,E160,E$165-SUM(E$156:E159)))</f>
        <v>8181840</v>
      </c>
      <c r="F172" s="16">
        <f>IF(IF(SUM(F$156:F160)-F$165&lt;0,F160,F$165-SUM(F$156:F159))&lt;0,0,IF(SUM(F$156:F160)-F$165&lt;0,F160,F$165-SUM(F$156:F159)))</f>
        <v>8181840</v>
      </c>
      <c r="G172" s="16">
        <f>IF(IF(SUM(G$156:G160)-G$165&lt;0,G160,G$165-SUM(G$156:G159))&lt;0,0,IF(SUM(G$156:G160)-G$165&lt;0,G160,G$165-SUM(G$156:G159)))</f>
        <v>8181840</v>
      </c>
      <c r="H172" s="16">
        <f>IF(IF(SUM(H$156:H160)-H$165&lt;0,H160,H$165-SUM(H$156:H159))&lt;0,0,IF(SUM(H$156:H160)-H$165&lt;0,H160,H$165-SUM(H$156:H159)))</f>
        <v>8181840</v>
      </c>
      <c r="I172" s="16">
        <f>IF(IF(SUM(I$156:I160)-I$165&lt;0,I160,I$165-SUM(I$156:I159))&lt;0,0,IF(SUM(I$156:I160)-I$165&lt;0,I160,I$165-SUM(I$156:I159)))</f>
        <v>8181840</v>
      </c>
      <c r="J172" s="16">
        <f>IF(IF(SUM(J$156:J160)-J$165&lt;0,J160,J$165-SUM(J$156:J159))&lt;0,0,IF(SUM(J$156:J160)-J$165&lt;0,J160,J$165-SUM(J$156:J159)))</f>
        <v>8181840</v>
      </c>
      <c r="K172" s="16">
        <f>IF(IF(SUM(K$156:K160)-K$165&lt;0,K160,K$165-SUM(K$156:K159))&lt;0,0,IF(SUM(K$156:K160)-K$165&lt;0,K160,K$165-SUM(K$156:K159)))</f>
        <v>8181840</v>
      </c>
      <c r="L172" s="16">
        <f>IF(IF(SUM(L$156:L160)-L$165&lt;0,L160,L$165-SUM(L$156:L159))&lt;0,0,IF(SUM(L$156:L160)-L$165&lt;0,L160,L$165-SUM(L$156:L159)))</f>
        <v>8181840</v>
      </c>
    </row>
    <row r="173" spans="1:12" x14ac:dyDescent="0.25">
      <c r="A173">
        <v>6</v>
      </c>
      <c r="B173" s="16">
        <f>IF(IF(SUM(B$156:B161)-B$165&lt;0,B161,B$165-SUM(B$156:B160))&lt;0,0,IF(SUM(B$156:B161)-B$165&lt;0,B161,B$165-SUM(B$156:B160)))</f>
        <v>18921600</v>
      </c>
      <c r="C173" s="16">
        <f>IF(IF(SUM(C$156:C161)-C$165&lt;0,C161,C$165-SUM(C$156:C160))&lt;0,0,IF(SUM(C$156:C161)-C$165&lt;0,C161,C$165-SUM(C$156:C160)))</f>
        <v>18921600</v>
      </c>
      <c r="D173" s="16">
        <f>IF(IF(SUM(D$156:D161)-D$165&lt;0,D161,D$165-SUM(D$156:D160))&lt;0,0,IF(SUM(D$156:D161)-D$165&lt;0,D161,D$165-SUM(D$156:D160)))</f>
        <v>14191200</v>
      </c>
      <c r="E173" s="16">
        <f>IF(IF(SUM(E$156:E161)-E$165&lt;0,E161,E$165-SUM(E$156:E160))&lt;0,0,IF(SUM(E$156:E161)-E$165&lt;0,E161,E$165-SUM(E$156:E160)))</f>
        <v>9460800</v>
      </c>
      <c r="F173" s="16">
        <f>IF(IF(SUM(F$156:F161)-F$165&lt;0,F161,F$165-SUM(F$156:F160))&lt;0,0,IF(SUM(F$156:F161)-F$165&lt;0,F161,F$165-SUM(F$156:F160)))</f>
        <v>9460800</v>
      </c>
      <c r="G173" s="16">
        <f>IF(IF(SUM(G$156:G161)-G$165&lt;0,G161,G$165-SUM(G$156:G160))&lt;0,0,IF(SUM(G$156:G161)-G$165&lt;0,G161,G$165-SUM(G$156:G160)))</f>
        <v>9460800</v>
      </c>
      <c r="H173" s="16">
        <f>IF(IF(SUM(H$156:H161)-H$165&lt;0,H161,H$165-SUM(H$156:H160))&lt;0,0,IF(SUM(H$156:H161)-H$165&lt;0,H161,H$165-SUM(H$156:H160)))</f>
        <v>9460800</v>
      </c>
      <c r="I173" s="16">
        <f>IF(IF(SUM(I$156:I161)-I$165&lt;0,I161,I$165-SUM(I$156:I160))&lt;0,0,IF(SUM(I$156:I161)-I$165&lt;0,I161,I$165-SUM(I$156:I160)))</f>
        <v>9460800</v>
      </c>
      <c r="J173" s="16">
        <f>IF(IF(SUM(J$156:J161)-J$165&lt;0,J161,J$165-SUM(J$156:J160))&lt;0,0,IF(SUM(J$156:J161)-J$165&lt;0,J161,J$165-SUM(J$156:J160)))</f>
        <v>9460800</v>
      </c>
      <c r="K173" s="16">
        <f>IF(IF(SUM(K$156:K161)-K$165&lt;0,K161,K$165-SUM(K$156:K160))&lt;0,0,IF(SUM(K$156:K161)-K$165&lt;0,K161,K$165-SUM(K$156:K160)))</f>
        <v>9460800</v>
      </c>
      <c r="L173" s="16">
        <f>IF(IF(SUM(L$156:L161)-L$165&lt;0,L161,L$165-SUM(L$156:L160))&lt;0,0,IF(SUM(L$156:L161)-L$165&lt;0,L161,L$165-SUM(L$156:L160)))</f>
        <v>9460800</v>
      </c>
    </row>
    <row r="174" spans="1:12" x14ac:dyDescent="0.25">
      <c r="A174">
        <v>7</v>
      </c>
      <c r="B174" s="16">
        <f>IF(IF(SUM(B$156:B162)-B$165&lt;0,B162,B$165-SUM(B$156:B161))&lt;0,0,IF(SUM(B$156:B162)-B$165&lt;0,B162,B$165-SUM(B$156:B161)))</f>
        <v>18513297</v>
      </c>
      <c r="C174" s="16">
        <f>IF(IF(SUM(C$156:C162)-C$165&lt;0,C162,C$165-SUM(C$156:C161))&lt;0,0,IF(SUM(C$156:C162)-C$165&lt;0,C162,C$165-SUM(C$156:C161)))</f>
        <v>26041295.520000003</v>
      </c>
      <c r="D174" s="16">
        <f>IF(IF(SUM(D$156:D162)-D$165&lt;0,D162,D$165-SUM(D$156:D161))&lt;0,0,IF(SUM(D$156:D162)-D$165&lt;0,D162,D$165-SUM(D$156:D161)))</f>
        <v>27804310.165685203</v>
      </c>
      <c r="E174" s="16">
        <f>IF(IF(SUM(E$156:E162)-E$165&lt;0,E162,E$165-SUM(E$156:E161))&lt;0,0,IF(SUM(E$156:E162)-E$165&lt;0,E162,E$165-SUM(E$156:E161)))</f>
        <v>23851636.788294762</v>
      </c>
      <c r="F174" s="16">
        <f>IF(IF(SUM(F$156:F162)-F$165&lt;0,F162,F$165-SUM(F$156:F161))&lt;0,0,IF(SUM(F$156:F162)-F$165&lt;0,F162,F$165-SUM(F$156:F161)))</f>
        <v>21599424.990007348</v>
      </c>
      <c r="G174" s="16">
        <f>IF(IF(SUM(G$156:G162)-G$165&lt;0,G162,G$165-SUM(G$156:G161))&lt;0,0,IF(SUM(G$156:G162)-G$165&lt;0,G162,G$165-SUM(G$156:G161)))</f>
        <v>19584321.308566473</v>
      </c>
      <c r="H174" s="16">
        <f>IF(IF(SUM(H$156:H162)-H$165&lt;0,H162,H$165-SUM(H$156:H161))&lt;0,0,IF(SUM(H$156:H162)-H$165&lt;0,H162,H$165-SUM(H$156:H161)))</f>
        <v>18089937.463972345</v>
      </c>
      <c r="I174" s="16">
        <f>IF(IF(SUM(I$156:I162)-I$165&lt;0,I162,I$165-SUM(I$156:I161))&lt;0,0,IF(SUM(I$156:I162)-I$165&lt;0,I162,I$165-SUM(I$156:I161)))</f>
        <v>17856566.113877036</v>
      </c>
      <c r="J174" s="16">
        <f>IF(IF(SUM(J$156:J162)-J$165&lt;0,J162,J$165-SUM(J$156:J161))&lt;0,0,IF(SUM(J$156:J162)-J$165&lt;0,J162,J$165-SUM(J$156:J161)))</f>
        <v>17372852.363877036</v>
      </c>
      <c r="K174" s="16">
        <f>IF(IF(SUM(K$156:K162)-K$165&lt;0,K162,K$165-SUM(K$156:K161))&lt;0,0,IF(SUM(K$156:K162)-K$165&lt;0,K162,K$165-SUM(K$156:K161)))</f>
        <v>16811108.613877036</v>
      </c>
      <c r="L174" s="16">
        <f>IF(IF(SUM(L$156:L162)-L$165&lt;0,L162,L$165-SUM(L$156:L161))&lt;0,0,IF(SUM(L$156:L162)-L$165&lt;0,L162,L$165-SUM(L$156:L161)))</f>
        <v>16769564.863877036</v>
      </c>
    </row>
    <row r="176" spans="1:12" x14ac:dyDescent="0.25">
      <c r="A176" s="9" t="s">
        <v>120</v>
      </c>
      <c r="B176" s="9">
        <v>0</v>
      </c>
      <c r="C176" s="9">
        <v>1</v>
      </c>
      <c r="D176" s="9">
        <v>2</v>
      </c>
      <c r="E176" s="9">
        <v>3</v>
      </c>
      <c r="F176" s="9">
        <v>4</v>
      </c>
      <c r="G176" s="9">
        <v>5</v>
      </c>
      <c r="H176" s="9">
        <v>6</v>
      </c>
      <c r="I176" s="9">
        <v>7</v>
      </c>
      <c r="J176" s="9">
        <v>8</v>
      </c>
      <c r="K176" s="9">
        <v>9</v>
      </c>
      <c r="L176" s="9">
        <v>10</v>
      </c>
    </row>
    <row r="177" spans="1:12" x14ac:dyDescent="0.25">
      <c r="A177">
        <v>1</v>
      </c>
      <c r="B177" s="16">
        <f>SUM(B168,B147)</f>
        <v>1752000</v>
      </c>
      <c r="C177" s="16">
        <f t="shared" ref="C177:L177" si="26">SUM(C168,C147)</f>
        <v>1971000</v>
      </c>
      <c r="D177" s="16">
        <f t="shared" si="26"/>
        <v>2835012.4238102059</v>
      </c>
      <c r="E177" s="16">
        <f t="shared" si="26"/>
        <v>5702166.2364167841</v>
      </c>
      <c r="F177" s="16">
        <f t="shared" si="26"/>
        <v>6566622.6515926942</v>
      </c>
      <c r="G177" s="16">
        <f t="shared" si="26"/>
        <v>7350077.1548491297</v>
      </c>
      <c r="H177" s="16">
        <f t="shared" si="26"/>
        <v>7086362.3587442832</v>
      </c>
      <c r="I177" s="16">
        <f t="shared" si="26"/>
        <v>7045179.1793156993</v>
      </c>
      <c r="J177" s="16">
        <f t="shared" si="26"/>
        <v>6959817.9293156993</v>
      </c>
      <c r="K177" s="16">
        <f t="shared" si="26"/>
        <v>6860686.6793156993</v>
      </c>
      <c r="L177" s="16">
        <f t="shared" si="26"/>
        <v>6853355.4293156993</v>
      </c>
    </row>
    <row r="178" spans="1:12" x14ac:dyDescent="0.25">
      <c r="A178">
        <v>2</v>
      </c>
      <c r="B178" s="16">
        <f t="shared" ref="B178:L183" si="27">SUM(B169,B148)</f>
        <v>451665.6</v>
      </c>
      <c r="C178" s="16">
        <f t="shared" si="27"/>
        <v>451665.6</v>
      </c>
      <c r="D178" s="16">
        <f t="shared" si="27"/>
        <v>617949.80285827105</v>
      </c>
      <c r="E178" s="16">
        <f t="shared" si="27"/>
        <v>1300643.8557482469</v>
      </c>
      <c r="F178" s="16">
        <f t="shared" si="27"/>
        <v>1417784.8254371637</v>
      </c>
      <c r="G178" s="16">
        <f t="shared" si="27"/>
        <v>1417784.8254371637</v>
      </c>
      <c r="H178" s="16">
        <f t="shared" si="27"/>
        <v>1417784.8254371637</v>
      </c>
      <c r="I178" s="16">
        <f t="shared" si="27"/>
        <v>1417784.8254371637</v>
      </c>
      <c r="J178" s="16">
        <f t="shared" si="27"/>
        <v>1417784.8254371637</v>
      </c>
      <c r="K178" s="16">
        <f t="shared" si="27"/>
        <v>1417784.8254371637</v>
      </c>
      <c r="L178" s="16">
        <f t="shared" si="27"/>
        <v>1417784.8254371637</v>
      </c>
    </row>
    <row r="179" spans="1:12" x14ac:dyDescent="0.25">
      <c r="A179">
        <v>3</v>
      </c>
      <c r="B179" s="16">
        <f t="shared" si="27"/>
        <v>765974.39999999991</v>
      </c>
      <c r="C179" s="16">
        <f t="shared" si="27"/>
        <v>765974.39999999991</v>
      </c>
      <c r="D179" s="16">
        <f t="shared" si="27"/>
        <v>1047973.8316898219</v>
      </c>
      <c r="E179" s="16">
        <f t="shared" si="27"/>
        <v>2205746.6785614179</v>
      </c>
      <c r="F179" s="16">
        <f t="shared" si="27"/>
        <v>2404404.6768080993</v>
      </c>
      <c r="G179" s="16">
        <f t="shared" si="27"/>
        <v>2404404.6768080993</v>
      </c>
      <c r="H179" s="16">
        <f t="shared" si="27"/>
        <v>2404404.6768080993</v>
      </c>
      <c r="I179" s="16">
        <f t="shared" si="27"/>
        <v>2404404.6768080993</v>
      </c>
      <c r="J179" s="16">
        <f t="shared" si="27"/>
        <v>2404404.6768080993</v>
      </c>
      <c r="K179" s="16">
        <f t="shared" si="27"/>
        <v>2404404.6768080993</v>
      </c>
      <c r="L179" s="16">
        <f t="shared" si="27"/>
        <v>2404404.6768080993</v>
      </c>
    </row>
    <row r="180" spans="1:12" x14ac:dyDescent="0.25">
      <c r="A180">
        <v>4</v>
      </c>
      <c r="B180" s="16">
        <f t="shared" si="27"/>
        <v>601286.40000000002</v>
      </c>
      <c r="C180" s="16">
        <f t="shared" si="27"/>
        <v>601286.40000000002</v>
      </c>
      <c r="D180" s="16">
        <f t="shared" si="27"/>
        <v>601286.40000000002</v>
      </c>
      <c r="E180" s="16">
        <f t="shared" si="27"/>
        <v>601286.40000000002</v>
      </c>
      <c r="F180" s="16">
        <f t="shared" si="27"/>
        <v>601286.40000000002</v>
      </c>
      <c r="G180" s="16">
        <f t="shared" si="27"/>
        <v>601286.40000000002</v>
      </c>
      <c r="H180" s="16">
        <f t="shared" si="27"/>
        <v>601286.40000000002</v>
      </c>
      <c r="I180" s="16">
        <f t="shared" si="27"/>
        <v>601286.40000000002</v>
      </c>
      <c r="J180" s="16">
        <f t="shared" si="27"/>
        <v>601286.40000000002</v>
      </c>
      <c r="K180" s="16">
        <f t="shared" si="27"/>
        <v>601286.40000000002</v>
      </c>
      <c r="L180" s="16">
        <f t="shared" si="27"/>
        <v>601286.40000000002</v>
      </c>
    </row>
    <row r="181" spans="1:12" x14ac:dyDescent="0.25">
      <c r="A181">
        <v>5</v>
      </c>
      <c r="B181" s="16">
        <f t="shared" si="27"/>
        <v>16363680</v>
      </c>
      <c r="C181" s="16">
        <f t="shared" si="27"/>
        <v>8181840</v>
      </c>
      <c r="D181" s="16">
        <f t="shared" si="27"/>
        <v>8181840</v>
      </c>
      <c r="E181" s="16">
        <f t="shared" si="27"/>
        <v>8181840</v>
      </c>
      <c r="F181" s="16">
        <f t="shared" si="27"/>
        <v>8181840</v>
      </c>
      <c r="G181" s="16">
        <f t="shared" si="27"/>
        <v>8181840</v>
      </c>
      <c r="H181" s="16">
        <f t="shared" si="27"/>
        <v>8181840</v>
      </c>
      <c r="I181" s="16">
        <f t="shared" si="27"/>
        <v>8181840</v>
      </c>
      <c r="J181" s="16">
        <f t="shared" si="27"/>
        <v>8181840</v>
      </c>
      <c r="K181" s="16">
        <f t="shared" si="27"/>
        <v>8181840</v>
      </c>
      <c r="L181" s="16">
        <f t="shared" si="27"/>
        <v>8181840</v>
      </c>
    </row>
    <row r="182" spans="1:12" x14ac:dyDescent="0.25">
      <c r="A182">
        <v>6</v>
      </c>
      <c r="B182" s="16">
        <f t="shared" si="27"/>
        <v>18921600</v>
      </c>
      <c r="C182" s="16">
        <f t="shared" si="27"/>
        <v>18921600</v>
      </c>
      <c r="D182" s="16">
        <f t="shared" si="27"/>
        <v>14191200</v>
      </c>
      <c r="E182" s="16">
        <f t="shared" si="27"/>
        <v>9460800</v>
      </c>
      <c r="F182" s="16">
        <f t="shared" si="27"/>
        <v>9460800</v>
      </c>
      <c r="G182" s="16">
        <f t="shared" si="27"/>
        <v>9460800</v>
      </c>
      <c r="H182" s="16">
        <f t="shared" si="27"/>
        <v>9460800</v>
      </c>
      <c r="I182" s="16">
        <f t="shared" si="27"/>
        <v>9460800</v>
      </c>
      <c r="J182" s="16">
        <f t="shared" si="27"/>
        <v>9460800</v>
      </c>
      <c r="K182" s="16">
        <f t="shared" si="27"/>
        <v>9460800</v>
      </c>
      <c r="L182" s="16">
        <f t="shared" si="27"/>
        <v>9460800</v>
      </c>
    </row>
    <row r="183" spans="1:12" x14ac:dyDescent="0.25">
      <c r="A183">
        <v>7</v>
      </c>
      <c r="B183" s="16">
        <f t="shared" si="27"/>
        <v>18513297</v>
      </c>
      <c r="C183" s="16">
        <f t="shared" si="27"/>
        <v>26041295.520000003</v>
      </c>
      <c r="D183" s="16">
        <f t="shared" si="27"/>
        <v>27804310.165685203</v>
      </c>
      <c r="E183" s="16">
        <f t="shared" si="27"/>
        <v>23851636.788294762</v>
      </c>
      <c r="F183" s="16">
        <f t="shared" si="27"/>
        <v>21599424.990007348</v>
      </c>
      <c r="G183" s="16">
        <f t="shared" si="27"/>
        <v>19584321.308566473</v>
      </c>
      <c r="H183" s="16">
        <f t="shared" si="27"/>
        <v>18089937.463972345</v>
      </c>
      <c r="I183" s="16">
        <f t="shared" si="27"/>
        <v>17856566.113877036</v>
      </c>
      <c r="J183" s="16">
        <f t="shared" si="27"/>
        <v>17372852.363877036</v>
      </c>
      <c r="K183" s="16">
        <f t="shared" si="27"/>
        <v>16811108.613877036</v>
      </c>
      <c r="L183" s="16">
        <f t="shared" si="27"/>
        <v>16769564.863877036</v>
      </c>
    </row>
    <row r="185" spans="1:12" x14ac:dyDescent="0.25">
      <c r="A185" s="9" t="s">
        <v>126</v>
      </c>
      <c r="B185" s="9">
        <v>0</v>
      </c>
      <c r="C185" s="9">
        <v>1</v>
      </c>
      <c r="D185" s="9">
        <v>2</v>
      </c>
      <c r="E185" s="9">
        <v>3</v>
      </c>
      <c r="F185" s="9">
        <v>4</v>
      </c>
      <c r="G185" s="9">
        <v>5</v>
      </c>
      <c r="H185" s="9">
        <v>6</v>
      </c>
      <c r="I185" s="9">
        <v>7</v>
      </c>
      <c r="J185" s="9">
        <v>8</v>
      </c>
      <c r="K185" s="9">
        <v>9</v>
      </c>
      <c r="L185" s="9">
        <v>10</v>
      </c>
    </row>
    <row r="186" spans="1:12" x14ac:dyDescent="0.25">
      <c r="A186" t="s">
        <v>7</v>
      </c>
      <c r="B186" s="33">
        <f t="shared" ref="B186:L192" si="28">INDEX(B$177:B$183,MATCH($A186,B$63:B$69,0),1)</f>
        <v>18921600</v>
      </c>
      <c r="C186" s="33">
        <f t="shared" si="28"/>
        <v>18921600</v>
      </c>
      <c r="D186" s="33">
        <f t="shared" si="28"/>
        <v>14191200</v>
      </c>
      <c r="E186" s="33">
        <f t="shared" si="28"/>
        <v>9460800</v>
      </c>
      <c r="F186" s="33">
        <f t="shared" si="28"/>
        <v>9460800</v>
      </c>
      <c r="G186" s="33">
        <f t="shared" si="28"/>
        <v>9460800</v>
      </c>
      <c r="H186" s="33">
        <f t="shared" si="28"/>
        <v>9460800</v>
      </c>
      <c r="I186" s="33">
        <f t="shared" si="28"/>
        <v>9460800</v>
      </c>
      <c r="J186" s="33">
        <f t="shared" si="28"/>
        <v>9460800</v>
      </c>
      <c r="K186" s="33">
        <f t="shared" si="28"/>
        <v>9460800</v>
      </c>
      <c r="L186" s="33">
        <f t="shared" si="28"/>
        <v>9460800</v>
      </c>
    </row>
    <row r="187" spans="1:12" x14ac:dyDescent="0.25">
      <c r="A187" t="s">
        <v>8</v>
      </c>
      <c r="B187" s="33">
        <f t="shared" si="28"/>
        <v>18513297</v>
      </c>
      <c r="C187" s="33">
        <f t="shared" si="28"/>
        <v>26041295.520000003</v>
      </c>
      <c r="D187" s="33">
        <f t="shared" si="28"/>
        <v>27804310.165685203</v>
      </c>
      <c r="E187" s="33">
        <f t="shared" si="28"/>
        <v>23851636.788294762</v>
      </c>
      <c r="F187" s="33">
        <f t="shared" si="28"/>
        <v>21599424.990007348</v>
      </c>
      <c r="G187" s="33">
        <f t="shared" si="28"/>
        <v>19584321.308566473</v>
      </c>
      <c r="H187" s="33">
        <f t="shared" si="28"/>
        <v>18089937.463972345</v>
      </c>
      <c r="I187" s="33">
        <f t="shared" si="28"/>
        <v>17856566.113877036</v>
      </c>
      <c r="J187" s="33">
        <f t="shared" si="28"/>
        <v>17372852.363877036</v>
      </c>
      <c r="K187" s="33">
        <f t="shared" si="28"/>
        <v>16811108.613877036</v>
      </c>
      <c r="L187" s="33">
        <f t="shared" si="28"/>
        <v>16769564.863877036</v>
      </c>
    </row>
    <row r="188" spans="1:12" x14ac:dyDescent="0.25">
      <c r="A188" t="s">
        <v>13</v>
      </c>
      <c r="B188" s="33">
        <f t="shared" si="28"/>
        <v>16363680</v>
      </c>
      <c r="C188" s="33">
        <f t="shared" si="28"/>
        <v>8181840</v>
      </c>
      <c r="D188" s="33">
        <f t="shared" si="28"/>
        <v>8181840</v>
      </c>
      <c r="E188" s="33">
        <f t="shared" si="28"/>
        <v>8181840</v>
      </c>
      <c r="F188" s="33">
        <f t="shared" si="28"/>
        <v>8181840</v>
      </c>
      <c r="G188" s="33">
        <f t="shared" si="28"/>
        <v>8181840</v>
      </c>
      <c r="H188" s="33">
        <f t="shared" si="28"/>
        <v>8181840</v>
      </c>
      <c r="I188" s="33">
        <f t="shared" si="28"/>
        <v>8181840</v>
      </c>
      <c r="J188" s="33">
        <f t="shared" si="28"/>
        <v>8181840</v>
      </c>
      <c r="K188" s="33">
        <f t="shared" si="28"/>
        <v>8181840</v>
      </c>
      <c r="L188" s="33">
        <f t="shared" si="28"/>
        <v>8181840</v>
      </c>
    </row>
    <row r="189" spans="1:12" x14ac:dyDescent="0.25">
      <c r="A189" t="s">
        <v>9</v>
      </c>
      <c r="B189" s="33">
        <f t="shared" si="28"/>
        <v>451665.6</v>
      </c>
      <c r="C189" s="33">
        <f t="shared" si="28"/>
        <v>451665.6</v>
      </c>
      <c r="D189" s="33">
        <f t="shared" si="28"/>
        <v>617949.80285827105</v>
      </c>
      <c r="E189" s="33">
        <f t="shared" si="28"/>
        <v>1300643.8557482469</v>
      </c>
      <c r="F189" s="33">
        <f t="shared" si="28"/>
        <v>1417784.8254371637</v>
      </c>
      <c r="G189" s="33">
        <f t="shared" si="28"/>
        <v>1417784.8254371637</v>
      </c>
      <c r="H189" s="33">
        <f t="shared" si="28"/>
        <v>1417784.8254371637</v>
      </c>
      <c r="I189" s="33">
        <f t="shared" si="28"/>
        <v>1417784.8254371637</v>
      </c>
      <c r="J189" s="33">
        <f t="shared" si="28"/>
        <v>1417784.8254371637</v>
      </c>
      <c r="K189" s="33">
        <f t="shared" si="28"/>
        <v>1417784.8254371637</v>
      </c>
      <c r="L189" s="33">
        <f t="shared" si="28"/>
        <v>1417784.8254371637</v>
      </c>
    </row>
    <row r="190" spans="1:12" x14ac:dyDescent="0.25">
      <c r="A190" t="s">
        <v>10</v>
      </c>
      <c r="B190" s="33">
        <f t="shared" si="28"/>
        <v>765974.39999999991</v>
      </c>
      <c r="C190" s="33">
        <f t="shared" si="28"/>
        <v>765974.39999999991</v>
      </c>
      <c r="D190" s="33">
        <f t="shared" si="28"/>
        <v>1047973.8316898219</v>
      </c>
      <c r="E190" s="33">
        <f t="shared" si="28"/>
        <v>2205746.6785614179</v>
      </c>
      <c r="F190" s="33">
        <f t="shared" si="28"/>
        <v>2404404.6768080993</v>
      </c>
      <c r="G190" s="33">
        <f t="shared" si="28"/>
        <v>2404404.6768080993</v>
      </c>
      <c r="H190" s="33">
        <f t="shared" si="28"/>
        <v>2404404.6768080993</v>
      </c>
      <c r="I190" s="33">
        <f t="shared" si="28"/>
        <v>2404404.6768080993</v>
      </c>
      <c r="J190" s="33">
        <f t="shared" si="28"/>
        <v>2404404.6768080993</v>
      </c>
      <c r="K190" s="33">
        <f t="shared" si="28"/>
        <v>2404404.6768080993</v>
      </c>
      <c r="L190" s="33">
        <f t="shared" si="28"/>
        <v>2404404.6768080993</v>
      </c>
    </row>
    <row r="191" spans="1:12" x14ac:dyDescent="0.25">
      <c r="A191" t="s">
        <v>11</v>
      </c>
      <c r="B191" s="33">
        <f t="shared" si="28"/>
        <v>601286.40000000002</v>
      </c>
      <c r="C191" s="33">
        <f t="shared" si="28"/>
        <v>601286.40000000002</v>
      </c>
      <c r="D191" s="33">
        <f t="shared" si="28"/>
        <v>601286.40000000002</v>
      </c>
      <c r="E191" s="33">
        <f t="shared" si="28"/>
        <v>601286.40000000002</v>
      </c>
      <c r="F191" s="33">
        <f t="shared" si="28"/>
        <v>601286.40000000002</v>
      </c>
      <c r="G191" s="33">
        <f t="shared" si="28"/>
        <v>601286.40000000002</v>
      </c>
      <c r="H191" s="33">
        <f t="shared" si="28"/>
        <v>601286.40000000002</v>
      </c>
      <c r="I191" s="33">
        <f t="shared" si="28"/>
        <v>601286.40000000002</v>
      </c>
      <c r="J191" s="33">
        <f t="shared" si="28"/>
        <v>601286.40000000002</v>
      </c>
      <c r="K191" s="33">
        <f t="shared" si="28"/>
        <v>601286.40000000002</v>
      </c>
      <c r="L191" s="33">
        <f t="shared" si="28"/>
        <v>601286.40000000002</v>
      </c>
    </row>
    <row r="192" spans="1:12" x14ac:dyDescent="0.25">
      <c r="A192" t="s">
        <v>12</v>
      </c>
      <c r="B192" s="33">
        <f t="shared" si="28"/>
        <v>1752000</v>
      </c>
      <c r="C192" s="33">
        <f t="shared" si="28"/>
        <v>1971000</v>
      </c>
      <c r="D192" s="33">
        <f t="shared" si="28"/>
        <v>2835012.4238102059</v>
      </c>
      <c r="E192" s="33">
        <f t="shared" si="28"/>
        <v>5702166.2364167841</v>
      </c>
      <c r="F192" s="33">
        <f t="shared" si="28"/>
        <v>6566622.6515926942</v>
      </c>
      <c r="G192" s="33">
        <f t="shared" si="28"/>
        <v>7350077.1548491297</v>
      </c>
      <c r="H192" s="33">
        <f t="shared" si="28"/>
        <v>7086362.3587442832</v>
      </c>
      <c r="I192" s="33">
        <f t="shared" si="28"/>
        <v>7045179.1793156993</v>
      </c>
      <c r="J192" s="33">
        <f t="shared" si="28"/>
        <v>6959817.9293156993</v>
      </c>
      <c r="K192" s="33">
        <f t="shared" si="28"/>
        <v>6860686.6793156993</v>
      </c>
      <c r="L192" s="33">
        <f t="shared" si="28"/>
        <v>6853355.4293156993</v>
      </c>
    </row>
    <row r="193" spans="1:12" x14ac:dyDescent="0.25">
      <c r="A193" s="62"/>
      <c r="B193" s="7"/>
      <c r="C193" s="7"/>
      <c r="D193" s="7"/>
      <c r="E193" s="7"/>
      <c r="F193" s="7"/>
      <c r="G193" s="7"/>
      <c r="H193" s="7"/>
      <c r="I193" s="7"/>
      <c r="J193" s="7"/>
      <c r="K193" s="7"/>
      <c r="L193" s="7"/>
    </row>
    <row r="194" spans="1:12" x14ac:dyDescent="0.25">
      <c r="A194" s="9" t="s">
        <v>123</v>
      </c>
      <c r="B194" s="9">
        <v>0</v>
      </c>
      <c r="C194" s="9">
        <v>1</v>
      </c>
      <c r="D194" s="9">
        <v>2</v>
      </c>
      <c r="E194" s="9">
        <v>3</v>
      </c>
      <c r="F194" s="9">
        <v>4</v>
      </c>
      <c r="G194" s="9">
        <v>5</v>
      </c>
      <c r="H194" s="9">
        <v>6</v>
      </c>
      <c r="I194" s="9">
        <v>7</v>
      </c>
      <c r="J194" s="9">
        <v>8</v>
      </c>
      <c r="K194" s="9">
        <v>9</v>
      </c>
      <c r="L194" s="9">
        <v>10</v>
      </c>
    </row>
    <row r="195" spans="1:12" x14ac:dyDescent="0.25">
      <c r="A195" t="s">
        <v>7</v>
      </c>
      <c r="B195" s="33">
        <f>B186*'Game Assumptions'!$B54</f>
        <v>160265952</v>
      </c>
      <c r="C195" s="33">
        <f>C186*'Game Assumptions'!$B54</f>
        <v>160265952</v>
      </c>
      <c r="D195" s="33">
        <f>D186*'Game Assumptions'!$B54</f>
        <v>120199464.00000001</v>
      </c>
      <c r="E195" s="33">
        <f>E186*'Game Assumptions'!$B54</f>
        <v>80132976</v>
      </c>
      <c r="F195" s="33">
        <f>F186*'Game Assumptions'!$B54</f>
        <v>80132976</v>
      </c>
      <c r="G195" s="33">
        <f>G186*'Game Assumptions'!$B54</f>
        <v>80132976</v>
      </c>
      <c r="H195" s="33">
        <f>H186*'Game Assumptions'!$B54</f>
        <v>80132976</v>
      </c>
      <c r="I195" s="33">
        <f>I186*'Game Assumptions'!$B54</f>
        <v>80132976</v>
      </c>
      <c r="J195" s="33">
        <f>J186*'Game Assumptions'!$B54</f>
        <v>80132976</v>
      </c>
      <c r="K195" s="33">
        <f>K186*'Game Assumptions'!$B54</f>
        <v>80132976</v>
      </c>
      <c r="L195" s="33">
        <f>L186*'Game Assumptions'!$B54</f>
        <v>80132976</v>
      </c>
    </row>
    <row r="196" spans="1:12" x14ac:dyDescent="0.25">
      <c r="A196" t="s">
        <v>8</v>
      </c>
      <c r="B196" s="33">
        <f>B187*'Game Assumptions'!$B55</f>
        <v>117744568.92</v>
      </c>
      <c r="C196" s="33">
        <f>C187*'Game Assumptions'!$B55</f>
        <v>165622639.50720003</v>
      </c>
      <c r="D196" s="33">
        <f>D187*'Game Assumptions'!$B55</f>
        <v>176835412.6537579</v>
      </c>
      <c r="E196" s="33">
        <f>E187*'Game Assumptions'!$B55</f>
        <v>151696409.9735547</v>
      </c>
      <c r="F196" s="33">
        <f>F187*'Game Assumptions'!$B55</f>
        <v>137372342.93644676</v>
      </c>
      <c r="G196" s="33">
        <f>G187*'Game Assumptions'!$B55</f>
        <v>124556283.52248278</v>
      </c>
      <c r="H196" s="33">
        <f>H187*'Game Assumptions'!$B55</f>
        <v>115052002.27086411</v>
      </c>
      <c r="I196" s="33">
        <f>I187*'Game Assumptions'!$B55</f>
        <v>113567760.48425795</v>
      </c>
      <c r="J196" s="33">
        <f>J187*'Game Assumptions'!$B55</f>
        <v>110491341.03425795</v>
      </c>
      <c r="K196" s="33">
        <f>K187*'Game Assumptions'!$B55</f>
        <v>106918650.78425795</v>
      </c>
      <c r="L196" s="33">
        <f>L187*'Game Assumptions'!$B55</f>
        <v>106654432.53425795</v>
      </c>
    </row>
    <row r="197" spans="1:12" x14ac:dyDescent="0.25">
      <c r="A197" t="s">
        <v>13</v>
      </c>
      <c r="B197" s="33">
        <f>B188*'Game Assumptions'!$B56</f>
        <v>171164092.80000001</v>
      </c>
      <c r="C197" s="33">
        <f>C188*'Game Assumptions'!$B56</f>
        <v>85582046.400000006</v>
      </c>
      <c r="D197" s="33">
        <f>D188*'Game Assumptions'!$B56</f>
        <v>85582046.400000006</v>
      </c>
      <c r="E197" s="33">
        <f>E188*'Game Assumptions'!$B56</f>
        <v>85582046.400000006</v>
      </c>
      <c r="F197" s="33">
        <f>F188*'Game Assumptions'!$B56</f>
        <v>85582046.400000006</v>
      </c>
      <c r="G197" s="33">
        <f>G188*'Game Assumptions'!$B56</f>
        <v>85582046.400000006</v>
      </c>
      <c r="H197" s="33">
        <f>H188*'Game Assumptions'!$B56</f>
        <v>85582046.400000006</v>
      </c>
      <c r="I197" s="33">
        <f>I188*'Game Assumptions'!$B56</f>
        <v>85582046.400000006</v>
      </c>
      <c r="J197" s="33">
        <f>J188*'Game Assumptions'!$B56</f>
        <v>85582046.400000006</v>
      </c>
      <c r="K197" s="33">
        <f>K188*'Game Assumptions'!$B56</f>
        <v>85582046.400000006</v>
      </c>
      <c r="L197" s="33">
        <f>L188*'Game Assumptions'!$B56</f>
        <v>85582046.400000006</v>
      </c>
    </row>
    <row r="198" spans="1:12" x14ac:dyDescent="0.25">
      <c r="A198" t="s">
        <v>9</v>
      </c>
      <c r="B198" s="33">
        <f>B189*'Game Assumptions'!$B57</f>
        <v>0</v>
      </c>
      <c r="C198" s="33">
        <f>C189*'Game Assumptions'!$B57</f>
        <v>0</v>
      </c>
      <c r="D198" s="33">
        <f>D189*'Game Assumptions'!$B57</f>
        <v>0</v>
      </c>
      <c r="E198" s="33">
        <f>E189*'Game Assumptions'!$B57</f>
        <v>0</v>
      </c>
      <c r="F198" s="33">
        <f>F189*'Game Assumptions'!$B57</f>
        <v>0</v>
      </c>
      <c r="G198" s="33">
        <f>G189*'Game Assumptions'!$B57</f>
        <v>0</v>
      </c>
      <c r="H198" s="33">
        <f>H189*'Game Assumptions'!$B57</f>
        <v>0</v>
      </c>
      <c r="I198" s="33">
        <f>I189*'Game Assumptions'!$B57</f>
        <v>0</v>
      </c>
      <c r="J198" s="33">
        <f>J189*'Game Assumptions'!$B57</f>
        <v>0</v>
      </c>
      <c r="K198" s="33">
        <f>K189*'Game Assumptions'!$B57</f>
        <v>0</v>
      </c>
      <c r="L198" s="33">
        <f>L189*'Game Assumptions'!$B57</f>
        <v>0</v>
      </c>
    </row>
    <row r="199" spans="1:12" x14ac:dyDescent="0.25">
      <c r="A199" t="s">
        <v>10</v>
      </c>
      <c r="B199" s="33">
        <f>B190*'Game Assumptions'!$B58</f>
        <v>0</v>
      </c>
      <c r="C199" s="33">
        <f>C190*'Game Assumptions'!$B58</f>
        <v>0</v>
      </c>
      <c r="D199" s="33">
        <f>D190*'Game Assumptions'!$B58</f>
        <v>0</v>
      </c>
      <c r="E199" s="33">
        <f>E190*'Game Assumptions'!$B58</f>
        <v>0</v>
      </c>
      <c r="F199" s="33">
        <f>F190*'Game Assumptions'!$B58</f>
        <v>0</v>
      </c>
      <c r="G199" s="33">
        <f>G190*'Game Assumptions'!$B58</f>
        <v>0</v>
      </c>
      <c r="H199" s="33">
        <f>H190*'Game Assumptions'!$B58</f>
        <v>0</v>
      </c>
      <c r="I199" s="33">
        <f>I190*'Game Assumptions'!$B58</f>
        <v>0</v>
      </c>
      <c r="J199" s="33">
        <f>J190*'Game Assumptions'!$B58</f>
        <v>0</v>
      </c>
      <c r="K199" s="33">
        <f>K190*'Game Assumptions'!$B58</f>
        <v>0</v>
      </c>
      <c r="L199" s="33">
        <f>L190*'Game Assumptions'!$B58</f>
        <v>0</v>
      </c>
    </row>
    <row r="200" spans="1:12" x14ac:dyDescent="0.25">
      <c r="A200" t="s">
        <v>11</v>
      </c>
      <c r="B200" s="33">
        <f>B191*'Game Assumptions'!$B59</f>
        <v>0</v>
      </c>
      <c r="C200" s="33">
        <f>C191*'Game Assumptions'!$B59</f>
        <v>0</v>
      </c>
      <c r="D200" s="33">
        <f>D191*'Game Assumptions'!$B59</f>
        <v>0</v>
      </c>
      <c r="E200" s="33">
        <f>E191*'Game Assumptions'!$B59</f>
        <v>0</v>
      </c>
      <c r="F200" s="33">
        <f>F191*'Game Assumptions'!$B59</f>
        <v>0</v>
      </c>
      <c r="G200" s="33">
        <f>G191*'Game Assumptions'!$B59</f>
        <v>0</v>
      </c>
      <c r="H200" s="33">
        <f>H191*'Game Assumptions'!$B59</f>
        <v>0</v>
      </c>
      <c r="I200" s="33">
        <f>I191*'Game Assumptions'!$B59</f>
        <v>0</v>
      </c>
      <c r="J200" s="33">
        <f>J191*'Game Assumptions'!$B59</f>
        <v>0</v>
      </c>
      <c r="K200" s="33">
        <f>K191*'Game Assumptions'!$B59</f>
        <v>0</v>
      </c>
      <c r="L200" s="33">
        <f>L191*'Game Assumptions'!$B59</f>
        <v>0</v>
      </c>
    </row>
    <row r="201" spans="1:12" x14ac:dyDescent="0.25">
      <c r="A201" t="s">
        <v>12</v>
      </c>
      <c r="B201" s="33">
        <f>B192*'Game Assumptions'!$B60</f>
        <v>0</v>
      </c>
      <c r="C201" s="33">
        <f>C192*'Game Assumptions'!$B60</f>
        <v>0</v>
      </c>
      <c r="D201" s="33">
        <f>D192*'Game Assumptions'!$B60</f>
        <v>0</v>
      </c>
      <c r="E201" s="33">
        <f>E192*'Game Assumptions'!$B60</f>
        <v>0</v>
      </c>
      <c r="F201" s="33">
        <f>F192*'Game Assumptions'!$B60</f>
        <v>0</v>
      </c>
      <c r="G201" s="33">
        <f>G192*'Game Assumptions'!$B60</f>
        <v>0</v>
      </c>
      <c r="H201" s="33">
        <f>H192*'Game Assumptions'!$B60</f>
        <v>0</v>
      </c>
      <c r="I201" s="33">
        <f>I192*'Game Assumptions'!$B60</f>
        <v>0</v>
      </c>
      <c r="J201" s="33">
        <f>J192*'Game Assumptions'!$B60</f>
        <v>0</v>
      </c>
      <c r="K201" s="33">
        <f>K192*'Game Assumptions'!$B60</f>
        <v>0</v>
      </c>
      <c r="L201" s="33">
        <f>L192*'Game Assumptions'!$B60</f>
        <v>0</v>
      </c>
    </row>
    <row r="203" spans="1:12" x14ac:dyDescent="0.25">
      <c r="A203" s="13" t="s">
        <v>130</v>
      </c>
      <c r="B203" s="14"/>
      <c r="C203" s="14"/>
      <c r="D203" s="14"/>
      <c r="E203" s="14"/>
    </row>
    <row r="204" spans="1:12" x14ac:dyDescent="0.25">
      <c r="A204" t="s">
        <v>60</v>
      </c>
      <c r="B204" t="s">
        <v>31</v>
      </c>
      <c r="C204" t="s">
        <v>29</v>
      </c>
      <c r="D204" t="s">
        <v>28</v>
      </c>
      <c r="E204" t="s">
        <v>30</v>
      </c>
    </row>
    <row r="205" spans="1:12" x14ac:dyDescent="0.25">
      <c r="A205" t="str">
        <f>INDEX($B$63:$L$69,1,MATCH($N$1,$B$62:$L$62,0))</f>
        <v>EE</v>
      </c>
      <c r="B205">
        <v>0</v>
      </c>
      <c r="C205" s="15">
        <f t="shared" ref="C205:C218" si="29">INDEX($B$45:$L$51,MATCH($A205,$A$45:$A$51,0),MATCH($N$1,$B$44:$L$44,0))</f>
        <v>0</v>
      </c>
      <c r="D205">
        <f t="shared" ref="D205:D218" si="30">INDEX($B$144:$L$144,1,MATCH($N$1,$B$143:$L$143,0))</f>
        <v>57369503.399999999</v>
      </c>
      <c r="E205">
        <f>C205</f>
        <v>0</v>
      </c>
    </row>
    <row r="206" spans="1:12" x14ac:dyDescent="0.25">
      <c r="A206" t="str">
        <f>INDEX($B$63:$L$69,1,MATCH($N$1,$B$62:$L$62,0))</f>
        <v>EE</v>
      </c>
      <c r="B206" s="64">
        <f>INDEX($B$2:$L$8,MATCH($A206,$A$2:$A$8,0),MATCH($N$1,$B$1:$L$1,0))</f>
        <v>1752000</v>
      </c>
      <c r="C206" s="15">
        <f t="shared" si="29"/>
        <v>0</v>
      </c>
      <c r="D206">
        <f t="shared" si="30"/>
        <v>57369503.399999999</v>
      </c>
      <c r="E206">
        <f t="shared" ref="E206:E218" si="31">C206</f>
        <v>0</v>
      </c>
    </row>
    <row r="207" spans="1:12" x14ac:dyDescent="0.25">
      <c r="A207" t="str">
        <f>INDEX($B$63:$L$69,2,MATCH($N$1,$B$62:$L$62,0))</f>
        <v>solar</v>
      </c>
      <c r="B207" s="64">
        <f>B206</f>
        <v>1752000</v>
      </c>
      <c r="C207" s="15">
        <f t="shared" si="29"/>
        <v>0.01</v>
      </c>
      <c r="D207">
        <f t="shared" si="30"/>
        <v>57369503.399999999</v>
      </c>
      <c r="E207">
        <f t="shared" si="31"/>
        <v>0.01</v>
      </c>
    </row>
    <row r="208" spans="1:12" x14ac:dyDescent="0.25">
      <c r="A208" t="str">
        <f>INDEX($B$63:$L$69,2,MATCH($N$1,$B$62:$L$62,0))</f>
        <v>solar</v>
      </c>
      <c r="B208" s="64">
        <f>INDEX($B$2:$L$8,MATCH($A208,$A$2:$A$8,0),MATCH($N$1,$B$1:$L$1,0))+B207</f>
        <v>2203665.6</v>
      </c>
      <c r="C208" s="15">
        <f t="shared" si="29"/>
        <v>0.01</v>
      </c>
      <c r="D208">
        <f t="shared" si="30"/>
        <v>57369503.399999999</v>
      </c>
      <c r="E208">
        <f t="shared" si="31"/>
        <v>0.01</v>
      </c>
    </row>
    <row r="209" spans="1:5" x14ac:dyDescent="0.25">
      <c r="A209" t="str">
        <f>INDEX($B$63:$L$69,3,MATCH($N$1,$B$62:$L$62,0))</f>
        <v>wind</v>
      </c>
      <c r="B209" s="64">
        <f>B208</f>
        <v>2203665.6</v>
      </c>
      <c r="C209" s="15">
        <f t="shared" si="29"/>
        <v>0.02</v>
      </c>
      <c r="D209">
        <f t="shared" si="30"/>
        <v>57369503.399999999</v>
      </c>
      <c r="E209">
        <f t="shared" si="31"/>
        <v>0.02</v>
      </c>
    </row>
    <row r="210" spans="1:5" x14ac:dyDescent="0.25">
      <c r="A210" t="str">
        <f>INDEX($B$63:$L$69,3,MATCH($N$1,$B$62:$L$62,0))</f>
        <v>wind</v>
      </c>
      <c r="B210" s="64">
        <f>INDEX($B$2:$L$8,MATCH($A210,$A$2:$A$8,0),MATCH($N$1,$B$1:$L$1,0))+B209</f>
        <v>2969640</v>
      </c>
      <c r="C210" s="15">
        <f t="shared" si="29"/>
        <v>0.02</v>
      </c>
      <c r="D210">
        <f t="shared" si="30"/>
        <v>57369503.399999999</v>
      </c>
      <c r="E210">
        <f t="shared" si="31"/>
        <v>0.02</v>
      </c>
    </row>
    <row r="211" spans="1:5" x14ac:dyDescent="0.25">
      <c r="A211" t="str">
        <f>INDEX($B$63:$L$69,4,MATCH($N$1,$B$62:$L$62,0))</f>
        <v>hydro</v>
      </c>
      <c r="B211" s="64">
        <f>B210</f>
        <v>2969640</v>
      </c>
      <c r="C211" s="15">
        <f t="shared" si="29"/>
        <v>0.03</v>
      </c>
      <c r="D211">
        <f t="shared" si="30"/>
        <v>57369503.399999999</v>
      </c>
      <c r="E211">
        <f t="shared" si="31"/>
        <v>0.03</v>
      </c>
    </row>
    <row r="212" spans="1:5" x14ac:dyDescent="0.25">
      <c r="A212" t="str">
        <f>INDEX($B$63:$L$69,4,MATCH($N$1,$B$62:$L$62,0))</f>
        <v>hydro</v>
      </c>
      <c r="B212" s="64">
        <f>INDEX($B$2:$L$8,MATCH($A212,$A$2:$A$8,0),MATCH($N$1,$B$1:$L$1,0))+B211</f>
        <v>3570926.4</v>
      </c>
      <c r="C212" s="15">
        <f t="shared" si="29"/>
        <v>0.03</v>
      </c>
      <c r="D212">
        <f t="shared" si="30"/>
        <v>57369503.399999999</v>
      </c>
      <c r="E212">
        <f t="shared" si="31"/>
        <v>0.03</v>
      </c>
    </row>
    <row r="213" spans="1:5" x14ac:dyDescent="0.25">
      <c r="A213" t="str">
        <f>INDEX($B$63:$L$69,5,MATCH($N$1,$B$62:$L$62,0))</f>
        <v>nuclear</v>
      </c>
      <c r="B213" s="64">
        <f>B212</f>
        <v>3570926.4</v>
      </c>
      <c r="C213" s="15">
        <f t="shared" si="29"/>
        <v>11.241</v>
      </c>
      <c r="D213">
        <f t="shared" si="30"/>
        <v>57369503.399999999</v>
      </c>
      <c r="E213">
        <f t="shared" si="31"/>
        <v>11.241</v>
      </c>
    </row>
    <row r="214" spans="1:5" x14ac:dyDescent="0.25">
      <c r="A214" t="str">
        <f>INDEX($B$63:$L$69,5,MATCH($N$1,$B$62:$L$62,0))</f>
        <v>nuclear</v>
      </c>
      <c r="B214" s="64">
        <f>INDEX($B$2:$L$8,MATCH($A214,$A$2:$A$8,0),MATCH($N$1,$B$1:$L$1,0))+B213</f>
        <v>19934606.399999999</v>
      </c>
      <c r="C214" s="15">
        <f t="shared" si="29"/>
        <v>11.241</v>
      </c>
      <c r="D214">
        <f t="shared" si="30"/>
        <v>57369503.399999999</v>
      </c>
      <c r="E214">
        <f t="shared" si="31"/>
        <v>11.241</v>
      </c>
    </row>
    <row r="215" spans="1:5" x14ac:dyDescent="0.25">
      <c r="A215" t="str">
        <f>INDEX($B$63:$L$69,6,MATCH($N$1,$B$62:$L$62,0))</f>
        <v>coal</v>
      </c>
      <c r="B215" s="64">
        <f>B214</f>
        <v>19934606.399999999</v>
      </c>
      <c r="C215" s="15">
        <f t="shared" si="29"/>
        <v>27.6798</v>
      </c>
      <c r="D215">
        <f t="shared" si="30"/>
        <v>57369503.399999999</v>
      </c>
      <c r="E215">
        <f t="shared" si="31"/>
        <v>27.6798</v>
      </c>
    </row>
    <row r="216" spans="1:5" x14ac:dyDescent="0.25">
      <c r="A216" t="str">
        <f>INDEX($B$63:$L$69,6,MATCH($N$1,$B$62:$L$62,0))</f>
        <v>coal</v>
      </c>
      <c r="B216" s="64">
        <f>INDEX($B$2:$L$8,MATCH($A216,$A$2:$A$8,0),MATCH($N$1,$B$1:$L$1,0))+B215</f>
        <v>38856206.399999999</v>
      </c>
      <c r="C216" s="15">
        <f t="shared" si="29"/>
        <v>27.6798</v>
      </c>
      <c r="D216">
        <f t="shared" si="30"/>
        <v>57369503.399999999</v>
      </c>
      <c r="E216">
        <f t="shared" si="31"/>
        <v>27.6798</v>
      </c>
    </row>
    <row r="217" spans="1:5" x14ac:dyDescent="0.25">
      <c r="A217" t="str">
        <f>INDEX($B$63:$L$69,7,MATCH($N$1,$B$62:$L$62,0))</f>
        <v>natural gas</v>
      </c>
      <c r="B217" s="64">
        <f>B216</f>
        <v>38856206.399999999</v>
      </c>
      <c r="C217" s="15">
        <f t="shared" si="29"/>
        <v>29.724000000000004</v>
      </c>
      <c r="D217">
        <f t="shared" si="30"/>
        <v>57369503.399999999</v>
      </c>
      <c r="E217">
        <f t="shared" si="31"/>
        <v>29.724000000000004</v>
      </c>
    </row>
    <row r="218" spans="1:5" x14ac:dyDescent="0.25">
      <c r="A218" t="str">
        <f>INDEX($B$63:$L$69,7,MATCH($N$1,$B$62:$L$62,0))</f>
        <v>natural gas</v>
      </c>
      <c r="B218" s="64">
        <f>INDEX($B$2:$L$8,MATCH($A218,$A$2:$A$8,0),MATCH($N$1,$B$1:$L$1,0))+B217</f>
        <v>77400206.400000006</v>
      </c>
      <c r="C218" s="15">
        <f t="shared" si="29"/>
        <v>29.724000000000004</v>
      </c>
      <c r="D218">
        <f t="shared" si="30"/>
        <v>57369503.399999999</v>
      </c>
      <c r="E218">
        <f t="shared" si="31"/>
        <v>29.724000000000004</v>
      </c>
    </row>
    <row r="220" spans="1:5" x14ac:dyDescent="0.25">
      <c r="A220" s="13" t="s">
        <v>131</v>
      </c>
      <c r="B220" s="14"/>
      <c r="C220" s="14"/>
      <c r="D220" s="14"/>
      <c r="E220" s="14"/>
    </row>
    <row r="221" spans="1:5" x14ac:dyDescent="0.25">
      <c r="A221" t="s">
        <v>7</v>
      </c>
      <c r="B221" s="64">
        <f t="shared" ref="B221:B227" si="32">INDEX($B$186:$L$192,MATCH($A221,$A$186:$A$192,0),MATCH($N$1,$B$185:$L$185))</f>
        <v>18921600</v>
      </c>
    </row>
    <row r="222" spans="1:5" x14ac:dyDescent="0.25">
      <c r="A222" t="s">
        <v>8</v>
      </c>
      <c r="B222" s="64">
        <f t="shared" si="32"/>
        <v>18513297</v>
      </c>
    </row>
    <row r="223" spans="1:5" x14ac:dyDescent="0.25">
      <c r="A223" t="s">
        <v>13</v>
      </c>
      <c r="B223" s="64">
        <f t="shared" si="32"/>
        <v>16363680</v>
      </c>
    </row>
    <row r="224" spans="1:5" x14ac:dyDescent="0.25">
      <c r="A224" t="s">
        <v>9</v>
      </c>
      <c r="B224" s="64">
        <f t="shared" si="32"/>
        <v>451665.6</v>
      </c>
    </row>
    <row r="225" spans="1:12" x14ac:dyDescent="0.25">
      <c r="A225" t="s">
        <v>10</v>
      </c>
      <c r="B225" s="64">
        <f t="shared" si="32"/>
        <v>765974.39999999991</v>
      </c>
    </row>
    <row r="226" spans="1:12" x14ac:dyDescent="0.25">
      <c r="A226" t="s">
        <v>11</v>
      </c>
      <c r="B226" s="64">
        <f t="shared" si="32"/>
        <v>601286.40000000002</v>
      </c>
    </row>
    <row r="227" spans="1:12" x14ac:dyDescent="0.25">
      <c r="A227" t="s">
        <v>12</v>
      </c>
      <c r="B227" s="64">
        <f t="shared" si="32"/>
        <v>1752000</v>
      </c>
    </row>
    <row r="230" spans="1:12" x14ac:dyDescent="0.25">
      <c r="A230" s="9" t="s">
        <v>198</v>
      </c>
      <c r="B230" s="9">
        <v>0</v>
      </c>
      <c r="C230" s="9">
        <v>1</v>
      </c>
      <c r="D230" s="9">
        <v>2</v>
      </c>
      <c r="E230" s="9">
        <v>3</v>
      </c>
      <c r="F230" s="9">
        <v>4</v>
      </c>
      <c r="G230" s="9">
        <v>5</v>
      </c>
      <c r="H230" s="9">
        <v>6</v>
      </c>
      <c r="I230" s="9">
        <v>7</v>
      </c>
      <c r="J230" s="9">
        <v>8</v>
      </c>
      <c r="K230" s="9">
        <v>9</v>
      </c>
      <c r="L230" s="9">
        <v>10</v>
      </c>
    </row>
    <row r="231" spans="1:12" x14ac:dyDescent="0.25">
      <c r="A231" t="s">
        <v>199</v>
      </c>
      <c r="B231">
        <f>'Event Tracker'!B2</f>
        <v>0</v>
      </c>
      <c r="C231">
        <f>'Event Tracker'!C2</f>
        <v>0</v>
      </c>
      <c r="D231">
        <f>'Event Tracker'!D2</f>
        <v>0</v>
      </c>
      <c r="E231">
        <f>'Event Tracker'!E2</f>
        <v>0</v>
      </c>
      <c r="F231">
        <f>'Event Tracker'!F2</f>
        <v>0</v>
      </c>
      <c r="G231">
        <f>'Event Tracker'!G2</f>
        <v>0</v>
      </c>
      <c r="H231">
        <f>'Event Tracker'!H2</f>
        <v>0</v>
      </c>
      <c r="I231">
        <f>'Event Tracker'!I2</f>
        <v>0</v>
      </c>
      <c r="J231">
        <f>'Event Tracker'!J2</f>
        <v>0</v>
      </c>
      <c r="K231">
        <f>'Event Tracker'!K2</f>
        <v>0</v>
      </c>
      <c r="L231">
        <f>'Event Tracker'!L2</f>
        <v>0</v>
      </c>
    </row>
    <row r="232" spans="1:12" x14ac:dyDescent="0.25">
      <c r="A232" t="s">
        <v>200</v>
      </c>
      <c r="B232" s="5">
        <f>SUM(B189:B190)/SUM(B186:B191)</f>
        <v>2.1893107844894743E-2</v>
      </c>
      <c r="C232" s="98">
        <f t="shared" ref="C232:L232" si="33">SUM(C189:C190)/SUM(C186:C191)</f>
        <v>2.2153545769426419E-2</v>
      </c>
      <c r="D232" s="5">
        <f t="shared" si="33"/>
        <v>3.1765422918746913E-2</v>
      </c>
      <c r="E232" s="5">
        <f t="shared" si="33"/>
        <v>7.6891234872061689E-2</v>
      </c>
      <c r="F232" s="5">
        <f t="shared" si="33"/>
        <v>8.7533314007875215E-2</v>
      </c>
      <c r="G232" s="5">
        <f t="shared" si="33"/>
        <v>9.1768292440711496E-2</v>
      </c>
      <c r="H232" s="5">
        <f t="shared" si="33"/>
        <v>9.5183395324919706E-2</v>
      </c>
      <c r="I232" s="5">
        <f t="shared" si="33"/>
        <v>9.5739797759622408E-2</v>
      </c>
      <c r="J232" s="5">
        <f t="shared" si="33"/>
        <v>9.6914033766154276E-2</v>
      </c>
      <c r="K232" s="5">
        <f t="shared" si="33"/>
        <v>9.8314361424134328E-2</v>
      </c>
      <c r="L232" s="5">
        <f t="shared" si="33"/>
        <v>9.8419531390820658E-2</v>
      </c>
    </row>
    <row r="233" spans="1:12" x14ac:dyDescent="0.25">
      <c r="A233" t="s">
        <v>201</v>
      </c>
      <c r="B233" s="5">
        <f>MIN($L$233,IF(AND(B231=1,A231=0),A232+$B$237,IF(B231=0,0,A233+$B$237)))</f>
        <v>0</v>
      </c>
      <c r="C233" s="5">
        <f t="shared" ref="C233:K233" si="34">MIN($L$233,IF(AND(C231=1,B231=0),B232+$B$237,IF(C231=0,0,B233+$B$237)))</f>
        <v>0</v>
      </c>
      <c r="D233" s="5">
        <f t="shared" si="34"/>
        <v>0</v>
      </c>
      <c r="E233" s="5">
        <f t="shared" si="34"/>
        <v>0</v>
      </c>
      <c r="F233" s="5">
        <f t="shared" si="34"/>
        <v>0</v>
      </c>
      <c r="G233" s="5">
        <f t="shared" si="34"/>
        <v>0</v>
      </c>
      <c r="H233" s="5">
        <f t="shared" si="34"/>
        <v>0</v>
      </c>
      <c r="I233" s="5">
        <f t="shared" si="34"/>
        <v>0</v>
      </c>
      <c r="J233" s="5">
        <f t="shared" si="34"/>
        <v>0</v>
      </c>
      <c r="K233" s="5">
        <f t="shared" si="34"/>
        <v>0</v>
      </c>
      <c r="L233" s="5">
        <f>IF(L231=1,'Game Assumptions'!B22,0)</f>
        <v>0</v>
      </c>
    </row>
    <row r="234" spans="1:12" x14ac:dyDescent="0.25">
      <c r="A234" t="s">
        <v>202</v>
      </c>
      <c r="B234" s="16">
        <f>IF(B233&gt;B232,(B233-B232)*SUM(B186:B191),0)</f>
        <v>0</v>
      </c>
      <c r="C234" s="16">
        <f t="shared" ref="C234:L234" si="35">IF(C233&gt;C232,(C233-C232)*SUM(C186:C191),0)</f>
        <v>0</v>
      </c>
      <c r="D234" s="16">
        <f t="shared" si="35"/>
        <v>0</v>
      </c>
      <c r="E234" s="16">
        <f t="shared" si="35"/>
        <v>0</v>
      </c>
      <c r="F234" s="16">
        <f t="shared" si="35"/>
        <v>0</v>
      </c>
      <c r="G234" s="16">
        <f t="shared" si="35"/>
        <v>0</v>
      </c>
      <c r="H234" s="16">
        <f t="shared" si="35"/>
        <v>0</v>
      </c>
      <c r="I234" s="16">
        <f t="shared" si="35"/>
        <v>0</v>
      </c>
      <c r="J234" s="16">
        <f t="shared" si="35"/>
        <v>0</v>
      </c>
      <c r="K234" s="16">
        <f t="shared" si="35"/>
        <v>0</v>
      </c>
      <c r="L234" s="16">
        <f t="shared" si="35"/>
        <v>0</v>
      </c>
    </row>
    <row r="235" spans="1:12" x14ac:dyDescent="0.25">
      <c r="A235" t="s">
        <v>203</v>
      </c>
      <c r="B235" s="7">
        <f>B234*'Game Assumptions'!$B$9</f>
        <v>0</v>
      </c>
      <c r="C235" s="7">
        <f>C234*'Game Assumptions'!$B$9</f>
        <v>0</v>
      </c>
      <c r="D235" s="7">
        <f>D234*'Game Assumptions'!$B$9</f>
        <v>0</v>
      </c>
      <c r="E235" s="7">
        <f>E234*'Game Assumptions'!$B$9</f>
        <v>0</v>
      </c>
      <c r="F235" s="7">
        <f>F234*'Game Assumptions'!$B$9</f>
        <v>0</v>
      </c>
      <c r="G235" s="7">
        <f>G234*'Game Assumptions'!$B$9</f>
        <v>0</v>
      </c>
      <c r="H235" s="7">
        <f>H234*'Game Assumptions'!$B$9</f>
        <v>0</v>
      </c>
      <c r="I235" s="7">
        <f>I234*'Game Assumptions'!$B$9</f>
        <v>0</v>
      </c>
      <c r="J235" s="7">
        <f>J234*'Game Assumptions'!$B$9</f>
        <v>0</v>
      </c>
      <c r="K235" s="7">
        <f>K234*'Game Assumptions'!$B$9</f>
        <v>0</v>
      </c>
      <c r="L235" s="7">
        <f>L234*'Game Assumptions'!$B$9</f>
        <v>0</v>
      </c>
    </row>
    <row r="236" spans="1:12" x14ac:dyDescent="0.25">
      <c r="A236" t="s">
        <v>452</v>
      </c>
      <c r="B236" s="102">
        <f>IF(AND(B231=1,A231=0),1,0)</f>
        <v>0</v>
      </c>
      <c r="C236" s="102">
        <f t="shared" ref="C236:L236" si="36">IF(AND(C231=1,B231=0),1,0)</f>
        <v>0</v>
      </c>
      <c r="D236" s="102">
        <f t="shared" si="36"/>
        <v>0</v>
      </c>
      <c r="E236" s="102">
        <f t="shared" si="36"/>
        <v>0</v>
      </c>
      <c r="F236" s="102">
        <f t="shared" si="36"/>
        <v>0</v>
      </c>
      <c r="G236" s="102">
        <f t="shared" si="36"/>
        <v>0</v>
      </c>
      <c r="H236" s="102">
        <f t="shared" si="36"/>
        <v>0</v>
      </c>
      <c r="I236" s="102">
        <f t="shared" si="36"/>
        <v>0</v>
      </c>
      <c r="J236" s="102">
        <f t="shared" si="36"/>
        <v>0</v>
      </c>
      <c r="K236" s="102">
        <f t="shared" si="36"/>
        <v>0</v>
      </c>
      <c r="L236" s="102">
        <f t="shared" si="36"/>
        <v>0</v>
      </c>
    </row>
    <row r="237" spans="1:12" x14ac:dyDescent="0.25">
      <c r="A237" t="s">
        <v>451</v>
      </c>
      <c r="B237" s="98" t="e">
        <f>IF(IF(SUM(B236:L236=0,0),L233-INDEX(B232:L232,1,MATCH(1,B236:L236,0)-1))/COUNTIF(B231:L231,1)&lt;0,0,IF(SUM(B236:L236=0,0),L233-INDEX(B232:L232,1,MATCH(1,B236:L236,0)-1))/COUNTIF(B231:L231,1))</f>
        <v>#N/A</v>
      </c>
    </row>
    <row r="239" spans="1:12" x14ac:dyDescent="0.25">
      <c r="A239" s="9" t="s">
        <v>255</v>
      </c>
      <c r="B239" s="9">
        <v>0</v>
      </c>
      <c r="C239" s="9">
        <v>1</v>
      </c>
      <c r="D239" s="9">
        <v>2</v>
      </c>
      <c r="E239" s="9">
        <v>3</v>
      </c>
      <c r="F239" s="9">
        <v>4</v>
      </c>
      <c r="G239" s="9">
        <v>5</v>
      </c>
      <c r="H239" s="9">
        <v>6</v>
      </c>
      <c r="I239" s="9">
        <v>7</v>
      </c>
      <c r="J239" s="9">
        <v>8</v>
      </c>
      <c r="K239" s="9">
        <v>9</v>
      </c>
      <c r="L239" s="9">
        <v>10</v>
      </c>
    </row>
    <row r="240" spans="1:12" x14ac:dyDescent="0.25">
      <c r="A240" t="s">
        <v>35</v>
      </c>
      <c r="B240" s="7">
        <f t="shared" ref="B240:L240" si="37">SUMPRODUCT(B186:B192,B45:B51)</f>
        <v>1258017345.3240001</v>
      </c>
      <c r="C240" s="7">
        <f>SUMPRODUCT(C186:C192,C45:C51)</f>
        <v>1484587382.5370882</v>
      </c>
      <c r="D240" s="7">
        <f t="shared" si="37"/>
        <v>1298129468.7584143</v>
      </c>
      <c r="E240" s="7">
        <f t="shared" si="37"/>
        <v>1058708287.4988732</v>
      </c>
      <c r="F240" s="7">
        <f t="shared" si="37"/>
        <v>990337419.89676893</v>
      </c>
      <c r="G240" s="7">
        <f t="shared" si="37"/>
        <v>949036784.20754325</v>
      </c>
      <c r="H240" s="7">
        <f t="shared" si="37"/>
        <v>956059842.26458848</v>
      </c>
      <c r="I240" s="7">
        <f t="shared" si="37"/>
        <v>1000331392.9020869</v>
      </c>
      <c r="J240" s="7">
        <f t="shared" si="37"/>
        <v>1014840897.850494</v>
      </c>
      <c r="K240" s="7">
        <f t="shared" si="37"/>
        <v>1012119550.7106327</v>
      </c>
      <c r="L240" s="7">
        <f t="shared" si="37"/>
        <v>1031050041.5464565</v>
      </c>
    </row>
    <row r="241" spans="1:12" x14ac:dyDescent="0.25">
      <c r="A241" t="s">
        <v>36</v>
      </c>
      <c r="B241" s="7">
        <f t="shared" ref="B241:L241" si="38">IF(B113&gt;0,INDEX($B$45:$L$51,MATCH(B69,$A$45:$A$51,0),MATCH(B239,$B$44:$L$44)),INDEX($B$45:$L$51,MATCH(B68,$A$45:$A$51,0),MATCH(B239,$B$44:$L$44)))*SUM(B177:B183)</f>
        <v>1705251119.0616002</v>
      </c>
      <c r="C241" s="7">
        <f t="shared" si="38"/>
        <v>1924072738.7892482</v>
      </c>
      <c r="D241" s="7">
        <f t="shared" si="38"/>
        <v>1636098455.0392907</v>
      </c>
      <c r="E241" s="7">
        <f t="shared" si="38"/>
        <v>1531489545.7207339</v>
      </c>
      <c r="F241" s="7">
        <f t="shared" si="38"/>
        <v>1493100829.177258</v>
      </c>
      <c r="G241" s="7">
        <f t="shared" si="38"/>
        <v>1497004914.2824321</v>
      </c>
      <c r="H241" s="7">
        <f t="shared" si="38"/>
        <v>1572492152.8547916</v>
      </c>
      <c r="I241" s="7">
        <f t="shared" si="38"/>
        <v>1691801147.404155</v>
      </c>
      <c r="J241" s="7">
        <f t="shared" si="38"/>
        <v>1748027871.1269314</v>
      </c>
      <c r="K241" s="7">
        <f t="shared" si="38"/>
        <v>1766764033.6573789</v>
      </c>
      <c r="L241" s="7">
        <f t="shared" si="38"/>
        <v>1814275076.0918868</v>
      </c>
    </row>
    <row r="243" spans="1:12" x14ac:dyDescent="0.25">
      <c r="A243" s="9" t="s">
        <v>453</v>
      </c>
      <c r="B243" s="9">
        <v>0</v>
      </c>
      <c r="C243" s="9">
        <v>1</v>
      </c>
      <c r="D243" s="9">
        <v>2</v>
      </c>
      <c r="E243" s="9">
        <v>3</v>
      </c>
      <c r="F243" s="9">
        <v>4</v>
      </c>
      <c r="G243" s="9">
        <v>5</v>
      </c>
      <c r="H243" s="9">
        <v>6</v>
      </c>
      <c r="I243" s="9">
        <v>7</v>
      </c>
      <c r="J243" s="9">
        <v>8</v>
      </c>
      <c r="K243" s="9">
        <v>9</v>
      </c>
      <c r="L243" s="9">
        <v>10</v>
      </c>
    </row>
    <row r="244" spans="1:12" x14ac:dyDescent="0.25">
      <c r="A244" t="s">
        <v>16</v>
      </c>
      <c r="B244" s="7">
        <f>'Game Assumptions'!B68*'Game Assumptions'!$B$54*B186</f>
        <v>375022327.68000001</v>
      </c>
      <c r="C244" s="7">
        <f>'Game Assumptions'!C68*'Game Assumptions'!$B$54*C186</f>
        <v>363803711.04000002</v>
      </c>
      <c r="D244" s="7">
        <f>'Game Assumptions'!D68*'Game Assumptions'!$B$54*D186</f>
        <v>271650788.63999999</v>
      </c>
      <c r="E244" s="7">
        <f>'Game Assumptions'!E68*'Game Assumptions'!$B$54*E186</f>
        <v>180299196</v>
      </c>
      <c r="F244" s="7">
        <f>'Game Assumptions'!F68*'Game Assumptions'!$B$54*F186</f>
        <v>181901855.52000001</v>
      </c>
      <c r="G244" s="7">
        <f>'Game Assumptions'!G68*'Game Assumptions'!$B$54*G186</f>
        <v>184305844.80000001</v>
      </c>
      <c r="H244" s="7">
        <f>'Game Assumptions'!H68*'Game Assumptions'!$B$54*H186</f>
        <v>187511163.84</v>
      </c>
      <c r="I244" s="7">
        <f>'Game Assumptions'!I68*'Game Assumptions'!$B$54*I186</f>
        <v>190716482.88</v>
      </c>
      <c r="J244" s="7">
        <f>'Game Assumptions'!J68*'Game Assumptions'!$B$54*J186</f>
        <v>193921801.92000002</v>
      </c>
      <c r="K244" s="7">
        <f>'Game Assumptions'!K68*'Game Assumptions'!$B$54*K186</f>
        <v>196325791.20000005</v>
      </c>
      <c r="L244" s="7">
        <f>'Game Assumptions'!L68*'Game Assumptions'!$B$54*L186</f>
        <v>198729780.48000002</v>
      </c>
    </row>
    <row r="245" spans="1:12" x14ac:dyDescent="0.25">
      <c r="A245" t="s">
        <v>17</v>
      </c>
      <c r="B245" s="7">
        <f>('Game Assumptions'!B69*'Game Assumptions'!$B$55+Dispatch!B33)*B126</f>
        <v>518076103.24800009</v>
      </c>
      <c r="C245" s="7">
        <f>('Game Assumptions'!C69*'Game Assumptions'!$B$55+Dispatch!C33)*C126</f>
        <v>825201919.11628819</v>
      </c>
      <c r="D245" s="7">
        <f>('Game Assumptions'!D69*'Game Assumptions'!$B$55+Dispatch!D33)*D126</f>
        <v>771252005.02345955</v>
      </c>
      <c r="E245" s="7">
        <f>('Game Assumptions'!E69*'Game Assumptions'!$B$55+Dispatch!E33)*E126</f>
        <v>678720658.08311176</v>
      </c>
      <c r="F245" s="7">
        <f>('Game Assumptions'!F69*'Game Assumptions'!$B$55+Dispatch!F33)*F126</f>
        <v>604438308.92036581</v>
      </c>
      <c r="G245" s="7">
        <f>('Game Assumptions'!G69*'Game Assumptions'!$B$55+Dispatch!G33)*G126</f>
        <v>560926722.35684705</v>
      </c>
      <c r="H245" s="7">
        <f>('Game Assumptions'!H69*'Game Assumptions'!$B$55+Dispatch!H33)*H126</f>
        <v>579648427.26348603</v>
      </c>
      <c r="I245" s="7">
        <f>('Game Assumptions'!I69*'Game Assumptions'!$B$55+Dispatch!I33)*I126</f>
        <v>606319701.21015036</v>
      </c>
      <c r="J245" s="7">
        <f>('Game Assumptions'!J69*'Game Assumptions'!$B$55+Dispatch!J33)*J126</f>
        <v>624276076.84355748</v>
      </c>
      <c r="K245" s="7">
        <f>('Game Assumptions'!K69*'Game Assumptions'!$B$55+Dispatch!K33)*K126</f>
        <v>630364594.54869604</v>
      </c>
      <c r="L245" s="7">
        <f>('Game Assumptions'!L69*'Game Assumptions'!$B$55+Dispatch!L33)*L126</f>
        <v>630462044.22951996</v>
      </c>
    </row>
    <row r="246" spans="1:12" x14ac:dyDescent="0.25">
      <c r="A246" t="s">
        <v>18</v>
      </c>
      <c r="B246" s="7">
        <f>'Game Assumptions'!B70*'Game Assumptions'!$B$56*B188</f>
        <v>145489478.88</v>
      </c>
      <c r="C246" s="7">
        <f>'Game Assumptions'!C70*'Game Assumptions'!$B$56*C188</f>
        <v>72744739.439999998</v>
      </c>
      <c r="D246" s="7">
        <f>'Game Assumptions'!D70*'Game Assumptions'!$B$56*D188</f>
        <v>72744739.439999998</v>
      </c>
      <c r="E246" s="7">
        <f>'Game Assumptions'!E70*'Game Assumptions'!$B$56*E188</f>
        <v>72744739.439999998</v>
      </c>
      <c r="F246" s="7">
        <f>'Game Assumptions'!F70*'Game Assumptions'!$B$56*F188</f>
        <v>72744739.439999998</v>
      </c>
      <c r="G246" s="7">
        <f>'Game Assumptions'!G70*'Game Assumptions'!$B$56*G188</f>
        <v>72744739.439999998</v>
      </c>
      <c r="H246" s="7">
        <f>'Game Assumptions'!H70*'Game Assumptions'!$B$56*H188</f>
        <v>72744739.439999998</v>
      </c>
      <c r="I246" s="7">
        <f>'Game Assumptions'!I70*'Game Assumptions'!$B$56*I188</f>
        <v>72744739.439999998</v>
      </c>
      <c r="J246" s="7">
        <f>'Game Assumptions'!J70*'Game Assumptions'!$B$56*J188</f>
        <v>72744739.439999998</v>
      </c>
      <c r="K246" s="7">
        <f>'Game Assumptions'!K70*'Game Assumptions'!$B$56*K188</f>
        <v>72744739.439999998</v>
      </c>
      <c r="L246" s="7">
        <f>'Game Assumptions'!L70*'Game Assumptions'!$B$56*L188</f>
        <v>72744739.439999998</v>
      </c>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S34"/>
  <sheetViews>
    <sheetView topLeftCell="A13" zoomScale="85" zoomScaleNormal="85" workbookViewId="0">
      <selection activeCell="A6" sqref="A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176</v>
      </c>
      <c r="B2" s="66" t="s">
        <v>177</v>
      </c>
    </row>
    <row r="3" spans="1:19" x14ac:dyDescent="0.25">
      <c r="A3" t="s">
        <v>178</v>
      </c>
      <c r="B3" t="s">
        <v>181</v>
      </c>
    </row>
    <row r="4" spans="1:19" ht="30" x14ac:dyDescent="0.25">
      <c r="A4" s="70" t="s">
        <v>180</v>
      </c>
      <c r="B4" s="66" t="s">
        <v>182</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176</v>
      </c>
      <c r="B7" s="66" t="s">
        <v>179</v>
      </c>
    </row>
    <row r="8" spans="1:19" x14ac:dyDescent="0.25">
      <c r="A8" t="s">
        <v>178</v>
      </c>
      <c r="B8" t="s">
        <v>183</v>
      </c>
    </row>
    <row r="9" spans="1:19" x14ac:dyDescent="0.25">
      <c r="A9" t="s">
        <v>184</v>
      </c>
      <c r="B9" t="s">
        <v>185</v>
      </c>
    </row>
    <row r="11" spans="1:19" x14ac:dyDescent="0.25">
      <c r="A11" s="9" t="s">
        <v>435</v>
      </c>
      <c r="B11" s="9"/>
    </row>
    <row r="12" spans="1:19" ht="30" x14ac:dyDescent="0.25">
      <c r="A12" s="67" t="s">
        <v>176</v>
      </c>
      <c r="B12" s="66" t="s">
        <v>436</v>
      </c>
    </row>
    <row r="13" spans="1:19" x14ac:dyDescent="0.25">
      <c r="A13" t="s">
        <v>178</v>
      </c>
      <c r="B13" t="s">
        <v>437</v>
      </c>
    </row>
    <row r="14" spans="1:19" x14ac:dyDescent="0.25">
      <c r="A14" t="s">
        <v>184</v>
      </c>
      <c r="B14" t="s">
        <v>438</v>
      </c>
    </row>
    <row r="16" spans="1:19" x14ac:dyDescent="0.25">
      <c r="A16" s="77" t="s">
        <v>186</v>
      </c>
      <c r="B16" s="77"/>
    </row>
    <row r="17" spans="1:2" ht="30" x14ac:dyDescent="0.25">
      <c r="A17" s="78" t="s">
        <v>176</v>
      </c>
      <c r="B17" s="79" t="s">
        <v>187</v>
      </c>
    </row>
    <row r="18" spans="1:2" x14ac:dyDescent="0.25">
      <c r="A18" s="12" t="s">
        <v>178</v>
      </c>
      <c r="B18" s="12" t="s">
        <v>188</v>
      </c>
    </row>
    <row r="19" spans="1:2" ht="30" x14ac:dyDescent="0.25">
      <c r="A19" s="78" t="s">
        <v>184</v>
      </c>
      <c r="B19" s="79" t="s">
        <v>189</v>
      </c>
    </row>
    <row r="21" spans="1:2" x14ac:dyDescent="0.25">
      <c r="A21" s="9" t="s">
        <v>1</v>
      </c>
      <c r="B21" s="9"/>
    </row>
    <row r="22" spans="1:2" ht="30" x14ac:dyDescent="0.25">
      <c r="A22" s="67" t="s">
        <v>176</v>
      </c>
      <c r="B22" s="66" t="s">
        <v>190</v>
      </c>
    </row>
    <row r="23" spans="1:2" x14ac:dyDescent="0.25">
      <c r="A23" t="s">
        <v>178</v>
      </c>
      <c r="B23" t="s">
        <v>243</v>
      </c>
    </row>
    <row r="24" spans="1:2" x14ac:dyDescent="0.25">
      <c r="A24" t="s">
        <v>180</v>
      </c>
      <c r="B24" t="s">
        <v>191</v>
      </c>
    </row>
    <row r="26" spans="1:2" x14ac:dyDescent="0.25">
      <c r="A26" s="9" t="s">
        <v>192</v>
      </c>
      <c r="B26" s="9"/>
    </row>
    <row r="27" spans="1:2" ht="30" x14ac:dyDescent="0.25">
      <c r="A27" s="67" t="s">
        <v>176</v>
      </c>
      <c r="B27" s="66" t="s">
        <v>193</v>
      </c>
    </row>
    <row r="28" spans="1:2" x14ac:dyDescent="0.25">
      <c r="A28" t="s">
        <v>178</v>
      </c>
      <c r="B28" t="s">
        <v>194</v>
      </c>
    </row>
    <row r="29" spans="1:2" x14ac:dyDescent="0.25">
      <c r="A29" t="s">
        <v>180</v>
      </c>
      <c r="B29" t="s">
        <v>195</v>
      </c>
    </row>
    <row r="31" spans="1:2" x14ac:dyDescent="0.25">
      <c r="A31" s="9" t="s">
        <v>278</v>
      </c>
      <c r="B31" s="9"/>
    </row>
    <row r="32" spans="1:2" x14ac:dyDescent="0.25">
      <c r="A32" s="67" t="s">
        <v>176</v>
      </c>
      <c r="B32" t="s">
        <v>282</v>
      </c>
    </row>
    <row r="33" spans="1:2" x14ac:dyDescent="0.25">
      <c r="A33" t="s">
        <v>178</v>
      </c>
      <c r="B33" t="s">
        <v>283</v>
      </c>
    </row>
    <row r="34" spans="1:2" x14ac:dyDescent="0.25">
      <c r="A34" t="s">
        <v>180</v>
      </c>
      <c r="B34" t="s">
        <v>284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K102"/>
  <sheetViews>
    <sheetView topLeftCell="A91" zoomScaleNormal="100" workbookViewId="0">
      <selection activeCell="A6" sqref="A6"/>
    </sheetView>
  </sheetViews>
  <sheetFormatPr defaultRowHeight="15" x14ac:dyDescent="0.25"/>
  <cols>
    <col min="1" max="1" width="47.85546875" customWidth="1"/>
    <col min="2" max="2" width="63.42578125" customWidth="1"/>
    <col min="3" max="3" width="16" customWidth="1"/>
  </cols>
  <sheetData>
    <row r="1" spans="1:3" x14ac:dyDescent="0.25">
      <c r="A1" s="243" t="s">
        <v>525</v>
      </c>
      <c r="B1" s="243"/>
      <c r="C1" s="243"/>
    </row>
    <row r="2" spans="1:3" x14ac:dyDescent="0.25">
      <c r="A2" s="1" t="s">
        <v>492</v>
      </c>
      <c r="B2" s="1" t="s">
        <v>493</v>
      </c>
      <c r="C2" s="1" t="s">
        <v>500</v>
      </c>
    </row>
    <row r="3" spans="1:3" ht="60" x14ac:dyDescent="0.25">
      <c r="A3" s="67" t="s">
        <v>3</v>
      </c>
      <c r="B3" s="66" t="s">
        <v>494</v>
      </c>
      <c r="C3">
        <v>1</v>
      </c>
    </row>
    <row r="4" spans="1:3" ht="45" x14ac:dyDescent="0.25">
      <c r="A4" s="67" t="s">
        <v>2</v>
      </c>
      <c r="B4" s="66" t="s">
        <v>499</v>
      </c>
      <c r="C4">
        <v>1</v>
      </c>
    </row>
    <row r="5" spans="1:3" ht="45" x14ac:dyDescent="0.25">
      <c r="A5" s="67" t="s">
        <v>435</v>
      </c>
      <c r="B5" s="66" t="s">
        <v>498</v>
      </c>
      <c r="C5">
        <v>1</v>
      </c>
    </row>
    <row r="6" spans="1:3" ht="75" x14ac:dyDescent="0.25">
      <c r="A6" s="67" t="s">
        <v>186</v>
      </c>
      <c r="B6" s="66" t="s">
        <v>495</v>
      </c>
      <c r="C6">
        <v>1</v>
      </c>
    </row>
    <row r="7" spans="1:3" ht="45" x14ac:dyDescent="0.25">
      <c r="A7" t="s">
        <v>1</v>
      </c>
      <c r="B7" s="66" t="s">
        <v>496</v>
      </c>
      <c r="C7">
        <v>1</v>
      </c>
    </row>
    <row r="8" spans="1:3" ht="30" x14ac:dyDescent="0.25">
      <c r="A8" t="str">
        <f>IF(OR('Event Tracker'!$B$20=1,'Event Tracker'!$B$22=1),"Performance Incentive Mechanism","Earnings Sharing Mechanism")</f>
        <v>Earnings Sharing Mechanism</v>
      </c>
      <c r="B8" s="66" t="str">
        <f>IF(OR('Event Tracker'!$B$20=1,'Event Tracker'!$B$22=1), "A performance incentive mechanism will increase or decrease the authorized rate of return based on how the team performs relative to environmental, relaibility, and customer bill goals.","An earnings sharing mechanism will return a portion of a utility's performance bonus to customers.")</f>
        <v>An earnings sharing mechanism will return a portion of a utility's performance bonus to customers.</v>
      </c>
      <c r="C8">
        <v>1</v>
      </c>
    </row>
    <row r="9" spans="1:3" ht="30" x14ac:dyDescent="0.25">
      <c r="A9" t="s">
        <v>491</v>
      </c>
      <c r="B9" s="66" t="s">
        <v>497</v>
      </c>
      <c r="C9">
        <v>1</v>
      </c>
    </row>
    <row r="10" spans="1:3" x14ac:dyDescent="0.25">
      <c r="B10" s="66"/>
    </row>
    <row r="11" spans="1:3" x14ac:dyDescent="0.25">
      <c r="A11" s="243" t="s">
        <v>526</v>
      </c>
      <c r="B11" s="243"/>
      <c r="C11" s="243"/>
    </row>
    <row r="12" spans="1:3" x14ac:dyDescent="0.25">
      <c r="A12" s="1" t="s">
        <v>501</v>
      </c>
      <c r="B12" s="166" t="s">
        <v>502</v>
      </c>
      <c r="C12" s="1" t="s">
        <v>503</v>
      </c>
    </row>
    <row r="13" spans="1:3" ht="45" x14ac:dyDescent="0.25">
      <c r="A13" t="s">
        <v>20</v>
      </c>
      <c r="B13" s="66" t="s">
        <v>505</v>
      </c>
      <c r="C13">
        <v>1</v>
      </c>
    </row>
    <row r="14" spans="1:3" ht="45" x14ac:dyDescent="0.25">
      <c r="A14" t="s">
        <v>504</v>
      </c>
      <c r="B14" s="66" t="s">
        <v>506</v>
      </c>
      <c r="C14">
        <v>1</v>
      </c>
    </row>
    <row r="15" spans="1:3" ht="30" x14ac:dyDescent="0.25">
      <c r="A15" t="s">
        <v>4</v>
      </c>
      <c r="B15" s="66" t="s">
        <v>507</v>
      </c>
      <c r="C15">
        <v>1</v>
      </c>
    </row>
    <row r="17" spans="1:11" x14ac:dyDescent="0.25">
      <c r="A17" s="9" t="s">
        <v>527</v>
      </c>
      <c r="B17" s="3"/>
      <c r="C17" s="3"/>
      <c r="D17" s="3"/>
      <c r="E17" s="3"/>
      <c r="F17" s="3"/>
      <c r="G17" s="3"/>
      <c r="H17" s="3"/>
      <c r="I17" s="3"/>
      <c r="J17" s="3"/>
      <c r="K17" s="3"/>
    </row>
    <row r="18" spans="1:11" x14ac:dyDescent="0.25">
      <c r="A18" t="str">
        <f>CONCATENATE(IFERROR(INDEX('Game Properties'!$AE$2:$AE$6,Current_Round,1),""), " Planning Process Summary")</f>
        <v xml:space="preserve"> Planning Process Summary</v>
      </c>
    </row>
    <row r="20" spans="1:11" x14ac:dyDescent="0.25">
      <c r="A20" t="str">
        <f>IF(Current_Round=0,"Here is your starting performance:", "Here is your performance from the last round:")</f>
        <v>Here is your starting performance:</v>
      </c>
    </row>
    <row r="22" spans="1:11" x14ac:dyDescent="0.25">
      <c r="A22" t="str">
        <f>CONCATENATE("Your average customer bill ",IF(Current_Round&gt;0,CONCATENATE(IF(INDEX(Graphs!$C$3:$C$13,Current_Round+1,1)&lt;INDEX(Graphs!$C$3:$C$13,Current_Round,1),"decreased by $","increased by $"), TEXT(ABS(INDEX(Graphs!$C$3:$C$13,Current_Round+1,1)-INDEX(Graphs!$C$3:$C$13,Current_Round,1)),"###.00")),CONCATENATE("is $",TEXT(Graphs!$C$3,"###.00"))))</f>
        <v>Your average customer bill is $99.78</v>
      </c>
      <c r="B22" s="123" t="str">
        <f>IFERROR(IF(INDEX(Graphs!$C$3:$C$13,Current_Round+1,1)-INDEX(Graphs!$C$3:$C$13,Current_Round,1)&gt;0,"+","-"),"")</f>
        <v/>
      </c>
    </row>
    <row r="24" spans="1:11" x14ac:dyDescent="0.25">
      <c r="A24" t="str">
        <f>CONCATENATE("Your average CO2 emissions rate ",IF(Current_Round&gt;0,CONCATENATE(IF(INDEX(Graphs!$C$18:$C$28,Current_Round+1,1)&lt;INDEX(Graphs!$C$18:$C$28,Current_Round,1),"decreased by ","increased by "), ROUND(ABS(INDEX(Graphs!$C$18:$C$28,Current_Round+1,1)-INDEX(Graphs!$C$18:$C$28,Current_Round,1)),0)," lbs/MWh"),CONCATENATE("is ",ROUND(Graphs!$C$18,0)," lbs/MWh")))</f>
        <v>Your average CO2 emissions rate is 1036 lbs/MWh</v>
      </c>
      <c r="B24" s="123" t="str">
        <f>IFERROR(IF(INDEX(Graphs!$C$18:$C$28,Current_Round+1,1)-INDEX(Graphs!$C$18:$C$28,Current_Round,1)&gt;0,"+","-"),"")</f>
        <v/>
      </c>
    </row>
    <row r="26" spans="1:11" x14ac:dyDescent="0.25">
      <c r="A26" t="str">
        <f>CONCATENATE("Your earnings per share ",IF(Current_Round&gt;0,CONCATENATE(IF(INDEX(Graphs!$C$34:$C$44,Current_Round+1,1)&lt;INDEX(Graphs!$C$34:$C$44,Current_Round,1),"decreased by $","increased by $"), TEXT(ABS(INDEX(Graphs!$C$34:$C$44,Current_Round+1,1)-INDEX(Graphs!$C$34:$C$44,Current_Round,1)),"###.00")),CONCATENATE("is $",TEXT(Graphs!$C$34,"###.00"))))</f>
        <v>Your earnings per share is $.54</v>
      </c>
      <c r="B26" s="123" t="str">
        <f>IFERROR(IF(INDEX(Graphs!$C$34:$C$44,Current_Round+1,1)-INDEX(Graphs!$C$34:$C$44,Current_Round,1)&gt;0,"+","-"),"")</f>
        <v/>
      </c>
    </row>
    <row r="28" spans="1:11" x14ac:dyDescent="0.25">
      <c r="A28" t="str">
        <f>CONCATENATE("Your minutes of outages ",IF(Current_Round&gt;0,CONCATENATE(IF(INDEX(Graphs!$C$51:$C$61,Current_Round+1,1)&lt;INDEX(Graphs!$C$51:$C$61,Current_Round,1),"decreased by ","increased by "), ROUND(ABS(INDEX(Graphs!$C$51:$C$61,Current_Round+1,1)-INDEX(Graphs!$C$51:$C$61,Current_Round,1)),0)),CONCATENATE("is ",ROUND(Graphs!$C$51,0))))</f>
        <v>Your minutes of outages is 287</v>
      </c>
      <c r="B28" s="123" t="str">
        <f>IFERROR(IF(INDEX(Graphs!$C$51:$C$61,Current_Round+1,1)-INDEX(Graphs!$C$51:$C$61,Current_Round,1)&gt;0,"+","-"),"")</f>
        <v/>
      </c>
    </row>
    <row r="30" spans="1:11" x14ac:dyDescent="0.25">
      <c r="A30" t="str">
        <f>CONCATENATE("These resources were built in ",IFERROR(INDEX('Game Properties'!$AE$2:$AE$6,Current_Round,1),""),":")</f>
        <v>These resources were built in :</v>
      </c>
    </row>
    <row r="32" spans="1:11" x14ac:dyDescent="0.25">
      <c r="A32" t="str">
        <f>IFERROR(CONCATENATE('Event Tracker'!A32,": ",ROUND(INDEX('Resource Mix and Demand'!$C$2:$L$9,1,Current_Round),0)," MW"),"")</f>
        <v/>
      </c>
    </row>
    <row r="34" spans="1:1" x14ac:dyDescent="0.25">
      <c r="A34" t="str">
        <f>IFERROR(CONCATENATE('Event Tracker'!A33,": ",ROUND(INDEX('Resource Mix and Demand'!$C$2:$L$9,2,Current_Round),0)," MW"),"")</f>
        <v/>
      </c>
    </row>
    <row r="36" spans="1:1" x14ac:dyDescent="0.25">
      <c r="A36" t="str">
        <f>IFERROR(CONCATENATE('Event Tracker'!A34,": ",ROUND(INDEX('Resource Mix and Demand'!$C$2:$L$9,3,Current_Round),0)," MW"),"")</f>
        <v/>
      </c>
    </row>
    <row r="38" spans="1:1" x14ac:dyDescent="0.25">
      <c r="A38" t="str">
        <f>IFERROR(CONCATENATE("Utility Scale Solar PV: ",ROUND(INDEX('Resource Mix and Demand'!$C$2:$L$9,4,Current_Round),0)," MW"),"")</f>
        <v/>
      </c>
    </row>
    <row r="40" spans="1:1" x14ac:dyDescent="0.25">
      <c r="A40" t="str">
        <f>IFERROR(CONCATENATE('Event Tracker'!A36,": ",ROUND(INDEX('Resource Mix and Demand'!$C$2:$L$9,5,Current_Round),0)," MW"),"")</f>
        <v/>
      </c>
    </row>
    <row r="42" spans="1:1" x14ac:dyDescent="0.25">
      <c r="A42" t="str">
        <f>IFERROR(CONCATENATE('Event Tracker'!A37,": ",ROUND(INDEX('Resource Mix and Demand'!$C$2:$L$9,6,Current_Round),0)," MW"),"")</f>
        <v/>
      </c>
    </row>
    <row r="44" spans="1:1" x14ac:dyDescent="0.25">
      <c r="A44" t="str">
        <f>IFERROR(CONCATENATE('Event Tracker'!A38,": ",ROUND(INDEX('Resource Mix and Demand'!$C$2:$L$9,7,Current_Round),0)," MW"),"")</f>
        <v/>
      </c>
    </row>
    <row r="46" spans="1:1" x14ac:dyDescent="0.25">
      <c r="A46" t="str">
        <f>IFERROR(CONCATENATE('Event Tracker'!A39,": ",ROUND(INDEX('Resource Mix and Demand'!$C$2:$L$9,8,Current_Round),0)," MW"),"")</f>
        <v/>
      </c>
    </row>
    <row r="48" spans="1:1" x14ac:dyDescent="0.25">
      <c r="A48" t="str">
        <f>CONCATENATE("Based on the results of Round ",Current_Round,", your current electricity ", IF(OR('Event Tracker'!B20=1,'Event Tracker'!B21=1),"capacity ","generation "),"mix is:")</f>
        <v>Based on the results of Round 0, your current electricity generation mix is:</v>
      </c>
    </row>
    <row r="50" spans="1:11" x14ac:dyDescent="0.25">
      <c r="A50" t="str">
        <f>CONCATENATE("At the start of Round ",Current_Round,", your electricity ",IF(OR('Event Tracker'!$B$20=1,'Event Tracker'!$B$21=1),"capacity","generation"), " mix is:")</f>
        <v>At the start of Round 0, your electricity generation mix is:</v>
      </c>
    </row>
    <row r="52" spans="1:11" x14ac:dyDescent="0.25">
      <c r="A52" s="9" t="s">
        <v>529</v>
      </c>
      <c r="B52" s="3"/>
      <c r="C52" s="3"/>
      <c r="D52" s="3"/>
      <c r="E52" s="3"/>
      <c r="F52" s="3"/>
      <c r="G52" s="3"/>
      <c r="H52" s="3"/>
      <c r="I52" s="3"/>
      <c r="J52" s="3"/>
      <c r="K52" s="3"/>
    </row>
    <row r="54" spans="1:11" x14ac:dyDescent="0.25">
      <c r="A54" t="str">
        <f>CONCATENATE("Welcome to the ",IFERROR(INDEX('Game Properties'!$AE$2:$AE$6,Current_Round,1),""), " Planning Process")</f>
        <v>Welcome to the  Planning Process</v>
      </c>
    </row>
    <row r="56" spans="1:11" x14ac:dyDescent="0.25">
      <c r="A56" t="str">
        <f>IFERROR(CONCATENATE("These resources are retiring in ",INDEX('Game Properties'!$AE$2:$AE$6,Current_Round,1),":"),"")</f>
        <v/>
      </c>
    </row>
    <row r="58" spans="1:11" x14ac:dyDescent="0.25">
      <c r="A58" t="str">
        <f>IFERROR(CONCATENATE("Coal: ",INDEX('Resource Mix and Demand'!$C$12:$L$19,1,Current_Round)," MW"),"")</f>
        <v/>
      </c>
    </row>
    <row r="60" spans="1:11" x14ac:dyDescent="0.25">
      <c r="A60" t="str">
        <f>IFERROR(CONCATENATE("Nuclear: ",INDEX('Resource Mix and Demand'!$C$12:$L$19,3,Current_Round)," MW"),"")</f>
        <v/>
      </c>
    </row>
    <row r="62" spans="1:11" x14ac:dyDescent="0.25">
      <c r="A62" t="str">
        <f>CONCATENATE("The most ",IF(OR('Initial Setup'!$B$3='Event Tracker'!$A$20,'Initial Setup'!$B$3='Event Tracker'!$A$21)," capacity"," generation")," you can support this round without building additional flexible resources is:")</f>
        <v>The most  generation you can support this round without building additional flexible resources is:</v>
      </c>
    </row>
    <row r="64" spans="1:11" x14ac:dyDescent="0.25">
      <c r="A64" t="str">
        <f>IFERROR(CONCATENATE("Utility-Scale Solar PV: ",TEXT((MAX(0,ROUND(INDEX(Reliability!$B$54:$L$54,1,MATCH(Current_Round,Reliability!$B$53:$L$53,0))-INDEX('Resource Mix and Demand'!$C$25:$L$25,1,MATCH(Current_Round,'Resource Mix and Demand'!$C$21:$L$21,0)),0)))*IF(OR('Initial Setup'!$B$3='Event Tracker'!$A$20,'Initial Setup'!$B$3='Event Tracker'!$A$21),1,8760*'Game Assumptions'!$G$58/1000),"#,##0"),IF(OR('Initial Setup'!$B$3='Event Tracker'!$A$20,'Initial Setup'!$B$3='Event Tracker'!$A$21)," MW"," GWh")),"")</f>
        <v/>
      </c>
    </row>
    <row r="66" spans="1:1" x14ac:dyDescent="0.25">
      <c r="A66" t="str">
        <f>IFERROR(CONCATENATE("Distributed PV: ",TEXT((MAX(0,ROUND(INDEX(Reliability!$B$55:$L$55,1,MATCH(Current_Round,Reliability!$B$53:$L$53,0))-INDEX('Resource Mix and Demand'!$C$29:$L$29,1,MATCH(Current_Round,'Resource Mix and Demand'!C21:L21,0)),0)))*IF(OR('Initial Setup'!$B$3='Event Tracker'!$A$20,'Initial Setup'!$B$3='Event Tracker'!$A$21),1,8760*'Game Assumptions'!$G$58/1000),"#,##0"),IF(OR('Initial Setup'!$B$3='Event Tracker'!$A$20,'Initial Setup'!$B$3='Event Tracker'!$A$21)," MW"," GWh")),"")</f>
        <v/>
      </c>
    </row>
    <row r="68" spans="1:1" x14ac:dyDescent="0.25">
      <c r="A68" t="str">
        <f>IFERROR(CONCATENATE("Wind: ",TEXT((MAX(0,ROUND(INDEX(Reliability!$B$54:$L$54,1,MATCH(Current_Round,Reliability!$B$53:$L$53,0))-INDEX('Resource Mix and Demand'!$C$26:$L$26,1,MATCH(Current_Round,'Resource Mix and Demand'!$C$21:$L$21,0)),0)))*IF(OR('Initial Setup'!$B$3='Event Tracker'!$A$20,'Initial Setup'!$B$3='Event Tracker'!$A$21),1,8760*'Game Assumptions'!$G$59/1000),"#,##0"),IF(OR('Initial Setup'!$B$3='Event Tracker'!$A$20,'Initial Setup'!$B$3='Event Tracker'!$A$21)," MW"," GWh")),"")</f>
        <v/>
      </c>
    </row>
    <row r="70" spans="1:1" x14ac:dyDescent="0.25">
      <c r="A70" t="str">
        <f>IFERROR(IF(OR('Event Tracker'!B20=1,'Event Tracker'!B21=1),CONCATENATE("You must build ",ROUND(INDEX(Reserve_Margin_Error,1,MATCH(Current_Round,Graphs!$C$96:$L$96,0)),0)," MW of peaking capacity this round to meet your reliability requirements."),CONCATENATE("Your reliability requirements require an additional ",ROUND(INDEX(Reserve_Margin_Error,1,MATCH(Current_Round,Graphs!C96:L96,0)),0)," MW of peaking capacity this round. You can contract for the equivalent amount of generation or the market will build it for you.")),"")</f>
        <v/>
      </c>
    </row>
    <row r="72" spans="1:1" x14ac:dyDescent="0.25">
      <c r="A72" s="9" t="s">
        <v>483</v>
      </c>
    </row>
    <row r="74" spans="1:1" x14ac:dyDescent="0.25">
      <c r="A74" t="str">
        <f>IF(OR('Event Tracker'!$B$20=1,'Event Tracker'!$B$21=1), CONCATENATE("You can build up to four times your current coal capacity (",TEXT(MaxCoal,"#,##0"), " MW)."), CONCATENATE("You can contract for up to four times your current potential coal generation (",TEXT(MaxCoal,"#,##0"), " GWh)."))</f>
        <v>You can contract for up to four times your current potential coal generation (37,843 GWh).</v>
      </c>
    </row>
    <row r="75" spans="1:1" x14ac:dyDescent="0.25">
      <c r="A75" t="str">
        <f>IF(OR('Event Tracker'!$B$20=1,'Event Tracker'!$B$21=1), CONCATENATE("You can build up to four times your current natural gas capacity (",TEXT(MaxNatGas,"#,##0"), " MW)."), CONCATENATE("You can contract for up to four times your current potential natural gas generation (",TEXT(MaxNatGas,"#,##0"), " GWh)."))</f>
        <v>You can contract for up to four times your current potential natural gas generation (179,948 GWh).</v>
      </c>
    </row>
    <row r="76" spans="1:1" x14ac:dyDescent="0.25">
      <c r="A76" t="str">
        <f>IF(OR('Event Tracker'!$B$20=1,'Event Tracker'!$B$21=1), CONCATENATE("You can build up to four times your current nuclear capacity (",TEXT(MaxNuclear,"#,##0"), " MW)."), CONCATENATE("You can contract for up to four times your current potential nuclear generation (",TEXT(MaxNuclear,"#,##0"), " GWh)."))</f>
        <v>You can contract for up to four times your current potential nuclear generation (32,727 GWh).</v>
      </c>
    </row>
    <row r="77" spans="1:1" x14ac:dyDescent="0.25">
      <c r="A77" t="str">
        <f>IF(OR('Event Tracker'!$B$20=1,'Event Tracker'!$B$21=1), CONCATENATE("You can build up to four times your current utility-scale solar PV capacity (",TEXT(MaxSolar,"#,##0"), " MW)."), CONCATENATE("You can contract for up to four times your current utility-scale solar PV generation (",TEXT(MaxSolar,"#,##0"), " GWh)."))</f>
        <v>You can contract for up to four times your current utility-scale solar PV generation (7,847 GWh).</v>
      </c>
    </row>
    <row r="78" spans="1:1" x14ac:dyDescent="0.25">
      <c r="A78" t="str">
        <f>IF(OR('Event Tracker'!$B$20=1,'Event Tracker'!$B$21=1), CONCATENATE("You can build up to four times your current wind capacity (",TEXT(MaxWind,"#,##0"), " MW)."), CONCATENATE("You can contract for up to four times your current wind generation (",TEXT(MaxWind,"#,##0"), " GWh)."))</f>
        <v>You can contract for up to four times your current wind generation (13,307 GWh).</v>
      </c>
    </row>
    <row r="79" spans="1:1" x14ac:dyDescent="0.25">
      <c r="A79" t="str">
        <f>IF(OR('Event Tracker'!$B$20=1,'Event Tracker'!$B$21=1), CONCATENATE("You can build up to four times your current hydro capacity (",TEXT(MaxHydro,"#,##0"), " MW.)"), CONCATENATE("You can contract for up to four times your current hydro generation (",TEXT(MaxHydro,"#,##0"), " GWh)."))</f>
        <v>You can contract for up to four times your current hydro generation (2,405 GWh).</v>
      </c>
    </row>
    <row r="80" spans="1:1" x14ac:dyDescent="0.25">
      <c r="A80" t="str">
        <f>IF(OR('Event Tracker'!$B$20=1,'Event Tracker'!$B$21=1), CONCATENATE("You can build up to four times your current energy efficiency (",TEXT(MaxEE,"#,##0"), " MW)."), CONCATENATE("You can contract for up to four times your current energy efficiency generation (",TEXT(MaxEE,"#,##0"), " GWh)."))</f>
        <v>You can contract for up to four times your current energy efficiency generation (36,569 GWh).</v>
      </c>
    </row>
    <row r="81" spans="1:11" x14ac:dyDescent="0.25">
      <c r="A81" t="str">
        <f>IF(OR('Event Tracker'!$B$20=1,'Event Tracker'!$B$21=1), CONCATENATE("You can build up to four times your current distributed solar PV capacity (",TEXT(MaxSolarDistributed,"#,##0"), " MW)."), CONCATENATE("You can contract for up to four times your current distributed solar PV generation (",TEXT(MaxSolarDistributed,"#,##0"), " GWh)."))</f>
        <v>You can contract for up to four times your current distributed solar PV generation (4,209 GWh).</v>
      </c>
    </row>
    <row r="83" spans="1:11" x14ac:dyDescent="0.25">
      <c r="A83" s="9" t="s">
        <v>489</v>
      </c>
    </row>
    <row r="84" spans="1:11" x14ac:dyDescent="0.25">
      <c r="A84" t="str">
        <f>CONCATENATE("You can build up to four times your existing combustine turbine capacity this round (",TEXT(MaxCT,"##,##0")," MW).")</f>
        <v>You can build up to four times your existing combustine turbine capacity this round (1,200 MW).</v>
      </c>
    </row>
    <row r="85" spans="1:11" x14ac:dyDescent="0.25">
      <c r="A85" t="str">
        <f>CONCATENATE("You can build up to four times your existing battery capacity this round (",TEXT(MaxBatteries,"##,##0")," MW).")</f>
        <v>You can build up to four times your existing battery capacity this round (40 MW).</v>
      </c>
    </row>
    <row r="86" spans="1:11" x14ac:dyDescent="0.25">
      <c r="A86" t="str">
        <f>CONCATENATE("You can build up to four times your existing pumped hydro capacity this round (",TEXT(MaxPumpedHydro,"##,##0")," MW).")</f>
        <v>You can build up to four times your existing pumped hydro capacity this round (800 MW).</v>
      </c>
    </row>
    <row r="87" spans="1:11" x14ac:dyDescent="0.25">
      <c r="A87" t="str">
        <f>CONCATENATE("You can build up to twice your existing DR capacity, capped at 15% of peak load, this round (",TEXT(MaxDR,"##,##0")," MW).")</f>
        <v>You can build up to twice your existing DR capacity, capped at 15% of peak load, this round (200 MW).</v>
      </c>
    </row>
    <row r="88" spans="1:11" x14ac:dyDescent="0.25">
      <c r="A88" t="str">
        <f>CONCATENATE("You can build up to twice your existing transmission capacity this round (",TEXT(MaxTransmission,"##,##0")," circuit-miles).")</f>
        <v>You can build up to twice your existing transmission capacity this round (10,000 circuit-miles).</v>
      </c>
    </row>
    <row r="89" spans="1:11" x14ac:dyDescent="0.25">
      <c r="A89" t="str">
        <f>CONCATENATE("You can build up to twice your existing distribution infrasturcture (transformers, substations, lines, and feeders) this round (",TEXT(MaxDistribution,"##,##0")," MW).")</f>
        <v>You can build up to twice your existing distribution infrasturcture (transformers, substations, lines, and feeders) this round (10,000 MW).</v>
      </c>
    </row>
    <row r="91" spans="1:11" x14ac:dyDescent="0.25">
      <c r="A91" s="9" t="s">
        <v>530</v>
      </c>
      <c r="B91" s="3"/>
      <c r="C91" s="3"/>
      <c r="D91" s="3"/>
      <c r="E91" s="3"/>
      <c r="F91" s="3"/>
      <c r="G91" s="3"/>
      <c r="H91" s="3"/>
      <c r="I91" s="3"/>
      <c r="J91" s="3"/>
      <c r="K91" s="3"/>
    </row>
    <row r="92" spans="1:11" x14ac:dyDescent="0.25">
      <c r="A92" t="s">
        <v>530</v>
      </c>
    </row>
    <row r="94" spans="1:11" x14ac:dyDescent="0.25">
      <c r="A94" t="str">
        <f>CONCATENATE("Your average customer bill ",IF(INDEX(Graphs!$C$3:$C$13,Current_Round+1,1)&lt;INDEX(Graphs!$C$3:$C$13,1,1),"decreased by $","increased by $"),TEXT(ABS(INDEX(Graphs!$C$3:$C$13,Current_Round+1,1)-INDEX(Graphs!$C$3:$C$13,1,1)),"###.00"))</f>
        <v>Your average customer bill increased by $.00</v>
      </c>
      <c r="B94" s="123" t="str">
        <f>IFERROR(IF(INDEX(Graphs!$C$3:$C$13,Current_Round+1,1)-INDEX(Graphs!$C$3:$C$13,1,1)&gt;0,"+","-"),"")</f>
        <v>-</v>
      </c>
    </row>
    <row r="96" spans="1:11" x14ac:dyDescent="0.25">
      <c r="A96" t="str">
        <f>CONCATENATE("Your average CO2 emissions rate ",IF(INDEX(Graphs!$C$18:$C$28,Current_Round+1,1)&lt;INDEX(Graphs!$C$18:$C$28,1,1),"decreased by ","increased by "),ROUND(ABS(INDEX(Graphs!$C$18:$C$28,Current_Round+1,1)-INDEX(Graphs!$C$18:$C$28,1,1)),0)," lbs/MWh")</f>
        <v>Your average CO2 emissions rate increased by 0 lbs/MWh</v>
      </c>
      <c r="B96" s="123" t="str">
        <f>IFERROR(IF(INDEX(Graphs!$C$18:$C$28,Current_Round+1,1)-INDEX(Graphs!$C$18:$C$28,1,1)&gt;0,"+","-"),"")</f>
        <v>-</v>
      </c>
    </row>
    <row r="98" spans="1:2" x14ac:dyDescent="0.25">
      <c r="A98" t="str">
        <f>CONCATENATE("Your earnings per share ",IF(INDEX(Graphs!$C$34:$C$44,Current_Round+1,1)&lt;INDEX(Graphs!$C$34:$C$44,1,1),"decreased by $","increased by $"),TEXT(ABS(INDEX(Graphs!$C$34:$C$44,Current_Round+1,1)-INDEX(Graphs!$C$34:$C$44,1,1)),"##.00"))</f>
        <v>Your earnings per share increased by $.00</v>
      </c>
      <c r="B98" s="123" t="str">
        <f>IFERROR(IF(INDEX(Graphs!$C$34:$C$44,Current_Round+1,1)-INDEX(Graphs!$C$34:$C$44,1,1)&gt;0,"+","-"),"")</f>
        <v>-</v>
      </c>
    </row>
    <row r="100" spans="1:2" x14ac:dyDescent="0.25">
      <c r="A100" t="str">
        <f>CONCATENATE("Your minutes of outages ",IF(INDEX(Graphs!$C$51:$C$61,Current_Round+1,1)&lt;INDEX(Graphs!$C$51:$C$61,1,1),"decreased by ","increased by "), ROUND(ABS(INDEX(Graphs!$C$51:$C$61,Current_Round+1,1)-INDEX(Graphs!$C$51:$C$61,1,1)),0))</f>
        <v>Your minutes of outages increased by 0</v>
      </c>
      <c r="B100" s="123" t="str">
        <f>IFERROR(IF(INDEX(Graphs!$C$51:$C$61,Current_Round+1,1)-INDEX(Graphs!$C$51:$C$61,1,1)&gt;0,"+","-"),"")</f>
        <v>-</v>
      </c>
    </row>
    <row r="102" spans="1:2" x14ac:dyDescent="0.25">
      <c r="B102" s="123" t="str">
        <f>IFERROR(IF(INDEX(Graphs!$C$51:$C$61,Current_Round+1,1)-INDEX(Graphs!$C$51:$C$61,Current_Round,1)&gt;0,"+","-"),"")</f>
        <v/>
      </c>
    </row>
  </sheetData>
  <mergeCells count="2">
    <mergeCell ref="A1:C1"/>
    <mergeCell ref="A11:C1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5"/>
  </sheetPr>
  <dimension ref="A1:O33"/>
  <sheetViews>
    <sheetView workbookViewId="0">
      <selection activeCell="A6" sqref="A6"/>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101</v>
      </c>
      <c r="B1" t="s">
        <v>116</v>
      </c>
      <c r="N1" t="s">
        <v>73</v>
      </c>
      <c r="O1" s="30">
        <f>'Event Tracker'!P1</f>
        <v>0</v>
      </c>
    </row>
    <row r="2" spans="1:15" x14ac:dyDescent="0.25">
      <c r="A2" s="52" t="s">
        <v>102</v>
      </c>
      <c r="B2" s="45">
        <v>0</v>
      </c>
      <c r="C2" s="45">
        <v>1</v>
      </c>
      <c r="D2" s="45">
        <v>2</v>
      </c>
      <c r="E2" s="45">
        <v>3</v>
      </c>
      <c r="F2" s="45">
        <v>4</v>
      </c>
      <c r="G2" s="45">
        <v>5</v>
      </c>
      <c r="H2" s="45">
        <v>6</v>
      </c>
      <c r="I2" s="45">
        <v>7</v>
      </c>
      <c r="J2" s="45">
        <v>8</v>
      </c>
      <c r="K2" s="45">
        <v>9</v>
      </c>
      <c r="L2" s="45">
        <v>10</v>
      </c>
    </row>
    <row r="3" spans="1:15" x14ac:dyDescent="0.25">
      <c r="A3" t="s">
        <v>103</v>
      </c>
      <c r="B3" s="8">
        <f>SUM('Utility Revenue'!B67,'Utility Revenue'!B71:B76,'Utility Revenue'!B78,'Utility Revenue'!B79,'Utility Revenue'!B80,'Utility Revenue'!B87:B89)/'Utility Revenue'!B93*'Utility Revenue'!B96</f>
        <v>6.0321995461187668E-2</v>
      </c>
      <c r="C3" s="8">
        <f>SUM('Utility Revenue'!C67,'Utility Revenue'!C71:C76,'Utility Revenue'!C78,'Utility Revenue'!C79,'Utility Revenue'!C80,'Utility Revenue'!C87:C89)/'Utility Revenue'!C93*'Utility Revenue'!C96</f>
        <v>6.0756175197764446E-2</v>
      </c>
      <c r="D3" s="8">
        <f>SUM('Utility Revenue'!D67,'Utility Revenue'!D71:D76,'Utility Revenue'!D78,'Utility Revenue'!D79,'Utility Revenue'!D80,'Utility Revenue'!D87:D89)/'Utility Revenue'!D93*'Utility Revenue'!D96</f>
        <v>5.6266516103861172E-2</v>
      </c>
      <c r="E3" s="8">
        <f>SUM('Utility Revenue'!E67,'Utility Revenue'!E71:E76,'Utility Revenue'!E78,'Utility Revenue'!E79,'Utility Revenue'!E80,'Utility Revenue'!E87:E89)/'Utility Revenue'!E93*'Utility Revenue'!E96</f>
        <v>5.2607125270645039E-2</v>
      </c>
      <c r="F3" s="8">
        <f>SUM('Utility Revenue'!F67,'Utility Revenue'!F71:F76,'Utility Revenue'!F78,'Utility Revenue'!F79,'Utility Revenue'!F80,'Utility Revenue'!F87:F89)/'Utility Revenue'!F93*'Utility Revenue'!F96</f>
        <v>5.098048247345683E-2</v>
      </c>
      <c r="G3" s="8">
        <f>SUM('Utility Revenue'!G67,'Utility Revenue'!G71:G76,'Utility Revenue'!G78,'Utility Revenue'!G79,'Utility Revenue'!G80,'Utility Revenue'!G87:G89)/'Utility Revenue'!G93*'Utility Revenue'!G96</f>
        <v>4.9849484232205067E-2</v>
      </c>
      <c r="H3" s="8">
        <f>SUM('Utility Revenue'!H67,'Utility Revenue'!H71:H76,'Utility Revenue'!H78,'Utility Revenue'!H79,'Utility Revenue'!H80,'Utility Revenue'!H87:H89)/'Utility Revenue'!H93*'Utility Revenue'!H96</f>
        <v>4.9814488228353514E-2</v>
      </c>
      <c r="I3" s="8">
        <f>SUM('Utility Revenue'!I67,'Utility Revenue'!I71:I76,'Utility Revenue'!I78,'Utility Revenue'!I79,'Utility Revenue'!I80,'Utility Revenue'!I87:I89)/'Utility Revenue'!I93*'Utility Revenue'!I96</f>
        <v>4.9954372474672958E-2</v>
      </c>
      <c r="J3" s="8">
        <f>SUM('Utility Revenue'!J67,'Utility Revenue'!J71:J76,'Utility Revenue'!J78,'Utility Revenue'!J79,'Utility Revenue'!J80,'Utility Revenue'!J87:J89)/'Utility Revenue'!J93*'Utility Revenue'!J96</f>
        <v>5.0073038245689629E-2</v>
      </c>
      <c r="K3" s="8">
        <f>SUM('Utility Revenue'!K67,'Utility Revenue'!K71:K76,'Utility Revenue'!K78,'Utility Revenue'!K79,'Utility Revenue'!K80,'Utility Revenue'!K87:K89)/'Utility Revenue'!K93*'Utility Revenue'!K96</f>
        <v>5.0077532810769793E-2</v>
      </c>
      <c r="L3" s="8">
        <f>SUM('Utility Revenue'!L67,'Utility Revenue'!L71:L76,'Utility Revenue'!L78,'Utility Revenue'!L79,'Utility Revenue'!L80,'Utility Revenue'!L87:L89)/'Utility Revenue'!L93*'Utility Revenue'!L96</f>
        <v>5.0026478329344704E-2</v>
      </c>
    </row>
    <row r="4" spans="1:15" x14ac:dyDescent="0.25">
      <c r="A4" t="s">
        <v>104</v>
      </c>
      <c r="B4" s="8">
        <f>SUM('Utility Revenue'!B68,'Utility Revenue'!B82,'Utility Revenue'!B91)/'Utility Revenue'!B93*'Utility Revenue'!B96</f>
        <v>6.8622874015620838E-3</v>
      </c>
      <c r="C4" s="8">
        <f>SUM('Utility Revenue'!C68,'Utility Revenue'!C82,'Utility Revenue'!C91)/'Utility Revenue'!C93*'Utility Revenue'!C96</f>
        <v>6.9199536822474785E-3</v>
      </c>
      <c r="D4" s="8">
        <f>SUM('Utility Revenue'!D68,'Utility Revenue'!D82,'Utility Revenue'!D91)/'Utility Revenue'!D93*'Utility Revenue'!D96</f>
        <v>6.9785973575207617E-3</v>
      </c>
      <c r="E4" s="8">
        <f>SUM('Utility Revenue'!E68,'Utility Revenue'!E82,'Utility Revenue'!E91)/'Utility Revenue'!E93*'Utility Revenue'!E96</f>
        <v>7.0382434887816233E-3</v>
      </c>
      <c r="F4" s="8">
        <f>SUM('Utility Revenue'!F68,'Utility Revenue'!F82,'Utility Revenue'!F91)/'Utility Revenue'!F93*'Utility Revenue'!F96</f>
        <v>7.0989180016159479E-3</v>
      </c>
      <c r="G4" s="8">
        <f>SUM('Utility Revenue'!G68,'Utility Revenue'!G82,'Utility Revenue'!G91)/'Utility Revenue'!G93*'Utility Revenue'!G96</f>
        <v>7.1606477233691294E-3</v>
      </c>
      <c r="H4" s="8">
        <f>SUM('Utility Revenue'!H68,'Utility Revenue'!H82,'Utility Revenue'!H91)/'Utility Revenue'!H93*'Utility Revenue'!H96</f>
        <v>7.2234604226969288E-3</v>
      </c>
      <c r="I4" s="8">
        <f>SUM('Utility Revenue'!I68,'Utility Revenue'!I82,'Utility Revenue'!I91)/'Utility Revenue'!I93*'Utility Revenue'!I96</f>
        <v>7.2873848512163709E-3</v>
      </c>
      <c r="J4" s="8">
        <f>SUM('Utility Revenue'!J68,'Utility Revenue'!J82,'Utility Revenue'!J91)/'Utility Revenue'!J93*'Utility Revenue'!J96</f>
        <v>7.3524507873879465E-3</v>
      </c>
      <c r="K4" s="8">
        <f>SUM('Utility Revenue'!K68,'Utility Revenue'!K82,'Utility Revenue'!K91)/'Utility Revenue'!K93*'Utility Revenue'!K96</f>
        <v>7.4186890827698197E-3</v>
      </c>
      <c r="L4" s="8">
        <f>SUM('Utility Revenue'!L68,'Utility Revenue'!L82,'Utility Revenue'!L91)/'Utility Revenue'!L93*'Utility Revenue'!L96</f>
        <v>7.4861317107949993E-3</v>
      </c>
    </row>
    <row r="5" spans="1:15" x14ac:dyDescent="0.25">
      <c r="A5" s="22" t="s">
        <v>105</v>
      </c>
      <c r="B5" s="51">
        <f>SUM('Utility Revenue'!B69,'Utility Revenue'!B81,'Utility Revenue'!B83,'Utility Revenue'!B92)/'Utility Revenue'!B93*'Utility Revenue'!B96</f>
        <v>1.2738592769560493E-2</v>
      </c>
      <c r="C5" s="51">
        <f>SUM('Utility Revenue'!C69,'Utility Revenue'!C81,'Utility Revenue'!C83,'Utility Revenue'!C92)/'Utility Revenue'!C93*'Utility Revenue'!C96</f>
        <v>1.2845639767624026E-2</v>
      </c>
      <c r="D5" s="51">
        <f>SUM('Utility Revenue'!D69,'Utility Revenue'!D81,'Utility Revenue'!D83,'Utility Revenue'!D92)/'Utility Revenue'!D93*'Utility Revenue'!D96</f>
        <v>1.2954501121586942E-2</v>
      </c>
      <c r="E5" s="51">
        <f>SUM('Utility Revenue'!E69,'Utility Revenue'!E81,'Utility Revenue'!E83,'Utility Revenue'!E92)/'Utility Revenue'!E93*'Utility Revenue'!E96</f>
        <v>1.3065223353395376E-2</v>
      </c>
      <c r="F5" s="51">
        <f>SUM('Utility Revenue'!F69,'Utility Revenue'!F81,'Utility Revenue'!F83,'Utility Revenue'!F92)/'Utility Revenue'!F93*'Utility Revenue'!F96</f>
        <v>1.3177854589200512E-2</v>
      </c>
      <c r="G5" s="51">
        <f>SUM('Utility Revenue'!G69,'Utility Revenue'!G81,'Utility Revenue'!G83,'Utility Revenue'!G92)/'Utility Revenue'!G93*'Utility Revenue'!G96</f>
        <v>1.3292444629106601E-2</v>
      </c>
      <c r="H5" s="51">
        <f>SUM('Utility Revenue'!H69,'Utility Revenue'!H81,'Utility Revenue'!H83,'Utility Revenue'!H92)/'Utility Revenue'!H93*'Utility Revenue'!H96</f>
        <v>1.3409045020589991E-2</v>
      </c>
      <c r="I5" s="51">
        <f>SUM('Utility Revenue'!I69,'Utility Revenue'!I81,'Utility Revenue'!I83,'Utility Revenue'!I92)/'Utility Revenue'!I93*'Utility Revenue'!I96</f>
        <v>1.3527709135816452E-2</v>
      </c>
      <c r="J5" s="51">
        <f>SUM('Utility Revenue'!J69,'Utility Revenue'!J81,'Utility Revenue'!J83,'Utility Revenue'!J92)/'Utility Revenue'!J93*'Utility Revenue'!J96</f>
        <v>1.364849225310053E-2</v>
      </c>
      <c r="K5" s="51">
        <f>SUM('Utility Revenue'!K69,'Utility Revenue'!K81,'Utility Revenue'!K83,'Utility Revenue'!K92)/'Utility Revenue'!K93*'Utility Revenue'!K96</f>
        <v>1.3771451642768103E-2</v>
      </c>
      <c r="L5" s="51">
        <f>SUM('Utility Revenue'!L69,'Utility Revenue'!L81,'Utility Revenue'!L83,'Utility Revenue'!L92)/'Utility Revenue'!L93*'Utility Revenue'!L96</f>
        <v>1.3896646657702356E-2</v>
      </c>
    </row>
    <row r="6" spans="1:15" x14ac:dyDescent="0.25">
      <c r="A6" s="53" t="s">
        <v>535</v>
      </c>
      <c r="B6" s="54">
        <f>'Utility Revenue'!B100*1000/'Utility Revenue'!B101</f>
        <v>12000</v>
      </c>
      <c r="C6" s="54">
        <f>'Utility Revenue'!C100*1000/'Utility Revenue'!C101</f>
        <v>11959.5</v>
      </c>
      <c r="D6" s="54">
        <f>'Utility Revenue'!D100*1000/'Utility Revenue'!D101</f>
        <v>11823.6</v>
      </c>
      <c r="E6" s="54">
        <f>'Utility Revenue'!E100*1000/'Utility Revenue'!E101</f>
        <v>11641.5</v>
      </c>
      <c r="F6" s="54">
        <f>'Utility Revenue'!F100*1000/'Utility Revenue'!F101</f>
        <v>11600</v>
      </c>
      <c r="G6" s="54">
        <f>'Utility Revenue'!G100*1000/'Utility Revenue'!G101</f>
        <v>11523</v>
      </c>
      <c r="H6" s="54">
        <f>'Utility Revenue'!H100*1000/'Utility Revenue'!H101</f>
        <v>11343</v>
      </c>
      <c r="I6" s="54">
        <f>'Utility Revenue'!I100*1000/'Utility Revenue'!I101</f>
        <v>11333.9</v>
      </c>
      <c r="J6" s="54">
        <f>'Utility Revenue'!J100*1000/'Utility Revenue'!J101</f>
        <v>11200</v>
      </c>
      <c r="K6" s="54">
        <f>'Utility Revenue'!K100*1000/'Utility Revenue'!K101</f>
        <v>11044.5</v>
      </c>
      <c r="L6" s="54">
        <f>'Utility Revenue'!L100*1000/'Utility Revenue'!L101</f>
        <v>11033</v>
      </c>
    </row>
    <row r="7" spans="1:15" ht="15.75" thickBot="1" x14ac:dyDescent="0.3">
      <c r="A7" s="55" t="s">
        <v>109</v>
      </c>
      <c r="B7" s="56">
        <f>B6*SUM(B3:B5)</f>
        <v>959.07450758772279</v>
      </c>
      <c r="C7" s="56">
        <f t="shared" ref="C7:L7" si="0">C6*SUM(C3:C5)</f>
        <v>963.00009214140221</v>
      </c>
      <c r="D7" s="56">
        <f t="shared" si="0"/>
        <v>900.95376298319093</v>
      </c>
      <c r="E7" s="56">
        <f t="shared" si="0"/>
        <v>846.46035808141789</v>
      </c>
      <c r="F7" s="56">
        <f t="shared" si="0"/>
        <v>826.58415874557011</v>
      </c>
      <c r="G7" s="56">
        <f t="shared" si="0"/>
        <v>810.09658998527675</v>
      </c>
      <c r="H7" s="56">
        <f t="shared" si="0"/>
        <v>799.08024921741753</v>
      </c>
      <c r="I7" s="56">
        <f t="shared" si="0"/>
        <v>802.09405593032704</v>
      </c>
      <c r="J7" s="56">
        <f t="shared" si="0"/>
        <v>796.02859040519479</v>
      </c>
      <c r="K7" s="56">
        <f t="shared" si="0"/>
        <v>787.11582037175049</v>
      </c>
      <c r="L7" s="56">
        <f t="shared" si="0"/>
        <v>787.85832914729156</v>
      </c>
    </row>
    <row r="8" spans="1:15" ht="15.75" thickTop="1" x14ac:dyDescent="0.25">
      <c r="A8" s="57" t="s">
        <v>106</v>
      </c>
      <c r="B8" s="58"/>
      <c r="C8" s="58"/>
      <c r="D8" s="58"/>
      <c r="E8" s="58"/>
      <c r="F8" s="58"/>
      <c r="G8" s="58"/>
      <c r="H8" s="58"/>
      <c r="I8" s="58"/>
      <c r="J8" s="58"/>
      <c r="K8" s="58"/>
      <c r="L8" s="58"/>
    </row>
    <row r="9" spans="1:15" x14ac:dyDescent="0.25">
      <c r="A9" t="s">
        <v>107</v>
      </c>
      <c r="B9" s="15">
        <f>INDEX('Utility Revenue'!$B$61:$L$61,1,MATCH('Customer Bills'!B$2,'Utility Revenue'!$B$40:$L$40,0))</f>
        <v>178.24136544051359</v>
      </c>
      <c r="C9" s="15">
        <f>INDEX('Utility Revenue'!$B$61:$L$61,1,MATCH('Customer Bills'!C$2,'Utility Revenue'!$B$40:$L$40,0))</f>
        <v>173.33682658266721</v>
      </c>
      <c r="D9" s="15">
        <f>INDEX('Utility Revenue'!$B$61:$L$61,1,MATCH('Customer Bills'!D$2,'Utility Revenue'!$B$40:$L$40,0))</f>
        <v>171.30817936448975</v>
      </c>
      <c r="E9" s="15">
        <f>INDEX('Utility Revenue'!$B$61:$L$61,1,MATCH('Customer Bills'!E$2,'Utility Revenue'!$B$40:$L$40,0))</f>
        <v>178.06919167836347</v>
      </c>
      <c r="F9" s="15">
        <f>INDEX('Utility Revenue'!$B$61:$L$61,1,MATCH('Customer Bills'!F$2,'Utility Revenue'!$B$40:$L$40,0))</f>
        <v>175.98791645347734</v>
      </c>
      <c r="G9" s="15">
        <f>INDEX('Utility Revenue'!$B$61:$L$61,1,MATCH('Customer Bills'!G$2,'Utility Revenue'!$B$40:$L$40,0))</f>
        <v>173.76466670705526</v>
      </c>
      <c r="H9" s="15">
        <f>INDEX('Utility Revenue'!$B$61:$L$61,1,MATCH('Customer Bills'!H$2,'Utility Revenue'!$B$40:$L$40,0))</f>
        <v>171.53075749728023</v>
      </c>
      <c r="I9" s="15">
        <f>INDEX('Utility Revenue'!$B$61:$L$61,1,MATCH('Customer Bills'!I$2,'Utility Revenue'!$B$40:$L$40,0))</f>
        <v>169.294903500044</v>
      </c>
      <c r="J9" s="15">
        <f>INDEX('Utility Revenue'!$B$61:$L$61,1,MATCH('Customer Bills'!J$2,'Utility Revenue'!$B$40:$L$40,0))</f>
        <v>167.77906533881352</v>
      </c>
      <c r="K9" s="15">
        <f>INDEX('Utility Revenue'!$B$61:$L$61,1,MATCH('Customer Bills'!K$2,'Utility Revenue'!$B$40:$L$40,0))</f>
        <v>166.85831740122171</v>
      </c>
      <c r="L9" s="15">
        <f>INDEX('Utility Revenue'!$B$61:$L$61,1,MATCH('Customer Bills'!L$2,'Utility Revenue'!$B$40:$L$40,0))</f>
        <v>166.14560371110812</v>
      </c>
    </row>
    <row r="10" spans="1:15" x14ac:dyDescent="0.25">
      <c r="A10" s="22" t="s">
        <v>108</v>
      </c>
      <c r="B10" s="59">
        <f>'Game Assumptions'!$B$8*12</f>
        <v>60</v>
      </c>
      <c r="C10" s="59">
        <f>'Game Assumptions'!$B$8*12</f>
        <v>60</v>
      </c>
      <c r="D10" s="59">
        <f>'Game Assumptions'!$B$8*12</f>
        <v>60</v>
      </c>
      <c r="E10" s="59">
        <f>'Game Assumptions'!$B$8*12</f>
        <v>60</v>
      </c>
      <c r="F10" s="59">
        <f>'Game Assumptions'!$B$8*12</f>
        <v>60</v>
      </c>
      <c r="G10" s="59">
        <f>'Game Assumptions'!$B$8*12</f>
        <v>60</v>
      </c>
      <c r="H10" s="59">
        <f>'Game Assumptions'!$B$8*12</f>
        <v>60</v>
      </c>
      <c r="I10" s="59">
        <f>'Game Assumptions'!$B$8*12</f>
        <v>60</v>
      </c>
      <c r="J10" s="59">
        <f>'Game Assumptions'!$B$8*12</f>
        <v>60</v>
      </c>
      <c r="K10" s="59">
        <f>'Game Assumptions'!$B$8*12</f>
        <v>60</v>
      </c>
      <c r="L10" s="59">
        <f>'Game Assumptions'!$B$8*12</f>
        <v>60</v>
      </c>
    </row>
    <row r="11" spans="1:15" ht="15.75" thickBot="1" x14ac:dyDescent="0.3">
      <c r="A11" s="55" t="s">
        <v>110</v>
      </c>
      <c r="B11" s="56">
        <f>SUM(B9:B10)</f>
        <v>238.24136544051359</v>
      </c>
      <c r="C11" s="56">
        <f t="shared" ref="C11:L11" si="1">SUM(C9:C10)</f>
        <v>233.33682658266721</v>
      </c>
      <c r="D11" s="56">
        <f t="shared" si="1"/>
        <v>231.30817936448975</v>
      </c>
      <c r="E11" s="56">
        <f t="shared" si="1"/>
        <v>238.06919167836347</v>
      </c>
      <c r="F11" s="56">
        <f t="shared" si="1"/>
        <v>235.98791645347734</v>
      </c>
      <c r="G11" s="56">
        <f t="shared" si="1"/>
        <v>233.76466670705526</v>
      </c>
      <c r="H11" s="56">
        <f t="shared" si="1"/>
        <v>231.53075749728023</v>
      </c>
      <c r="I11" s="56">
        <f t="shared" si="1"/>
        <v>229.294903500044</v>
      </c>
      <c r="J11" s="56">
        <f t="shared" si="1"/>
        <v>227.77906533881352</v>
      </c>
      <c r="K11" s="56">
        <f t="shared" si="1"/>
        <v>226.85831740122171</v>
      </c>
      <c r="L11" s="56">
        <f t="shared" si="1"/>
        <v>226.14560371110812</v>
      </c>
    </row>
    <row r="12" spans="1:15" ht="16.5" thickTop="1" thickBot="1" x14ac:dyDescent="0.3">
      <c r="A12" s="185" t="s">
        <v>560</v>
      </c>
      <c r="B12" s="120">
        <f>IF(AND('Event Tracker'!B9=1,'Utility Revenue'!B108&gt;0),'Utility Revenue'!B108/'Utility Revenue'!B101*-1,0)</f>
        <v>0</v>
      </c>
      <c r="C12" s="120">
        <f>IF(AND('Event Tracker'!C9=1,'Utility Revenue'!C108&gt;0),'Utility Revenue'!C108/'Utility Revenue'!C101*-1,0)</f>
        <v>0</v>
      </c>
      <c r="D12" s="120">
        <f>IF(AND('Event Tracker'!D9=1,'Utility Revenue'!D108&gt;0),'Utility Revenue'!D108/'Utility Revenue'!D101*-1,0)</f>
        <v>0</v>
      </c>
      <c r="E12" s="120">
        <f>IF(AND('Event Tracker'!E9=1,'Utility Revenue'!E108&gt;0),'Utility Revenue'!E108/'Utility Revenue'!E101*-1,0)</f>
        <v>0</v>
      </c>
      <c r="F12" s="120">
        <f>IF(AND('Event Tracker'!F9=1,'Utility Revenue'!F108&gt;0),'Utility Revenue'!F108/'Utility Revenue'!F101*-1,0)</f>
        <v>0</v>
      </c>
      <c r="G12" s="120">
        <f>IF(AND('Event Tracker'!G9=1,'Utility Revenue'!G108&gt;0),'Utility Revenue'!G108/'Utility Revenue'!G101*-1,0)</f>
        <v>0</v>
      </c>
      <c r="H12" s="120">
        <f>IF(AND('Event Tracker'!H9=1,'Utility Revenue'!H108&gt;0),'Utility Revenue'!H108/'Utility Revenue'!H101*-1,0)</f>
        <v>0</v>
      </c>
      <c r="I12" s="120">
        <f>IF(AND('Event Tracker'!I9=1,'Utility Revenue'!I108&gt;0),'Utility Revenue'!I108/'Utility Revenue'!I101*-1,0)</f>
        <v>0</v>
      </c>
      <c r="J12" s="120">
        <f>IF(AND('Event Tracker'!J9=1,'Utility Revenue'!J108&gt;0),'Utility Revenue'!J108/'Utility Revenue'!J101*-1,0)</f>
        <v>0</v>
      </c>
      <c r="K12" s="120">
        <f>IF(AND('Event Tracker'!K9=1,'Utility Revenue'!K108&gt;0),'Utility Revenue'!K108/'Utility Revenue'!K101*-1,0)</f>
        <v>0</v>
      </c>
      <c r="L12" s="120">
        <f>IF(AND('Event Tracker'!L9=1,'Utility Revenue'!L108&gt;0),'Utility Revenue'!L108/'Utility Revenue'!L101*-1,0)</f>
        <v>0</v>
      </c>
    </row>
    <row r="13" spans="1:15" ht="16.5" thickTop="1" thickBot="1" x14ac:dyDescent="0.3">
      <c r="A13" s="60" t="s">
        <v>536</v>
      </c>
      <c r="B13" s="61">
        <f>SUM(B7,B11,B12)/12</f>
        <v>99.776322752353039</v>
      </c>
      <c r="C13" s="61">
        <f t="shared" ref="C13:L13" si="2">SUM(C7,C11,C12)/12</f>
        <v>99.694743227005787</v>
      </c>
      <c r="D13" s="61">
        <f t="shared" si="2"/>
        <v>94.355161862306716</v>
      </c>
      <c r="E13" s="61">
        <f t="shared" si="2"/>
        <v>90.377462479981773</v>
      </c>
      <c r="F13" s="61">
        <f t="shared" si="2"/>
        <v>88.547672933253963</v>
      </c>
      <c r="G13" s="61">
        <f t="shared" si="2"/>
        <v>86.988438057694339</v>
      </c>
      <c r="H13" s="61">
        <f t="shared" si="2"/>
        <v>85.884250559558154</v>
      </c>
      <c r="I13" s="61">
        <f t="shared" si="2"/>
        <v>85.949079952530909</v>
      </c>
      <c r="J13" s="61">
        <f t="shared" si="2"/>
        <v>85.317304645334033</v>
      </c>
      <c r="K13" s="61">
        <f t="shared" si="2"/>
        <v>84.49784481441435</v>
      </c>
      <c r="L13" s="61">
        <f t="shared" si="2"/>
        <v>84.500327738199971</v>
      </c>
    </row>
    <row r="14" spans="1:15" ht="15.75" thickTop="1" x14ac:dyDescent="0.25"/>
    <row r="16" spans="1:15" x14ac:dyDescent="0.25">
      <c r="A16" s="9" t="s">
        <v>415</v>
      </c>
      <c r="B16" s="9">
        <v>0</v>
      </c>
      <c r="C16" s="9">
        <v>1</v>
      </c>
      <c r="D16" s="9">
        <v>2</v>
      </c>
      <c r="E16" s="9">
        <v>3</v>
      </c>
      <c r="F16" s="9">
        <v>4</v>
      </c>
      <c r="G16" s="9">
        <v>5</v>
      </c>
      <c r="H16" s="9">
        <v>6</v>
      </c>
      <c r="I16" s="9">
        <v>7</v>
      </c>
      <c r="J16" s="9">
        <v>8</v>
      </c>
      <c r="K16" s="9">
        <v>9</v>
      </c>
      <c r="L16" s="9">
        <v>10</v>
      </c>
    </row>
    <row r="17" spans="1:12" x14ac:dyDescent="0.25">
      <c r="A17" s="17" t="s">
        <v>416</v>
      </c>
      <c r="B17" s="49">
        <f>SUM(B7,B11)/12</f>
        <v>99.776322752353039</v>
      </c>
      <c r="C17" s="49">
        <f>($G$17-$B$17)/COUNT($C$16:$G$16)+B17</f>
        <v>99.776322752353039</v>
      </c>
      <c r="D17" s="49">
        <f>($G$17-$B$17)/COUNT($C$16:$G$16)+C17</f>
        <v>99.776322752353039</v>
      </c>
      <c r="E17" s="49">
        <f>($G$17-$B$17)/COUNT($C$16:$G$16)+D17</f>
        <v>99.776322752353039</v>
      </c>
      <c r="F17" s="49">
        <f>($G$17-$B$17)/COUNT($C$16:$G$16)+E17</f>
        <v>99.776322752353039</v>
      </c>
      <c r="G17" s="49">
        <f>'Game Assumptions'!B162</f>
        <v>99.776322752353039</v>
      </c>
      <c r="H17" s="49"/>
      <c r="I17" s="49"/>
      <c r="J17" s="49"/>
      <c r="K17" s="49"/>
      <c r="L17" s="15"/>
    </row>
    <row r="18" spans="1:12" x14ac:dyDescent="0.25">
      <c r="A18" s="17" t="s">
        <v>417</v>
      </c>
      <c r="B18" s="49">
        <f>B17</f>
        <v>99.776322752353039</v>
      </c>
      <c r="C18" s="49">
        <f>AVERAGE(B17,C17)</f>
        <v>99.776322752353039</v>
      </c>
      <c r="D18" s="49">
        <f>AVERAGE(C17,D17)</f>
        <v>99.776322752353039</v>
      </c>
      <c r="E18" s="49">
        <f>AVERAGE(D17,E17)</f>
        <v>99.776322752353039</v>
      </c>
      <c r="F18" s="49">
        <f>AVERAGE(E17,F17)</f>
        <v>99.776322752353039</v>
      </c>
      <c r="G18" s="49">
        <f>AVERAGE(F17,G17)</f>
        <v>99.776322752353039</v>
      </c>
      <c r="H18" s="49"/>
      <c r="I18" s="49"/>
      <c r="J18" s="49"/>
      <c r="K18" s="49"/>
      <c r="L18" s="49"/>
    </row>
    <row r="19" spans="1:12" x14ac:dyDescent="0.25">
      <c r="A19" t="s">
        <v>440</v>
      </c>
      <c r="B19">
        <v>0</v>
      </c>
      <c r="C19" s="5">
        <f>IF((SUM(C7,C11)/12)&lt;C17,1,IF((SUM(C7,C11)/12)&gt;B17,-1,(C18-(SUM(C7,C11)/12))/(C18-C17)))</f>
        <v>1</v>
      </c>
      <c r="D19" s="5">
        <f>IF((SUM(D7,D11)/12)&lt;D17,1,IF((SUM(D7,D11)/12)&gt;C17,-1,(D18-(SUM(D7,D11)/12))/(D18-D17)))</f>
        <v>1</v>
      </c>
      <c r="E19" s="5">
        <f>IF((SUM(E7,E11)/12)&lt;E17,1,IF((SUM(E7,E11)/12)&gt;D17,-1,(E18-(SUM(E7,E11)/12))/(E18-E17)))</f>
        <v>1</v>
      </c>
      <c r="F19" s="5">
        <f>IF((SUM(F7,F11)/12)&lt;F17,1,IF((SUM(F7,F11)/12)&gt;E17,-1,(F18-(SUM(F7,F11)/12))/(F18-F17)))</f>
        <v>1</v>
      </c>
      <c r="G19" s="5">
        <f>IF((SUM(G7,G11)/12)&lt;G17,1,IF((SUM(G7,G11)/12)&gt;F17,-1,(G18-(SUM(G7,G11)/12))/(G18-G17)))</f>
        <v>1</v>
      </c>
      <c r="H19" s="5"/>
      <c r="I19" s="5"/>
      <c r="J19" s="5"/>
      <c r="K19" s="5"/>
      <c r="L19" s="5"/>
    </row>
    <row r="20" spans="1:12" x14ac:dyDescent="0.25">
      <c r="A20" s="17"/>
      <c r="C20" s="5"/>
    </row>
    <row r="21" spans="1:12" x14ac:dyDescent="0.25">
      <c r="A21" s="17"/>
    </row>
    <row r="22" spans="1:12" x14ac:dyDescent="0.25">
      <c r="A22" s="17"/>
    </row>
    <row r="23" spans="1:12" x14ac:dyDescent="0.25">
      <c r="A23" s="1"/>
      <c r="B23" s="1"/>
      <c r="C23" s="1"/>
    </row>
    <row r="33" ht="15" customHeight="1" x14ac:dyDescent="0.2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I5"/>
  <sheetViews>
    <sheetView workbookViewId="0">
      <selection activeCell="A6" sqref="A6"/>
    </sheetView>
  </sheetViews>
  <sheetFormatPr defaultRowHeight="15" x14ac:dyDescent="0.25"/>
  <cols>
    <col min="1" max="1" width="27.42578125" customWidth="1"/>
    <col min="2" max="2" width="15" bestFit="1" customWidth="1"/>
    <col min="3" max="3" width="11.85546875" customWidth="1"/>
  </cols>
  <sheetData>
    <row r="1" spans="1:9" x14ac:dyDescent="0.25">
      <c r="A1" t="s">
        <v>556</v>
      </c>
      <c r="B1" t="s">
        <v>557</v>
      </c>
      <c r="C1" t="s">
        <v>558</v>
      </c>
      <c r="D1">
        <v>0</v>
      </c>
      <c r="E1">
        <v>1</v>
      </c>
      <c r="F1">
        <v>2</v>
      </c>
      <c r="G1">
        <v>3</v>
      </c>
      <c r="H1">
        <v>4</v>
      </c>
      <c r="I1">
        <v>5</v>
      </c>
    </row>
    <row r="2" spans="1:9" x14ac:dyDescent="0.25">
      <c r="A2" t="str">
        <f>Team_Name</f>
        <v>[Insert Utility Name Here]</v>
      </c>
      <c r="B2" t="str">
        <f>BusinessModel</f>
        <v>Select</v>
      </c>
      <c r="C2" t="s">
        <v>553</v>
      </c>
      <c r="D2" s="15">
        <f>'Customer Bills'!B13</f>
        <v>99.776322752353039</v>
      </c>
      <c r="E2" s="15" t="str">
        <f>IF(Current_Round&gt;=E1,INDEX('Customer Bills'!$C$13:$G$13,1,E1),"")</f>
        <v/>
      </c>
      <c r="F2" s="15" t="str">
        <f>IF(Current_Round&gt;=F1,INDEX('Customer Bills'!$C$13:$G$13,1,F1),"")</f>
        <v/>
      </c>
      <c r="G2" s="15" t="str">
        <f>IF(Current_Round&gt;=G1,INDEX('Customer Bills'!$C$13:$G$13,1,G1),"")</f>
        <v/>
      </c>
      <c r="H2" s="15" t="str">
        <f>IF(Current_Round&gt;=H1,INDEX('Customer Bills'!$C$13:$G$13,1,H1),"")</f>
        <v/>
      </c>
      <c r="I2" s="15" t="str">
        <f>IF(Current_Round&gt;=I1,INDEX('Customer Bills'!$C$13:$G$13,1,I1),"")</f>
        <v/>
      </c>
    </row>
    <row r="3" spans="1:9" x14ac:dyDescent="0.25">
      <c r="A3" t="str">
        <f>Team_Name</f>
        <v>[Insert Utility Name Here]</v>
      </c>
      <c r="B3" t="str">
        <f>BusinessModel</f>
        <v>Select</v>
      </c>
      <c r="C3" t="s">
        <v>555</v>
      </c>
      <c r="D3" s="15">
        <f>'Utility Revenue'!B151</f>
        <v>0.54024054081148387</v>
      </c>
      <c r="E3" s="15" t="str">
        <f>IF(Current_Round&gt;=E1,INDEX('Utility Revenue'!$C$151:$G$151,1,E1),"")</f>
        <v/>
      </c>
      <c r="F3" s="15" t="str">
        <f>IF(Current_Round&gt;=F1,INDEX('Utility Revenue'!$C$151:$G$151,1,F1),"")</f>
        <v/>
      </c>
      <c r="G3" s="15" t="str">
        <f>IF(Current_Round&gt;=G1,INDEX('Utility Revenue'!$C$151:$G$151,1,G1),"")</f>
        <v/>
      </c>
      <c r="H3" s="15" t="str">
        <f>IF(Current_Round&gt;=H1,INDEX('Utility Revenue'!$C$151:$G$151,1,H1),"")</f>
        <v/>
      </c>
      <c r="I3" s="15" t="str">
        <f>IF(Current_Round&gt;=I1,INDEX('Utility Revenue'!$C$151:$G$151,1,I1),"")</f>
        <v/>
      </c>
    </row>
    <row r="4" spans="1:9" x14ac:dyDescent="0.25">
      <c r="A4" t="str">
        <f>Team_Name</f>
        <v>[Insert Utility Name Here]</v>
      </c>
      <c r="B4" t="str">
        <f>BusinessModel</f>
        <v>Select</v>
      </c>
      <c r="C4" t="s">
        <v>554</v>
      </c>
      <c r="D4" s="16">
        <f>'Environmental Performance'!B3</f>
        <v>1036.288793097458</v>
      </c>
      <c r="E4" s="16" t="str">
        <f>IF(Current_Round&gt;=E1,INDEX('Environmental Performance'!$C$3:$G$3,1,E1),"")</f>
        <v/>
      </c>
      <c r="F4" s="16" t="str">
        <f>IF(Current_Round&gt;=F1,INDEX('Environmental Performance'!$C$3:$G$3,1,F1),"")</f>
        <v/>
      </c>
      <c r="G4" s="16" t="str">
        <f>IF(Current_Round&gt;=G1,INDEX('Environmental Performance'!$C$3:$G$3,1,G1),"")</f>
        <v/>
      </c>
      <c r="H4" s="16" t="str">
        <f>IF(Current_Round&gt;=H1,INDEX('Environmental Performance'!$C$3:$G$3,1,H1),"")</f>
        <v/>
      </c>
      <c r="I4" s="16" t="str">
        <f>IF(Current_Round&gt;=I1,INDEX('Environmental Performance'!$C$3:$G$3,1,I1),"")</f>
        <v/>
      </c>
    </row>
    <row r="5" spans="1:9" x14ac:dyDescent="0.25">
      <c r="A5" t="str">
        <f>Team_Name</f>
        <v>[Insert Utility Name Here]</v>
      </c>
      <c r="B5" t="str">
        <f>BusinessModel</f>
        <v>Select</v>
      </c>
      <c r="C5" t="s">
        <v>134</v>
      </c>
      <c r="D5" s="16">
        <f>Reliability!B95</f>
        <v>287</v>
      </c>
      <c r="E5" s="16" t="str">
        <f>IF(Current_Round&gt;=E1,INDEX(Reliability!$C$95:$G$95,1,E1),"")</f>
        <v/>
      </c>
      <c r="F5" s="16" t="str">
        <f>IF(Current_Round&gt;=F1,INDEX(Reliability!$C$95:$G$95,1,F1),"")</f>
        <v/>
      </c>
      <c r="G5" s="16" t="str">
        <f>IF(Current_Round&gt;=G1,INDEX(Reliability!$C$95:$G$95,1,G1),"")</f>
        <v/>
      </c>
      <c r="H5" s="16" t="str">
        <f>IF(Current_Round&gt;=H1,INDEX(Reliability!$C$95:$G$95,1,H1),"")</f>
        <v/>
      </c>
      <c r="I5" s="16" t="str">
        <f>IF(Current_Round&gt;=I1,INDEX(Reliability!$C$95:$G$95,1,I1),"")</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B39"/>
  <sheetViews>
    <sheetView zoomScaleNormal="100" workbookViewId="0">
      <selection activeCell="A6" sqref="A6"/>
    </sheetView>
  </sheetViews>
  <sheetFormatPr defaultRowHeight="15" x14ac:dyDescent="0.25"/>
  <cols>
    <col min="1" max="1" width="60.140625" customWidth="1"/>
    <col min="2" max="2" width="119.7109375" customWidth="1"/>
  </cols>
  <sheetData>
    <row r="1" spans="1:2" x14ac:dyDescent="0.25">
      <c r="A1" s="1" t="s">
        <v>308</v>
      </c>
      <c r="B1" s="1" t="s">
        <v>309</v>
      </c>
    </row>
    <row r="2" spans="1:2" x14ac:dyDescent="0.25">
      <c r="A2" t="s">
        <v>112</v>
      </c>
      <c r="B2" t="s">
        <v>311</v>
      </c>
    </row>
    <row r="3" spans="1:2" x14ac:dyDescent="0.25">
      <c r="A3" t="s">
        <v>129</v>
      </c>
      <c r="B3" t="s">
        <v>312</v>
      </c>
    </row>
    <row r="5" spans="1:2" x14ac:dyDescent="0.25">
      <c r="A5" t="s">
        <v>205</v>
      </c>
      <c r="B5" t="s">
        <v>313</v>
      </c>
    </row>
    <row r="6" spans="1:2" x14ac:dyDescent="0.25">
      <c r="A6" t="s">
        <v>216</v>
      </c>
    </row>
    <row r="14" spans="1:2" x14ac:dyDescent="0.25">
      <c r="A14" t="s">
        <v>251</v>
      </c>
    </row>
    <row r="16" spans="1:2" x14ac:dyDescent="0.25">
      <c r="A16" t="s">
        <v>253</v>
      </c>
    </row>
    <row r="22" spans="1:2" x14ac:dyDescent="0.25">
      <c r="A22" t="s">
        <v>276</v>
      </c>
    </row>
    <row r="26" spans="1:2" x14ac:dyDescent="0.25">
      <c r="A26" t="s">
        <v>298</v>
      </c>
      <c r="B26" t="s">
        <v>318</v>
      </c>
    </row>
    <row r="27" spans="1:2" x14ac:dyDescent="0.25">
      <c r="A27" t="s">
        <v>305</v>
      </c>
    </row>
    <row r="28" spans="1:2" x14ac:dyDescent="0.25">
      <c r="A28" s="109" t="s">
        <v>306</v>
      </c>
      <c r="B28" s="109" t="s">
        <v>310</v>
      </c>
    </row>
    <row r="29" spans="1:2" x14ac:dyDescent="0.25">
      <c r="A29" t="s">
        <v>319</v>
      </c>
    </row>
    <row r="30" spans="1:2" x14ac:dyDescent="0.25">
      <c r="A30" t="s">
        <v>320</v>
      </c>
    </row>
    <row r="31" spans="1:2" x14ac:dyDescent="0.25">
      <c r="A31" t="s">
        <v>321</v>
      </c>
    </row>
    <row r="32" spans="1:2" x14ac:dyDescent="0.25">
      <c r="A32" t="s">
        <v>322</v>
      </c>
    </row>
    <row r="37" spans="1:2" x14ac:dyDescent="0.25">
      <c r="A37" t="s">
        <v>314</v>
      </c>
    </row>
    <row r="38" spans="1:2" x14ac:dyDescent="0.25">
      <c r="A38" t="s">
        <v>315</v>
      </c>
      <c r="B38" t="s">
        <v>316</v>
      </c>
    </row>
    <row r="39" spans="1:2" x14ac:dyDescent="0.25">
      <c r="A39" t="s">
        <v>317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112</vt:i4>
      </vt:variant>
    </vt:vector>
  </HeadingPairs>
  <TitlesOfParts>
    <vt:vector size="129" baseType="lpstr">
      <vt:lpstr>Initial Setup</vt:lpstr>
      <vt:lpstr>Gameplay</vt:lpstr>
      <vt:lpstr>Event Tracker</vt:lpstr>
      <vt:lpstr>Override</vt:lpstr>
      <vt:lpstr>Game Properties</vt:lpstr>
      <vt:lpstr>Environmental Performance</vt:lpstr>
      <vt:lpstr>Reliability</vt:lpstr>
      <vt:lpstr>Utility Revenue</vt:lpstr>
      <vt:lpstr>Game Assumptions</vt:lpstr>
      <vt:lpstr>Resource Mix and Demand</vt:lpstr>
      <vt:lpstr>Graphs</vt:lpstr>
      <vt:lpstr>Dispatch</vt:lpstr>
      <vt:lpstr>Policy Page</vt:lpstr>
      <vt:lpstr>Popup Descriptions</vt:lpstr>
      <vt:lpstr>Customer Bills</vt:lpstr>
      <vt:lpstr>Export</vt:lpstr>
      <vt:lpstr>Questions</vt:lpstr>
      <vt:lpstr>Actual_Load</vt:lpstr>
      <vt:lpstr>Additions_Text</vt:lpstr>
      <vt:lpstr>Advance_Button</vt:lpstr>
      <vt:lpstr>Bill_Sign</vt:lpstr>
      <vt:lpstr>Bill_Text</vt:lpstr>
      <vt:lpstr>BillSummary_Sign</vt:lpstr>
      <vt:lpstr>BillSummary_Text</vt:lpstr>
      <vt:lpstr>BizModelSelected</vt:lpstr>
      <vt:lpstr>BuildTitle</vt:lpstr>
      <vt:lpstr>BusinessModel</vt:lpstr>
      <vt:lpstr>BusinessModels</vt:lpstr>
      <vt:lpstr>CarbonPricing_Text</vt:lpstr>
      <vt:lpstr>CO2_Sign</vt:lpstr>
      <vt:lpstr>CO2_Text</vt:lpstr>
      <vt:lpstr>CO2Summary_Sign</vt:lpstr>
      <vt:lpstr>CO2Summary_Text</vt:lpstr>
      <vt:lpstr>Coal_additions</vt:lpstr>
      <vt:lpstr>CoalRetirements_Text</vt:lpstr>
      <vt:lpstr>Current_Round</vt:lpstr>
      <vt:lpstr>Decoupling_Text</vt:lpstr>
      <vt:lpstr>DecouplingIncentive_Text</vt:lpstr>
      <vt:lpstr>DemandCharges_Text</vt:lpstr>
      <vt:lpstr>DistributedPV_additions</vt:lpstr>
      <vt:lpstr>DistributedPV_Limit</vt:lpstr>
      <vt:lpstr>DistributedPVFlex_Text</vt:lpstr>
      <vt:lpstr>EE_additions</vt:lpstr>
      <vt:lpstr>EE_Limit</vt:lpstr>
      <vt:lpstr>ElecMix_Text</vt:lpstr>
      <vt:lpstr>ElecMixNewRound_Text</vt:lpstr>
      <vt:lpstr>EPS_Sign</vt:lpstr>
      <vt:lpstr>EPS_Text</vt:lpstr>
      <vt:lpstr>EPSSummary_Sign</vt:lpstr>
      <vt:lpstr>EPSSummary_Text</vt:lpstr>
      <vt:lpstr>Events</vt:lpstr>
      <vt:lpstr>ExportData</vt:lpstr>
      <vt:lpstr>FlexIntro_Text</vt:lpstr>
      <vt:lpstr>HeatWave_Text</vt:lpstr>
      <vt:lpstr>MaxBatteries</vt:lpstr>
      <vt:lpstr>MaxBattery_Text</vt:lpstr>
      <vt:lpstr>MaxCoal</vt:lpstr>
      <vt:lpstr>MaxCoal_Text</vt:lpstr>
      <vt:lpstr>MaxCT</vt:lpstr>
      <vt:lpstr>MaxCT_Text</vt:lpstr>
      <vt:lpstr>MaxDistributedPV_Text</vt:lpstr>
      <vt:lpstr>MaxDistribution</vt:lpstr>
      <vt:lpstr>MaxDistribution_Text</vt:lpstr>
      <vt:lpstr>MaxDR</vt:lpstr>
      <vt:lpstr>MaxDR_Text</vt:lpstr>
      <vt:lpstr>MaxDRBuildable</vt:lpstr>
      <vt:lpstr>MaxEE</vt:lpstr>
      <vt:lpstr>MaxEE_Text</vt:lpstr>
      <vt:lpstr>MaxHydro</vt:lpstr>
      <vt:lpstr>MaxNatGas</vt:lpstr>
      <vt:lpstr>MaxNatGas_Text</vt:lpstr>
      <vt:lpstr>MaxNuclear</vt:lpstr>
      <vt:lpstr>MaxNuclear_Text</vt:lpstr>
      <vt:lpstr>MaxPumpedHydro</vt:lpstr>
      <vt:lpstr>MaxPumpedHydro_Text</vt:lpstr>
      <vt:lpstr>MaxSolar</vt:lpstr>
      <vt:lpstr>MaxSolarDistributed</vt:lpstr>
      <vt:lpstr>MaxTransmission</vt:lpstr>
      <vt:lpstr>MaxTransmission_Text</vt:lpstr>
      <vt:lpstr>MaxUtilityPV_Text</vt:lpstr>
      <vt:lpstr>MaxWind</vt:lpstr>
      <vt:lpstr>MaxWind_Text</vt:lpstr>
      <vt:lpstr>NatGas_Additions</vt:lpstr>
      <vt:lpstr>NatGasPriceSpike_Text</vt:lpstr>
      <vt:lpstr>Nuclear_Additions</vt:lpstr>
      <vt:lpstr>NuclearRetirements_Text</vt:lpstr>
      <vt:lpstr>Override_AddedCapacity</vt:lpstr>
      <vt:lpstr>Override_AddedCapacity_Value</vt:lpstr>
      <vt:lpstr>Override_InstalledCapacity</vt:lpstr>
      <vt:lpstr>Override_InstalledCapacity_Value</vt:lpstr>
      <vt:lpstr>Override_Load</vt:lpstr>
      <vt:lpstr>Override_Load_Value</vt:lpstr>
      <vt:lpstr>Override_RetiringCapacity</vt:lpstr>
      <vt:lpstr>Override_RetiringCapacity_Value</vt:lpstr>
      <vt:lpstr>Override_Revenue</vt:lpstr>
      <vt:lpstr>Override_Revenue_Value</vt:lpstr>
      <vt:lpstr>Performance_Text</vt:lpstr>
      <vt:lpstr>PIM_ESM_Text</vt:lpstr>
      <vt:lpstr>PIM_Text</vt:lpstr>
      <vt:lpstr>Policies</vt:lpstr>
      <vt:lpstr>Pre_Event_Actual_Load</vt:lpstr>
      <vt:lpstr>Reliability_Sign</vt:lpstr>
      <vt:lpstr>Reliability_Text</vt:lpstr>
      <vt:lpstr>ReliabilityRequirements_Text</vt:lpstr>
      <vt:lpstr>ReliabilitySummary_Sign</vt:lpstr>
      <vt:lpstr>ReliabilitySummary_Text</vt:lpstr>
      <vt:lpstr>Renewables_Generation</vt:lpstr>
      <vt:lpstr>Renewables_Requirement</vt:lpstr>
      <vt:lpstr>Reserve_Margin_Error</vt:lpstr>
      <vt:lpstr>RetirementsIntro_Text</vt:lpstr>
      <vt:lpstr>Round_Completion</vt:lpstr>
      <vt:lpstr>RPS_Text</vt:lpstr>
      <vt:lpstr>Summary_Title</vt:lpstr>
      <vt:lpstr>Team_Name</vt:lpstr>
      <vt:lpstr>TotalRevenue</vt:lpstr>
      <vt:lpstr>ToU_Text</vt:lpstr>
      <vt:lpstr>UserForm_CapacityGen</vt:lpstr>
      <vt:lpstr>UserForm_Events</vt:lpstr>
      <vt:lpstr>UserForm_Flexibility</vt:lpstr>
      <vt:lpstr>UserForm_Policies</vt:lpstr>
      <vt:lpstr>UtilityPV_additions</vt:lpstr>
      <vt:lpstr>UtilityPV_Limit</vt:lpstr>
      <vt:lpstr>UtilityPVFlex_Text</vt:lpstr>
      <vt:lpstr>WBA_Text</vt:lpstr>
      <vt:lpstr>Welcome_Text</vt:lpstr>
      <vt:lpstr>wind_additions</vt:lpstr>
      <vt:lpstr>Wind_Limit</vt:lpstr>
      <vt:lpstr>WindFlex_Text</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2021-08-04T20:36:15Z</dcterms:modified>
</cp:coreProperties>
</file>