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7.xml" ContentType="application/vnd.openxmlformats-officedocument.drawing+xml"/>
  <Override PartName="/xl/comments3.xml" ContentType="application/vnd.openxmlformats-officedocument.spreadsheetml.comment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Rorvis\Dropbox (Energy InNovation)\My Documents\Power Sector Transformation\MegaModels Game\"/>
    </mc:Choice>
  </mc:AlternateContent>
  <xr:revisionPtr revIDLastSave="0" documentId="13_ncr:1_{17AC6FEE-FA37-4803-A27C-03DE0B2EF0A7}" xr6:coauthVersionLast="47" xr6:coauthVersionMax="47" xr10:uidLastSave="{00000000-0000-0000-0000-000000000000}"/>
  <bookViews>
    <workbookView xWindow="-120" yWindow="-120" windowWidth="29040" windowHeight="17640" activeTab="4" xr2:uid="{00000000-000D-0000-FFFF-FFFF00000000}"/>
  </bookViews>
  <sheets>
    <sheet name="Initial Setup" sheetId="10" r:id="rId1"/>
    <sheet name="Gameplay" sheetId="15" r:id="rId2"/>
    <sheet name="Event Tracker" sheetId="14" r:id="rId3"/>
    <sheet name="Override" sheetId="27" state="hidden" r:id="rId4"/>
    <sheet name="Game Properties" sheetId="1" r:id="rId5"/>
    <sheet name="Environmental Performance" sheetId="6" state="hidden" r:id="rId6"/>
    <sheet name="Reliability" sheetId="7" state="hidden" r:id="rId7"/>
    <sheet name="Utility Revenue" sheetId="8" state="hidden" r:id="rId8"/>
    <sheet name="Game Assumptions" sheetId="11" state="hidden" r:id="rId9"/>
    <sheet name="Resource Mix and Demand" sheetId="2" state="hidden" r:id="rId10"/>
    <sheet name="Graphs" sheetId="26" state="hidden" r:id="rId11"/>
    <sheet name="Dispatch" sheetId="9" state="hidden" r:id="rId12"/>
    <sheet name="Policy Page" sheetId="13" state="hidden" r:id="rId13"/>
    <sheet name="Popup Descriptions" sheetId="28" state="hidden" r:id="rId14"/>
    <sheet name="Customer Bills" sheetId="5" state="hidden" r:id="rId15"/>
    <sheet name="Export" sheetId="29" state="hidden" r:id="rId16"/>
    <sheet name="Questions" sheetId="12" state="hidden" r:id="rId17"/>
  </sheets>
  <definedNames>
    <definedName name="Actual_Load">'Game Assumptions'!$B$156:$L$156</definedName>
    <definedName name="Additions_Text">'Popup Descriptions'!$A$30</definedName>
    <definedName name="Advance_Button">'Game Properties'!$D$4</definedName>
    <definedName name="BatteriesBuildable">OFFSET('Game Properties'!$X$2,0,0,COUNT('Game Properties'!$X:$X),1)</definedName>
    <definedName name="Bill_Sign">'Popup Descriptions'!$B$22</definedName>
    <definedName name="Bill_Text">'Popup Descriptions'!$A$22</definedName>
    <definedName name="BillSummary_Sign">'Popup Descriptions'!$B$94</definedName>
    <definedName name="BillSummary_Text">'Popup Descriptions'!$A$94</definedName>
    <definedName name="BizModelSelected">'Event Tracker'!$B$20:$B$24</definedName>
    <definedName name="BuildTitle">'Game Properties'!$V$2</definedName>
    <definedName name="BusinessModel">'Initial Setup'!$B$3</definedName>
    <definedName name="BusinessModels">'Game Properties'!$A$2:$A$6</definedName>
    <definedName name="CarbonPricing_Text">'Popup Descriptions'!$B$13</definedName>
    <definedName name="CO2_Sign">'Popup Descriptions'!$B$24</definedName>
    <definedName name="CO2_Text">'Popup Descriptions'!$A$24</definedName>
    <definedName name="CO2Summary_Sign">'Popup Descriptions'!$B$96</definedName>
    <definedName name="CO2Summary_Text">'Popup Descriptions'!$A$96</definedName>
    <definedName name="Coal_additions">'Popup Descriptions'!$A$32</definedName>
    <definedName name="Coal_Buildable">OFFSET('Game Properties'!$N$2,0,0,COUNT('Game Properties'!$N:$N),1)</definedName>
    <definedName name="CoalRetirements_Text">'Popup Descriptions'!$A$58</definedName>
    <definedName name="CTBuildable">OFFSET('Game Properties'!$W$2,0,0,COUNT('Game Properties'!$W:$W),1)</definedName>
    <definedName name="Current_Round">'Event Tracker'!$P$1</definedName>
    <definedName name="Decoupling_Text">'Popup Descriptions'!$B$4</definedName>
    <definedName name="DecouplingIncentive_Text">'Popup Descriptions'!$B$5</definedName>
    <definedName name="DemandCharges_Text">'Popup Descriptions'!$B$6</definedName>
    <definedName name="Distributed_Solar_Buildable">OFFSET('Game Properties'!$U$2,0,0,COUNT('Game Properties'!$U:$U),1)</definedName>
    <definedName name="DistributedPV_additions">'Popup Descriptions'!$A$46</definedName>
    <definedName name="DistributedPV_Limit">'Game Properties'!$AD$4</definedName>
    <definedName name="DistributedPVFlex_Text">'Popup Descriptions'!$A$66</definedName>
    <definedName name="DistributionBuildable">OFFSET('Game Properties'!$AB$2,0,0,COUNT('Game Properties'!$AB:$AB),1)</definedName>
    <definedName name="DRBuildable">OFFSET('Game Properties'!$Z$2,0,0,COUNT('Game Properties'!$Z:$Z),1)</definedName>
    <definedName name="EE_additions">'Popup Descriptions'!$A$44</definedName>
    <definedName name="EE_Buildable">OFFSET('Game Properties'!$T$2,0,0,COUNT('Game Properties'!$T:$T),1)</definedName>
    <definedName name="EE_Limit">'Game Properties'!$AD$5</definedName>
    <definedName name="ElecMix_Text">'Popup Descriptions'!$A$48</definedName>
    <definedName name="ElecMixNewRound_Text">'Popup Descriptions'!$A$50</definedName>
    <definedName name="EPS_Sign">'Popup Descriptions'!$B$26</definedName>
    <definedName name="EPS_Text">'Popup Descriptions'!$A$26</definedName>
    <definedName name="EPSSummary_Sign">'Popup Descriptions'!$B$98</definedName>
    <definedName name="EPSSummary_Text">'Popup Descriptions'!$A$98</definedName>
    <definedName name="Events">'Game Properties'!$C$2:$C$6</definedName>
    <definedName name="ExportData">Export!$A$1:$I$5</definedName>
    <definedName name="FlexIntro_Text">'Popup Descriptions'!$A$62</definedName>
    <definedName name="HeatWave_Text">'Popup Descriptions'!$B$15</definedName>
    <definedName name="Hydro_Buildable">OFFSET('Game Properties'!$S$2,0,0,COUNT('Game Properties'!$S:$S),1)</definedName>
    <definedName name="MaxBatteries">'Game Properties'!$I$12</definedName>
    <definedName name="MaxBattery_Text">'Popup Descriptions'!$A$85</definedName>
    <definedName name="MaxCoal">'Game Properties'!$I$3</definedName>
    <definedName name="MaxCoal_Text">'Popup Descriptions'!$A$74</definedName>
    <definedName name="MaxCT">'Game Properties'!$I$11</definedName>
    <definedName name="MaxCT_Text">'Popup Descriptions'!$A$84</definedName>
    <definedName name="MaxDistributedPV_Text">'Popup Descriptions'!$A$81</definedName>
    <definedName name="MaxDistribution">'Game Properties'!$I$16</definedName>
    <definedName name="MaxDistribution_Text">'Popup Descriptions'!$A$89</definedName>
    <definedName name="MaxDR">'Game Properties'!$I$14</definedName>
    <definedName name="MaxDR_Text">'Popup Descriptions'!$A$87</definedName>
    <definedName name="MaxDRBuildable">Gameplay!$I$14</definedName>
    <definedName name="MaxEE">'Game Properties'!$I$9</definedName>
    <definedName name="MaxEE_Text">'Popup Descriptions'!$A$80</definedName>
    <definedName name="MaxHydro">'Game Properties'!$I$8</definedName>
    <definedName name="MaxNatGas">'Game Properties'!$I$4</definedName>
    <definedName name="MaxNatGas_Text">'Popup Descriptions'!$A$75</definedName>
    <definedName name="MaxNuclear">'Game Properties'!$I$5</definedName>
    <definedName name="MaxNuclear_Text">'Popup Descriptions'!$A$76</definedName>
    <definedName name="MaxPumpedHydro">'Game Properties'!$I$13</definedName>
    <definedName name="MaxPumpedHydro_Text">'Popup Descriptions'!$A$86</definedName>
    <definedName name="MaxSolar">'Game Properties'!$I$6</definedName>
    <definedName name="MaxSolarDistributed">'Game Properties'!$I$10</definedName>
    <definedName name="MaxTransmission">'Game Properties'!$I$15</definedName>
    <definedName name="MaxTransmission_Text">'Popup Descriptions'!$A$88</definedName>
    <definedName name="MaxUtilityPV_Text">'Popup Descriptions'!$A$77</definedName>
    <definedName name="MaxWind">'Game Properties'!$I$7</definedName>
    <definedName name="MaxWind_Text">'Popup Descriptions'!$A$78</definedName>
    <definedName name="NatGas_Additions">'Popup Descriptions'!$A$34</definedName>
    <definedName name="NatGasPriceSpike_Text">'Popup Descriptions'!$B$14</definedName>
    <definedName name="Natural_Gas_Buildable">OFFSET('Game Properties'!$O$2,0,0,COUNT('Game Properties'!$O:$O),1)</definedName>
    <definedName name="Nuclear_Additions">'Popup Descriptions'!$A$36</definedName>
    <definedName name="Nuclear_Buildable">OFFSET('Game Properties'!$P$2,0,0,COUNT('Game Properties'!$P:$P),1)</definedName>
    <definedName name="NuclearRetirements_Text">'Popup Descriptions'!$A$60</definedName>
    <definedName name="Override_AddedCapacity">'Event Tracker'!$C$106:$L$118</definedName>
    <definedName name="Override_AddedCapacity_Value">Override!$B$7:$B$19</definedName>
    <definedName name="Override_InstalledCapacity">'Event Tracker'!$C$121:$L$133</definedName>
    <definedName name="Override_InstalledCapacity_Value">Override!$B$22:$B$34</definedName>
    <definedName name="Override_Load">'Event Tracker'!$C$150:$L$151</definedName>
    <definedName name="Override_Load_Value">Override!$B$46:$B$47</definedName>
    <definedName name="Override_RetiringCapacity">'Event Tracker'!$C$136:$L$143</definedName>
    <definedName name="Override_RetiringCapacity_Value">Override!$B$37:$B$43</definedName>
    <definedName name="Override_Revenue">'Event Tracker'!$C$146:$L$147</definedName>
    <definedName name="Override_Revenue_Value">Override!$B$2:$B$3</definedName>
    <definedName name="Performance_Text">'Popup Descriptions'!$A$20</definedName>
    <definedName name="PIM_ESM_Text">'Popup Descriptions'!$A$8</definedName>
    <definedName name="PIM_Text">'Popup Descriptions'!$B$8</definedName>
    <definedName name="Policies">'Game Properties'!$B$2:$B$11</definedName>
    <definedName name="Pre_Event_Actual_Load">'Resource Mix and Demand'!$B$67:$L$67</definedName>
    <definedName name="PumpedHydroBuildable">OFFSET('Game Properties'!$Y$2,0,0,COUNT('Game Properties'!$Y:$Y),1)</definedName>
    <definedName name="Reliability_Sign">'Popup Descriptions'!$B$28</definedName>
    <definedName name="Reliability_Text">'Popup Descriptions'!$A$28</definedName>
    <definedName name="ReliabilityRequirements_Text">'Popup Descriptions'!$A$70</definedName>
    <definedName name="ReliabilitySummary_Sign">'Popup Descriptions'!$B$100</definedName>
    <definedName name="ReliabilitySummary_Text">'Popup Descriptions'!$A$100</definedName>
    <definedName name="Renewables_Generation">Graphs!$B$105</definedName>
    <definedName name="Renewables_Requirement">Graphs!$B$106</definedName>
    <definedName name="Reserve_Margin_Error">Graphs!$C$97:$L$97</definedName>
    <definedName name="RetirementsIntro_Text">'Popup Descriptions'!$A$56</definedName>
    <definedName name="Round_Completion">'Event Tracker'!$B$17:$L$17</definedName>
    <definedName name="RPS_Text">'Popup Descriptions'!$B$3</definedName>
    <definedName name="Solar_Buildable">OFFSET('Game Properties'!$Q$2,0,0,COUNT('Game Properties'!$Q:$Q),1)</definedName>
    <definedName name="solver_adj" localSheetId="7" hidden="1">'Game Assumptions'!$B$2</definedName>
    <definedName name="solver_cvg" localSheetId="7" hidden="1">0.0001</definedName>
    <definedName name="solver_drv" localSheetId="7" hidden="1">1</definedName>
    <definedName name="solver_eng" localSheetId="7" hidden="1">1</definedName>
    <definedName name="solver_est" localSheetId="7" hidden="1">1</definedName>
    <definedName name="solver_itr" localSheetId="7" hidden="1">2147483647</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0</definedName>
    <definedName name="solver_nwt" localSheetId="7" hidden="1">1</definedName>
    <definedName name="solver_opt" localSheetId="7" hidden="1">'Utility Revenue'!$B$156</definedName>
    <definedName name="solver_pre" localSheetId="7" hidden="1">0.000001</definedName>
    <definedName name="solver_rbv" localSheetId="7" hidden="1">1</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3</definedName>
    <definedName name="solver_val" localSheetId="7" hidden="1">-100000000</definedName>
    <definedName name="solver_ver" localSheetId="7" hidden="1">3</definedName>
    <definedName name="Summary_Title">'Popup Descriptions'!$A$18</definedName>
    <definedName name="Team_Name">'Initial Setup'!$B$2</definedName>
    <definedName name="TotalRevenue">'Utility Revenue'!$C$116:$L$116</definedName>
    <definedName name="ToU_Text">'Popup Descriptions'!$B$7</definedName>
    <definedName name="TransmissionBuildable">OFFSET('Game Properties'!$AA$2,0,0,COUNT('Game Properties'!$AA:$AA),1)</definedName>
    <definedName name="UserForm_CapacityGen">'Event Tracker'!$C$77:$L$84</definedName>
    <definedName name="UserForm_Events">'Event Tracker'!$C$62:$L$64</definedName>
    <definedName name="UserForm_Flexibility">'Event Tracker'!$C$97:$L$102</definedName>
    <definedName name="UserForm_Policies">'Event Tracker'!$C$52:$L$59</definedName>
    <definedName name="UtilityPV_additions">'Popup Descriptions'!$A$38</definedName>
    <definedName name="UtilityPV_Limit">'Game Properties'!$AD$2</definedName>
    <definedName name="UtilityPVFlex_Text">'Popup Descriptions'!$A$64</definedName>
    <definedName name="WBA_Text">'Popup Descriptions'!$B$9</definedName>
    <definedName name="Welcome_Text">'Popup Descriptions'!$A$54</definedName>
    <definedName name="wind_additions">'Popup Descriptions'!$A$40</definedName>
    <definedName name="Wind_Buildable">OFFSET('Game Properties'!$R$2,0,0,COUNT('Game Properties'!$R:$R),1)</definedName>
    <definedName name="Wind_Limit">'Game Properties'!$AD$3</definedName>
    <definedName name="WindFlex_Text">'Popup Descriptions'!$A$68</definedName>
    <definedName name="YesNo">'Game Properties'!$G$2:$G$3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4" i="14" l="1"/>
  <c r="B23" i="14"/>
  <c r="B22" i="14"/>
  <c r="B21" i="14"/>
  <c r="B20" i="14"/>
  <c r="B130" i="8" l="1"/>
  <c r="B3" i="29" l="1"/>
  <c r="B4" i="29"/>
  <c r="B5" i="29"/>
  <c r="B2" i="29"/>
  <c r="A3" i="29"/>
  <c r="A4" i="29"/>
  <c r="A5" i="29"/>
  <c r="A2" i="29"/>
  <c r="B109" i="7" l="1"/>
  <c r="B97" i="26" s="1"/>
  <c r="B17" i="11" l="1"/>
  <c r="J88" i="14"/>
  <c r="H94" i="14"/>
  <c r="E93" i="14"/>
  <c r="J92" i="14"/>
  <c r="K91" i="14"/>
  <c r="D90" i="14"/>
  <c r="F88" i="14"/>
  <c r="C89" i="14"/>
  <c r="K94" i="14"/>
  <c r="G94" i="14"/>
  <c r="L93" i="14"/>
  <c r="H93" i="14"/>
  <c r="D93" i="14"/>
  <c r="I92" i="14"/>
  <c r="G91" i="14"/>
  <c r="I89" i="14"/>
  <c r="K87" i="14"/>
  <c r="D94" i="14"/>
  <c r="J94" i="14"/>
  <c r="K93" i="14"/>
  <c r="G93" i="14"/>
  <c r="F92" i="14"/>
  <c r="E89" i="14"/>
  <c r="G87" i="14"/>
  <c r="L94" i="14"/>
  <c r="I93" i="14"/>
  <c r="C88" i="14"/>
  <c r="F94" i="14"/>
  <c r="L92" i="14"/>
  <c r="L90" i="14"/>
  <c r="C87" i="14"/>
  <c r="I94" i="14"/>
  <c r="E94" i="14"/>
  <c r="J93" i="14"/>
  <c r="F93" i="14"/>
  <c r="K92" i="14"/>
  <c r="E92" i="14"/>
  <c r="H90" i="14"/>
  <c r="D87" i="14"/>
  <c r="J91" i="14"/>
  <c r="F91" i="14"/>
  <c r="K90" i="14"/>
  <c r="G90" i="14"/>
  <c r="L89" i="14"/>
  <c r="H89" i="14"/>
  <c r="D89" i="14"/>
  <c r="I88" i="14"/>
  <c r="E88" i="14"/>
  <c r="J87" i="14"/>
  <c r="F87" i="14"/>
  <c r="H92" i="14"/>
  <c r="D92" i="14"/>
  <c r="I91" i="14"/>
  <c r="E91" i="14"/>
  <c r="J90" i="14"/>
  <c r="F90" i="14"/>
  <c r="K89" i="14"/>
  <c r="G89" i="14"/>
  <c r="L88" i="14"/>
  <c r="H88" i="14"/>
  <c r="D88" i="14"/>
  <c r="I87" i="14"/>
  <c r="E87" i="14"/>
  <c r="G92" i="14"/>
  <c r="L91" i="14"/>
  <c r="H91" i="14"/>
  <c r="D91" i="14"/>
  <c r="I90" i="14"/>
  <c r="E90" i="14"/>
  <c r="J89" i="14"/>
  <c r="F89" i="14"/>
  <c r="K88" i="14"/>
  <c r="G88" i="14"/>
  <c r="L87" i="14"/>
  <c r="H87" i="14"/>
  <c r="B108" i="8"/>
  <c r="B12" i="5" s="1"/>
  <c r="B8" i="28"/>
  <c r="A8" i="28"/>
  <c r="A62" i="28"/>
  <c r="C65" i="26" l="1"/>
  <c r="D19" i="2"/>
  <c r="E19" i="2"/>
  <c r="F19" i="2"/>
  <c r="G19" i="2"/>
  <c r="H19" i="2"/>
  <c r="I19" i="2"/>
  <c r="J19" i="2"/>
  <c r="K19" i="2"/>
  <c r="L19" i="2"/>
  <c r="C19" i="2"/>
  <c r="D38" i="7"/>
  <c r="E38" i="7"/>
  <c r="F38" i="7"/>
  <c r="G38" i="7"/>
  <c r="H38" i="7"/>
  <c r="I38" i="7"/>
  <c r="J38" i="7"/>
  <c r="K38" i="7"/>
  <c r="L38" i="7"/>
  <c r="C38" i="7"/>
  <c r="B38" i="7"/>
  <c r="L36" i="8"/>
  <c r="K36" i="8"/>
  <c r="J36" i="8"/>
  <c r="I36" i="8"/>
  <c r="H36" i="8"/>
  <c r="G36" i="8"/>
  <c r="F36" i="8"/>
  <c r="E36" i="8"/>
  <c r="D36" i="8"/>
  <c r="C36" i="8"/>
  <c r="B36" i="8"/>
  <c r="C207" i="11" l="1"/>
  <c r="D13" i="7" l="1"/>
  <c r="E13" i="7"/>
  <c r="F13" i="7"/>
  <c r="G13" i="7"/>
  <c r="H13" i="7"/>
  <c r="I13" i="7"/>
  <c r="J13" i="7"/>
  <c r="K13" i="7"/>
  <c r="L13" i="7"/>
  <c r="C13" i="7"/>
  <c r="C10" i="5"/>
  <c r="D10" i="5"/>
  <c r="E10" i="5"/>
  <c r="F10" i="5"/>
  <c r="G10" i="5"/>
  <c r="H10" i="5"/>
  <c r="I10" i="5"/>
  <c r="J10" i="5"/>
  <c r="K10" i="5"/>
  <c r="L10" i="5"/>
  <c r="B10" i="5"/>
  <c r="B60" i="8"/>
  <c r="D12" i="2" l="1"/>
  <c r="E12" i="2"/>
  <c r="F12" i="2"/>
  <c r="G12" i="2"/>
  <c r="H12" i="2"/>
  <c r="I12" i="2"/>
  <c r="J12" i="2"/>
  <c r="K12" i="2"/>
  <c r="L12" i="2"/>
  <c r="D13" i="2"/>
  <c r="E13" i="2"/>
  <c r="F13" i="2"/>
  <c r="G13" i="2"/>
  <c r="H13" i="2"/>
  <c r="I13" i="2"/>
  <c r="J13" i="2"/>
  <c r="K13" i="2"/>
  <c r="L13" i="2"/>
  <c r="D14" i="2"/>
  <c r="E14" i="2"/>
  <c r="F14" i="2"/>
  <c r="G14" i="2"/>
  <c r="H14" i="2"/>
  <c r="I14" i="2"/>
  <c r="J14" i="2"/>
  <c r="K14" i="2"/>
  <c r="L14" i="2"/>
  <c r="D15" i="2"/>
  <c r="E15" i="2"/>
  <c r="F15" i="2"/>
  <c r="G15" i="2"/>
  <c r="H15" i="2"/>
  <c r="I15" i="2"/>
  <c r="J15" i="2"/>
  <c r="K15" i="2"/>
  <c r="L15" i="2"/>
  <c r="D16" i="2"/>
  <c r="E16" i="2"/>
  <c r="F16" i="2"/>
  <c r="G16" i="2"/>
  <c r="H16" i="2"/>
  <c r="I16" i="2"/>
  <c r="J16" i="2"/>
  <c r="K16" i="2"/>
  <c r="L16" i="2"/>
  <c r="D17" i="2"/>
  <c r="E17" i="2"/>
  <c r="F17" i="2"/>
  <c r="G17" i="2"/>
  <c r="H17" i="2"/>
  <c r="I17" i="2"/>
  <c r="J17" i="2"/>
  <c r="K17" i="2"/>
  <c r="L17" i="2"/>
  <c r="D18" i="2"/>
  <c r="E18" i="2"/>
  <c r="F18" i="2"/>
  <c r="G18" i="2"/>
  <c r="H18" i="2"/>
  <c r="I18" i="2"/>
  <c r="J18" i="2"/>
  <c r="K18" i="2"/>
  <c r="L18" i="2"/>
  <c r="C13" i="2"/>
  <c r="C14" i="2"/>
  <c r="C15" i="2"/>
  <c r="C16" i="2"/>
  <c r="C17" i="2"/>
  <c r="C18" i="2"/>
  <c r="C12" i="2"/>
  <c r="D9" i="7"/>
  <c r="E9" i="7"/>
  <c r="F9" i="7"/>
  <c r="G9" i="7"/>
  <c r="H9" i="7"/>
  <c r="I9" i="7"/>
  <c r="J9" i="7"/>
  <c r="K9" i="7"/>
  <c r="L9" i="7"/>
  <c r="D10" i="7"/>
  <c r="E10" i="7"/>
  <c r="F10" i="7"/>
  <c r="G10" i="7"/>
  <c r="H10" i="7"/>
  <c r="I10" i="7"/>
  <c r="J10" i="7"/>
  <c r="K10" i="7"/>
  <c r="L10" i="7"/>
  <c r="D11" i="7"/>
  <c r="E11" i="7"/>
  <c r="F11" i="7"/>
  <c r="G11" i="7"/>
  <c r="H11" i="7"/>
  <c r="I11" i="7"/>
  <c r="J11" i="7"/>
  <c r="K11" i="7"/>
  <c r="L11" i="7"/>
  <c r="D12" i="7"/>
  <c r="E12" i="7"/>
  <c r="F12" i="7"/>
  <c r="G12" i="7"/>
  <c r="H12" i="7"/>
  <c r="I12" i="7"/>
  <c r="J12" i="7"/>
  <c r="K12" i="7"/>
  <c r="L12" i="7"/>
  <c r="C10" i="7"/>
  <c r="C11" i="7"/>
  <c r="C12" i="7"/>
  <c r="C9" i="7"/>
  <c r="D32" i="14"/>
  <c r="E32" i="14"/>
  <c r="F32" i="14"/>
  <c r="G32" i="14"/>
  <c r="H32" i="14"/>
  <c r="I32" i="14"/>
  <c r="J32" i="14"/>
  <c r="K32" i="14"/>
  <c r="L32" i="14"/>
  <c r="D33" i="14"/>
  <c r="E33" i="14"/>
  <c r="F33" i="14"/>
  <c r="G33" i="14"/>
  <c r="H33" i="14"/>
  <c r="I33" i="14"/>
  <c r="J33" i="14"/>
  <c r="K33" i="14"/>
  <c r="L33" i="14"/>
  <c r="D34" i="14"/>
  <c r="E34" i="14"/>
  <c r="F34" i="14"/>
  <c r="G34" i="14"/>
  <c r="H34" i="14"/>
  <c r="I34" i="14"/>
  <c r="J34" i="14"/>
  <c r="K34" i="14"/>
  <c r="L34" i="14"/>
  <c r="D35" i="14"/>
  <c r="E35" i="14"/>
  <c r="F35" i="14"/>
  <c r="G35" i="14"/>
  <c r="H35" i="14"/>
  <c r="I35" i="14"/>
  <c r="J35" i="14"/>
  <c r="K35" i="14"/>
  <c r="L35" i="14"/>
  <c r="D36" i="14"/>
  <c r="E36" i="14"/>
  <c r="F36" i="14"/>
  <c r="G36" i="14"/>
  <c r="H36" i="14"/>
  <c r="I36" i="14"/>
  <c r="J36" i="14"/>
  <c r="K36" i="14"/>
  <c r="L36" i="14"/>
  <c r="D37" i="14"/>
  <c r="E37" i="14"/>
  <c r="F37" i="14"/>
  <c r="G37" i="14"/>
  <c r="H37" i="14"/>
  <c r="I37" i="14"/>
  <c r="J37" i="14"/>
  <c r="K37" i="14"/>
  <c r="L37" i="14"/>
  <c r="D38" i="14"/>
  <c r="E38" i="14"/>
  <c r="F38" i="14"/>
  <c r="G38" i="14"/>
  <c r="H38" i="14"/>
  <c r="I38" i="14"/>
  <c r="J38" i="14"/>
  <c r="K38" i="14"/>
  <c r="L38" i="14"/>
  <c r="D39" i="14"/>
  <c r="E39" i="14"/>
  <c r="F39" i="14"/>
  <c r="G39" i="14"/>
  <c r="H39" i="14"/>
  <c r="I39" i="14"/>
  <c r="J39" i="14"/>
  <c r="K39" i="14"/>
  <c r="L39" i="14"/>
  <c r="C33" i="14"/>
  <c r="C34" i="14"/>
  <c r="C35" i="14"/>
  <c r="C36" i="14"/>
  <c r="C37" i="14"/>
  <c r="C38" i="14"/>
  <c r="C39" i="14"/>
  <c r="C32" i="14"/>
  <c r="C123" i="8" l="1"/>
  <c r="D123" i="8"/>
  <c r="E123" i="8"/>
  <c r="F123" i="8"/>
  <c r="G123" i="8"/>
  <c r="H123" i="8"/>
  <c r="I123" i="8"/>
  <c r="J123" i="8"/>
  <c r="K123" i="8"/>
  <c r="L123" i="8"/>
  <c r="B123" i="8"/>
  <c r="C9" i="8"/>
  <c r="D9" i="8"/>
  <c r="E9" i="8"/>
  <c r="F9" i="8"/>
  <c r="G9" i="8"/>
  <c r="H9" i="8"/>
  <c r="I9" i="8"/>
  <c r="J9" i="8"/>
  <c r="K9" i="8"/>
  <c r="L9" i="8"/>
  <c r="C10" i="8"/>
  <c r="D10" i="8"/>
  <c r="E10" i="8"/>
  <c r="F10" i="8"/>
  <c r="G10" i="8"/>
  <c r="H10" i="8"/>
  <c r="I10" i="8"/>
  <c r="J10" i="8"/>
  <c r="K10" i="8"/>
  <c r="L10" i="8"/>
  <c r="C11" i="8"/>
  <c r="D11" i="8"/>
  <c r="E11" i="8"/>
  <c r="F11" i="8"/>
  <c r="G11" i="8"/>
  <c r="H11" i="8"/>
  <c r="I11" i="8"/>
  <c r="J11" i="8"/>
  <c r="K11" i="8"/>
  <c r="L11" i="8"/>
  <c r="B11" i="8"/>
  <c r="B10" i="8"/>
  <c r="C122" i="8" l="1"/>
  <c r="D122" i="8"/>
  <c r="K122" i="8"/>
  <c r="J121" i="8"/>
  <c r="G122" i="8"/>
  <c r="F121" i="8"/>
  <c r="H122" i="8"/>
  <c r="B122" i="8"/>
  <c r="L122" i="8"/>
  <c r="C121" i="8"/>
  <c r="I121" i="8"/>
  <c r="E121" i="8"/>
  <c r="J122" i="8"/>
  <c r="F122" i="8"/>
  <c r="L121" i="8"/>
  <c r="H121" i="8"/>
  <c r="D121" i="8"/>
  <c r="I122" i="8"/>
  <c r="E122" i="8"/>
  <c r="K121" i="8"/>
  <c r="G121" i="8"/>
  <c r="B187" i="11" l="1"/>
  <c r="B186" i="11"/>
  <c r="C174" i="11" l="1"/>
  <c r="C173" i="11"/>
  <c r="C177" i="11"/>
  <c r="C176" i="11"/>
  <c r="C171" i="11"/>
  <c r="B9" i="7" l="1"/>
  <c r="B11" i="7"/>
  <c r="B134" i="8" s="1"/>
  <c r="C134" i="8" s="1"/>
  <c r="D134" i="8" s="1"/>
  <c r="E134" i="8" s="1"/>
  <c r="F134" i="8" s="1"/>
  <c r="G134" i="8" s="1"/>
  <c r="H134" i="8" s="1"/>
  <c r="I134" i="8" s="1"/>
  <c r="J134" i="8" s="1"/>
  <c r="K134" i="8" s="1"/>
  <c r="L134" i="8" s="1"/>
  <c r="B13" i="7"/>
  <c r="D42" i="14"/>
  <c r="E42" i="14"/>
  <c r="F42" i="14"/>
  <c r="G42" i="14"/>
  <c r="H42" i="14"/>
  <c r="I42" i="14"/>
  <c r="J42" i="14"/>
  <c r="K42" i="14"/>
  <c r="L42" i="14"/>
  <c r="D43" i="14"/>
  <c r="E43" i="14"/>
  <c r="F43" i="14"/>
  <c r="G43" i="14"/>
  <c r="H43" i="14"/>
  <c r="I43" i="14"/>
  <c r="J43" i="14"/>
  <c r="K43" i="14"/>
  <c r="L43" i="14"/>
  <c r="D44" i="14"/>
  <c r="E44" i="14"/>
  <c r="F44" i="14"/>
  <c r="G44" i="14"/>
  <c r="H44" i="14"/>
  <c r="I44" i="14"/>
  <c r="J44" i="14"/>
  <c r="K44" i="14"/>
  <c r="L44" i="14"/>
  <c r="D45" i="14"/>
  <c r="E45" i="14"/>
  <c r="F45" i="14"/>
  <c r="G45" i="14"/>
  <c r="H45" i="14"/>
  <c r="I45" i="14"/>
  <c r="J45" i="14"/>
  <c r="K45" i="14"/>
  <c r="L45" i="14"/>
  <c r="D46" i="14"/>
  <c r="E46" i="14"/>
  <c r="F46" i="14"/>
  <c r="G46" i="14"/>
  <c r="H46" i="14"/>
  <c r="I46" i="14"/>
  <c r="J46" i="14"/>
  <c r="K46" i="14"/>
  <c r="L46" i="14"/>
  <c r="D47" i="14"/>
  <c r="E47" i="14"/>
  <c r="F47" i="14"/>
  <c r="G47" i="14"/>
  <c r="H47" i="14"/>
  <c r="I47" i="14"/>
  <c r="J47" i="14"/>
  <c r="K47" i="14"/>
  <c r="L47" i="14"/>
  <c r="D48" i="14"/>
  <c r="E48" i="14"/>
  <c r="F48" i="14"/>
  <c r="G48" i="14"/>
  <c r="H48" i="14"/>
  <c r="I48" i="14"/>
  <c r="J48" i="14"/>
  <c r="K48" i="14"/>
  <c r="L48" i="14"/>
  <c r="D49" i="14"/>
  <c r="E49" i="14"/>
  <c r="F49" i="14"/>
  <c r="G49" i="14"/>
  <c r="H49" i="14"/>
  <c r="I49" i="14"/>
  <c r="J49" i="14"/>
  <c r="K49" i="14"/>
  <c r="L49" i="14"/>
  <c r="C43" i="14"/>
  <c r="C44" i="14"/>
  <c r="C45" i="14"/>
  <c r="C46" i="14"/>
  <c r="C47" i="14"/>
  <c r="C48" i="14"/>
  <c r="C49" i="14"/>
  <c r="C42" i="14"/>
  <c r="V2" i="1" l="1"/>
  <c r="B90" i="14" l="1"/>
  <c r="C94" i="14"/>
  <c r="B93" i="14"/>
  <c r="B89" i="14"/>
  <c r="C93" i="14"/>
  <c r="B92" i="14"/>
  <c r="C92" i="14"/>
  <c r="C90" i="14"/>
  <c r="C91" i="14"/>
  <c r="B94" i="14"/>
  <c r="B91" i="14"/>
  <c r="B182" i="11"/>
  <c r="E24" i="26"/>
  <c r="E25" i="26"/>
  <c r="E26" i="26"/>
  <c r="E27" i="26"/>
  <c r="E28" i="26"/>
  <c r="E9" i="26"/>
  <c r="E10" i="26"/>
  <c r="E11" i="26"/>
  <c r="E12" i="26"/>
  <c r="E13" i="26"/>
  <c r="E57" i="26"/>
  <c r="E58" i="26"/>
  <c r="E59" i="26"/>
  <c r="E60" i="26"/>
  <c r="E61" i="26"/>
  <c r="B173" i="11"/>
  <c r="B174" i="11"/>
  <c r="B171" i="11"/>
  <c r="B181" i="11" l="1"/>
  <c r="J10" i="15"/>
  <c r="B12" i="7" l="1"/>
  <c r="B10" i="7"/>
  <c r="C175" i="11" l="1"/>
  <c r="C172" i="11"/>
  <c r="C170" i="11"/>
  <c r="B121" i="8" l="1"/>
  <c r="B24" i="11"/>
  <c r="C101" i="8"/>
  <c r="D101" i="8"/>
  <c r="E101" i="8"/>
  <c r="F101" i="8"/>
  <c r="G101" i="8"/>
  <c r="H101" i="8"/>
  <c r="I101" i="8"/>
  <c r="J101" i="8"/>
  <c r="K101" i="8"/>
  <c r="L101" i="8"/>
  <c r="B101" i="8"/>
  <c r="C155" i="11"/>
  <c r="C65" i="2" s="1"/>
  <c r="L65" i="2"/>
  <c r="B65" i="2"/>
  <c r="D155" i="11" l="1"/>
  <c r="E155" i="11" s="1"/>
  <c r="F155" i="11" s="1"/>
  <c r="C12" i="14"/>
  <c r="C13" i="14"/>
  <c r="B14" i="14"/>
  <c r="B21" i="9" s="1"/>
  <c r="B30" i="9" s="1"/>
  <c r="B13" i="14"/>
  <c r="B12" i="14"/>
  <c r="D12" i="14"/>
  <c r="E12" i="14"/>
  <c r="F12" i="14"/>
  <c r="G12" i="14"/>
  <c r="H12" i="14"/>
  <c r="I12" i="14"/>
  <c r="J12" i="14"/>
  <c r="K12" i="14"/>
  <c r="L12" i="14"/>
  <c r="D13" i="14"/>
  <c r="E13" i="14"/>
  <c r="F13" i="14"/>
  <c r="G13" i="14"/>
  <c r="H13" i="14"/>
  <c r="I13" i="14"/>
  <c r="J13" i="14"/>
  <c r="K13" i="14"/>
  <c r="L13" i="14"/>
  <c r="B25" i="8"/>
  <c r="B22" i="8"/>
  <c r="B18" i="8"/>
  <c r="C14" i="14" l="1"/>
  <c r="C21" i="9" s="1"/>
  <c r="C30" i="9" s="1"/>
  <c r="D65" i="2"/>
  <c r="E65" i="2"/>
  <c r="F65" i="2"/>
  <c r="F70" i="2" s="1"/>
  <c r="G155" i="11"/>
  <c r="D156" i="11"/>
  <c r="E156" i="11"/>
  <c r="F156" i="11"/>
  <c r="L156" i="11"/>
  <c r="C156" i="11"/>
  <c r="D14" i="14" l="1"/>
  <c r="E14" i="14" s="1"/>
  <c r="F14" i="14" s="1"/>
  <c r="G14" i="14" s="1"/>
  <c r="H14" i="14" s="1"/>
  <c r="I14" i="14" s="1"/>
  <c r="J14" i="14" s="1"/>
  <c r="K14" i="14" s="1"/>
  <c r="L14" i="14" s="1"/>
  <c r="H155" i="11"/>
  <c r="G65" i="2"/>
  <c r="G156" i="11"/>
  <c r="B9" i="8"/>
  <c r="G21" i="9" l="1"/>
  <c r="G30" i="9" s="1"/>
  <c r="H21" i="9"/>
  <c r="H30" i="9" s="1"/>
  <c r="E21" i="9"/>
  <c r="E30" i="9" s="1"/>
  <c r="J21" i="9"/>
  <c r="J30" i="9" s="1"/>
  <c r="F21" i="9"/>
  <c r="F30" i="9" s="1"/>
  <c r="D21" i="9"/>
  <c r="D30" i="9" s="1"/>
  <c r="I21" i="9"/>
  <c r="I30" i="9" s="1"/>
  <c r="K21" i="9"/>
  <c r="K30" i="9" s="1"/>
  <c r="L21" i="9"/>
  <c r="L30" i="9" s="1"/>
  <c r="I155" i="11"/>
  <c r="H65" i="2"/>
  <c r="H156" i="11"/>
  <c r="C2" i="7"/>
  <c r="D2" i="7" s="1"/>
  <c r="E2" i="7" s="1"/>
  <c r="F2" i="7" s="1"/>
  <c r="G2" i="7" s="1"/>
  <c r="H2" i="7" s="1"/>
  <c r="I2" i="7" s="1"/>
  <c r="J2" i="7" s="1"/>
  <c r="K2" i="7" s="1"/>
  <c r="L2" i="7" s="1"/>
  <c r="C3" i="7"/>
  <c r="D3" i="7" s="1"/>
  <c r="E3" i="7" s="1"/>
  <c r="F3" i="7" s="1"/>
  <c r="G3" i="7" s="1"/>
  <c r="H3" i="7" s="1"/>
  <c r="I3" i="7" s="1"/>
  <c r="J3" i="7" s="1"/>
  <c r="K3" i="7" s="1"/>
  <c r="L3" i="7" s="1"/>
  <c r="C4" i="7"/>
  <c r="D4" i="7" s="1"/>
  <c r="E4" i="7" s="1"/>
  <c r="F4" i="7" s="1"/>
  <c r="G4" i="7" s="1"/>
  <c r="H4" i="7" s="1"/>
  <c r="I4" i="7" s="1"/>
  <c r="J4" i="7" s="1"/>
  <c r="K4" i="7" s="1"/>
  <c r="L4" i="7" s="1"/>
  <c r="C5" i="7"/>
  <c r="D5" i="7" s="1"/>
  <c r="E5" i="7" s="1"/>
  <c r="F5" i="7" s="1"/>
  <c r="G5" i="7" s="1"/>
  <c r="H5" i="7" s="1"/>
  <c r="I5" i="7" s="1"/>
  <c r="J5" i="7" s="1"/>
  <c r="K5" i="7" s="1"/>
  <c r="L5" i="7" s="1"/>
  <c r="J155" i="11" l="1"/>
  <c r="I65" i="2"/>
  <c r="I156" i="11"/>
  <c r="J11" i="9"/>
  <c r="E16" i="9"/>
  <c r="I16" i="9"/>
  <c r="C16" i="9"/>
  <c r="G16" i="9"/>
  <c r="K16" i="9"/>
  <c r="F12" i="9"/>
  <c r="J12" i="9"/>
  <c r="C11" i="9"/>
  <c r="D11" i="9"/>
  <c r="E11" i="9"/>
  <c r="G11" i="9"/>
  <c r="H11" i="9"/>
  <c r="I11" i="9"/>
  <c r="K11" i="9"/>
  <c r="L11" i="9"/>
  <c r="C12" i="9"/>
  <c r="D12" i="9"/>
  <c r="E12" i="9"/>
  <c r="G12" i="9"/>
  <c r="H12" i="9"/>
  <c r="K12" i="9"/>
  <c r="L12" i="9"/>
  <c r="C13" i="9"/>
  <c r="D13" i="9"/>
  <c r="E13" i="9"/>
  <c r="F13" i="9"/>
  <c r="G13" i="9"/>
  <c r="H13" i="9"/>
  <c r="I13" i="9"/>
  <c r="J13" i="9"/>
  <c r="K13" i="9"/>
  <c r="L13" i="9"/>
  <c r="D16" i="9"/>
  <c r="F16" i="9"/>
  <c r="H16" i="9"/>
  <c r="J16" i="9"/>
  <c r="L16" i="9"/>
  <c r="B12" i="9"/>
  <c r="B13" i="9"/>
  <c r="B16" i="9"/>
  <c r="B11" i="9"/>
  <c r="K155" i="11" l="1"/>
  <c r="J65" i="2"/>
  <c r="J156" i="11"/>
  <c r="F11" i="9"/>
  <c r="I12" i="9"/>
  <c r="C29" i="9"/>
  <c r="D24" i="9"/>
  <c r="E26" i="9"/>
  <c r="F27" i="9"/>
  <c r="H26" i="9"/>
  <c r="I26" i="9"/>
  <c r="J24" i="9"/>
  <c r="K26" i="9"/>
  <c r="L24" i="9"/>
  <c r="K65" i="2" l="1"/>
  <c r="K156" i="11"/>
  <c r="B26" i="9"/>
  <c r="B29" i="9"/>
  <c r="B25" i="9"/>
  <c r="F26" i="9"/>
  <c r="C24" i="9"/>
  <c r="C27" i="9"/>
  <c r="C26" i="9"/>
  <c r="G24" i="9"/>
  <c r="G29" i="9"/>
  <c r="G27" i="9"/>
  <c r="G28" i="9"/>
  <c r="C25" i="9"/>
  <c r="K27" i="9"/>
  <c r="K25" i="9"/>
  <c r="K28" i="9"/>
  <c r="K24" i="9"/>
  <c r="D29" i="9"/>
  <c r="C28" i="9"/>
  <c r="K29" i="9"/>
  <c r="G26" i="9"/>
  <c r="G25" i="9"/>
  <c r="L29" i="9"/>
  <c r="J27" i="9"/>
  <c r="L26" i="9"/>
  <c r="D25" i="9"/>
  <c r="H24" i="9"/>
  <c r="D28" i="9"/>
  <c r="H27" i="9"/>
  <c r="L25" i="9"/>
  <c r="L28" i="9"/>
  <c r="H28" i="9"/>
  <c r="L27" i="9"/>
  <c r="D26" i="9"/>
  <c r="H25" i="9"/>
  <c r="H29" i="9"/>
  <c r="D27" i="9"/>
  <c r="F29" i="9"/>
  <c r="B28" i="9"/>
  <c r="J26" i="9"/>
  <c r="F25" i="9"/>
  <c r="B24" i="9"/>
  <c r="J29" i="9"/>
  <c r="F28" i="9"/>
  <c r="B27" i="9"/>
  <c r="J25" i="9"/>
  <c r="F24" i="9"/>
  <c r="J28" i="9"/>
  <c r="I27" i="9"/>
  <c r="E27" i="9"/>
  <c r="I28" i="9"/>
  <c r="E28" i="9"/>
  <c r="I24" i="9"/>
  <c r="E24" i="9"/>
  <c r="I29" i="9"/>
  <c r="E29" i="9"/>
  <c r="I25" i="9"/>
  <c r="E25" i="9"/>
  <c r="B29" i="14" l="1"/>
  <c r="B27" i="14" l="1"/>
  <c r="B28" i="14"/>
  <c r="B68" i="2"/>
  <c r="C68" i="2"/>
  <c r="D68" i="2"/>
  <c r="E68" i="2"/>
  <c r="F68" i="2"/>
  <c r="G68" i="2"/>
  <c r="H68" i="2"/>
  <c r="I68" i="2"/>
  <c r="J68" i="2"/>
  <c r="K68" i="2"/>
  <c r="L68" i="2"/>
  <c r="B156" i="11" l="1"/>
  <c r="C34" i="8" l="1"/>
  <c r="B137" i="8"/>
  <c r="C137" i="8" l="1"/>
  <c r="D137" i="8" s="1"/>
  <c r="E137" i="8" s="1"/>
  <c r="F137" i="8" s="1"/>
  <c r="G137" i="8" s="1"/>
  <c r="H137" i="8" s="1"/>
  <c r="I137" i="8" s="1"/>
  <c r="J137" i="8" s="1"/>
  <c r="K137" i="8" s="1"/>
  <c r="L137" i="8" s="1"/>
  <c r="C62" i="7"/>
  <c r="D62" i="7"/>
  <c r="E62" i="7"/>
  <c r="F62" i="7"/>
  <c r="G62" i="7"/>
  <c r="H62" i="7"/>
  <c r="I62" i="7"/>
  <c r="J62" i="7"/>
  <c r="K62" i="7"/>
  <c r="L62" i="7"/>
  <c r="B62" i="7"/>
  <c r="G34" i="11" l="1"/>
  <c r="G38" i="11" l="1"/>
  <c r="B51" i="11"/>
  <c r="B23" i="8" l="1"/>
  <c r="B135" i="8"/>
  <c r="C135" i="8" s="1"/>
  <c r="D135" i="8" s="1"/>
  <c r="E135" i="8" s="1"/>
  <c r="F135" i="8" s="1"/>
  <c r="G135" i="8" s="1"/>
  <c r="H135" i="8" s="1"/>
  <c r="I135" i="8" s="1"/>
  <c r="J135" i="8" s="1"/>
  <c r="K135" i="8" s="1"/>
  <c r="L135" i="8" s="1"/>
  <c r="G36" i="11"/>
  <c r="G32" i="11"/>
  <c r="B129" i="8" s="1"/>
  <c r="G31" i="11"/>
  <c r="G30" i="11"/>
  <c r="B127" i="8" s="1"/>
  <c r="G29" i="11"/>
  <c r="B126" i="8" s="1"/>
  <c r="G28" i="11"/>
  <c r="B125" i="8" s="1"/>
  <c r="G35" i="11"/>
  <c r="B132" i="8" s="1"/>
  <c r="C132" i="8" s="1"/>
  <c r="D132" i="8" s="1"/>
  <c r="E132" i="8" s="1"/>
  <c r="F132" i="8" s="1"/>
  <c r="G132" i="8" s="1"/>
  <c r="H132" i="8" s="1"/>
  <c r="I132" i="8" s="1"/>
  <c r="J132" i="8" s="1"/>
  <c r="K132" i="8" s="1"/>
  <c r="L132" i="8" s="1"/>
  <c r="B48" i="11"/>
  <c r="B2" i="8"/>
  <c r="B16" i="8" l="1"/>
  <c r="B128" i="8"/>
  <c r="C23" i="8"/>
  <c r="D23" i="8" s="1"/>
  <c r="E23" i="8" s="1"/>
  <c r="F23" i="8" s="1"/>
  <c r="G23" i="8" s="1"/>
  <c r="H23" i="8" s="1"/>
  <c r="I23" i="8" s="1"/>
  <c r="J23" i="8" s="1"/>
  <c r="K23" i="8" s="1"/>
  <c r="L23" i="8" s="1"/>
  <c r="B14" i="8"/>
  <c r="B20" i="8"/>
  <c r="B49" i="10"/>
  <c r="B50" i="10" s="1"/>
  <c r="B51" i="10" s="1"/>
  <c r="B52" i="10" s="1"/>
  <c r="B53" i="10" s="1"/>
  <c r="B54" i="10" s="1"/>
  <c r="B55" i="10" s="1"/>
  <c r="B56" i="10" s="1"/>
  <c r="B57" i="10" s="1"/>
  <c r="B58" i="10" s="1"/>
  <c r="B59" i="10" s="1"/>
  <c r="B21" i="8"/>
  <c r="B133" i="8"/>
  <c r="C133" i="8" s="1"/>
  <c r="D133" i="8" s="1"/>
  <c r="E133" i="8" s="1"/>
  <c r="F133" i="8" s="1"/>
  <c r="G133" i="8" s="1"/>
  <c r="H133" i="8" s="1"/>
  <c r="I133" i="8" s="1"/>
  <c r="J133" i="8" s="1"/>
  <c r="K133" i="8" s="1"/>
  <c r="L133" i="8" s="1"/>
  <c r="B15" i="8"/>
  <c r="B13" i="8"/>
  <c r="C49" i="10"/>
  <c r="C50" i="10" s="1"/>
  <c r="C51" i="10" s="1"/>
  <c r="C52" i="10" s="1"/>
  <c r="C53" i="10" s="1"/>
  <c r="C54" i="10" s="1"/>
  <c r="C55" i="10" s="1"/>
  <c r="C56" i="10" s="1"/>
  <c r="C57" i="10" s="1"/>
  <c r="C58" i="10" s="1"/>
  <c r="C59" i="10" s="1"/>
  <c r="B17" i="8"/>
  <c r="D33" i="9"/>
  <c r="E33" i="9"/>
  <c r="B33" i="9"/>
  <c r="C33" i="9"/>
  <c r="A1" i="15"/>
  <c r="B37" i="9" l="1"/>
  <c r="E37" i="9"/>
  <c r="D37" i="9"/>
  <c r="F33" i="9"/>
  <c r="C37" i="9"/>
  <c r="P1" i="14" a="1"/>
  <c r="P1" i="14" s="1"/>
  <c r="B23" i="2"/>
  <c r="B24" i="2"/>
  <c r="B25" i="2"/>
  <c r="B26" i="2"/>
  <c r="B27" i="2"/>
  <c r="B28" i="2"/>
  <c r="B29" i="2"/>
  <c r="B22" i="2"/>
  <c r="C93" i="11"/>
  <c r="D93" i="11"/>
  <c r="E93" i="11"/>
  <c r="F93" i="11"/>
  <c r="B93" i="11"/>
  <c r="G5" i="29" l="1"/>
  <c r="H5" i="29"/>
  <c r="I5" i="29"/>
  <c r="I4" i="29"/>
  <c r="I3" i="29"/>
  <c r="I2" i="29"/>
  <c r="C9" i="14"/>
  <c r="D9" i="14" s="1"/>
  <c r="A48" i="28"/>
  <c r="A50" i="28"/>
  <c r="C101" i="26"/>
  <c r="F101" i="26"/>
  <c r="D101" i="26"/>
  <c r="B101" i="26"/>
  <c r="E101" i="26"/>
  <c r="B86" i="7"/>
  <c r="C102" i="26"/>
  <c r="B102" i="26"/>
  <c r="E102" i="26"/>
  <c r="D102" i="26"/>
  <c r="F102" i="26"/>
  <c r="A60" i="28"/>
  <c r="A58" i="28"/>
  <c r="A56" i="28"/>
  <c r="A54" i="28"/>
  <c r="A20" i="28"/>
  <c r="A30" i="28"/>
  <c r="A18" i="28"/>
  <c r="C8" i="14"/>
  <c r="C2" i="14"/>
  <c r="D2" i="14" s="1"/>
  <c r="E2" i="14" s="1"/>
  <c r="F2" i="14" s="1"/>
  <c r="G2" i="14" s="1"/>
  <c r="H2" i="14" s="1"/>
  <c r="I2" i="14" s="1"/>
  <c r="J2" i="14" s="1"/>
  <c r="K2" i="14" s="1"/>
  <c r="L2" i="14" s="1"/>
  <c r="C3" i="14"/>
  <c r="D3" i="14" s="1"/>
  <c r="E3" i="14" s="1"/>
  <c r="F3" i="14" s="1"/>
  <c r="G3" i="14" s="1"/>
  <c r="H3" i="14" s="1"/>
  <c r="I3" i="14" s="1"/>
  <c r="J3" i="14" s="1"/>
  <c r="K3" i="14" s="1"/>
  <c r="L3" i="14" s="1"/>
  <c r="A2" i="15"/>
  <c r="J17" i="15"/>
  <c r="J18" i="15"/>
  <c r="F37" i="9"/>
  <c r="B4" i="14"/>
  <c r="B5" i="14"/>
  <c r="C5" i="14" s="1"/>
  <c r="B6" i="14"/>
  <c r="C6" i="14" s="1"/>
  <c r="B7" i="14"/>
  <c r="B16" i="7" s="1"/>
  <c r="E1" i="27"/>
  <c r="B59" i="7"/>
  <c r="B24" i="7"/>
  <c r="B83" i="7" s="1"/>
  <c r="B58" i="7"/>
  <c r="B25" i="7"/>
  <c r="O1" i="6"/>
  <c r="O1" i="26"/>
  <c r="O1" i="2"/>
  <c r="E2" i="1"/>
  <c r="D4" i="1" s="1"/>
  <c r="G33" i="9"/>
  <c r="G93" i="11"/>
  <c r="B38" i="2"/>
  <c r="B53" i="2" s="1"/>
  <c r="B70" i="7" s="1"/>
  <c r="B36" i="2"/>
  <c r="B51" i="2" s="1"/>
  <c r="B68" i="7" s="1"/>
  <c r="B41" i="2"/>
  <c r="B56" i="2" s="1"/>
  <c r="B73" i="7" s="1"/>
  <c r="B37" i="2"/>
  <c r="B52" i="2" s="1"/>
  <c r="B69" i="7" s="1"/>
  <c r="B40" i="2"/>
  <c r="N1" i="9"/>
  <c r="B39" i="2"/>
  <c r="B43" i="2"/>
  <c r="B42" i="2"/>
  <c r="B57" i="2" s="1"/>
  <c r="B77" i="7" s="1"/>
  <c r="C90" i="11"/>
  <c r="D90" i="11"/>
  <c r="E90" i="11"/>
  <c r="F90" i="11"/>
  <c r="C91" i="11"/>
  <c r="D91" i="11"/>
  <c r="E91" i="11"/>
  <c r="F91" i="11"/>
  <c r="C92" i="11"/>
  <c r="D92" i="11"/>
  <c r="E92" i="11"/>
  <c r="F92" i="11"/>
  <c r="B91" i="11"/>
  <c r="B92" i="11"/>
  <c r="B90" i="11"/>
  <c r="E9" i="14" l="1"/>
  <c r="C21" i="8"/>
  <c r="C20" i="8"/>
  <c r="B83" i="8"/>
  <c r="B73" i="8"/>
  <c r="B84" i="8"/>
  <c r="B76" i="8"/>
  <c r="B72" i="8"/>
  <c r="B78" i="8"/>
  <c r="B80" i="8"/>
  <c r="B75" i="8"/>
  <c r="B71" i="8"/>
  <c r="B74" i="8"/>
  <c r="B68" i="8"/>
  <c r="B69" i="8"/>
  <c r="B67" i="8"/>
  <c r="B81" i="8"/>
  <c r="B79" i="8"/>
  <c r="C7" i="14"/>
  <c r="C106" i="7" s="1"/>
  <c r="D5" i="14"/>
  <c r="C72" i="2"/>
  <c r="C25" i="8"/>
  <c r="C22" i="8"/>
  <c r="G37" i="9"/>
  <c r="D6" i="14"/>
  <c r="B19" i="8"/>
  <c r="B77" i="8" s="1"/>
  <c r="B114" i="8"/>
  <c r="C4" i="14"/>
  <c r="H33" i="9"/>
  <c r="O1" i="5"/>
  <c r="O1" i="7"/>
  <c r="B1" i="8"/>
  <c r="G91" i="11"/>
  <c r="G90" i="11"/>
  <c r="G92" i="11"/>
  <c r="F9" i="14" l="1"/>
  <c r="D20" i="8"/>
  <c r="D21" i="8"/>
  <c r="D7" i="14"/>
  <c r="C16" i="7"/>
  <c r="C67" i="8"/>
  <c r="C69" i="8"/>
  <c r="C80" i="8"/>
  <c r="C83" i="8"/>
  <c r="C81" i="8"/>
  <c r="C79" i="8"/>
  <c r="C68" i="8"/>
  <c r="C78" i="8"/>
  <c r="E5" i="14"/>
  <c r="D72" i="2"/>
  <c r="H37" i="9"/>
  <c r="D8" i="14"/>
  <c r="E6" i="14"/>
  <c r="D4" i="14"/>
  <c r="C56" i="8"/>
  <c r="B56" i="8"/>
  <c r="C51" i="7"/>
  <c r="C65" i="7"/>
  <c r="C115" i="8" s="1"/>
  <c r="C50" i="7"/>
  <c r="I33" i="9"/>
  <c r="G9" i="14" l="1"/>
  <c r="E21" i="8"/>
  <c r="E20" i="8"/>
  <c r="D16" i="7"/>
  <c r="D106" i="7"/>
  <c r="E7" i="14"/>
  <c r="D67" i="8"/>
  <c r="D69" i="8"/>
  <c r="D68" i="8"/>
  <c r="D81" i="8"/>
  <c r="F5" i="14"/>
  <c r="E72" i="2"/>
  <c r="I37" i="9"/>
  <c r="D56" i="8"/>
  <c r="E8" i="14"/>
  <c r="F6" i="14"/>
  <c r="E4" i="14"/>
  <c r="B51" i="7"/>
  <c r="B65" i="7"/>
  <c r="B50" i="7"/>
  <c r="J33" i="9"/>
  <c r="F34" i="8"/>
  <c r="B117" i="11"/>
  <c r="C231" i="9"/>
  <c r="D231" i="9"/>
  <c r="E231" i="9"/>
  <c r="F231" i="9"/>
  <c r="B231" i="9"/>
  <c r="B111" i="11"/>
  <c r="B24" i="8" l="1"/>
  <c r="C24" i="8" s="1"/>
  <c r="D24" i="8" s="1"/>
  <c r="E24" i="8" s="1"/>
  <c r="F24" i="8" s="1"/>
  <c r="B136" i="8"/>
  <c r="C136" i="8" s="1"/>
  <c r="D136" i="8" s="1"/>
  <c r="E136" i="8" s="1"/>
  <c r="F136" i="8" s="1"/>
  <c r="G136" i="8" s="1"/>
  <c r="H136" i="8" s="1"/>
  <c r="I136" i="8" s="1"/>
  <c r="J136" i="8" s="1"/>
  <c r="K136" i="8" s="1"/>
  <c r="L136" i="8" s="1"/>
  <c r="H9" i="14"/>
  <c r="F20" i="8"/>
  <c r="F21" i="8"/>
  <c r="E16" i="7"/>
  <c r="E106" i="7"/>
  <c r="F7" i="14"/>
  <c r="E68" i="8"/>
  <c r="E81" i="8"/>
  <c r="E67" i="8"/>
  <c r="E69" i="8"/>
  <c r="G5" i="14"/>
  <c r="F72" i="2"/>
  <c r="B115" i="8"/>
  <c r="J37" i="9"/>
  <c r="J46" i="9" s="1"/>
  <c r="D236" i="9"/>
  <c r="F236" i="9"/>
  <c r="B236" i="9"/>
  <c r="C236" i="9"/>
  <c r="E236" i="9"/>
  <c r="G6" i="14"/>
  <c r="E56" i="8"/>
  <c r="F8" i="14"/>
  <c r="F4" i="14"/>
  <c r="C95" i="8"/>
  <c r="D51" i="7"/>
  <c r="D50" i="7"/>
  <c r="D65" i="7"/>
  <c r="D115" i="8" s="1"/>
  <c r="K33" i="9"/>
  <c r="B34" i="8"/>
  <c r="I34" i="8"/>
  <c r="E34" i="8"/>
  <c r="L34" i="8"/>
  <c r="L146" i="8" s="1"/>
  <c r="H34" i="8"/>
  <c r="D34" i="8"/>
  <c r="K34" i="8"/>
  <c r="K92" i="8" s="1"/>
  <c r="G34" i="8"/>
  <c r="C92" i="8"/>
  <c r="J34" i="8"/>
  <c r="J92" i="8" s="1"/>
  <c r="F92" i="8"/>
  <c r="F146" i="8"/>
  <c r="B47" i="7"/>
  <c r="B35" i="7"/>
  <c r="C35" i="7" s="1"/>
  <c r="B28" i="7"/>
  <c r="B29" i="7"/>
  <c r="B30" i="7"/>
  <c r="C30" i="7" s="1"/>
  <c r="D30" i="7" s="1"/>
  <c r="E30" i="7" s="1"/>
  <c r="F30" i="7" s="1"/>
  <c r="G30" i="7" s="1"/>
  <c r="H30" i="7" s="1"/>
  <c r="I30" i="7" s="1"/>
  <c r="J30" i="7" s="1"/>
  <c r="K30" i="7" s="1"/>
  <c r="L30" i="7" s="1"/>
  <c r="B31" i="7"/>
  <c r="C31" i="7" s="1"/>
  <c r="D31" i="7" s="1"/>
  <c r="E31" i="7" s="1"/>
  <c r="F31" i="7" s="1"/>
  <c r="G31" i="7" s="1"/>
  <c r="H31" i="7" s="1"/>
  <c r="I31" i="7" s="1"/>
  <c r="J31" i="7" s="1"/>
  <c r="K31" i="7" s="1"/>
  <c r="L31" i="7" s="1"/>
  <c r="B36" i="9"/>
  <c r="B38" i="9"/>
  <c r="B39" i="9"/>
  <c r="B40" i="9"/>
  <c r="B41" i="9"/>
  <c r="B42" i="9"/>
  <c r="B51" i="9" s="1"/>
  <c r="C46" i="9"/>
  <c r="D46" i="9"/>
  <c r="E46" i="9"/>
  <c r="F46" i="9"/>
  <c r="G46" i="9"/>
  <c r="H46" i="9"/>
  <c r="I46" i="9"/>
  <c r="C36" i="9"/>
  <c r="D36" i="9"/>
  <c r="E36" i="9"/>
  <c r="F36" i="9"/>
  <c r="G36" i="9"/>
  <c r="H36" i="9"/>
  <c r="I36" i="9"/>
  <c r="J36" i="9"/>
  <c r="K36" i="9"/>
  <c r="L36" i="9"/>
  <c r="C38" i="9"/>
  <c r="D38" i="9"/>
  <c r="E38" i="9"/>
  <c r="F38" i="9"/>
  <c r="G38" i="9"/>
  <c r="H38" i="9"/>
  <c r="I38" i="9"/>
  <c r="J38" i="9"/>
  <c r="K38" i="9"/>
  <c r="L38" i="9"/>
  <c r="C39" i="9"/>
  <c r="D39" i="9"/>
  <c r="E39" i="9"/>
  <c r="F39" i="9"/>
  <c r="G39" i="9"/>
  <c r="H39" i="9"/>
  <c r="I39" i="9"/>
  <c r="J39" i="9"/>
  <c r="K39" i="9"/>
  <c r="L39" i="9"/>
  <c r="C40" i="9"/>
  <c r="D40" i="9"/>
  <c r="E40" i="9"/>
  <c r="F40" i="9"/>
  <c r="G40" i="9"/>
  <c r="H40" i="9"/>
  <c r="I40" i="9"/>
  <c r="J40" i="9"/>
  <c r="K40" i="9"/>
  <c r="L40" i="9"/>
  <c r="C41" i="9"/>
  <c r="D41" i="9"/>
  <c r="E41" i="9"/>
  <c r="F41" i="9"/>
  <c r="G41" i="9"/>
  <c r="H41" i="9"/>
  <c r="I41" i="9"/>
  <c r="J41" i="9"/>
  <c r="K41" i="9"/>
  <c r="L41" i="9"/>
  <c r="C42" i="9"/>
  <c r="C51" i="9" s="1"/>
  <c r="D42" i="9"/>
  <c r="D51" i="9" s="1"/>
  <c r="E42" i="9"/>
  <c r="E51" i="9" s="1"/>
  <c r="F42" i="9"/>
  <c r="F51" i="9" s="1"/>
  <c r="G42" i="9"/>
  <c r="G51" i="9" s="1"/>
  <c r="H42" i="9"/>
  <c r="H51" i="9" s="1"/>
  <c r="I42" i="9"/>
  <c r="I51" i="9" s="1"/>
  <c r="J42" i="9"/>
  <c r="J51" i="9" s="1"/>
  <c r="K42" i="9"/>
  <c r="K51" i="9" s="1"/>
  <c r="L42" i="9"/>
  <c r="L51" i="9" s="1"/>
  <c r="C100" i="8"/>
  <c r="C6" i="5" s="1"/>
  <c r="D100" i="8"/>
  <c r="D6" i="5" s="1"/>
  <c r="E100" i="8"/>
  <c r="E6" i="5" s="1"/>
  <c r="F100" i="8"/>
  <c r="F6" i="5" s="1"/>
  <c r="G100" i="8"/>
  <c r="G6" i="5" s="1"/>
  <c r="H100" i="8"/>
  <c r="H6" i="5" s="1"/>
  <c r="I100" i="8"/>
  <c r="I6" i="5" s="1"/>
  <c r="J100" i="8"/>
  <c r="J6" i="5" s="1"/>
  <c r="K100" i="8"/>
  <c r="K6" i="5" s="1"/>
  <c r="L100" i="8"/>
  <c r="L6" i="5" s="1"/>
  <c r="C60" i="8"/>
  <c r="D60" i="8" s="1"/>
  <c r="E60" i="8" s="1"/>
  <c r="F60" i="8" s="1"/>
  <c r="G60" i="8" s="1"/>
  <c r="H60" i="8" s="1"/>
  <c r="I60" i="8" s="1"/>
  <c r="J60" i="8" s="1"/>
  <c r="K60" i="8" s="1"/>
  <c r="L60" i="8" s="1"/>
  <c r="I9" i="14" l="1"/>
  <c r="G24" i="8"/>
  <c r="G20" i="8"/>
  <c r="G21" i="8"/>
  <c r="F16" i="7"/>
  <c r="F106" i="7"/>
  <c r="G7" i="14"/>
  <c r="C82" i="8"/>
  <c r="B82" i="8"/>
  <c r="F81" i="8"/>
  <c r="F68" i="8"/>
  <c r="F69" i="8"/>
  <c r="F67" i="8"/>
  <c r="H5" i="14"/>
  <c r="G72" i="2"/>
  <c r="K37" i="9"/>
  <c r="K46" i="9" s="1"/>
  <c r="G8" i="14"/>
  <c r="H6" i="14"/>
  <c r="F56" i="8"/>
  <c r="G4" i="14"/>
  <c r="B51" i="8"/>
  <c r="B57" i="8"/>
  <c r="B47" i="8"/>
  <c r="B48" i="8"/>
  <c r="B53" i="8"/>
  <c r="B50" i="8"/>
  <c r="B54" i="8"/>
  <c r="B49" i="8"/>
  <c r="B131" i="8"/>
  <c r="B95" i="8"/>
  <c r="E51" i="7"/>
  <c r="E50" i="7"/>
  <c r="E65" i="7"/>
  <c r="E115" i="8" s="1"/>
  <c r="B46" i="8"/>
  <c r="B55" i="8"/>
  <c r="B58" i="8"/>
  <c r="G231" i="9"/>
  <c r="G236" i="9" s="1"/>
  <c r="E92" i="8"/>
  <c r="G146" i="8"/>
  <c r="D146" i="8"/>
  <c r="I92" i="8"/>
  <c r="H92" i="8"/>
  <c r="B146" i="8"/>
  <c r="C29" i="7"/>
  <c r="K50" i="9"/>
  <c r="J45" i="9"/>
  <c r="F45" i="9"/>
  <c r="H45" i="9"/>
  <c r="D45" i="9"/>
  <c r="K48" i="9"/>
  <c r="K49" i="9"/>
  <c r="K45" i="9"/>
  <c r="G45" i="9"/>
  <c r="C45" i="9"/>
  <c r="I45" i="9"/>
  <c r="E45" i="9"/>
  <c r="L33" i="9"/>
  <c r="C146" i="8"/>
  <c r="H146" i="8"/>
  <c r="B92" i="8"/>
  <c r="D92" i="8"/>
  <c r="I146" i="8"/>
  <c r="G50" i="9"/>
  <c r="C50" i="9"/>
  <c r="I49" i="9"/>
  <c r="E49" i="9"/>
  <c r="G48" i="9"/>
  <c r="C48" i="9"/>
  <c r="I47" i="9"/>
  <c r="E47" i="9"/>
  <c r="H50" i="9"/>
  <c r="D50" i="9"/>
  <c r="J49" i="9"/>
  <c r="F49" i="9"/>
  <c r="H48" i="9"/>
  <c r="D48" i="9"/>
  <c r="J47" i="9"/>
  <c r="F47" i="9"/>
  <c r="J50" i="9"/>
  <c r="F50" i="9"/>
  <c r="H49" i="9"/>
  <c r="D49" i="9"/>
  <c r="J48" i="9"/>
  <c r="F48" i="9"/>
  <c r="H47" i="9"/>
  <c r="D47" i="9"/>
  <c r="I50" i="9"/>
  <c r="E50" i="9"/>
  <c r="G49" i="9"/>
  <c r="C49" i="9"/>
  <c r="I48" i="9"/>
  <c r="E48" i="9"/>
  <c r="K47" i="9"/>
  <c r="G47" i="9"/>
  <c r="C47" i="9"/>
  <c r="E42" i="8"/>
  <c r="D94" i="8"/>
  <c r="E94" i="8"/>
  <c r="I94" i="8"/>
  <c r="L94" i="8"/>
  <c r="B94" i="8"/>
  <c r="F71" i="2"/>
  <c r="J70" i="2"/>
  <c r="J71" i="2" s="1"/>
  <c r="H94" i="8"/>
  <c r="L92" i="8"/>
  <c r="E146" i="8"/>
  <c r="G92" i="8"/>
  <c r="J146" i="8"/>
  <c r="B49" i="9"/>
  <c r="K146" i="8"/>
  <c r="B46" i="9"/>
  <c r="B45" i="9"/>
  <c r="B42" i="8"/>
  <c r="B43" i="8"/>
  <c r="D44" i="8"/>
  <c r="C42" i="8"/>
  <c r="B44" i="8"/>
  <c r="D42" i="8"/>
  <c r="B50" i="9"/>
  <c r="B48" i="9"/>
  <c r="B47" i="9"/>
  <c r="B41" i="7"/>
  <c r="C41" i="7" s="1"/>
  <c r="D41" i="7" s="1"/>
  <c r="E41" i="7" s="1"/>
  <c r="F41" i="7" s="1"/>
  <c r="G41" i="7" s="1"/>
  <c r="H41" i="7" s="1"/>
  <c r="I41" i="7" s="1"/>
  <c r="D35" i="7"/>
  <c r="C28" i="7"/>
  <c r="B70" i="2"/>
  <c r="B71" i="2" s="1"/>
  <c r="E70" i="2"/>
  <c r="E71" i="2" s="1"/>
  <c r="I70" i="2"/>
  <c r="I71" i="2" s="1"/>
  <c r="C94" i="8"/>
  <c r="J94" i="8"/>
  <c r="F94" i="8"/>
  <c r="L70" i="2"/>
  <c r="L71" i="2" s="1"/>
  <c r="H70" i="2"/>
  <c r="H71" i="2" s="1"/>
  <c r="D70" i="2"/>
  <c r="D71" i="2" s="1"/>
  <c r="G94" i="8"/>
  <c r="K70" i="2"/>
  <c r="K71" i="2" s="1"/>
  <c r="G70" i="2"/>
  <c r="G71" i="2" s="1"/>
  <c r="C70" i="2"/>
  <c r="C71" i="2" s="1"/>
  <c r="K94" i="8"/>
  <c r="J9" i="14" l="1"/>
  <c r="J41" i="7"/>
  <c r="K41" i="7" s="1"/>
  <c r="L41" i="7" s="1"/>
  <c r="I16" i="1"/>
  <c r="A89" i="28" s="1"/>
  <c r="I15" i="1"/>
  <c r="A88" i="28" s="1"/>
  <c r="H21" i="8"/>
  <c r="H20" i="8"/>
  <c r="H24" i="8"/>
  <c r="G16" i="7"/>
  <c r="G106" i="7"/>
  <c r="H7" i="14"/>
  <c r="G67" i="8"/>
  <c r="G69" i="8"/>
  <c r="G81" i="8"/>
  <c r="G68" i="8"/>
  <c r="I5" i="14"/>
  <c r="H72" i="2"/>
  <c r="L37" i="9"/>
  <c r="L46" i="9" s="1"/>
  <c r="I6" i="14"/>
  <c r="H8" i="14"/>
  <c r="G56" i="8"/>
  <c r="H4" i="14"/>
  <c r="H231" i="9"/>
  <c r="H236" i="9" s="1"/>
  <c r="F51" i="7"/>
  <c r="F65" i="7"/>
  <c r="F115" i="8" s="1"/>
  <c r="F50" i="7"/>
  <c r="B52" i="8"/>
  <c r="B62" i="8" s="1"/>
  <c r="B97" i="8"/>
  <c r="D29" i="7"/>
  <c r="B2" i="9"/>
  <c r="B3" i="9"/>
  <c r="B4" i="9"/>
  <c r="L45" i="9"/>
  <c r="L47" i="9"/>
  <c r="L49" i="9"/>
  <c r="L48" i="9"/>
  <c r="L50" i="9"/>
  <c r="G54" i="9"/>
  <c r="C59" i="9"/>
  <c r="I58" i="9"/>
  <c r="F55" i="9"/>
  <c r="F57" i="9"/>
  <c r="H54" i="9"/>
  <c r="F54" i="9"/>
  <c r="F58" i="9"/>
  <c r="F56" i="9"/>
  <c r="F59" i="9"/>
  <c r="F60" i="9"/>
  <c r="D58" i="9"/>
  <c r="J54" i="9"/>
  <c r="D55" i="9"/>
  <c r="J57" i="9"/>
  <c r="J55" i="9"/>
  <c r="J56" i="9"/>
  <c r="D54" i="9"/>
  <c r="D59" i="9"/>
  <c r="E59" i="9"/>
  <c r="H58" i="9"/>
  <c r="D60" i="9"/>
  <c r="J60" i="9"/>
  <c r="J58" i="9"/>
  <c r="D57" i="9"/>
  <c r="D56" i="9"/>
  <c r="J59" i="9"/>
  <c r="K54" i="9"/>
  <c r="C60" i="9"/>
  <c r="I59" i="9"/>
  <c r="H57" i="9"/>
  <c r="E60" i="9"/>
  <c r="C54" i="9"/>
  <c r="I56" i="9"/>
  <c r="I54" i="9"/>
  <c r="C58" i="9"/>
  <c r="C55" i="9"/>
  <c r="H60" i="9"/>
  <c r="H55" i="9"/>
  <c r="I60" i="9"/>
  <c r="C57" i="9"/>
  <c r="E55" i="9"/>
  <c r="C56" i="9"/>
  <c r="I55" i="9"/>
  <c r="H59" i="9"/>
  <c r="E54" i="9"/>
  <c r="E56" i="9"/>
  <c r="H56" i="9"/>
  <c r="I57" i="9"/>
  <c r="E58" i="9"/>
  <c r="K58" i="9"/>
  <c r="K57" i="9"/>
  <c r="G59" i="9"/>
  <c r="K56" i="9"/>
  <c r="E57" i="9"/>
  <c r="K55" i="9"/>
  <c r="G55" i="9"/>
  <c r="G58" i="9"/>
  <c r="K59" i="9"/>
  <c r="K60" i="9"/>
  <c r="G57" i="9"/>
  <c r="G56" i="9"/>
  <c r="G60" i="9"/>
  <c r="C44" i="8"/>
  <c r="E44" i="8"/>
  <c r="F44" i="8"/>
  <c r="F43" i="8"/>
  <c r="E43" i="8"/>
  <c r="D43" i="8"/>
  <c r="G43" i="8"/>
  <c r="G44" i="8"/>
  <c r="C43" i="8"/>
  <c r="B7" i="9"/>
  <c r="B60" i="9"/>
  <c r="B57" i="9"/>
  <c r="B58" i="9"/>
  <c r="B33" i="8"/>
  <c r="B56" i="9"/>
  <c r="B54" i="9"/>
  <c r="B55" i="9"/>
  <c r="B59" i="9"/>
  <c r="E35" i="7"/>
  <c r="D28" i="7"/>
  <c r="B100" i="8"/>
  <c r="B6" i="5" s="1"/>
  <c r="K9" i="14" l="1"/>
  <c r="I21" i="8"/>
  <c r="I24" i="8"/>
  <c r="I20" i="8"/>
  <c r="H16" i="7"/>
  <c r="H106" i="7"/>
  <c r="I7" i="14"/>
  <c r="J4" i="15"/>
  <c r="H67" i="8"/>
  <c r="H69" i="8"/>
  <c r="H81" i="8"/>
  <c r="H68" i="8"/>
  <c r="J5" i="14"/>
  <c r="I72" i="2"/>
  <c r="B63" i="9"/>
  <c r="E68" i="9"/>
  <c r="E65" i="9"/>
  <c r="E67" i="9"/>
  <c r="E69" i="9"/>
  <c r="E66" i="9"/>
  <c r="E64" i="9"/>
  <c r="E63" i="9"/>
  <c r="H65" i="9"/>
  <c r="H67" i="9"/>
  <c r="H69" i="9"/>
  <c r="H64" i="9"/>
  <c r="H66" i="9"/>
  <c r="H68" i="9"/>
  <c r="H63" i="9"/>
  <c r="C65" i="9"/>
  <c r="C67" i="9"/>
  <c r="C64" i="9"/>
  <c r="C66" i="9"/>
  <c r="C68" i="9"/>
  <c r="C63" i="9"/>
  <c r="C69" i="9"/>
  <c r="J64" i="9"/>
  <c r="J66" i="9"/>
  <c r="J68" i="9"/>
  <c r="J63" i="9"/>
  <c r="J65" i="9"/>
  <c r="J67" i="9"/>
  <c r="J69" i="9"/>
  <c r="D65" i="9"/>
  <c r="D67" i="9"/>
  <c r="D69" i="9"/>
  <c r="D64" i="9"/>
  <c r="D66" i="9"/>
  <c r="D68" i="9"/>
  <c r="D63" i="9"/>
  <c r="K65" i="9"/>
  <c r="K64" i="9"/>
  <c r="K66" i="9"/>
  <c r="K68" i="9"/>
  <c r="K63" i="9"/>
  <c r="K69" i="9"/>
  <c r="K67" i="9"/>
  <c r="G69" i="9"/>
  <c r="G64" i="9"/>
  <c r="G66" i="9"/>
  <c r="G68" i="9"/>
  <c r="G63" i="9"/>
  <c r="G67" i="9"/>
  <c r="G65" i="9"/>
  <c r="I63" i="9"/>
  <c r="I65" i="9"/>
  <c r="I67" i="9"/>
  <c r="I69" i="9"/>
  <c r="I64" i="9"/>
  <c r="I68" i="9"/>
  <c r="I66" i="9"/>
  <c r="F64" i="9"/>
  <c r="F66" i="9"/>
  <c r="F68" i="9"/>
  <c r="F63" i="9"/>
  <c r="F65" i="9"/>
  <c r="F67" i="9"/>
  <c r="F69" i="9"/>
  <c r="H56" i="8"/>
  <c r="I8" i="14"/>
  <c r="J6" i="14"/>
  <c r="I4" i="14"/>
  <c r="B61" i="8"/>
  <c r="B103" i="8" s="1"/>
  <c r="I231" i="9"/>
  <c r="I236" i="9" s="1"/>
  <c r="B19" i="7"/>
  <c r="C19" i="7" s="1"/>
  <c r="B20" i="7"/>
  <c r="C20" i="7" s="1"/>
  <c r="B21" i="7"/>
  <c r="B22" i="7"/>
  <c r="C22" i="7" s="1"/>
  <c r="E95" i="8"/>
  <c r="D95" i="8"/>
  <c r="E29" i="7"/>
  <c r="B68" i="9"/>
  <c r="C44" i="7"/>
  <c r="C47" i="7" s="1"/>
  <c r="L59" i="9"/>
  <c r="L55" i="9"/>
  <c r="L58" i="9"/>
  <c r="L60" i="9"/>
  <c r="L56" i="9"/>
  <c r="L54" i="9"/>
  <c r="L57" i="9"/>
  <c r="F42" i="8"/>
  <c r="B91" i="8"/>
  <c r="B145" i="8"/>
  <c r="B65" i="9"/>
  <c r="B67" i="9"/>
  <c r="B69" i="9"/>
  <c r="B64" i="9"/>
  <c r="B66" i="9"/>
  <c r="C33" i="8"/>
  <c r="F35" i="7"/>
  <c r="E28" i="7"/>
  <c r="L9" i="14" l="1"/>
  <c r="J24" i="8"/>
  <c r="J21" i="8"/>
  <c r="J20" i="8"/>
  <c r="I16" i="7"/>
  <c r="I106" i="7"/>
  <c r="J7" i="14"/>
  <c r="I68" i="8"/>
  <c r="I67" i="8"/>
  <c r="I69" i="8"/>
  <c r="I81" i="8"/>
  <c r="D19" i="7"/>
  <c r="E19" i="7" s="1"/>
  <c r="F19" i="7" s="1"/>
  <c r="G19" i="7" s="1"/>
  <c r="H19" i="7" s="1"/>
  <c r="I19" i="7" s="1"/>
  <c r="J19" i="7" s="1"/>
  <c r="K19" i="7" s="1"/>
  <c r="L19" i="7" s="1"/>
  <c r="C30" i="2"/>
  <c r="C44" i="2" s="1"/>
  <c r="C59" i="2" s="1"/>
  <c r="D22" i="7"/>
  <c r="C33" i="2"/>
  <c r="C31" i="2"/>
  <c r="C45" i="2" s="1"/>
  <c r="C60" i="2" s="1"/>
  <c r="D20" i="7"/>
  <c r="E20" i="7" s="1"/>
  <c r="F20" i="7" s="1"/>
  <c r="G20" i="7" s="1"/>
  <c r="H20" i="7" s="1"/>
  <c r="I20" i="7" s="1"/>
  <c r="J20" i="7" s="1"/>
  <c r="K20" i="7" s="1"/>
  <c r="L20" i="7" s="1"/>
  <c r="B32" i="2"/>
  <c r="B46" i="2" s="1"/>
  <c r="B61" i="2" s="1"/>
  <c r="C21" i="7"/>
  <c r="B84" i="7"/>
  <c r="B6" i="7" s="1"/>
  <c r="C6" i="7" s="1"/>
  <c r="D6" i="7" s="1"/>
  <c r="E6" i="7" s="1"/>
  <c r="F6" i="7" s="1"/>
  <c r="G6" i="7" s="1"/>
  <c r="H6" i="7" s="1"/>
  <c r="I6" i="7" s="1"/>
  <c r="J6" i="7" s="1"/>
  <c r="K6" i="7" s="1"/>
  <c r="L6" i="7" s="1"/>
  <c r="B79" i="7"/>
  <c r="K5" i="14"/>
  <c r="J72" i="2"/>
  <c r="L65" i="9"/>
  <c r="L67" i="9"/>
  <c r="L69" i="9"/>
  <c r="L64" i="9"/>
  <c r="L66" i="9"/>
  <c r="L68" i="9"/>
  <c r="L63" i="9"/>
  <c r="J8" i="14"/>
  <c r="K6" i="14"/>
  <c r="I56" i="8"/>
  <c r="B31" i="2"/>
  <c r="B45" i="2" s="1"/>
  <c r="B60" i="2" s="1"/>
  <c r="B30" i="2"/>
  <c r="B44" i="2" s="1"/>
  <c r="C79" i="7"/>
  <c r="B33" i="2"/>
  <c r="B47" i="2" s="1"/>
  <c r="B76" i="7"/>
  <c r="J4" i="14"/>
  <c r="B9" i="5"/>
  <c r="B11" i="5" s="1"/>
  <c r="G51" i="7"/>
  <c r="G65" i="7"/>
  <c r="G115" i="8" s="1"/>
  <c r="G50" i="7"/>
  <c r="J231" i="9"/>
  <c r="J236" i="9" s="1"/>
  <c r="H44" i="8"/>
  <c r="H43" i="8"/>
  <c r="B75" i="7"/>
  <c r="B29" i="8"/>
  <c r="B74" i="7"/>
  <c r="B54" i="7"/>
  <c r="I44" i="8"/>
  <c r="I43" i="8"/>
  <c r="F95" i="8"/>
  <c r="H152" i="9"/>
  <c r="E152" i="9"/>
  <c r="K153" i="9"/>
  <c r="G153" i="9"/>
  <c r="F153" i="9"/>
  <c r="B152" i="9"/>
  <c r="B161" i="9"/>
  <c r="C152" i="9"/>
  <c r="I153" i="9"/>
  <c r="I152" i="9"/>
  <c r="D152" i="9"/>
  <c r="J152" i="9"/>
  <c r="B160" i="9"/>
  <c r="B151" i="9"/>
  <c r="E153" i="9"/>
  <c r="F152" i="9"/>
  <c r="B150" i="9"/>
  <c r="B159" i="9"/>
  <c r="D153" i="9"/>
  <c r="B162" i="9"/>
  <c r="B153" i="9"/>
  <c r="G152" i="9"/>
  <c r="J153" i="9"/>
  <c r="C153" i="9"/>
  <c r="H153" i="9"/>
  <c r="K152" i="9"/>
  <c r="B92" i="9"/>
  <c r="B101" i="9"/>
  <c r="B89" i="9"/>
  <c r="B98" i="9"/>
  <c r="K92" i="9"/>
  <c r="G92" i="9"/>
  <c r="D92" i="9"/>
  <c r="F92" i="9"/>
  <c r="B91" i="9"/>
  <c r="B100" i="9"/>
  <c r="C91" i="9"/>
  <c r="B90" i="9"/>
  <c r="B99" i="9"/>
  <c r="I92" i="9"/>
  <c r="I91" i="9"/>
  <c r="D91" i="9"/>
  <c r="J91" i="9"/>
  <c r="G91" i="9"/>
  <c r="J92" i="9"/>
  <c r="C92" i="9"/>
  <c r="H92" i="9"/>
  <c r="K91" i="9"/>
  <c r="E92" i="9"/>
  <c r="F91" i="9"/>
  <c r="H91" i="9"/>
  <c r="E91" i="9"/>
  <c r="F29" i="7"/>
  <c r="A218" i="9"/>
  <c r="C218" i="9" s="1"/>
  <c r="E218" i="9" s="1"/>
  <c r="A207" i="9"/>
  <c r="C207" i="9" s="1"/>
  <c r="E207" i="9" s="1"/>
  <c r="A213" i="9"/>
  <c r="C213" i="9" s="1"/>
  <c r="E213" i="9" s="1"/>
  <c r="A209" i="9"/>
  <c r="C209" i="9" s="1"/>
  <c r="E209" i="9" s="1"/>
  <c r="A214" i="9"/>
  <c r="C214" i="9" s="1"/>
  <c r="E214" i="9" s="1"/>
  <c r="A210" i="9"/>
  <c r="C210" i="9" s="1"/>
  <c r="E210" i="9" s="1"/>
  <c r="G42" i="8"/>
  <c r="C91" i="8"/>
  <c r="C145" i="8"/>
  <c r="D33" i="8"/>
  <c r="D44" i="7"/>
  <c r="D47" i="7" s="1"/>
  <c r="A205" i="9"/>
  <c r="C205" i="9" s="1"/>
  <c r="E205" i="9" s="1"/>
  <c r="A206" i="9"/>
  <c r="G35" i="7"/>
  <c r="F28" i="7"/>
  <c r="B55" i="2" l="1"/>
  <c r="B54" i="2"/>
  <c r="K20" i="8"/>
  <c r="K24" i="8"/>
  <c r="K21" i="8"/>
  <c r="E22" i="7"/>
  <c r="F22" i="7" s="1"/>
  <c r="G22" i="7" s="1"/>
  <c r="H22" i="7" s="1"/>
  <c r="I22" i="7" s="1"/>
  <c r="J16" i="7"/>
  <c r="J106" i="7"/>
  <c r="K7" i="14"/>
  <c r="J81" i="8"/>
  <c r="J67" i="8"/>
  <c r="J68" i="8"/>
  <c r="J69" i="8"/>
  <c r="C32" i="2"/>
  <c r="C46" i="2" s="1"/>
  <c r="C61" i="2" s="1"/>
  <c r="D21" i="7"/>
  <c r="E21" i="7" s="1"/>
  <c r="F21" i="7" s="1"/>
  <c r="G21" i="7" s="1"/>
  <c r="H21" i="7" s="1"/>
  <c r="I21" i="7" s="1"/>
  <c r="J21" i="7" s="1"/>
  <c r="K21" i="7" s="1"/>
  <c r="L21" i="7" s="1"/>
  <c r="L5" i="14"/>
  <c r="L72" i="2" s="1"/>
  <c r="K72" i="2"/>
  <c r="C47" i="2"/>
  <c r="C84" i="7"/>
  <c r="B59" i="2"/>
  <c r="B62" i="2"/>
  <c r="C75" i="7"/>
  <c r="K8" i="14"/>
  <c r="J56" i="8"/>
  <c r="L6" i="14"/>
  <c r="D75" i="7"/>
  <c r="D74" i="7"/>
  <c r="C74" i="7"/>
  <c r="C54" i="7"/>
  <c r="C76" i="7"/>
  <c r="K4" i="14"/>
  <c r="B14" i="9"/>
  <c r="B15" i="9"/>
  <c r="I51" i="7"/>
  <c r="I50" i="7"/>
  <c r="I65" i="7"/>
  <c r="I115" i="8" s="1"/>
  <c r="B141" i="8"/>
  <c r="B87" i="8"/>
  <c r="K231" i="9"/>
  <c r="K236" i="9" s="1"/>
  <c r="H51" i="7"/>
  <c r="H50" i="7"/>
  <c r="H65" i="7"/>
  <c r="H115" i="8" s="1"/>
  <c r="G95" i="8"/>
  <c r="A217" i="9"/>
  <c r="C217" i="9" s="1"/>
  <c r="E217" i="9" s="1"/>
  <c r="L152" i="9"/>
  <c r="L153" i="9"/>
  <c r="L92" i="9"/>
  <c r="A212" i="9"/>
  <c r="C212" i="9" s="1"/>
  <c r="E212" i="9" s="1"/>
  <c r="A215" i="9"/>
  <c r="C215" i="9" s="1"/>
  <c r="E215" i="9" s="1"/>
  <c r="L91" i="9"/>
  <c r="A208" i="9"/>
  <c r="C208" i="9" s="1"/>
  <c r="E208" i="9" s="1"/>
  <c r="G29" i="7"/>
  <c r="A216" i="9"/>
  <c r="C216" i="9" s="1"/>
  <c r="E216" i="9" s="1"/>
  <c r="A211" i="9"/>
  <c r="C211" i="9" s="1"/>
  <c r="E211" i="9" s="1"/>
  <c r="H42" i="8"/>
  <c r="D91" i="8"/>
  <c r="D145" i="8"/>
  <c r="C206" i="9"/>
  <c r="E206" i="9" s="1"/>
  <c r="E33" i="8"/>
  <c r="E44" i="7"/>
  <c r="E47" i="7" s="1"/>
  <c r="H35" i="7"/>
  <c r="G28" i="7"/>
  <c r="J22" i="7" l="1"/>
  <c r="K22" i="7" s="1"/>
  <c r="L22" i="7" s="1"/>
  <c r="I14" i="1"/>
  <c r="L24" i="8"/>
  <c r="L20" i="8"/>
  <c r="L21" i="8"/>
  <c r="L7" i="14"/>
  <c r="L106" i="7" s="1"/>
  <c r="K106" i="7"/>
  <c r="K16" i="7"/>
  <c r="K67" i="8"/>
  <c r="K69" i="8"/>
  <c r="K81" i="8"/>
  <c r="K68" i="8"/>
  <c r="D84" i="7"/>
  <c r="D79" i="7"/>
  <c r="C15" i="9"/>
  <c r="C88" i="9" s="1"/>
  <c r="C14" i="9"/>
  <c r="C148" i="9" s="1"/>
  <c r="C90" i="9"/>
  <c r="C151" i="9"/>
  <c r="C150" i="9"/>
  <c r="C89" i="9"/>
  <c r="K56" i="8"/>
  <c r="L8" i="14"/>
  <c r="D30" i="2"/>
  <c r="D44" i="2" s="1"/>
  <c r="D59" i="2" s="1"/>
  <c r="E30" i="2"/>
  <c r="E44" i="2" s="1"/>
  <c r="E59" i="2" s="1"/>
  <c r="D31" i="2"/>
  <c r="D45" i="2" s="1"/>
  <c r="D60" i="2" s="1"/>
  <c r="D33" i="2"/>
  <c r="D47" i="2" s="1"/>
  <c r="D54" i="7"/>
  <c r="D32" i="2"/>
  <c r="D46" i="2" s="1"/>
  <c r="D61" i="2" s="1"/>
  <c r="B5" i="9"/>
  <c r="B96" i="9" s="1"/>
  <c r="B71" i="7"/>
  <c r="D76" i="7"/>
  <c r="L4" i="14"/>
  <c r="B149" i="9"/>
  <c r="B88" i="9"/>
  <c r="B148" i="9"/>
  <c r="B87" i="9"/>
  <c r="L231" i="9"/>
  <c r="L233" i="9" s="1"/>
  <c r="J44" i="8"/>
  <c r="J43" i="8"/>
  <c r="H29" i="7"/>
  <c r="I42" i="8"/>
  <c r="E91" i="8"/>
  <c r="E145" i="8"/>
  <c r="F33" i="8"/>
  <c r="F44" i="7"/>
  <c r="F47" i="7" s="1"/>
  <c r="H28" i="7"/>
  <c r="I35" i="7"/>
  <c r="A87" i="28" l="1"/>
  <c r="Z3" i="1"/>
  <c r="E92" i="26"/>
  <c r="E89" i="26"/>
  <c r="E93" i="26"/>
  <c r="E87" i="26"/>
  <c r="E85" i="26"/>
  <c r="E88" i="26"/>
  <c r="E84" i="26"/>
  <c r="L16" i="7"/>
  <c r="E91" i="26"/>
  <c r="E90" i="26"/>
  <c r="E86" i="26"/>
  <c r="E83" i="26"/>
  <c r="L68" i="8"/>
  <c r="L67" i="8"/>
  <c r="L69" i="8"/>
  <c r="L81" i="8"/>
  <c r="E84" i="7"/>
  <c r="E79" i="7"/>
  <c r="C149" i="9"/>
  <c r="C87" i="9"/>
  <c r="D14" i="9"/>
  <c r="D15" i="9"/>
  <c r="D88" i="9" s="1"/>
  <c r="E75" i="7"/>
  <c r="E31" i="2"/>
  <c r="E45" i="2" s="1"/>
  <c r="E60" i="2" s="1"/>
  <c r="D90" i="9"/>
  <c r="D151" i="9"/>
  <c r="D150" i="9"/>
  <c r="D89" i="9"/>
  <c r="L236" i="9"/>
  <c r="B157" i="9"/>
  <c r="L56" i="8"/>
  <c r="E74" i="7"/>
  <c r="F79" i="7"/>
  <c r="E33" i="2"/>
  <c r="E47" i="2" s="1"/>
  <c r="E54" i="7"/>
  <c r="E32" i="2"/>
  <c r="E46" i="2" s="1"/>
  <c r="E61" i="2" s="1"/>
  <c r="F31" i="2"/>
  <c r="F45" i="2" s="1"/>
  <c r="F60" i="2" s="1"/>
  <c r="F75" i="7"/>
  <c r="E76" i="7"/>
  <c r="J51" i="7"/>
  <c r="J50" i="7"/>
  <c r="J65" i="7"/>
  <c r="J115" i="8" s="1"/>
  <c r="I95" i="8"/>
  <c r="H95" i="8"/>
  <c r="L44" i="8"/>
  <c r="L43" i="8"/>
  <c r="K44" i="8"/>
  <c r="K43" i="8"/>
  <c r="I29" i="7"/>
  <c r="J42" i="8"/>
  <c r="F91" i="8"/>
  <c r="F145" i="8"/>
  <c r="G33" i="8"/>
  <c r="G44" i="7"/>
  <c r="G47" i="7" s="1"/>
  <c r="I28" i="7"/>
  <c r="J35" i="7"/>
  <c r="F84" i="7" l="1"/>
  <c r="E15" i="9"/>
  <c r="E88" i="9" s="1"/>
  <c r="D148" i="9"/>
  <c r="D87" i="9"/>
  <c r="E14" i="9"/>
  <c r="E148" i="9" s="1"/>
  <c r="D149" i="9"/>
  <c r="E90" i="9"/>
  <c r="E151" i="9"/>
  <c r="E150" i="9"/>
  <c r="E89" i="9"/>
  <c r="F30" i="2"/>
  <c r="F44" i="2" s="1"/>
  <c r="F59" i="2" s="1"/>
  <c r="F74" i="7"/>
  <c r="F33" i="2"/>
  <c r="F47" i="2" s="1"/>
  <c r="F54" i="7"/>
  <c r="F32" i="2"/>
  <c r="F46" i="2" s="1"/>
  <c r="F61" i="2" s="1"/>
  <c r="G31" i="2"/>
  <c r="G45" i="2" s="1"/>
  <c r="G60" i="2" s="1"/>
  <c r="G75" i="7"/>
  <c r="G30" i="2"/>
  <c r="G44" i="2" s="1"/>
  <c r="G59" i="2" s="1"/>
  <c r="G74" i="7"/>
  <c r="G32" i="2"/>
  <c r="G46" i="2" s="1"/>
  <c r="G61" i="2" s="1"/>
  <c r="F76" i="7"/>
  <c r="K51" i="7"/>
  <c r="K65" i="7"/>
  <c r="K115" i="8" s="1"/>
  <c r="K50" i="7"/>
  <c r="L51" i="7"/>
  <c r="L95" i="8"/>
  <c r="L50" i="7"/>
  <c r="L65" i="7"/>
  <c r="L115" i="8" s="1"/>
  <c r="J29" i="7"/>
  <c r="K42" i="8"/>
  <c r="G91" i="8"/>
  <c r="G145" i="8"/>
  <c r="H33" i="8"/>
  <c r="H44" i="7"/>
  <c r="H47" i="7" s="1"/>
  <c r="K35" i="7"/>
  <c r="J28" i="7"/>
  <c r="G84" i="7" l="1"/>
  <c r="G79" i="7"/>
  <c r="E149" i="9"/>
  <c r="E87" i="9"/>
  <c r="F15" i="9"/>
  <c r="F88" i="9" s="1"/>
  <c r="F14" i="9"/>
  <c r="F87" i="9" s="1"/>
  <c r="F151" i="9"/>
  <c r="F90" i="9"/>
  <c r="F89" i="9"/>
  <c r="F150" i="9"/>
  <c r="G33" i="2"/>
  <c r="G47" i="2" s="1"/>
  <c r="I12" i="1"/>
  <c r="A85" i="28" s="1"/>
  <c r="H31" i="2"/>
  <c r="H45" i="2" s="1"/>
  <c r="H60" i="2" s="1"/>
  <c r="H75" i="7"/>
  <c r="I11" i="1"/>
  <c r="A84" i="28" s="1"/>
  <c r="H30" i="2"/>
  <c r="H44" i="2" s="1"/>
  <c r="H59" i="2" s="1"/>
  <c r="H74" i="7"/>
  <c r="G54" i="7"/>
  <c r="G15" i="9" s="1"/>
  <c r="G76" i="7"/>
  <c r="J95" i="8"/>
  <c r="K29" i="7"/>
  <c r="L42" i="8"/>
  <c r="H91" i="8"/>
  <c r="H145" i="8"/>
  <c r="I33" i="8"/>
  <c r="I44" i="7"/>
  <c r="I47" i="7" s="1"/>
  <c r="L35" i="7"/>
  <c r="K28" i="7"/>
  <c r="AA3" i="1" l="1"/>
  <c r="AA4" i="1" s="1"/>
  <c r="AA5" i="1" s="1"/>
  <c r="AA6" i="1" s="1"/>
  <c r="AA7" i="1" s="1"/>
  <c r="AA8" i="1" s="1"/>
  <c r="AA9" i="1" s="1"/>
  <c r="AA10" i="1" s="1"/>
  <c r="AA11" i="1" s="1"/>
  <c r="AA12" i="1" s="1"/>
  <c r="AA13" i="1" s="1"/>
  <c r="AA14" i="1" s="1"/>
  <c r="AA15" i="1" s="1"/>
  <c r="AA16" i="1" s="1"/>
  <c r="AA17" i="1" s="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AA42" i="1" s="1"/>
  <c r="AB3" i="1"/>
  <c r="AB4" i="1" s="1"/>
  <c r="AB5" i="1" s="1"/>
  <c r="AB6" i="1" s="1"/>
  <c r="AB7" i="1" s="1"/>
  <c r="AB8" i="1" s="1"/>
  <c r="AB9" i="1" s="1"/>
  <c r="AB10" i="1" s="1"/>
  <c r="AB11" i="1" s="1"/>
  <c r="AB12" i="1" s="1"/>
  <c r="AB13" i="1" s="1"/>
  <c r="AB14" i="1" s="1"/>
  <c r="AB15" i="1" s="1"/>
  <c r="AB16" i="1" s="1"/>
  <c r="AB17" i="1" s="1"/>
  <c r="AB18" i="1" s="1"/>
  <c r="AB19" i="1" s="1"/>
  <c r="AB20" i="1" s="1"/>
  <c r="AB21" i="1" s="1"/>
  <c r="AB22" i="1" s="1"/>
  <c r="AB23" i="1" s="1"/>
  <c r="AB24" i="1" s="1"/>
  <c r="AB25" i="1" s="1"/>
  <c r="AB26" i="1" s="1"/>
  <c r="AB27" i="1" s="1"/>
  <c r="AB28" i="1" s="1"/>
  <c r="AB29" i="1" s="1"/>
  <c r="AB30" i="1" s="1"/>
  <c r="AB31" i="1" s="1"/>
  <c r="AB32" i="1" s="1"/>
  <c r="AB33" i="1" s="1"/>
  <c r="AB34" i="1" s="1"/>
  <c r="AB35" i="1" s="1"/>
  <c r="AB36" i="1" s="1"/>
  <c r="AB37" i="1" s="1"/>
  <c r="AB38" i="1" s="1"/>
  <c r="AB39" i="1" s="1"/>
  <c r="AB40" i="1" s="1"/>
  <c r="AB41" i="1" s="1"/>
  <c r="AB42" i="1" s="1"/>
  <c r="H84" i="7"/>
  <c r="H79" i="7"/>
  <c r="W3" i="1"/>
  <c r="W4" i="1" s="1"/>
  <c r="W5" i="1" s="1"/>
  <c r="W6" i="1" s="1"/>
  <c r="W7" i="1" s="1"/>
  <c r="W8" i="1" s="1"/>
  <c r="W9" i="1" s="1"/>
  <c r="W10" i="1" s="1"/>
  <c r="W11" i="1" s="1"/>
  <c r="W12" i="1" s="1"/>
  <c r="W13" i="1" s="1"/>
  <c r="W14" i="1" s="1"/>
  <c r="W15" i="1" s="1"/>
  <c r="W16" i="1" s="1"/>
  <c r="W17" i="1" s="1"/>
  <c r="W18" i="1" s="1"/>
  <c r="W19" i="1" s="1"/>
  <c r="W20" i="1" s="1"/>
  <c r="W21" i="1" s="1"/>
  <c r="W22" i="1" s="1"/>
  <c r="W23" i="1" s="1"/>
  <c r="W24" i="1" s="1"/>
  <c r="W25" i="1" s="1"/>
  <c r="W26" i="1" s="1"/>
  <c r="W27" i="1" s="1"/>
  <c r="W28" i="1" s="1"/>
  <c r="W29" i="1" s="1"/>
  <c r="W30" i="1" s="1"/>
  <c r="W31" i="1" s="1"/>
  <c r="W32" i="1" s="1"/>
  <c r="W33" i="1" s="1"/>
  <c r="W34" i="1" s="1"/>
  <c r="W35" i="1" s="1"/>
  <c r="W36" i="1" s="1"/>
  <c r="W37" i="1" s="1"/>
  <c r="W38" i="1" s="1"/>
  <c r="W39" i="1" s="1"/>
  <c r="W40" i="1" s="1"/>
  <c r="W41" i="1" s="1"/>
  <c r="W42" i="1" s="1"/>
  <c r="X3" i="1"/>
  <c r="X4" i="1" s="1"/>
  <c r="X5" i="1" s="1"/>
  <c r="X6" i="1" s="1"/>
  <c r="X7" i="1" s="1"/>
  <c r="X8" i="1" s="1"/>
  <c r="X9" i="1" s="1"/>
  <c r="X10" i="1" s="1"/>
  <c r="X11" i="1" s="1"/>
  <c r="X12" i="1" s="1"/>
  <c r="X13" i="1" s="1"/>
  <c r="X14" i="1" s="1"/>
  <c r="X15" i="1" s="1"/>
  <c r="X16" i="1" s="1"/>
  <c r="X17" i="1" s="1"/>
  <c r="X18" i="1" s="1"/>
  <c r="X19" i="1" s="1"/>
  <c r="X20" i="1" s="1"/>
  <c r="X21" i="1" s="1"/>
  <c r="X22" i="1" s="1"/>
  <c r="X23" i="1" s="1"/>
  <c r="X24" i="1" s="1"/>
  <c r="X25" i="1" s="1"/>
  <c r="X26" i="1" s="1"/>
  <c r="X27" i="1" s="1"/>
  <c r="X28" i="1" s="1"/>
  <c r="X29" i="1" s="1"/>
  <c r="X30" i="1" s="1"/>
  <c r="X31" i="1" s="1"/>
  <c r="X32" i="1" s="1"/>
  <c r="X33" i="1" s="1"/>
  <c r="X34" i="1" s="1"/>
  <c r="X35" i="1" s="1"/>
  <c r="X36" i="1" s="1"/>
  <c r="X37" i="1" s="1"/>
  <c r="X38" i="1" s="1"/>
  <c r="X39" i="1" s="1"/>
  <c r="X40" i="1" s="1"/>
  <c r="X41" i="1" s="1"/>
  <c r="X42" i="1" s="1"/>
  <c r="F149" i="9"/>
  <c r="F148" i="9"/>
  <c r="G14" i="9"/>
  <c r="G148" i="9" s="1"/>
  <c r="G151" i="9"/>
  <c r="G90" i="9"/>
  <c r="G89" i="9"/>
  <c r="G150" i="9"/>
  <c r="H33" i="2"/>
  <c r="H47" i="2" s="1"/>
  <c r="H54" i="7"/>
  <c r="H32" i="2"/>
  <c r="H46" i="2" s="1"/>
  <c r="H61" i="2" s="1"/>
  <c r="I31" i="2"/>
  <c r="I45" i="2" s="1"/>
  <c r="I60" i="2" s="1"/>
  <c r="I75" i="7"/>
  <c r="I30" i="2"/>
  <c r="I44" i="2" s="1"/>
  <c r="I59" i="2" s="1"/>
  <c r="I74" i="7"/>
  <c r="H76" i="7"/>
  <c r="K95" i="8"/>
  <c r="G88" i="9"/>
  <c r="G149" i="9"/>
  <c r="L29" i="7"/>
  <c r="I91" i="8"/>
  <c r="I145" i="8"/>
  <c r="J33" i="8"/>
  <c r="J44" i="7"/>
  <c r="J47" i="7" s="1"/>
  <c r="L28" i="7"/>
  <c r="I84" i="7" l="1"/>
  <c r="I79" i="7"/>
  <c r="G87" i="9"/>
  <c r="H15" i="9"/>
  <c r="H149" i="9" s="1"/>
  <c r="H14" i="9"/>
  <c r="H87" i="9" s="1"/>
  <c r="H151" i="9"/>
  <c r="H90" i="9"/>
  <c r="H89" i="9"/>
  <c r="H150" i="9"/>
  <c r="I33" i="2"/>
  <c r="I47" i="2" s="1"/>
  <c r="I13" i="1"/>
  <c r="A86" i="28" s="1"/>
  <c r="I32" i="2"/>
  <c r="I46" i="2" s="1"/>
  <c r="I61" i="2" s="1"/>
  <c r="J31" i="2"/>
  <c r="J45" i="2" s="1"/>
  <c r="J60" i="2" s="1"/>
  <c r="J75" i="7"/>
  <c r="J30" i="2"/>
  <c r="J44" i="2" s="1"/>
  <c r="J59" i="2" s="1"/>
  <c r="J74" i="7"/>
  <c r="I54" i="7"/>
  <c r="J32" i="2"/>
  <c r="J46" i="2" s="1"/>
  <c r="J61" i="2" s="1"/>
  <c r="I76" i="7"/>
  <c r="J91" i="8"/>
  <c r="J145" i="8"/>
  <c r="K33" i="8"/>
  <c r="K44" i="7"/>
  <c r="K47" i="7" s="1"/>
  <c r="Z4" i="1" l="1"/>
  <c r="Z5" i="1" s="1"/>
  <c r="Z6" i="1" s="1"/>
  <c r="Z7" i="1" s="1"/>
  <c r="Z8" i="1" s="1"/>
  <c r="Z9" i="1" s="1"/>
  <c r="Z10" i="1" s="1"/>
  <c r="Z11" i="1" s="1"/>
  <c r="Z12" i="1" s="1"/>
  <c r="Z13" i="1" s="1"/>
  <c r="Z14" i="1" s="1"/>
  <c r="Z15" i="1" s="1"/>
  <c r="Z16" i="1" s="1"/>
  <c r="Z17" i="1" s="1"/>
  <c r="Z18" i="1" s="1"/>
  <c r="Z19" i="1" s="1"/>
  <c r="Z20" i="1" s="1"/>
  <c r="Z21" i="1" s="1"/>
  <c r="Z22" i="1" s="1"/>
  <c r="Z23" i="1" s="1"/>
  <c r="Z24" i="1" s="1"/>
  <c r="Z25" i="1" s="1"/>
  <c r="Z26" i="1" s="1"/>
  <c r="Z27" i="1" s="1"/>
  <c r="Z28" i="1" s="1"/>
  <c r="Z29" i="1" s="1"/>
  <c r="Z30" i="1" s="1"/>
  <c r="Z31" i="1" s="1"/>
  <c r="Z32" i="1" s="1"/>
  <c r="Z33" i="1" s="1"/>
  <c r="Z34" i="1" s="1"/>
  <c r="Z35" i="1" s="1"/>
  <c r="Z36" i="1" s="1"/>
  <c r="Z37" i="1" s="1"/>
  <c r="Z38" i="1" s="1"/>
  <c r="Z39" i="1" s="1"/>
  <c r="Z40" i="1" s="1"/>
  <c r="Z41" i="1" s="1"/>
  <c r="Z42" i="1" s="1"/>
  <c r="J84" i="7"/>
  <c r="J79" i="7"/>
  <c r="Y3" i="1"/>
  <c r="Y4" i="1" s="1"/>
  <c r="Y5" i="1" s="1"/>
  <c r="Y6" i="1" s="1"/>
  <c r="Y7" i="1" s="1"/>
  <c r="Y8" i="1" s="1"/>
  <c r="Y9" i="1" s="1"/>
  <c r="Y10" i="1" s="1"/>
  <c r="Y11" i="1" s="1"/>
  <c r="Y12" i="1" s="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H88" i="9"/>
  <c r="H148" i="9"/>
  <c r="I15" i="9"/>
  <c r="I149" i="9" s="1"/>
  <c r="I14" i="9"/>
  <c r="I148" i="9" s="1"/>
  <c r="I151" i="9"/>
  <c r="I90" i="9"/>
  <c r="I150" i="9"/>
  <c r="I89" i="9"/>
  <c r="J54" i="7"/>
  <c r="J33" i="2"/>
  <c r="J47" i="2" s="1"/>
  <c r="K31" i="2"/>
  <c r="K45" i="2" s="1"/>
  <c r="K60" i="2" s="1"/>
  <c r="K75" i="7"/>
  <c r="K30" i="2"/>
  <c r="K44" i="2" s="1"/>
  <c r="K59" i="2" s="1"/>
  <c r="K74" i="7"/>
  <c r="J76" i="7"/>
  <c r="K91" i="8"/>
  <c r="K145" i="8"/>
  <c r="L33" i="8"/>
  <c r="L44" i="7"/>
  <c r="L47" i="7" s="1"/>
  <c r="K84" i="7" l="1"/>
  <c r="K79" i="7"/>
  <c r="I87" i="9"/>
  <c r="J15" i="9"/>
  <c r="J149" i="9" s="1"/>
  <c r="I88" i="9"/>
  <c r="J14" i="9"/>
  <c r="J148" i="9" s="1"/>
  <c r="J151" i="9"/>
  <c r="J90" i="9"/>
  <c r="J89" i="9"/>
  <c r="J150" i="9"/>
  <c r="K33" i="2"/>
  <c r="K47" i="2" s="1"/>
  <c r="K54" i="7"/>
  <c r="K32" i="2"/>
  <c r="K46" i="2" s="1"/>
  <c r="K61" i="2" s="1"/>
  <c r="L31" i="2"/>
  <c r="L45" i="2" s="1"/>
  <c r="L60" i="2" s="1"/>
  <c r="L75" i="7"/>
  <c r="L30" i="2"/>
  <c r="L44" i="2" s="1"/>
  <c r="L59" i="2" s="1"/>
  <c r="L74" i="7"/>
  <c r="K76" i="7"/>
  <c r="C60" i="26"/>
  <c r="D60" i="26" s="1"/>
  <c r="C61" i="26"/>
  <c r="D61" i="26" s="1"/>
  <c r="L91" i="8"/>
  <c r="L145" i="8"/>
  <c r="L84" i="7" l="1"/>
  <c r="L79" i="7"/>
  <c r="J88" i="9"/>
  <c r="J87" i="9"/>
  <c r="K14" i="9"/>
  <c r="K15" i="9"/>
  <c r="K149" i="9" s="1"/>
  <c r="K151" i="9"/>
  <c r="K90" i="9"/>
  <c r="K150" i="9"/>
  <c r="K89" i="9"/>
  <c r="L33" i="2"/>
  <c r="L47" i="2" s="1"/>
  <c r="L54" i="7"/>
  <c r="L32" i="2"/>
  <c r="L46" i="2" s="1"/>
  <c r="L61" i="2" s="1"/>
  <c r="C58" i="26"/>
  <c r="L76" i="7"/>
  <c r="K148" i="9" l="1"/>
  <c r="K87" i="9"/>
  <c r="K88" i="9"/>
  <c r="L15" i="9"/>
  <c r="L88" i="9" s="1"/>
  <c r="L14" i="9"/>
  <c r="L148" i="9" s="1"/>
  <c r="L151" i="9"/>
  <c r="L90" i="9"/>
  <c r="L150" i="9"/>
  <c r="L89" i="9"/>
  <c r="C59" i="26"/>
  <c r="D59" i="26" s="1"/>
  <c r="L149" i="9" l="1"/>
  <c r="L87" i="9"/>
  <c r="D58" i="26"/>
  <c r="C90" i="26" l="1"/>
  <c r="C91" i="26" l="1"/>
  <c r="D90" i="26" s="1"/>
  <c r="C92" i="26" l="1"/>
  <c r="D91" i="26" s="1"/>
  <c r="C93" i="26" l="1"/>
  <c r="D93" i="26" s="1"/>
  <c r="D92" i="26"/>
  <c r="C26" i="26" l="1"/>
  <c r="C25" i="26"/>
  <c r="D25" i="26" l="1"/>
  <c r="C28" i="26" l="1"/>
  <c r="C27" i="26"/>
  <c r="D28" i="26" l="1"/>
  <c r="D27" i="26"/>
  <c r="D26" i="26"/>
  <c r="C12" i="26" l="1"/>
  <c r="C13" i="26" l="1"/>
  <c r="D13" i="26" s="1"/>
  <c r="D12" i="26" l="1"/>
  <c r="C43" i="26"/>
  <c r="D43" i="26" s="1"/>
  <c r="C44" i="26"/>
  <c r="D44" i="26" s="1"/>
  <c r="C42" i="26" l="1"/>
  <c r="D42" i="26" s="1"/>
  <c r="C41" i="26"/>
  <c r="D41" i="26" s="1"/>
  <c r="C10" i="26"/>
  <c r="D10" i="26" s="1"/>
  <c r="C11" i="26"/>
  <c r="D11" i="26" s="1"/>
  <c r="C55" i="8"/>
  <c r="C54" i="8"/>
  <c r="C58" i="8"/>
  <c r="C57" i="8" l="1"/>
  <c r="C53" i="8"/>
  <c r="B233" i="9" l="1"/>
  <c r="C114" i="8" l="1"/>
  <c r="D114" i="8" l="1"/>
  <c r="E114" i="8" l="1"/>
  <c r="F114" i="8" l="1"/>
  <c r="L114" i="8" l="1"/>
  <c r="K114" i="8"/>
  <c r="J114" i="8"/>
  <c r="I114" i="8"/>
  <c r="H114" i="8"/>
  <c r="G114" i="8"/>
  <c r="B23" i="7" l="1"/>
  <c r="B85" i="7" l="1"/>
  <c r="B95" i="7" s="1"/>
  <c r="C23" i="7"/>
  <c r="D23" i="7" s="1"/>
  <c r="E23" i="7" s="1"/>
  <c r="F23" i="7" s="1"/>
  <c r="G23" i="7" s="1"/>
  <c r="H23" i="7" s="1"/>
  <c r="I23" i="7" s="1"/>
  <c r="J23" i="7" s="1"/>
  <c r="K23" i="7" s="1"/>
  <c r="L23" i="7" s="1"/>
  <c r="B55" i="7"/>
  <c r="B161" i="11" l="1"/>
  <c r="G98" i="7" s="1"/>
  <c r="D5" i="29"/>
  <c r="B92" i="7"/>
  <c r="B58" i="2"/>
  <c r="C51" i="26"/>
  <c r="B98" i="7"/>
  <c r="C85" i="7"/>
  <c r="C55" i="7"/>
  <c r="B69" i="2" l="1"/>
  <c r="B144" i="9" s="1"/>
  <c r="B66" i="2"/>
  <c r="B83" i="9" s="1"/>
  <c r="D85" i="7"/>
  <c r="D55" i="7"/>
  <c r="B99" i="7"/>
  <c r="E51" i="26"/>
  <c r="B78" i="7"/>
  <c r="E56" i="26"/>
  <c r="C98" i="7"/>
  <c r="B72" i="7"/>
  <c r="B6" i="9"/>
  <c r="B17" i="9" l="1"/>
  <c r="B8" i="9"/>
  <c r="B97" i="9"/>
  <c r="B158" i="9"/>
  <c r="E52" i="26"/>
  <c r="B80" i="7"/>
  <c r="C103" i="7" s="1"/>
  <c r="D98" i="7"/>
  <c r="D99" i="7" s="1"/>
  <c r="E85" i="7"/>
  <c r="E55" i="7"/>
  <c r="C99" i="7"/>
  <c r="B86" i="9" l="1"/>
  <c r="B104" i="9" s="1"/>
  <c r="B147" i="9"/>
  <c r="B165" i="9" s="1"/>
  <c r="B72" i="9"/>
  <c r="B73" i="9" s="1"/>
  <c r="B74" i="9" s="1"/>
  <c r="B75" i="9" s="1"/>
  <c r="B76" i="9" s="1"/>
  <c r="B77" i="9" s="1"/>
  <c r="B78" i="9" s="1"/>
  <c r="B156" i="9"/>
  <c r="B95" i="9"/>
  <c r="C109" i="7"/>
  <c r="C97" i="26" s="1"/>
  <c r="C150" i="11"/>
  <c r="C8" i="2" s="1"/>
  <c r="C28" i="2" s="1"/>
  <c r="C149" i="11"/>
  <c r="C7" i="2" s="1"/>
  <c r="C145" i="11"/>
  <c r="C3" i="2" s="1"/>
  <c r="C146" i="11"/>
  <c r="C4" i="2" s="1"/>
  <c r="C148" i="11"/>
  <c r="C6" i="2" s="1"/>
  <c r="C151" i="11"/>
  <c r="C9" i="2" s="1"/>
  <c r="C147" i="11"/>
  <c r="C5" i="2" s="1"/>
  <c r="C128" i="8" s="1"/>
  <c r="C144" i="11"/>
  <c r="C2" i="2" s="1"/>
  <c r="F85" i="7"/>
  <c r="F55" i="7"/>
  <c r="B89" i="7"/>
  <c r="C83" i="26" s="1"/>
  <c r="E53" i="26"/>
  <c r="E98" i="7"/>
  <c r="E99" i="7" s="1"/>
  <c r="C18" i="8" l="1"/>
  <c r="C76" i="8" s="1"/>
  <c r="C130" i="8"/>
  <c r="C17" i="8"/>
  <c r="C75" i="8" s="1"/>
  <c r="C129" i="8"/>
  <c r="C13" i="8"/>
  <c r="C125" i="8"/>
  <c r="C15" i="8"/>
  <c r="C73" i="8" s="1"/>
  <c r="C127" i="8"/>
  <c r="C14" i="8"/>
  <c r="C72" i="8" s="1"/>
  <c r="C126" i="8"/>
  <c r="B174" i="9"/>
  <c r="B183" i="9" s="1"/>
  <c r="B187" i="9" s="1"/>
  <c r="B196" i="9" s="1"/>
  <c r="B111" i="9"/>
  <c r="B120" i="9" s="1"/>
  <c r="B127" i="9" s="1"/>
  <c r="B136" i="9" s="1"/>
  <c r="B113" i="9"/>
  <c r="B122" i="9" s="1"/>
  <c r="B126" i="9" s="1"/>
  <c r="B110" i="9"/>
  <c r="B119" i="9" s="1"/>
  <c r="B130" i="9" s="1"/>
  <c r="B139" i="9" s="1"/>
  <c r="B109" i="9"/>
  <c r="B118" i="9" s="1"/>
  <c r="B129" i="9" s="1"/>
  <c r="B138" i="9" s="1"/>
  <c r="B112" i="9"/>
  <c r="B121" i="9" s="1"/>
  <c r="B125" i="9" s="1"/>
  <c r="B134" i="9" s="1"/>
  <c r="B168" i="9"/>
  <c r="B177" i="9" s="1"/>
  <c r="B192" i="9" s="1"/>
  <c r="B201" i="9" s="1"/>
  <c r="B169" i="9"/>
  <c r="B178" i="9" s="1"/>
  <c r="B189" i="9" s="1"/>
  <c r="B198" i="9" s="1"/>
  <c r="B173" i="9"/>
  <c r="B182" i="9" s="1"/>
  <c r="B186" i="9" s="1"/>
  <c r="B170" i="9"/>
  <c r="B179" i="9" s="1"/>
  <c r="B190" i="9" s="1"/>
  <c r="B199" i="9" s="1"/>
  <c r="B171" i="9"/>
  <c r="B180" i="9" s="1"/>
  <c r="B191" i="9" s="1"/>
  <c r="B200" i="9" s="1"/>
  <c r="B172" i="9"/>
  <c r="B181" i="9" s="1"/>
  <c r="B188" i="9" s="1"/>
  <c r="B197" i="9" s="1"/>
  <c r="B107" i="9"/>
  <c r="B116" i="9" s="1"/>
  <c r="B131" i="9" s="1"/>
  <c r="B140" i="9" s="1"/>
  <c r="B108" i="9"/>
  <c r="B117" i="9" s="1"/>
  <c r="B128" i="9" s="1"/>
  <c r="B137" i="9" s="1"/>
  <c r="C16" i="8"/>
  <c r="C74" i="8" s="1"/>
  <c r="C27" i="2"/>
  <c r="C23" i="2"/>
  <c r="C22" i="2"/>
  <c r="C24" i="2"/>
  <c r="C25" i="2"/>
  <c r="C26" i="2"/>
  <c r="C55" i="2" s="1"/>
  <c r="C29" i="2"/>
  <c r="C138" i="8"/>
  <c r="C26" i="8"/>
  <c r="C84" i="8" s="1"/>
  <c r="C19" i="8"/>
  <c r="C131" i="8"/>
  <c r="E54" i="26"/>
  <c r="F98" i="7"/>
  <c r="G85" i="7"/>
  <c r="G55" i="7"/>
  <c r="B2" i="6" l="1"/>
  <c r="B3" i="6" s="1"/>
  <c r="D4" i="29" s="1"/>
  <c r="B195" i="9"/>
  <c r="B246" i="9"/>
  <c r="B240" i="9"/>
  <c r="B244" i="9"/>
  <c r="B232" i="9"/>
  <c r="B234" i="9" s="1"/>
  <c r="B235" i="9" s="1"/>
  <c r="B148" i="8" s="1"/>
  <c r="B241" i="9"/>
  <c r="B30" i="8"/>
  <c r="B142" i="8" s="1"/>
  <c r="C77" i="8"/>
  <c r="C97" i="8" s="1"/>
  <c r="C71" i="8"/>
  <c r="C24" i="7"/>
  <c r="C83" i="7" s="1"/>
  <c r="C42" i="2"/>
  <c r="C57" i="2" s="1"/>
  <c r="C77" i="7" s="1"/>
  <c r="C37" i="2"/>
  <c r="C52" i="2" s="1"/>
  <c r="C3" i="9" s="1"/>
  <c r="C69" i="7"/>
  <c r="C40" i="2"/>
  <c r="C72" i="7"/>
  <c r="C6" i="9"/>
  <c r="C70" i="7"/>
  <c r="C38" i="2"/>
  <c r="C53" i="2" s="1"/>
  <c r="C4" i="9" s="1"/>
  <c r="C39" i="2"/>
  <c r="C71" i="7"/>
  <c r="C54" i="2"/>
  <c r="C5" i="9" s="1"/>
  <c r="C58" i="7"/>
  <c r="C73" i="7"/>
  <c r="C41" i="2"/>
  <c r="C56" i="2" s="1"/>
  <c r="C7" i="9" s="1"/>
  <c r="C52" i="8"/>
  <c r="C62" i="8" s="1"/>
  <c r="C68" i="7"/>
  <c r="C36" i="2"/>
  <c r="C51" i="2" s="1"/>
  <c r="C2" i="9" s="1"/>
  <c r="C29" i="8"/>
  <c r="C51" i="8"/>
  <c r="C50" i="8"/>
  <c r="C49" i="8"/>
  <c r="C25" i="7"/>
  <c r="C86" i="7"/>
  <c r="C59" i="7"/>
  <c r="C43" i="2"/>
  <c r="C58" i="2"/>
  <c r="C78" i="7" s="1"/>
  <c r="C59" i="8"/>
  <c r="C47" i="8"/>
  <c r="C46" i="8"/>
  <c r="C48" i="8"/>
  <c r="G99" i="7"/>
  <c r="E55" i="26"/>
  <c r="H85" i="7"/>
  <c r="H55" i="7"/>
  <c r="F99" i="7"/>
  <c r="B135" i="9"/>
  <c r="B245" i="9"/>
  <c r="B6" i="6" l="1"/>
  <c r="B160" i="11"/>
  <c r="G6" i="6" s="1"/>
  <c r="E23" i="26" s="1"/>
  <c r="C18" i="26"/>
  <c r="B31" i="8"/>
  <c r="B37" i="8" s="1"/>
  <c r="B105" i="8" s="1"/>
  <c r="B88" i="8"/>
  <c r="C161" i="9"/>
  <c r="C100" i="9"/>
  <c r="C98" i="9"/>
  <c r="C159" i="9"/>
  <c r="C157" i="9"/>
  <c r="C96" i="9"/>
  <c r="C99" i="9"/>
  <c r="C160" i="9"/>
  <c r="C95" i="7"/>
  <c r="E5" i="29" s="1"/>
  <c r="C92" i="7"/>
  <c r="C61" i="8"/>
  <c r="C103" i="8" s="1"/>
  <c r="C62" i="2"/>
  <c r="C66" i="2" s="1"/>
  <c r="C101" i="9"/>
  <c r="C162" i="9"/>
  <c r="C87" i="8"/>
  <c r="C141" i="8"/>
  <c r="C158" i="9"/>
  <c r="C97" i="9"/>
  <c r="E18" i="26"/>
  <c r="C6" i="6"/>
  <c r="C7" i="6" s="1"/>
  <c r="I85" i="7"/>
  <c r="I55" i="7"/>
  <c r="B143" i="8" l="1"/>
  <c r="B149" i="8" s="1"/>
  <c r="B106" i="8" s="1"/>
  <c r="B107" i="8" s="1"/>
  <c r="B89" i="8"/>
  <c r="B93" i="8" s="1"/>
  <c r="B96" i="8" s="1"/>
  <c r="B38" i="8"/>
  <c r="C69" i="2"/>
  <c r="C144" i="9" s="1"/>
  <c r="C83" i="9"/>
  <c r="C9" i="5"/>
  <c r="C11" i="5" s="1"/>
  <c r="C52" i="26"/>
  <c r="C100" i="7"/>
  <c r="J85" i="7"/>
  <c r="J55" i="7"/>
  <c r="E19" i="26"/>
  <c r="D6" i="6"/>
  <c r="C8" i="9" l="1"/>
  <c r="C17" i="9"/>
  <c r="C89" i="7"/>
  <c r="C84" i="26" s="1"/>
  <c r="C80" i="7"/>
  <c r="D103" i="7" s="1"/>
  <c r="D51" i="26"/>
  <c r="D7" i="6"/>
  <c r="B102" i="8"/>
  <c r="B116" i="8" s="1"/>
  <c r="B3" i="5"/>
  <c r="K85" i="7"/>
  <c r="K55" i="7"/>
  <c r="B4" i="5"/>
  <c r="B5" i="5"/>
  <c r="E20" i="26"/>
  <c r="E6" i="6"/>
  <c r="C147" i="9" l="1"/>
  <c r="C165" i="9" s="1"/>
  <c r="C86" i="9"/>
  <c r="C104" i="9" s="1"/>
  <c r="C95" i="9"/>
  <c r="C156" i="9"/>
  <c r="C72" i="9"/>
  <c r="C73" i="9" s="1"/>
  <c r="C74" i="9" s="1"/>
  <c r="C75" i="9" s="1"/>
  <c r="C76" i="9" s="1"/>
  <c r="C77" i="9" s="1"/>
  <c r="C78" i="9" s="1"/>
  <c r="D109" i="7"/>
  <c r="D97" i="26" s="1"/>
  <c r="B150" i="8"/>
  <c r="B151" i="8" s="1"/>
  <c r="D144" i="11"/>
  <c r="D2" i="2" s="1"/>
  <c r="D148" i="11"/>
  <c r="D6" i="2" s="1"/>
  <c r="D147" i="11"/>
  <c r="D5" i="2" s="1"/>
  <c r="D151" i="11"/>
  <c r="D9" i="2" s="1"/>
  <c r="D138" i="8" s="1"/>
  <c r="D145" i="11"/>
  <c r="D3" i="2" s="1"/>
  <c r="D149" i="11"/>
  <c r="D7" i="2" s="1"/>
  <c r="D146" i="11"/>
  <c r="D4" i="2" s="1"/>
  <c r="D150" i="11"/>
  <c r="D8" i="2" s="1"/>
  <c r="D131" i="8" s="1"/>
  <c r="D83" i="26"/>
  <c r="E7" i="6"/>
  <c r="L85" i="7"/>
  <c r="L55" i="7"/>
  <c r="B7" i="5"/>
  <c r="E21" i="26"/>
  <c r="F6" i="6"/>
  <c r="D14" i="8" l="1"/>
  <c r="D72" i="8" s="1"/>
  <c r="D126" i="8"/>
  <c r="D15" i="8"/>
  <c r="D73" i="8" s="1"/>
  <c r="D127" i="8"/>
  <c r="D16" i="8"/>
  <c r="D74" i="8" s="1"/>
  <c r="D128" i="8"/>
  <c r="D13" i="8"/>
  <c r="D125" i="8"/>
  <c r="D18" i="8"/>
  <c r="D76" i="8" s="1"/>
  <c r="D130" i="8"/>
  <c r="D17" i="8"/>
  <c r="D75" i="8" s="1"/>
  <c r="D129" i="8"/>
  <c r="C34" i="26"/>
  <c r="D3" i="29"/>
  <c r="C174" i="9"/>
  <c r="C183" i="9" s="1"/>
  <c r="C187" i="9" s="1"/>
  <c r="C196" i="9" s="1"/>
  <c r="C168" i="9"/>
  <c r="C177" i="9" s="1"/>
  <c r="C192" i="9" s="1"/>
  <c r="C201" i="9" s="1"/>
  <c r="C172" i="9"/>
  <c r="C181" i="9" s="1"/>
  <c r="C188" i="9" s="1"/>
  <c r="C246" i="9" s="1"/>
  <c r="C173" i="9"/>
  <c r="C182" i="9" s="1"/>
  <c r="C186" i="9" s="1"/>
  <c r="C195" i="9" s="1"/>
  <c r="C169" i="9"/>
  <c r="C178" i="9" s="1"/>
  <c r="C189" i="9" s="1"/>
  <c r="C198" i="9" s="1"/>
  <c r="C171" i="9"/>
  <c r="C180" i="9" s="1"/>
  <c r="C191" i="9" s="1"/>
  <c r="C200" i="9" s="1"/>
  <c r="C170" i="9"/>
  <c r="C179" i="9" s="1"/>
  <c r="C190" i="9" s="1"/>
  <c r="C199" i="9" s="1"/>
  <c r="C112" i="9"/>
  <c r="C121" i="9" s="1"/>
  <c r="C125" i="9" s="1"/>
  <c r="C134" i="9" s="1"/>
  <c r="C113" i="9"/>
  <c r="C122" i="9" s="1"/>
  <c r="C126" i="9" s="1"/>
  <c r="C135" i="9" s="1"/>
  <c r="C111" i="9"/>
  <c r="C120" i="9" s="1"/>
  <c r="C127" i="9" s="1"/>
  <c r="C136" i="9" s="1"/>
  <c r="C110" i="9"/>
  <c r="C119" i="9" s="1"/>
  <c r="C130" i="9" s="1"/>
  <c r="C139" i="9" s="1"/>
  <c r="C107" i="9"/>
  <c r="C116" i="9" s="1"/>
  <c r="C131" i="9" s="1"/>
  <c r="C140" i="9" s="1"/>
  <c r="C109" i="9"/>
  <c r="C118" i="9" s="1"/>
  <c r="C129" i="9" s="1"/>
  <c r="C138" i="9" s="1"/>
  <c r="C108" i="9"/>
  <c r="C117" i="9" s="1"/>
  <c r="C128" i="9" s="1"/>
  <c r="C137" i="9" s="1"/>
  <c r="B13" i="5"/>
  <c r="B17" i="5"/>
  <c r="D26" i="2"/>
  <c r="D55" i="2" s="1"/>
  <c r="D29" i="2"/>
  <c r="D27" i="2"/>
  <c r="D22" i="2"/>
  <c r="D25" i="2"/>
  <c r="D24" i="2"/>
  <c r="D19" i="8"/>
  <c r="D28" i="2"/>
  <c r="D23" i="2"/>
  <c r="G7" i="6"/>
  <c r="E22" i="26"/>
  <c r="F7" i="6"/>
  <c r="C244" i="9" l="1"/>
  <c r="C197" i="9"/>
  <c r="C232" i="9"/>
  <c r="C30" i="8"/>
  <c r="C142" i="8" s="1"/>
  <c r="C2" i="6"/>
  <c r="C3" i="6" s="1"/>
  <c r="E4" i="29" s="1"/>
  <c r="C3" i="26"/>
  <c r="D2" i="29"/>
  <c r="C240" i="9"/>
  <c r="C241" i="9"/>
  <c r="C245" i="9"/>
  <c r="D77" i="8"/>
  <c r="B237" i="9"/>
  <c r="C233" i="9" s="1"/>
  <c r="D24" i="7"/>
  <c r="D83" i="7" s="1"/>
  <c r="D42" i="2"/>
  <c r="D57" i="2" s="1"/>
  <c r="D77" i="7" s="1"/>
  <c r="D49" i="8"/>
  <c r="D72" i="7"/>
  <c r="D40" i="2"/>
  <c r="D6" i="9"/>
  <c r="D37" i="2"/>
  <c r="D52" i="2" s="1"/>
  <c r="D3" i="9" s="1"/>
  <c r="D69" i="7"/>
  <c r="D52" i="8"/>
  <c r="D70" i="7"/>
  <c r="D38" i="2"/>
  <c r="D53" i="2" s="1"/>
  <c r="D4" i="9" s="1"/>
  <c r="D68" i="7"/>
  <c r="D36" i="2"/>
  <c r="D51" i="2" s="1"/>
  <c r="D2" i="9" s="1"/>
  <c r="D29" i="8"/>
  <c r="D41" i="2"/>
  <c r="D56" i="2" s="1"/>
  <c r="D7" i="9" s="1"/>
  <c r="D73" i="7"/>
  <c r="D71" i="7"/>
  <c r="D54" i="2"/>
  <c r="D5" i="9" s="1"/>
  <c r="D39" i="2"/>
  <c r="D58" i="7"/>
  <c r="D51" i="8"/>
  <c r="D50" i="8"/>
  <c r="D47" i="8"/>
  <c r="D48" i="8"/>
  <c r="D43" i="2"/>
  <c r="D86" i="7"/>
  <c r="D59" i="7"/>
  <c r="D25" i="7"/>
  <c r="D58" i="2"/>
  <c r="E3" i="26"/>
  <c r="B18" i="5"/>
  <c r="B162" i="11"/>
  <c r="G17" i="5" s="1"/>
  <c r="C31" i="8" l="1"/>
  <c r="C38" i="8" s="1"/>
  <c r="C88" i="8"/>
  <c r="C234" i="9"/>
  <c r="C235" i="9" s="1"/>
  <c r="C148" i="8" s="1"/>
  <c r="D78" i="7"/>
  <c r="D233" i="9"/>
  <c r="J16" i="15" s="1"/>
  <c r="C8" i="6"/>
  <c r="C19" i="26"/>
  <c r="D87" i="8"/>
  <c r="D141" i="8"/>
  <c r="D162" i="9"/>
  <c r="D101" i="9"/>
  <c r="D95" i="7"/>
  <c r="F5" i="29" s="1"/>
  <c r="D92" i="7"/>
  <c r="D96" i="9"/>
  <c r="D157" i="9"/>
  <c r="D100" i="9"/>
  <c r="D161" i="9"/>
  <c r="D160" i="9"/>
  <c r="D99" i="9"/>
  <c r="D97" i="9"/>
  <c r="D158" i="9"/>
  <c r="D62" i="2"/>
  <c r="D66" i="2" s="1"/>
  <c r="D98" i="9"/>
  <c r="D159" i="9"/>
  <c r="E8" i="26"/>
  <c r="C17" i="5"/>
  <c r="C143" i="8" l="1"/>
  <c r="C149" i="8" s="1"/>
  <c r="C106" i="8" s="1"/>
  <c r="C37" i="8"/>
  <c r="C105" i="8" s="1"/>
  <c r="C89" i="8"/>
  <c r="C93" i="8" s="1"/>
  <c r="C96" i="8" s="1"/>
  <c r="C5" i="5" s="1"/>
  <c r="E233" i="9"/>
  <c r="F233" i="9" s="1"/>
  <c r="G233" i="9" s="1"/>
  <c r="H233" i="9" s="1"/>
  <c r="I233" i="9" s="1"/>
  <c r="J233" i="9" s="1"/>
  <c r="K233" i="9" s="1"/>
  <c r="D18" i="26"/>
  <c r="D100" i="7"/>
  <c r="C53" i="26"/>
  <c r="D69" i="2"/>
  <c r="D144" i="9" s="1"/>
  <c r="D80" i="7"/>
  <c r="E103" i="7" s="1"/>
  <c r="D83" i="9"/>
  <c r="D17" i="5"/>
  <c r="E4" i="26"/>
  <c r="C18" i="5"/>
  <c r="C107" i="8" l="1"/>
  <c r="C109" i="8" s="1"/>
  <c r="D17" i="9"/>
  <c r="D8" i="9"/>
  <c r="E109" i="7"/>
  <c r="E97" i="26" s="1"/>
  <c r="C102" i="8"/>
  <c r="C4" i="5"/>
  <c r="C3" i="5"/>
  <c r="B106" i="26"/>
  <c r="E147" i="11"/>
  <c r="E5" i="2" s="1"/>
  <c r="E151" i="11"/>
  <c r="E9" i="2" s="1"/>
  <c r="E138" i="8" s="1"/>
  <c r="E146" i="11"/>
  <c r="E4" i="2" s="1"/>
  <c r="E144" i="11"/>
  <c r="E2" i="2" s="1"/>
  <c r="E148" i="11"/>
  <c r="E6" i="2" s="1"/>
  <c r="E145" i="11"/>
  <c r="E3" i="2" s="1"/>
  <c r="E149" i="11"/>
  <c r="E7" i="2" s="1"/>
  <c r="E150" i="11"/>
  <c r="E8" i="2" s="1"/>
  <c r="E131" i="8" s="1"/>
  <c r="D52" i="26"/>
  <c r="E5" i="26"/>
  <c r="E17" i="5"/>
  <c r="D89" i="7"/>
  <c r="C85" i="26" s="1"/>
  <c r="D18" i="5"/>
  <c r="E15" i="8" l="1"/>
  <c r="E73" i="8" s="1"/>
  <c r="E127" i="8"/>
  <c r="E14" i="8"/>
  <c r="E72" i="8" s="1"/>
  <c r="E126" i="8"/>
  <c r="E18" i="8"/>
  <c r="E76" i="8" s="1"/>
  <c r="E130" i="8"/>
  <c r="E17" i="8"/>
  <c r="E75" i="8" s="1"/>
  <c r="E129" i="8"/>
  <c r="E16" i="8"/>
  <c r="E74" i="8" s="1"/>
  <c r="E128" i="8"/>
  <c r="E13" i="8"/>
  <c r="E125" i="8"/>
  <c r="C111" i="8"/>
  <c r="D95" i="9"/>
  <c r="D156" i="9"/>
  <c r="D72" i="9"/>
  <c r="D73" i="9" s="1"/>
  <c r="D74" i="9" s="1"/>
  <c r="D75" i="9" s="1"/>
  <c r="D76" i="9" s="1"/>
  <c r="D77" i="9" s="1"/>
  <c r="D78" i="9" s="1"/>
  <c r="D86" i="9"/>
  <c r="D104" i="9" s="1"/>
  <c r="D147" i="9"/>
  <c r="D165" i="9" s="1"/>
  <c r="C7" i="5"/>
  <c r="D84" i="26"/>
  <c r="E6" i="26"/>
  <c r="E18" i="5"/>
  <c r="F17" i="5"/>
  <c r="E29" i="2"/>
  <c r="E23" i="2"/>
  <c r="E24" i="2"/>
  <c r="E25" i="2"/>
  <c r="E19" i="8"/>
  <c r="E28" i="2"/>
  <c r="E26" i="2"/>
  <c r="E55" i="2" s="1"/>
  <c r="E27" i="2"/>
  <c r="E22" i="2"/>
  <c r="D174" i="9" l="1"/>
  <c r="D183" i="9" s="1"/>
  <c r="D187" i="9" s="1"/>
  <c r="D196" i="9" s="1"/>
  <c r="D168" i="9"/>
  <c r="D177" i="9" s="1"/>
  <c r="D192" i="9" s="1"/>
  <c r="D201" i="9" s="1"/>
  <c r="D169" i="9"/>
  <c r="D178" i="9" s="1"/>
  <c r="D189" i="9" s="1"/>
  <c r="D198" i="9" s="1"/>
  <c r="D173" i="9"/>
  <c r="D182" i="9" s="1"/>
  <c r="D186" i="9" s="1"/>
  <c r="D244" i="9" s="1"/>
  <c r="D170" i="9"/>
  <c r="D179" i="9" s="1"/>
  <c r="D190" i="9" s="1"/>
  <c r="D199" i="9" s="1"/>
  <c r="D171" i="9"/>
  <c r="D180" i="9" s="1"/>
  <c r="D191" i="9" s="1"/>
  <c r="D200" i="9" s="1"/>
  <c r="D172" i="9"/>
  <c r="D181" i="9" s="1"/>
  <c r="D188" i="9" s="1"/>
  <c r="D109" i="9"/>
  <c r="D118" i="9" s="1"/>
  <c r="D129" i="9" s="1"/>
  <c r="D138" i="9" s="1"/>
  <c r="D108" i="9"/>
  <c r="D117" i="9" s="1"/>
  <c r="D128" i="9" s="1"/>
  <c r="D137" i="9" s="1"/>
  <c r="D107" i="9"/>
  <c r="D116" i="9" s="1"/>
  <c r="D131" i="9" s="1"/>
  <c r="D140" i="9" s="1"/>
  <c r="D113" i="9"/>
  <c r="D122" i="9" s="1"/>
  <c r="D126" i="9" s="1"/>
  <c r="D245" i="9" s="1"/>
  <c r="D112" i="9"/>
  <c r="D121" i="9" s="1"/>
  <c r="D125" i="9" s="1"/>
  <c r="D134" i="9" s="1"/>
  <c r="D111" i="9"/>
  <c r="D120" i="9" s="1"/>
  <c r="D127" i="9" s="1"/>
  <c r="D136" i="9" s="1"/>
  <c r="D110" i="9"/>
  <c r="D119" i="9" s="1"/>
  <c r="D130" i="9" s="1"/>
  <c r="D139" i="9" s="1"/>
  <c r="C110" i="8"/>
  <c r="C108" i="8" s="1"/>
  <c r="C12" i="5" s="1"/>
  <c r="C19" i="5"/>
  <c r="D22" i="8" s="1"/>
  <c r="D80" i="8" s="1"/>
  <c r="G18" i="5"/>
  <c r="E77" i="8"/>
  <c r="D78" i="8"/>
  <c r="D82" i="8"/>
  <c r="F18" i="5"/>
  <c r="E7" i="26"/>
  <c r="E50" i="8"/>
  <c r="E24" i="7"/>
  <c r="E83" i="7" s="1"/>
  <c r="E42" i="2"/>
  <c r="E57" i="2" s="1"/>
  <c r="E77" i="7" s="1"/>
  <c r="E49" i="8"/>
  <c r="E47" i="8"/>
  <c r="E36" i="2"/>
  <c r="E51" i="2" s="1"/>
  <c r="E2" i="9" s="1"/>
  <c r="E68" i="7"/>
  <c r="E29" i="8"/>
  <c r="E51" i="8"/>
  <c r="E52" i="8"/>
  <c r="E48" i="8"/>
  <c r="E25" i="7"/>
  <c r="E43" i="2"/>
  <c r="E86" i="7"/>
  <c r="E59" i="7"/>
  <c r="E58" i="2"/>
  <c r="E78" i="7" s="1"/>
  <c r="E73" i="7"/>
  <c r="E41" i="2"/>
  <c r="E56" i="2" s="1"/>
  <c r="E7" i="9" s="1"/>
  <c r="E58" i="7"/>
  <c r="E72" i="7"/>
  <c r="E40" i="2"/>
  <c r="E6" i="9"/>
  <c r="E71" i="7"/>
  <c r="E54" i="2"/>
  <c r="E5" i="9" s="1"/>
  <c r="E39" i="2"/>
  <c r="E70" i="7"/>
  <c r="E38" i="2"/>
  <c r="E53" i="2" s="1"/>
  <c r="E4" i="9" s="1"/>
  <c r="E69" i="7"/>
  <c r="E37" i="2"/>
  <c r="E52" i="2" s="1"/>
  <c r="E3" i="9" s="1"/>
  <c r="D2" i="6" l="1"/>
  <c r="D3" i="6" s="1"/>
  <c r="F4" i="29" s="1"/>
  <c r="D195" i="9"/>
  <c r="D240" i="9"/>
  <c r="D241" i="9"/>
  <c r="D197" i="9"/>
  <c r="D135" i="9"/>
  <c r="D246" i="9"/>
  <c r="D31" i="8" s="1"/>
  <c r="D30" i="8"/>
  <c r="D88" i="8" s="1"/>
  <c r="D232" i="9"/>
  <c r="D234" i="9" s="1"/>
  <c r="D235" i="9" s="1"/>
  <c r="D148" i="8" s="1"/>
  <c r="D25" i="8"/>
  <c r="D83" i="8" s="1"/>
  <c r="D26" i="8"/>
  <c r="D84" i="8" s="1"/>
  <c r="D71" i="8"/>
  <c r="D79" i="8"/>
  <c r="D53" i="8"/>
  <c r="D46" i="8"/>
  <c r="D55" i="8"/>
  <c r="D57" i="8"/>
  <c r="D54" i="8"/>
  <c r="E97" i="9"/>
  <c r="E158" i="9"/>
  <c r="E96" i="9"/>
  <c r="E157" i="9"/>
  <c r="E159" i="9"/>
  <c r="E98" i="9"/>
  <c r="E95" i="7"/>
  <c r="E92" i="7"/>
  <c r="E160" i="9"/>
  <c r="E99" i="9"/>
  <c r="E162" i="9"/>
  <c r="E101" i="9"/>
  <c r="E62" i="2"/>
  <c r="E69" i="2" s="1"/>
  <c r="E161" i="9"/>
  <c r="E100" i="9"/>
  <c r="E141" i="8"/>
  <c r="E87" i="8"/>
  <c r="D8" i="6" l="1"/>
  <c r="C20" i="26"/>
  <c r="D19" i="26" s="1"/>
  <c r="D142" i="8"/>
  <c r="D37" i="8"/>
  <c r="D105" i="8" s="1"/>
  <c r="D59" i="8"/>
  <c r="D58" i="8"/>
  <c r="D62" i="8" s="1"/>
  <c r="D97" i="8"/>
  <c r="D38" i="8"/>
  <c r="D143" i="8"/>
  <c r="E100" i="7"/>
  <c r="C54" i="26"/>
  <c r="D89" i="8"/>
  <c r="D93" i="8" s="1"/>
  <c r="D96" i="8" s="1"/>
  <c r="D5" i="5" s="1"/>
  <c r="E66" i="2"/>
  <c r="E83" i="9" s="1"/>
  <c r="E89" i="7"/>
  <c r="C86" i="26" s="1"/>
  <c r="E144" i="9"/>
  <c r="E17" i="9" l="1"/>
  <c r="E8" i="9"/>
  <c r="D61" i="8"/>
  <c r="D103" i="8" s="1"/>
  <c r="D149" i="8"/>
  <c r="D106" i="8" s="1"/>
  <c r="D107" i="8" s="1"/>
  <c r="D85" i="26"/>
  <c r="D53" i="26"/>
  <c r="D3" i="5"/>
  <c r="E80" i="7"/>
  <c r="F103" i="7" s="1"/>
  <c r="D4" i="5"/>
  <c r="D102" i="8"/>
  <c r="E72" i="9" l="1"/>
  <c r="E73" i="9" s="1"/>
  <c r="E74" i="9" s="1"/>
  <c r="E75" i="9" s="1"/>
  <c r="E76" i="9" s="1"/>
  <c r="E77" i="9" s="1"/>
  <c r="E78" i="9" s="1"/>
  <c r="E95" i="9"/>
  <c r="E156" i="9"/>
  <c r="E147" i="9"/>
  <c r="E165" i="9" s="1"/>
  <c r="E86" i="9"/>
  <c r="E104" i="9" s="1"/>
  <c r="D9" i="5"/>
  <c r="D11" i="5" s="1"/>
  <c r="F109" i="7"/>
  <c r="F97" i="26" s="1"/>
  <c r="D111" i="8"/>
  <c r="D109" i="8"/>
  <c r="F146" i="11"/>
  <c r="F4" i="2" s="1"/>
  <c r="F150" i="11"/>
  <c r="F145" i="11"/>
  <c r="F3" i="2" s="1"/>
  <c r="F147" i="11"/>
  <c r="F5" i="2" s="1"/>
  <c r="F151" i="11"/>
  <c r="F144" i="11"/>
  <c r="F2" i="2" s="1"/>
  <c r="F148" i="11"/>
  <c r="F6" i="2" s="1"/>
  <c r="F149" i="11"/>
  <c r="F7" i="2" s="1"/>
  <c r="D7" i="5"/>
  <c r="F17" i="8" l="1"/>
  <c r="F75" i="8" s="1"/>
  <c r="F129" i="8"/>
  <c r="F13" i="8"/>
  <c r="F125" i="8"/>
  <c r="F14" i="8"/>
  <c r="F72" i="8" s="1"/>
  <c r="F126" i="8"/>
  <c r="F15" i="8"/>
  <c r="F73" i="8" s="1"/>
  <c r="F127" i="8"/>
  <c r="F18" i="8"/>
  <c r="F76" i="8" s="1"/>
  <c r="F130" i="8"/>
  <c r="F16" i="8"/>
  <c r="F128" i="8"/>
  <c r="E173" i="9"/>
  <c r="E182" i="9" s="1"/>
  <c r="E186" i="9" s="1"/>
  <c r="E244" i="9" s="1"/>
  <c r="E172" i="9"/>
  <c r="E181" i="9" s="1"/>
  <c r="E188" i="9" s="1"/>
  <c r="E197" i="9" s="1"/>
  <c r="E174" i="9"/>
  <c r="E183" i="9" s="1"/>
  <c r="E187" i="9" s="1"/>
  <c r="E171" i="9"/>
  <c r="E180" i="9" s="1"/>
  <c r="E191" i="9" s="1"/>
  <c r="E200" i="9" s="1"/>
  <c r="E168" i="9"/>
  <c r="E177" i="9" s="1"/>
  <c r="E192" i="9" s="1"/>
  <c r="E201" i="9" s="1"/>
  <c r="E169" i="9"/>
  <c r="E178" i="9" s="1"/>
  <c r="E189" i="9" s="1"/>
  <c r="E198" i="9" s="1"/>
  <c r="E170" i="9"/>
  <c r="E179" i="9" s="1"/>
  <c r="E190" i="9" s="1"/>
  <c r="E199" i="9" s="1"/>
  <c r="E110" i="9"/>
  <c r="E119" i="9" s="1"/>
  <c r="E130" i="9" s="1"/>
  <c r="E139" i="9" s="1"/>
  <c r="E107" i="9"/>
  <c r="E116" i="9" s="1"/>
  <c r="E131" i="9" s="1"/>
  <c r="E140" i="9" s="1"/>
  <c r="E108" i="9"/>
  <c r="E117" i="9" s="1"/>
  <c r="E128" i="9" s="1"/>
  <c r="E137" i="9" s="1"/>
  <c r="E113" i="9"/>
  <c r="E122" i="9" s="1"/>
  <c r="E126" i="9" s="1"/>
  <c r="E245" i="9" s="1"/>
  <c r="E112" i="9"/>
  <c r="E121" i="9" s="1"/>
  <c r="E125" i="9" s="1"/>
  <c r="E134" i="9" s="1"/>
  <c r="E109" i="9"/>
  <c r="E118" i="9" s="1"/>
  <c r="E129" i="9" s="1"/>
  <c r="E138" i="9" s="1"/>
  <c r="E111" i="9"/>
  <c r="E120" i="9" s="1"/>
  <c r="E127" i="9" s="1"/>
  <c r="E136" i="9" s="1"/>
  <c r="D110" i="8"/>
  <c r="D108" i="8" s="1"/>
  <c r="D12" i="5" s="1"/>
  <c r="D19" i="5"/>
  <c r="E25" i="8" s="1"/>
  <c r="F8" i="2"/>
  <c r="F131" i="8" s="1"/>
  <c r="F9" i="2"/>
  <c r="F138" i="8" s="1"/>
  <c r="F27" i="2"/>
  <c r="F24" i="2"/>
  <c r="F38" i="2" s="1"/>
  <c r="F53" i="2" s="1"/>
  <c r="F4" i="9" s="1"/>
  <c r="F25" i="2"/>
  <c r="F23" i="2"/>
  <c r="F37" i="2" s="1"/>
  <c r="F52" i="2" s="1"/>
  <c r="F3" i="9" s="1"/>
  <c r="F26" i="2"/>
  <c r="F55" i="2" s="1"/>
  <c r="F22" i="2"/>
  <c r="E195" i="9" l="1"/>
  <c r="E246" i="9"/>
  <c r="E31" i="8" s="1"/>
  <c r="E143" i="8" s="1"/>
  <c r="E232" i="9"/>
  <c r="E234" i="9" s="1"/>
  <c r="E235" i="9" s="1"/>
  <c r="E148" i="8" s="1"/>
  <c r="E30" i="8"/>
  <c r="E142" i="8" s="1"/>
  <c r="E241" i="9"/>
  <c r="E135" i="9"/>
  <c r="E2" i="6"/>
  <c r="E3" i="6" s="1"/>
  <c r="G4" i="29" s="1"/>
  <c r="E240" i="9"/>
  <c r="E196" i="9"/>
  <c r="F68" i="7"/>
  <c r="F49" i="8"/>
  <c r="F74" i="8"/>
  <c r="F50" i="8"/>
  <c r="F47" i="8"/>
  <c r="F29" i="2"/>
  <c r="E22" i="8"/>
  <c r="E80" i="8" s="1"/>
  <c r="E83" i="8"/>
  <c r="E82" i="8"/>
  <c r="E78" i="8"/>
  <c r="E26" i="8"/>
  <c r="E84" i="8" s="1"/>
  <c r="F41" i="2"/>
  <c r="F56" i="2" s="1"/>
  <c r="F7" i="9" s="1"/>
  <c r="F98" i="9" s="1"/>
  <c r="F39" i="2"/>
  <c r="F40" i="2"/>
  <c r="F28" i="2"/>
  <c r="F24" i="7" s="1"/>
  <c r="F83" i="7" s="1"/>
  <c r="F92" i="7" s="1"/>
  <c r="F51" i="8"/>
  <c r="F73" i="7"/>
  <c r="F70" i="7"/>
  <c r="F48" i="8"/>
  <c r="F71" i="7"/>
  <c r="F54" i="2"/>
  <c r="F5" i="9" s="1"/>
  <c r="F157" i="9" s="1"/>
  <c r="F69" i="7"/>
  <c r="F72" i="7"/>
  <c r="F6" i="9"/>
  <c r="F158" i="9" s="1"/>
  <c r="F58" i="7"/>
  <c r="F36" i="2"/>
  <c r="F51" i="2" s="1"/>
  <c r="F2" i="9" s="1"/>
  <c r="F161" i="9" s="1"/>
  <c r="F101" i="9"/>
  <c r="F162" i="9"/>
  <c r="F160" i="9"/>
  <c r="F99" i="9"/>
  <c r="C21" i="26" l="1"/>
  <c r="D20" i="26" s="1"/>
  <c r="E8" i="6"/>
  <c r="E88" i="8"/>
  <c r="E79" i="8"/>
  <c r="E38" i="8"/>
  <c r="E71" i="8"/>
  <c r="E37" i="8"/>
  <c r="E105" i="8" s="1"/>
  <c r="E149" i="8"/>
  <c r="E106" i="8" s="1"/>
  <c r="F59" i="7"/>
  <c r="F58" i="2"/>
  <c r="F43" i="2"/>
  <c r="F25" i="7"/>
  <c r="F86" i="7"/>
  <c r="F95" i="7" s="1"/>
  <c r="F159" i="9"/>
  <c r="E57" i="8"/>
  <c r="E46" i="8"/>
  <c r="E58" i="8"/>
  <c r="E59" i="8"/>
  <c r="E55" i="8"/>
  <c r="E53" i="8"/>
  <c r="E54" i="8"/>
  <c r="E89" i="8"/>
  <c r="F29" i="8"/>
  <c r="F87" i="8" s="1"/>
  <c r="F42" i="2"/>
  <c r="F57" i="2" s="1"/>
  <c r="F77" i="7" s="1"/>
  <c r="F96" i="9"/>
  <c r="F97" i="9"/>
  <c r="F100" i="9"/>
  <c r="F78" i="7" l="1"/>
  <c r="F80" i="7" s="1"/>
  <c r="G103" i="7" s="1"/>
  <c r="E107" i="8"/>
  <c r="E62" i="8"/>
  <c r="E97" i="8"/>
  <c r="E93" i="8"/>
  <c r="E96" i="8" s="1"/>
  <c r="E5" i="5" s="1"/>
  <c r="E61" i="8"/>
  <c r="F100" i="7"/>
  <c r="C55" i="26"/>
  <c r="F62" i="2"/>
  <c r="F66" i="2" s="1"/>
  <c r="F83" i="9" s="1"/>
  <c r="F141" i="8"/>
  <c r="G109" i="7" l="1"/>
  <c r="G97" i="26" s="1"/>
  <c r="E111" i="8"/>
  <c r="E109" i="8"/>
  <c r="E4" i="5"/>
  <c r="E3" i="5"/>
  <c r="E102" i="8"/>
  <c r="E9" i="5"/>
  <c r="E11" i="5" s="1"/>
  <c r="E103" i="8"/>
  <c r="D54" i="26"/>
  <c r="F69" i="2"/>
  <c r="F144" i="9" s="1"/>
  <c r="G145" i="11"/>
  <c r="G3" i="2" s="1"/>
  <c r="G149" i="11"/>
  <c r="G7" i="2" s="1"/>
  <c r="G146" i="11"/>
  <c r="G4" i="2" s="1"/>
  <c r="G150" i="11"/>
  <c r="G8" i="2" s="1"/>
  <c r="G147" i="11"/>
  <c r="G5" i="2" s="1"/>
  <c r="G151" i="11"/>
  <c r="G9" i="2" s="1"/>
  <c r="G138" i="8" s="1"/>
  <c r="G144" i="11"/>
  <c r="G2" i="2" s="1"/>
  <c r="G148" i="11"/>
  <c r="G6" i="2" s="1"/>
  <c r="F89" i="7"/>
  <c r="C87" i="26" s="1"/>
  <c r="G16" i="8" l="1"/>
  <c r="G74" i="8" s="1"/>
  <c r="G128" i="8"/>
  <c r="G14" i="8"/>
  <c r="G126" i="8"/>
  <c r="G18" i="8"/>
  <c r="G76" i="8" s="1"/>
  <c r="G130" i="8"/>
  <c r="G17" i="8"/>
  <c r="G75" i="8" s="1"/>
  <c r="G129" i="8"/>
  <c r="A44" i="28"/>
  <c r="G131" i="8"/>
  <c r="G13" i="8"/>
  <c r="G125" i="8"/>
  <c r="G15" i="8"/>
  <c r="G73" i="8" s="1"/>
  <c r="G127" i="8"/>
  <c r="F17" i="9"/>
  <c r="F8" i="9"/>
  <c r="A70" i="28"/>
  <c r="J7" i="15"/>
  <c r="A32" i="28"/>
  <c r="A36" i="28"/>
  <c r="A42" i="28"/>
  <c r="A34" i="28"/>
  <c r="G72" i="8"/>
  <c r="A40" i="28"/>
  <c r="A38" i="28"/>
  <c r="A46" i="28"/>
  <c r="E7" i="5"/>
  <c r="E110" i="8" s="1"/>
  <c r="D86" i="26"/>
  <c r="G27" i="2"/>
  <c r="G28" i="2"/>
  <c r="G29" i="2"/>
  <c r="G23" i="2"/>
  <c r="G26" i="2"/>
  <c r="G22" i="2"/>
  <c r="G24" i="2"/>
  <c r="G25" i="2"/>
  <c r="A64" i="28" s="1"/>
  <c r="A66" i="28" l="1"/>
  <c r="B70" i="26"/>
  <c r="A68" i="28"/>
  <c r="G55" i="2"/>
  <c r="G6" i="9" s="1"/>
  <c r="F156" i="9"/>
  <c r="F72" i="9"/>
  <c r="F73" i="9" s="1"/>
  <c r="F74" i="9" s="1"/>
  <c r="F75" i="9" s="1"/>
  <c r="F76" i="9" s="1"/>
  <c r="F77" i="9" s="1"/>
  <c r="F78" i="9" s="1"/>
  <c r="F95" i="9"/>
  <c r="F86" i="9"/>
  <c r="F104" i="9" s="1"/>
  <c r="F147" i="9"/>
  <c r="F165" i="9" s="1"/>
  <c r="E19" i="5"/>
  <c r="F25" i="8" s="1"/>
  <c r="E108" i="8"/>
  <c r="E12" i="5" s="1"/>
  <c r="G48" i="8"/>
  <c r="G47" i="8"/>
  <c r="G49" i="8"/>
  <c r="G68" i="7"/>
  <c r="G36" i="2"/>
  <c r="G51" i="2" s="1"/>
  <c r="G2" i="9" s="1"/>
  <c r="G29" i="8"/>
  <c r="G58" i="7"/>
  <c r="G40" i="2"/>
  <c r="G72" i="7"/>
  <c r="G25" i="7"/>
  <c r="G86" i="7"/>
  <c r="G59" i="7"/>
  <c r="G43" i="2"/>
  <c r="G58" i="2"/>
  <c r="G78" i="7" s="1"/>
  <c r="G41" i="2"/>
  <c r="G56" i="2" s="1"/>
  <c r="G7" i="9" s="1"/>
  <c r="G73" i="7"/>
  <c r="G50" i="8"/>
  <c r="G24" i="7"/>
  <c r="G83" i="7" s="1"/>
  <c r="G42" i="2"/>
  <c r="G57" i="2" s="1"/>
  <c r="G77" i="7" s="1"/>
  <c r="G54" i="2"/>
  <c r="G5" i="9" s="1"/>
  <c r="G39" i="2"/>
  <c r="G71" i="7"/>
  <c r="G38" i="2"/>
  <c r="G53" i="2" s="1"/>
  <c r="G4" i="9" s="1"/>
  <c r="G70" i="7"/>
  <c r="G37" i="2"/>
  <c r="G52" i="2" s="1"/>
  <c r="G3" i="9" s="1"/>
  <c r="G69" i="7"/>
  <c r="G51" i="8"/>
  <c r="F173" i="9" l="1"/>
  <c r="F182" i="9" s="1"/>
  <c r="F186" i="9" s="1"/>
  <c r="F244" i="9" s="1"/>
  <c r="F168" i="9"/>
  <c r="F177" i="9" s="1"/>
  <c r="F192" i="9" s="1"/>
  <c r="F201" i="9" s="1"/>
  <c r="F171" i="9"/>
  <c r="F180" i="9" s="1"/>
  <c r="F191" i="9" s="1"/>
  <c r="F200" i="9" s="1"/>
  <c r="F172" i="9"/>
  <c r="F181" i="9" s="1"/>
  <c r="F188" i="9" s="1"/>
  <c r="F197" i="9" s="1"/>
  <c r="F170" i="9"/>
  <c r="F179" i="9" s="1"/>
  <c r="F190" i="9" s="1"/>
  <c r="F199" i="9" s="1"/>
  <c r="F174" i="9"/>
  <c r="F183" i="9" s="1"/>
  <c r="F187" i="9" s="1"/>
  <c r="F196" i="9" s="1"/>
  <c r="F111" i="9"/>
  <c r="F120" i="9" s="1"/>
  <c r="F127" i="9" s="1"/>
  <c r="F136" i="9" s="1"/>
  <c r="F107" i="9"/>
  <c r="F116" i="9" s="1"/>
  <c r="F131" i="9" s="1"/>
  <c r="F140" i="9" s="1"/>
  <c r="F108" i="9"/>
  <c r="F117" i="9" s="1"/>
  <c r="F128" i="9" s="1"/>
  <c r="F137" i="9" s="1"/>
  <c r="F112" i="9"/>
  <c r="F121" i="9" s="1"/>
  <c r="F125" i="9" s="1"/>
  <c r="F134" i="9" s="1"/>
  <c r="F113" i="9"/>
  <c r="F122" i="9" s="1"/>
  <c r="F126" i="9" s="1"/>
  <c r="F110" i="9"/>
  <c r="F119" i="9" s="1"/>
  <c r="F130" i="9" s="1"/>
  <c r="F139" i="9" s="1"/>
  <c r="F109" i="9"/>
  <c r="F118" i="9" s="1"/>
  <c r="F129" i="9" s="1"/>
  <c r="F138" i="9" s="1"/>
  <c r="F169" i="9"/>
  <c r="F178" i="9" s="1"/>
  <c r="F189" i="9" s="1"/>
  <c r="F198" i="9" s="1"/>
  <c r="F82" i="8"/>
  <c r="F22" i="8"/>
  <c r="F80" i="8" s="1"/>
  <c r="F26" i="8"/>
  <c r="F84" i="8" s="1"/>
  <c r="G160" i="9"/>
  <c r="G99" i="9"/>
  <c r="G62" i="2"/>
  <c r="G66" i="2" s="1"/>
  <c r="G161" i="9"/>
  <c r="G100" i="9"/>
  <c r="G95" i="7"/>
  <c r="G92" i="7"/>
  <c r="G96" i="9"/>
  <c r="G157" i="9"/>
  <c r="G97" i="9"/>
  <c r="G158" i="9"/>
  <c r="G101" i="9"/>
  <c r="G162" i="9"/>
  <c r="G98" i="9"/>
  <c r="G159" i="9"/>
  <c r="G141" i="8"/>
  <c r="G87" i="8"/>
  <c r="F195" i="9" l="1"/>
  <c r="F246" i="9"/>
  <c r="F241" i="9"/>
  <c r="F2" i="6"/>
  <c r="F3" i="6" s="1"/>
  <c r="H4" i="29" s="1"/>
  <c r="F232" i="9"/>
  <c r="F234" i="9" s="1"/>
  <c r="F235" i="9" s="1"/>
  <c r="F148" i="8" s="1"/>
  <c r="F240" i="9"/>
  <c r="F30" i="8"/>
  <c r="F142" i="8" s="1"/>
  <c r="F135" i="9"/>
  <c r="F245" i="9"/>
  <c r="F55" i="8"/>
  <c r="F71" i="8"/>
  <c r="F54" i="8"/>
  <c r="F79" i="8"/>
  <c r="F53" i="8"/>
  <c r="F78" i="8"/>
  <c r="F58" i="8"/>
  <c r="F83" i="8"/>
  <c r="F46" i="8"/>
  <c r="F57" i="8"/>
  <c r="F59" i="8"/>
  <c r="C56" i="26"/>
  <c r="G69" i="2"/>
  <c r="G144" i="9" s="1"/>
  <c r="G83" i="9"/>
  <c r="G89" i="7"/>
  <c r="C88" i="26" s="1"/>
  <c r="G100" i="7"/>
  <c r="C22" i="26" l="1"/>
  <c r="D21" i="26" s="1"/>
  <c r="F31" i="8"/>
  <c r="F143" i="8" s="1"/>
  <c r="F149" i="8" s="1"/>
  <c r="F106" i="8" s="1"/>
  <c r="F8" i="6"/>
  <c r="F88" i="8"/>
  <c r="G8" i="9"/>
  <c r="G17" i="9"/>
  <c r="B100" i="28"/>
  <c r="A100" i="28"/>
  <c r="B102" i="28"/>
  <c r="A28" i="28"/>
  <c r="B28" i="28"/>
  <c r="D55" i="26"/>
  <c r="D87" i="26"/>
  <c r="G80" i="7"/>
  <c r="H103" i="7" s="1"/>
  <c r="F89" i="8" l="1"/>
  <c r="G86" i="9"/>
  <c r="G104" i="9" s="1"/>
  <c r="G147" i="9"/>
  <c r="G165" i="9" s="1"/>
  <c r="G95" i="9"/>
  <c r="G72" i="9"/>
  <c r="G73" i="9" s="1"/>
  <c r="G74" i="9" s="1"/>
  <c r="G75" i="9" s="1"/>
  <c r="G76" i="9" s="1"/>
  <c r="G77" i="9" s="1"/>
  <c r="G78" i="9" s="1"/>
  <c r="G156" i="9"/>
  <c r="H109" i="7"/>
  <c r="H97" i="26" s="1"/>
  <c r="H144" i="11"/>
  <c r="H2" i="2" s="1"/>
  <c r="H148" i="11"/>
  <c r="H6" i="2" s="1"/>
  <c r="H151" i="11"/>
  <c r="H145" i="11"/>
  <c r="H3" i="2" s="1"/>
  <c r="H149" i="11"/>
  <c r="H7" i="2" s="1"/>
  <c r="H146" i="11"/>
  <c r="H4" i="2" s="1"/>
  <c r="H150" i="11"/>
  <c r="H8" i="2" s="1"/>
  <c r="H131" i="8" s="1"/>
  <c r="H147" i="11"/>
  <c r="H5" i="2" s="1"/>
  <c r="H18" i="8" l="1"/>
  <c r="H76" i="8" s="1"/>
  <c r="H130" i="8"/>
  <c r="H16" i="8"/>
  <c r="H74" i="8" s="1"/>
  <c r="H128" i="8"/>
  <c r="H14" i="8"/>
  <c r="H72" i="8" s="1"/>
  <c r="H126" i="8"/>
  <c r="H13" i="8"/>
  <c r="H125" i="8"/>
  <c r="H15" i="8"/>
  <c r="H73" i="8" s="1"/>
  <c r="H127" i="8"/>
  <c r="H17" i="8"/>
  <c r="H75" i="8" s="1"/>
  <c r="H129" i="8"/>
  <c r="G171" i="9"/>
  <c r="G180" i="9" s="1"/>
  <c r="G191" i="9" s="1"/>
  <c r="G200" i="9" s="1"/>
  <c r="G174" i="9"/>
  <c r="G183" i="9" s="1"/>
  <c r="G187" i="9" s="1"/>
  <c r="G196" i="9" s="1"/>
  <c r="G172" i="9"/>
  <c r="G181" i="9" s="1"/>
  <c r="G188" i="9" s="1"/>
  <c r="G246" i="9" s="1"/>
  <c r="G173" i="9"/>
  <c r="G182" i="9" s="1"/>
  <c r="G186" i="9" s="1"/>
  <c r="G195" i="9" s="1"/>
  <c r="G170" i="9"/>
  <c r="G179" i="9" s="1"/>
  <c r="G190" i="9" s="1"/>
  <c r="G199" i="9" s="1"/>
  <c r="G169" i="9"/>
  <c r="G178" i="9" s="1"/>
  <c r="G189" i="9" s="1"/>
  <c r="G198" i="9" s="1"/>
  <c r="G107" i="9"/>
  <c r="G116" i="9" s="1"/>
  <c r="G131" i="9" s="1"/>
  <c r="G140" i="9" s="1"/>
  <c r="G113" i="9"/>
  <c r="G122" i="9" s="1"/>
  <c r="G126" i="9" s="1"/>
  <c r="G245" i="9" s="1"/>
  <c r="G109" i="9"/>
  <c r="G118" i="9" s="1"/>
  <c r="G129" i="9" s="1"/>
  <c r="G138" i="9" s="1"/>
  <c r="G110" i="9"/>
  <c r="G119" i="9" s="1"/>
  <c r="G130" i="9" s="1"/>
  <c r="G139" i="9" s="1"/>
  <c r="G108" i="9"/>
  <c r="G117" i="9" s="1"/>
  <c r="G128" i="9" s="1"/>
  <c r="G137" i="9" s="1"/>
  <c r="G112" i="9"/>
  <c r="G121" i="9" s="1"/>
  <c r="G125" i="9" s="1"/>
  <c r="G134" i="9" s="1"/>
  <c r="G111" i="9"/>
  <c r="G120" i="9" s="1"/>
  <c r="G127" i="9" s="1"/>
  <c r="G136" i="9" s="1"/>
  <c r="G168" i="9"/>
  <c r="G177" i="9" s="1"/>
  <c r="G192" i="9" s="1"/>
  <c r="B67" i="26"/>
  <c r="B66" i="26"/>
  <c r="H24" i="2"/>
  <c r="H38" i="2" s="1"/>
  <c r="H53" i="2" s="1"/>
  <c r="H4" i="9" s="1"/>
  <c r="H27" i="2"/>
  <c r="AD4" i="1" s="1"/>
  <c r="H25" i="2"/>
  <c r="AD2" i="1" s="1"/>
  <c r="H9" i="2"/>
  <c r="H138" i="8" s="1"/>
  <c r="H28" i="2"/>
  <c r="H42" i="2" s="1"/>
  <c r="H57" i="2" s="1"/>
  <c r="H23" i="2"/>
  <c r="H37" i="2" s="1"/>
  <c r="H52" i="2" s="1"/>
  <c r="H3" i="9" s="1"/>
  <c r="H26" i="2"/>
  <c r="H55" i="2" s="1"/>
  <c r="H22" i="2"/>
  <c r="B69" i="26" l="1"/>
  <c r="B72" i="26"/>
  <c r="B68" i="26"/>
  <c r="B71" i="26"/>
  <c r="G197" i="9"/>
  <c r="G135" i="9"/>
  <c r="G241" i="9"/>
  <c r="G244" i="9"/>
  <c r="G31" i="8" s="1"/>
  <c r="G89" i="8" s="1"/>
  <c r="G2" i="6"/>
  <c r="G3" i="6" s="1"/>
  <c r="C23" i="26" s="1"/>
  <c r="G232" i="9"/>
  <c r="G234" i="9" s="1"/>
  <c r="G235" i="9" s="1"/>
  <c r="G148" i="8" s="1"/>
  <c r="G30" i="8"/>
  <c r="G142" i="8" s="1"/>
  <c r="G240" i="9"/>
  <c r="B73" i="26"/>
  <c r="G201" i="9"/>
  <c r="H41" i="2"/>
  <c r="H56" i="2" s="1"/>
  <c r="H7" i="9" s="1"/>
  <c r="H159" i="9" s="1"/>
  <c r="H70" i="7"/>
  <c r="H73" i="7"/>
  <c r="H47" i="8"/>
  <c r="AD5" i="1"/>
  <c r="H77" i="7"/>
  <c r="H36" i="2"/>
  <c r="H51" i="2" s="1"/>
  <c r="H2" i="9" s="1"/>
  <c r="H161" i="9" s="1"/>
  <c r="H71" i="7"/>
  <c r="H39" i="2"/>
  <c r="H54" i="2"/>
  <c r="H5" i="9" s="1"/>
  <c r="H96" i="9" s="1"/>
  <c r="H50" i="8"/>
  <c r="H29" i="2"/>
  <c r="H86" i="7" s="1"/>
  <c r="H6" i="9"/>
  <c r="H158" i="9" s="1"/>
  <c r="AD3" i="1"/>
  <c r="H48" i="8"/>
  <c r="H49" i="8"/>
  <c r="H24" i="7"/>
  <c r="H83" i="7" s="1"/>
  <c r="H92" i="7" s="1"/>
  <c r="H58" i="7"/>
  <c r="H69" i="7"/>
  <c r="H40" i="2"/>
  <c r="H72" i="7"/>
  <c r="H68" i="7"/>
  <c r="H29" i="8"/>
  <c r="H87" i="8" s="1"/>
  <c r="H51" i="8"/>
  <c r="B206" i="9"/>
  <c r="B207" i="9" s="1"/>
  <c r="B208" i="9" s="1"/>
  <c r="B209" i="9" s="1"/>
  <c r="H162" i="9"/>
  <c r="H101" i="9"/>
  <c r="H160" i="9"/>
  <c r="H99" i="9"/>
  <c r="G8" i="6" l="1"/>
  <c r="J21" i="15"/>
  <c r="G88" i="8"/>
  <c r="H98" i="9"/>
  <c r="H100" i="9"/>
  <c r="H157" i="9"/>
  <c r="H58" i="2"/>
  <c r="H78" i="7" s="1"/>
  <c r="H25" i="7"/>
  <c r="H43" i="2"/>
  <c r="H62" i="2" s="1"/>
  <c r="H59" i="7"/>
  <c r="A24" i="28"/>
  <c r="A96" i="28"/>
  <c r="B96" i="28"/>
  <c r="G143" i="8"/>
  <c r="H97" i="9"/>
  <c r="B210" i="9"/>
  <c r="B211" i="9" s="1"/>
  <c r="B212" i="9" s="1"/>
  <c r="B213" i="9" s="1"/>
  <c r="B214" i="9" s="1"/>
  <c r="B215" i="9" s="1"/>
  <c r="B216" i="9" s="1"/>
  <c r="B217" i="9" s="1"/>
  <c r="B218" i="9" s="1"/>
  <c r="D22" i="26"/>
  <c r="H95" i="7"/>
  <c r="H141" i="8"/>
  <c r="G149" i="8" l="1"/>
  <c r="G106" i="8" s="1"/>
  <c r="H80" i="7"/>
  <c r="I103" i="7" s="1"/>
  <c r="H66" i="2"/>
  <c r="H83" i="9" s="1"/>
  <c r="C57" i="26"/>
  <c r="G15" i="15"/>
  <c r="H69" i="2"/>
  <c r="H144" i="9" s="1"/>
  <c r="H89" i="7"/>
  <c r="C89" i="26" s="1"/>
  <c r="H17" i="9" l="1"/>
  <c r="H8" i="9"/>
  <c r="I147" i="11"/>
  <c r="I5" i="2" s="1"/>
  <c r="I109" i="7"/>
  <c r="I97" i="26" s="1"/>
  <c r="I151" i="11"/>
  <c r="I9" i="2" s="1"/>
  <c r="I138" i="8" s="1"/>
  <c r="I146" i="11"/>
  <c r="I4" i="2" s="1"/>
  <c r="I149" i="11"/>
  <c r="I7" i="2" s="1"/>
  <c r="I145" i="11"/>
  <c r="I3" i="2" s="1"/>
  <c r="I150" i="11"/>
  <c r="I8" i="2" s="1"/>
  <c r="I131" i="8" s="1"/>
  <c r="I148" i="11"/>
  <c r="I6" i="2" s="1"/>
  <c r="I144" i="11"/>
  <c r="I2" i="2" s="1"/>
  <c r="D89" i="26"/>
  <c r="D88" i="26"/>
  <c r="D211" i="9"/>
  <c r="D215" i="9"/>
  <c r="D212" i="9"/>
  <c r="D217" i="9"/>
  <c r="D213" i="9"/>
  <c r="D209" i="9"/>
  <c r="D208" i="9"/>
  <c r="D214" i="9"/>
  <c r="D205" i="9"/>
  <c r="D216" i="9"/>
  <c r="D207" i="9"/>
  <c r="D210" i="9"/>
  <c r="D206" i="9"/>
  <c r="D218" i="9"/>
  <c r="D57" i="26"/>
  <c r="D56" i="26"/>
  <c r="I13" i="8" l="1"/>
  <c r="I125" i="8"/>
  <c r="I18" i="8"/>
  <c r="I76" i="8" s="1"/>
  <c r="I130" i="8"/>
  <c r="I16" i="8"/>
  <c r="I49" i="8" s="1"/>
  <c r="I128" i="8"/>
  <c r="I17" i="8"/>
  <c r="I129" i="8"/>
  <c r="I15" i="8"/>
  <c r="I73" i="8" s="1"/>
  <c r="I127" i="8"/>
  <c r="I14" i="8"/>
  <c r="I72" i="8" s="1"/>
  <c r="I126" i="8"/>
  <c r="H156" i="9"/>
  <c r="H95" i="9"/>
  <c r="H72" i="9"/>
  <c r="H73" i="9" s="1"/>
  <c r="H74" i="9" s="1"/>
  <c r="H75" i="9" s="1"/>
  <c r="H76" i="9" s="1"/>
  <c r="H77" i="9" s="1"/>
  <c r="H78" i="9" s="1"/>
  <c r="H147" i="9"/>
  <c r="H165" i="9" s="1"/>
  <c r="H86" i="9"/>
  <c r="H104" i="9" s="1"/>
  <c r="I26" i="2"/>
  <c r="I22" i="2"/>
  <c r="I68" i="7" s="1"/>
  <c r="I25" i="2"/>
  <c r="I6" i="1" s="1"/>
  <c r="A77" i="28" s="1"/>
  <c r="I29" i="2"/>
  <c r="I10" i="1" s="1"/>
  <c r="I24" i="2"/>
  <c r="I5" i="1" s="1"/>
  <c r="A76" i="28" s="1"/>
  <c r="I27" i="2"/>
  <c r="I8" i="1" s="1"/>
  <c r="A79" i="28" s="1"/>
  <c r="I23" i="2"/>
  <c r="I4" i="1" s="1"/>
  <c r="B222" i="9"/>
  <c r="I28" i="2"/>
  <c r="I9" i="1" s="1"/>
  <c r="A80" i="28" s="1"/>
  <c r="I7" i="1" l="1"/>
  <c r="A78" i="28" s="1"/>
  <c r="I55" i="2"/>
  <c r="I6" i="9" s="1"/>
  <c r="I97" i="9" s="1"/>
  <c r="H171" i="9"/>
  <c r="H180" i="9" s="1"/>
  <c r="H191" i="9" s="1"/>
  <c r="H200" i="9" s="1"/>
  <c r="H173" i="9"/>
  <c r="H182" i="9" s="1"/>
  <c r="H186" i="9" s="1"/>
  <c r="B221" i="9" s="1"/>
  <c r="H172" i="9"/>
  <c r="H181" i="9" s="1"/>
  <c r="H188" i="9" s="1"/>
  <c r="H197" i="9" s="1"/>
  <c r="H169" i="9"/>
  <c r="H178" i="9" s="1"/>
  <c r="H189" i="9" s="1"/>
  <c r="B224" i="9" s="1"/>
  <c r="H170" i="9"/>
  <c r="H179" i="9" s="1"/>
  <c r="H190" i="9" s="1"/>
  <c r="B225" i="9" s="1"/>
  <c r="H168" i="9"/>
  <c r="H177" i="9" s="1"/>
  <c r="H192" i="9" s="1"/>
  <c r="H112" i="9"/>
  <c r="H121" i="9" s="1"/>
  <c r="H125" i="9" s="1"/>
  <c r="H134" i="9" s="1"/>
  <c r="H174" i="9"/>
  <c r="H183" i="9" s="1"/>
  <c r="H187" i="9" s="1"/>
  <c r="H196" i="9" s="1"/>
  <c r="H111" i="9"/>
  <c r="H120" i="9" s="1"/>
  <c r="H127" i="9" s="1"/>
  <c r="H136" i="9" s="1"/>
  <c r="H108" i="9"/>
  <c r="H117" i="9" s="1"/>
  <c r="H128" i="9" s="1"/>
  <c r="H137" i="9" s="1"/>
  <c r="H107" i="9"/>
  <c r="H116" i="9" s="1"/>
  <c r="H131" i="9" s="1"/>
  <c r="H140" i="9" s="1"/>
  <c r="H109" i="9"/>
  <c r="H118" i="9" s="1"/>
  <c r="H129" i="9" s="1"/>
  <c r="H138" i="9" s="1"/>
  <c r="H113" i="9"/>
  <c r="H122" i="9" s="1"/>
  <c r="H126" i="9" s="1"/>
  <c r="H110" i="9"/>
  <c r="H119" i="9" s="1"/>
  <c r="H130" i="9" s="1"/>
  <c r="H139" i="9" s="1"/>
  <c r="I36" i="2"/>
  <c r="I51" i="2" s="1"/>
  <c r="I2" i="9" s="1"/>
  <c r="I161" i="9" s="1"/>
  <c r="I3" i="1"/>
  <c r="A74" i="28" s="1"/>
  <c r="I72" i="7"/>
  <c r="I40" i="2"/>
  <c r="I47" i="8"/>
  <c r="I74" i="8"/>
  <c r="Q3" i="1"/>
  <c r="Q4" i="1" s="1"/>
  <c r="Q5" i="1" s="1"/>
  <c r="Q6" i="1" s="1"/>
  <c r="Q7" i="1" s="1"/>
  <c r="Q8" i="1" s="1"/>
  <c r="Q9" i="1" s="1"/>
  <c r="Q10" i="1" s="1"/>
  <c r="Q11" i="1" s="1"/>
  <c r="Q12" i="1" s="1"/>
  <c r="Q13" i="1" s="1"/>
  <c r="Q14" i="1" s="1"/>
  <c r="Q15" i="1" s="1"/>
  <c r="Q16" i="1" s="1"/>
  <c r="Q17" i="1" s="1"/>
  <c r="Q18" i="1" s="1"/>
  <c r="Q19" i="1" s="1"/>
  <c r="Q20" i="1" s="1"/>
  <c r="Q21" i="1" s="1"/>
  <c r="Q22" i="1" s="1"/>
  <c r="Q23" i="1" s="1"/>
  <c r="Q24" i="1" s="1"/>
  <c r="Q25" i="1" s="1"/>
  <c r="Q26" i="1" s="1"/>
  <c r="Q27" i="1" s="1"/>
  <c r="Q28" i="1" s="1"/>
  <c r="Q29" i="1" s="1"/>
  <c r="Q30" i="1" s="1"/>
  <c r="Q31" i="1" s="1"/>
  <c r="Q32" i="1" s="1"/>
  <c r="Q33" i="1" s="1"/>
  <c r="Q34" i="1" s="1"/>
  <c r="Q35" i="1" s="1"/>
  <c r="Q36" i="1" s="1"/>
  <c r="Q37" i="1" s="1"/>
  <c r="Q38" i="1" s="1"/>
  <c r="Q39" i="1" s="1"/>
  <c r="Q40" i="1" s="1"/>
  <c r="Q41" i="1" s="1"/>
  <c r="Q42" i="1" s="1"/>
  <c r="I58" i="7"/>
  <c r="I39" i="2"/>
  <c r="I54" i="2"/>
  <c r="I5" i="9" s="1"/>
  <c r="I157" i="9" s="1"/>
  <c r="I71" i="7"/>
  <c r="I70" i="7"/>
  <c r="I48" i="8"/>
  <c r="I58" i="2"/>
  <c r="I78" i="7" s="1"/>
  <c r="I43" i="2"/>
  <c r="I25" i="7"/>
  <c r="O3" i="1"/>
  <c r="O4" i="1" s="1"/>
  <c r="O5" i="1" s="1"/>
  <c r="O6" i="1" s="1"/>
  <c r="O7" i="1" s="1"/>
  <c r="O8" i="1" s="1"/>
  <c r="O9" i="1" s="1"/>
  <c r="O10" i="1" s="1"/>
  <c r="O11" i="1" s="1"/>
  <c r="O12" i="1" s="1"/>
  <c r="O13" i="1" s="1"/>
  <c r="O14" i="1" s="1"/>
  <c r="O15" i="1" s="1"/>
  <c r="O16" i="1" s="1"/>
  <c r="O17" i="1" s="1"/>
  <c r="O18" i="1" s="1"/>
  <c r="O19" i="1" s="1"/>
  <c r="O20" i="1" s="1"/>
  <c r="O21" i="1" s="1"/>
  <c r="O22" i="1" s="1"/>
  <c r="O23" i="1" s="1"/>
  <c r="O24" i="1" s="1"/>
  <c r="O25" i="1" s="1"/>
  <c r="O26" i="1" s="1"/>
  <c r="O27" i="1" s="1"/>
  <c r="O28" i="1" s="1"/>
  <c r="O29" i="1" s="1"/>
  <c r="O30" i="1" s="1"/>
  <c r="O31" i="1" s="1"/>
  <c r="O32" i="1" s="1"/>
  <c r="O33" i="1" s="1"/>
  <c r="O34" i="1" s="1"/>
  <c r="O35" i="1" s="1"/>
  <c r="O36" i="1" s="1"/>
  <c r="O37" i="1" s="1"/>
  <c r="O38" i="1" s="1"/>
  <c r="O39" i="1" s="1"/>
  <c r="O40" i="1" s="1"/>
  <c r="O41" i="1" s="1"/>
  <c r="O42" i="1" s="1"/>
  <c r="O43" i="1" s="1"/>
  <c r="O44" i="1" s="1"/>
  <c r="O45" i="1" s="1"/>
  <c r="O46" i="1" s="1"/>
  <c r="O47" i="1" s="1"/>
  <c r="O48" i="1" s="1"/>
  <c r="O49" i="1" s="1"/>
  <c r="O50" i="1" s="1"/>
  <c r="O51" i="1" s="1"/>
  <c r="O52" i="1" s="1"/>
  <c r="O53" i="1" s="1"/>
  <c r="O54" i="1" s="1"/>
  <c r="O55" i="1" s="1"/>
  <c r="O56" i="1" s="1"/>
  <c r="O57" i="1" s="1"/>
  <c r="O58" i="1" s="1"/>
  <c r="O59" i="1" s="1"/>
  <c r="O60" i="1" s="1"/>
  <c r="O61" i="1" s="1"/>
  <c r="O62" i="1" s="1"/>
  <c r="O63" i="1" s="1"/>
  <c r="O64" i="1" s="1"/>
  <c r="O65" i="1" s="1"/>
  <c r="O66" i="1" s="1"/>
  <c r="O67" i="1" s="1"/>
  <c r="O68" i="1" s="1"/>
  <c r="O69" i="1" s="1"/>
  <c r="O70" i="1" s="1"/>
  <c r="O71" i="1" s="1"/>
  <c r="O72" i="1" s="1"/>
  <c r="O73" i="1" s="1"/>
  <c r="O74" i="1" s="1"/>
  <c r="O75" i="1" s="1"/>
  <c r="O76" i="1" s="1"/>
  <c r="O77" i="1" s="1"/>
  <c r="O78" i="1" s="1"/>
  <c r="O79" i="1" s="1"/>
  <c r="O80" i="1" s="1"/>
  <c r="O81" i="1" s="1"/>
  <c r="O82" i="1" s="1"/>
  <c r="O83" i="1" s="1"/>
  <c r="O84" i="1" s="1"/>
  <c r="O85" i="1" s="1"/>
  <c r="O86" i="1" s="1"/>
  <c r="O87" i="1" s="1"/>
  <c r="O88" i="1" s="1"/>
  <c r="O89" i="1" s="1"/>
  <c r="O90" i="1" s="1"/>
  <c r="O91" i="1" s="1"/>
  <c r="O92" i="1" s="1"/>
  <c r="O93" i="1" s="1"/>
  <c r="O94" i="1" s="1"/>
  <c r="O95" i="1" s="1"/>
  <c r="O96" i="1" s="1"/>
  <c r="O97" i="1" s="1"/>
  <c r="O98" i="1" s="1"/>
  <c r="O99" i="1" s="1"/>
  <c r="O100" i="1" s="1"/>
  <c r="O101" i="1" s="1"/>
  <c r="O102" i="1" s="1"/>
  <c r="O103" i="1" s="1"/>
  <c r="O104" i="1" s="1"/>
  <c r="O105" i="1" s="1"/>
  <c r="O106" i="1" s="1"/>
  <c r="O107" i="1" s="1"/>
  <c r="O108" i="1" s="1"/>
  <c r="O109" i="1" s="1"/>
  <c r="O110" i="1" s="1"/>
  <c r="O111" i="1" s="1"/>
  <c r="O112" i="1" s="1"/>
  <c r="O113" i="1" s="1"/>
  <c r="O114" i="1" s="1"/>
  <c r="O115" i="1" s="1"/>
  <c r="O116" i="1" s="1"/>
  <c r="O117" i="1" s="1"/>
  <c r="O118" i="1" s="1"/>
  <c r="O119" i="1" s="1"/>
  <c r="O120" i="1" s="1"/>
  <c r="O121" i="1" s="1"/>
  <c r="O122" i="1" s="1"/>
  <c r="O123" i="1" s="1"/>
  <c r="O124" i="1" s="1"/>
  <c r="O125" i="1" s="1"/>
  <c r="O126" i="1" s="1"/>
  <c r="O127" i="1" s="1"/>
  <c r="O128" i="1" s="1"/>
  <c r="O129" i="1" s="1"/>
  <c r="O130" i="1" s="1"/>
  <c r="O131" i="1" s="1"/>
  <c r="O132" i="1" s="1"/>
  <c r="O133" i="1" s="1"/>
  <c r="O134" i="1" s="1"/>
  <c r="O135" i="1" s="1"/>
  <c r="O136" i="1" s="1"/>
  <c r="O137" i="1" s="1"/>
  <c r="O138" i="1" s="1"/>
  <c r="O139" i="1" s="1"/>
  <c r="O140" i="1" s="1"/>
  <c r="O141" i="1" s="1"/>
  <c r="O142" i="1" s="1"/>
  <c r="O143" i="1" s="1"/>
  <c r="O144" i="1" s="1"/>
  <c r="O145" i="1" s="1"/>
  <c r="O146" i="1" s="1"/>
  <c r="O147" i="1" s="1"/>
  <c r="O148" i="1" s="1"/>
  <c r="O149" i="1" s="1"/>
  <c r="O150" i="1" s="1"/>
  <c r="O151" i="1" s="1"/>
  <c r="O152" i="1" s="1"/>
  <c r="O153" i="1" s="1"/>
  <c r="O154" i="1" s="1"/>
  <c r="O155" i="1" s="1"/>
  <c r="O156" i="1" s="1"/>
  <c r="O157" i="1" s="1"/>
  <c r="O158" i="1" s="1"/>
  <c r="O159" i="1" s="1"/>
  <c r="O160" i="1" s="1"/>
  <c r="O161" i="1" s="1"/>
  <c r="O162" i="1" s="1"/>
  <c r="O163" i="1" s="1"/>
  <c r="O164" i="1" s="1"/>
  <c r="O165" i="1" s="1"/>
  <c r="O166" i="1" s="1"/>
  <c r="O167" i="1" s="1"/>
  <c r="O168" i="1" s="1"/>
  <c r="O169" i="1" s="1"/>
  <c r="O170" i="1" s="1"/>
  <c r="O171" i="1" s="1"/>
  <c r="O172" i="1" s="1"/>
  <c r="O173" i="1" s="1"/>
  <c r="O174" i="1" s="1"/>
  <c r="O175" i="1" s="1"/>
  <c r="O176" i="1" s="1"/>
  <c r="O177" i="1" s="1"/>
  <c r="O178" i="1" s="1"/>
  <c r="O179" i="1" s="1"/>
  <c r="O180" i="1" s="1"/>
  <c r="O181" i="1" s="1"/>
  <c r="O182" i="1" s="1"/>
  <c r="O183" i="1" s="1"/>
  <c r="O184" i="1" s="1"/>
  <c r="O185" i="1" s="1"/>
  <c r="O186" i="1" s="1"/>
  <c r="O187" i="1" s="1"/>
  <c r="O188" i="1" s="1"/>
  <c r="O189" i="1" s="1"/>
  <c r="O190" i="1" s="1"/>
  <c r="O191" i="1" s="1"/>
  <c r="O192" i="1" s="1"/>
  <c r="O193" i="1" s="1"/>
  <c r="O194" i="1" s="1"/>
  <c r="O195" i="1" s="1"/>
  <c r="O196" i="1" s="1"/>
  <c r="O197" i="1" s="1"/>
  <c r="O198" i="1" s="1"/>
  <c r="O199" i="1" s="1"/>
  <c r="A75" i="28"/>
  <c r="P3" i="1"/>
  <c r="P4" i="1" s="1"/>
  <c r="P5" i="1" s="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U3" i="1"/>
  <c r="U4" i="1" s="1"/>
  <c r="U5" i="1" s="1"/>
  <c r="U6" i="1" s="1"/>
  <c r="U7" i="1" s="1"/>
  <c r="U8" i="1" s="1"/>
  <c r="U9" i="1" s="1"/>
  <c r="U10" i="1" s="1"/>
  <c r="U11" i="1" s="1"/>
  <c r="U12" i="1" s="1"/>
  <c r="U13" i="1" s="1"/>
  <c r="U14" i="1" s="1"/>
  <c r="U15" i="1" s="1"/>
  <c r="U16" i="1" s="1"/>
  <c r="U17" i="1" s="1"/>
  <c r="U18" i="1" s="1"/>
  <c r="U19" i="1" s="1"/>
  <c r="U20" i="1" s="1"/>
  <c r="U21" i="1" s="1"/>
  <c r="U22" i="1" s="1"/>
  <c r="U23" i="1" s="1"/>
  <c r="U24" i="1" s="1"/>
  <c r="U25" i="1" s="1"/>
  <c r="U26" i="1" s="1"/>
  <c r="U27" i="1" s="1"/>
  <c r="U28" i="1" s="1"/>
  <c r="U29" i="1" s="1"/>
  <c r="U30" i="1" s="1"/>
  <c r="U31" i="1" s="1"/>
  <c r="U32" i="1" s="1"/>
  <c r="U33" i="1" s="1"/>
  <c r="U34" i="1" s="1"/>
  <c r="U35" i="1" s="1"/>
  <c r="U36" i="1" s="1"/>
  <c r="U37" i="1" s="1"/>
  <c r="U38" i="1" s="1"/>
  <c r="U39" i="1" s="1"/>
  <c r="U40" i="1" s="1"/>
  <c r="U41" i="1" s="1"/>
  <c r="U42" i="1" s="1"/>
  <c r="A81" i="28"/>
  <c r="I73" i="7"/>
  <c r="I86" i="7"/>
  <c r="I59" i="7"/>
  <c r="I38" i="2"/>
  <c r="I53" i="2" s="1"/>
  <c r="I4" i="9" s="1"/>
  <c r="I160" i="9" s="1"/>
  <c r="S3" i="1"/>
  <c r="S4" i="1" s="1"/>
  <c r="S5" i="1" s="1"/>
  <c r="S6" i="1" s="1"/>
  <c r="S7" i="1" s="1"/>
  <c r="S8" i="1" s="1"/>
  <c r="S9" i="1" s="1"/>
  <c r="S10" i="1" s="1"/>
  <c r="S11" i="1" s="1"/>
  <c r="S12" i="1" s="1"/>
  <c r="S13" i="1" s="1"/>
  <c r="S14" i="1" s="1"/>
  <c r="S15" i="1" s="1"/>
  <c r="S16" i="1" s="1"/>
  <c r="S17" i="1" s="1"/>
  <c r="S18" i="1" s="1"/>
  <c r="S19" i="1" s="1"/>
  <c r="S20" i="1" s="1"/>
  <c r="S21" i="1" s="1"/>
  <c r="S22" i="1" s="1"/>
  <c r="S23" i="1" s="1"/>
  <c r="S24" i="1" s="1"/>
  <c r="S25" i="1" s="1"/>
  <c r="S26" i="1" s="1"/>
  <c r="S27" i="1" s="1"/>
  <c r="S28" i="1" s="1"/>
  <c r="S29" i="1" s="1"/>
  <c r="S30" i="1" s="1"/>
  <c r="S31" i="1" s="1"/>
  <c r="S32" i="1" s="1"/>
  <c r="S33" i="1" s="1"/>
  <c r="S34" i="1" s="1"/>
  <c r="S35" i="1" s="1"/>
  <c r="S36" i="1" s="1"/>
  <c r="S37" i="1" s="1"/>
  <c r="S38" i="1" s="1"/>
  <c r="S39" i="1" s="1"/>
  <c r="S40" i="1" s="1"/>
  <c r="S41" i="1" s="1"/>
  <c r="S42" i="1" s="1"/>
  <c r="I41" i="2"/>
  <c r="I56" i="2" s="1"/>
  <c r="I7" i="9" s="1"/>
  <c r="I98" i="9" s="1"/>
  <c r="I51" i="8"/>
  <c r="I50" i="8"/>
  <c r="I75" i="8"/>
  <c r="I37" i="2"/>
  <c r="I52" i="2" s="1"/>
  <c r="I3" i="9" s="1"/>
  <c r="I162" i="9" s="1"/>
  <c r="I69" i="7"/>
  <c r="B223" i="9"/>
  <c r="I42" i="2"/>
  <c r="I57" i="2" s="1"/>
  <c r="I77" i="7" s="1"/>
  <c r="B226" i="9"/>
  <c r="B227" i="9"/>
  <c r="T3" i="1"/>
  <c r="T4" i="1" s="1"/>
  <c r="T5" i="1" s="1"/>
  <c r="T6" i="1" s="1"/>
  <c r="T7" i="1" s="1"/>
  <c r="T8" i="1" s="1"/>
  <c r="T9" i="1" s="1"/>
  <c r="T10" i="1" s="1"/>
  <c r="T11" i="1" s="1"/>
  <c r="T12" i="1" s="1"/>
  <c r="T13" i="1" s="1"/>
  <c r="T14" i="1" s="1"/>
  <c r="T15" i="1" s="1"/>
  <c r="T16" i="1" s="1"/>
  <c r="T17" i="1" s="1"/>
  <c r="T18" i="1" s="1"/>
  <c r="T19" i="1" s="1"/>
  <c r="T20" i="1" s="1"/>
  <c r="T21" i="1" s="1"/>
  <c r="T22" i="1" s="1"/>
  <c r="T23" i="1" s="1"/>
  <c r="T24" i="1" s="1"/>
  <c r="T25" i="1" s="1"/>
  <c r="T26" i="1" s="1"/>
  <c r="T27" i="1" s="1"/>
  <c r="T28" i="1" s="1"/>
  <c r="T29" i="1" s="1"/>
  <c r="T30" i="1" s="1"/>
  <c r="T31" i="1" s="1"/>
  <c r="T32" i="1" s="1"/>
  <c r="T33" i="1" s="1"/>
  <c r="T34" i="1" s="1"/>
  <c r="T35" i="1" s="1"/>
  <c r="T36" i="1" s="1"/>
  <c r="T37" i="1" s="1"/>
  <c r="T38" i="1" s="1"/>
  <c r="T39" i="1" s="1"/>
  <c r="T40" i="1" s="1"/>
  <c r="T41" i="1" s="1"/>
  <c r="T42" i="1" s="1"/>
  <c r="I29" i="8"/>
  <c r="I87" i="8" s="1"/>
  <c r="I24" i="7"/>
  <c r="I83" i="7" s="1"/>
  <c r="H199" i="9" l="1"/>
  <c r="R3" i="1"/>
  <c r="R4" i="1" s="1"/>
  <c r="R5" i="1" s="1"/>
  <c r="R6" i="1" s="1"/>
  <c r="R7" i="1" s="1"/>
  <c r="R8" i="1" s="1"/>
  <c r="R9" i="1" s="1"/>
  <c r="R10" i="1" s="1"/>
  <c r="R11" i="1" s="1"/>
  <c r="R12" i="1" s="1"/>
  <c r="R13" i="1" s="1"/>
  <c r="R14" i="1" s="1"/>
  <c r="R15" i="1" s="1"/>
  <c r="R16" i="1" s="1"/>
  <c r="R17" i="1" s="1"/>
  <c r="R18" i="1" s="1"/>
  <c r="R19" i="1" s="1"/>
  <c r="R20" i="1" s="1"/>
  <c r="R21" i="1" s="1"/>
  <c r="R22" i="1" s="1"/>
  <c r="R23" i="1" s="1"/>
  <c r="R24" i="1" s="1"/>
  <c r="R25" i="1" s="1"/>
  <c r="R26" i="1" s="1"/>
  <c r="R27" i="1" s="1"/>
  <c r="R28" i="1" s="1"/>
  <c r="R29" i="1" s="1"/>
  <c r="R30" i="1" s="1"/>
  <c r="R31" i="1" s="1"/>
  <c r="R32" i="1" s="1"/>
  <c r="R33" i="1" s="1"/>
  <c r="R34" i="1" s="1"/>
  <c r="R35" i="1" s="1"/>
  <c r="R36" i="1" s="1"/>
  <c r="R37" i="1" s="1"/>
  <c r="R38" i="1" s="1"/>
  <c r="R39" i="1" s="1"/>
  <c r="R40" i="1" s="1"/>
  <c r="R41" i="1" s="1"/>
  <c r="R42" i="1" s="1"/>
  <c r="H244" i="9"/>
  <c r="H195" i="9"/>
  <c r="H198" i="9"/>
  <c r="H232" i="9"/>
  <c r="H234" i="9" s="1"/>
  <c r="H235" i="9" s="1"/>
  <c r="H148" i="8" s="1"/>
  <c r="H2" i="6"/>
  <c r="H3" i="6" s="1"/>
  <c r="H246" i="9"/>
  <c r="H240" i="9"/>
  <c r="H30" i="8"/>
  <c r="H88" i="8" s="1"/>
  <c r="H201" i="9"/>
  <c r="H241" i="9"/>
  <c r="H245" i="9"/>
  <c r="H135" i="9"/>
  <c r="I100" i="9"/>
  <c r="N3" i="1"/>
  <c r="N4" i="1" s="1"/>
  <c r="N5" i="1" s="1"/>
  <c r="N6" i="1" s="1"/>
  <c r="N7" i="1" s="1"/>
  <c r="N8" i="1" s="1"/>
  <c r="N9" i="1" s="1"/>
  <c r="N10" i="1" s="1"/>
  <c r="N11" i="1" s="1"/>
  <c r="N12" i="1" s="1"/>
  <c r="N13" i="1" s="1"/>
  <c r="N14" i="1" s="1"/>
  <c r="N15" i="1" s="1"/>
  <c r="N16" i="1" s="1"/>
  <c r="N17" i="1" s="1"/>
  <c r="N18" i="1" s="1"/>
  <c r="N19" i="1" s="1"/>
  <c r="N20" i="1" s="1"/>
  <c r="N21" i="1" s="1"/>
  <c r="N22" i="1" s="1"/>
  <c r="N23" i="1" s="1"/>
  <c r="N24" i="1" s="1"/>
  <c r="N25" i="1" s="1"/>
  <c r="N26" i="1" s="1"/>
  <c r="N27" i="1" s="1"/>
  <c r="N28" i="1" s="1"/>
  <c r="N29" i="1" s="1"/>
  <c r="N30" i="1" s="1"/>
  <c r="N31" i="1" s="1"/>
  <c r="N32" i="1" s="1"/>
  <c r="N33" i="1" s="1"/>
  <c r="N34" i="1" s="1"/>
  <c r="N35" i="1" s="1"/>
  <c r="N36" i="1" s="1"/>
  <c r="N37" i="1" s="1"/>
  <c r="N38" i="1" s="1"/>
  <c r="N39" i="1" s="1"/>
  <c r="N40" i="1" s="1"/>
  <c r="N41" i="1" s="1"/>
  <c r="N42" i="1" s="1"/>
  <c r="I158" i="9"/>
  <c r="I96" i="9"/>
  <c r="I95" i="7"/>
  <c r="I99" i="9"/>
  <c r="I159" i="9"/>
  <c r="I101" i="9"/>
  <c r="I80" i="7"/>
  <c r="J103" i="7" s="1"/>
  <c r="D15" i="15"/>
  <c r="C24" i="26"/>
  <c r="B24" i="28" s="1"/>
  <c r="B105" i="26"/>
  <c r="J15" i="15"/>
  <c r="I62" i="2"/>
  <c r="I66" i="2" s="1"/>
  <c r="I83" i="9" s="1"/>
  <c r="I92" i="7"/>
  <c r="I141" i="8"/>
  <c r="I89" i="7"/>
  <c r="H31" i="8" l="1"/>
  <c r="H143" i="8" s="1"/>
  <c r="H142" i="8"/>
  <c r="J146" i="11"/>
  <c r="J4" i="2" s="1"/>
  <c r="J109" i="7"/>
  <c r="J97" i="26" s="1"/>
  <c r="J147" i="11"/>
  <c r="J5" i="2" s="1"/>
  <c r="J145" i="11"/>
  <c r="J3" i="2" s="1"/>
  <c r="J144" i="11"/>
  <c r="J2" i="2" s="1"/>
  <c r="J149" i="11"/>
  <c r="J7" i="2" s="1"/>
  <c r="J148" i="11"/>
  <c r="J6" i="2" s="1"/>
  <c r="J150" i="11"/>
  <c r="J8" i="2" s="1"/>
  <c r="J131" i="8" s="1"/>
  <c r="J151" i="11"/>
  <c r="J9" i="2" s="1"/>
  <c r="J138" i="8" s="1"/>
  <c r="D23" i="26"/>
  <c r="D24" i="26"/>
  <c r="I69" i="2"/>
  <c r="I144" i="9" s="1"/>
  <c r="J18" i="8" l="1"/>
  <c r="J76" i="8" s="1"/>
  <c r="J130" i="8"/>
  <c r="J15" i="8"/>
  <c r="J73" i="8" s="1"/>
  <c r="J127" i="8"/>
  <c r="J14" i="8"/>
  <c r="J47" i="8" s="1"/>
  <c r="J126" i="8"/>
  <c r="J13" i="8"/>
  <c r="J125" i="8"/>
  <c r="J17" i="8"/>
  <c r="J50" i="8" s="1"/>
  <c r="J129" i="8"/>
  <c r="J16" i="8"/>
  <c r="J49" i="8" s="1"/>
  <c r="J128" i="8"/>
  <c r="H149" i="8"/>
  <c r="H106" i="8" s="1"/>
  <c r="H89" i="8"/>
  <c r="I17" i="9"/>
  <c r="I8" i="9"/>
  <c r="J22" i="2"/>
  <c r="J36" i="2" s="1"/>
  <c r="J51" i="2" s="1"/>
  <c r="J2" i="9" s="1"/>
  <c r="J161" i="9" s="1"/>
  <c r="J24" i="2"/>
  <c r="J38" i="2" s="1"/>
  <c r="J53" i="2" s="1"/>
  <c r="J4" i="9" s="1"/>
  <c r="J160" i="9" s="1"/>
  <c r="J25" i="2"/>
  <c r="J39" i="2" s="1"/>
  <c r="J23" i="2"/>
  <c r="J69" i="7" s="1"/>
  <c r="J27" i="2"/>
  <c r="J73" i="7" s="1"/>
  <c r="J26" i="2"/>
  <c r="J29" i="2"/>
  <c r="J86" i="7" s="1"/>
  <c r="J28" i="2"/>
  <c r="J42" i="2" s="1"/>
  <c r="J57" i="2" s="1"/>
  <c r="J40" i="2" l="1"/>
  <c r="J55" i="2"/>
  <c r="J6" i="9" s="1"/>
  <c r="J97" i="9" s="1"/>
  <c r="I95" i="9"/>
  <c r="I156" i="9"/>
  <c r="I72" i="9"/>
  <c r="I73" i="9" s="1"/>
  <c r="I74" i="9" s="1"/>
  <c r="I75" i="9" s="1"/>
  <c r="I76" i="9" s="1"/>
  <c r="I77" i="9" s="1"/>
  <c r="I78" i="9" s="1"/>
  <c r="I147" i="9"/>
  <c r="I165" i="9" s="1"/>
  <c r="I86" i="9"/>
  <c r="I104" i="9" s="1"/>
  <c r="J68" i="7"/>
  <c r="J51" i="8"/>
  <c r="J48" i="8"/>
  <c r="J75" i="8"/>
  <c r="J77" i="7"/>
  <c r="J99" i="9"/>
  <c r="J70" i="7"/>
  <c r="J71" i="7"/>
  <c r="J54" i="2"/>
  <c r="J5" i="9" s="1"/>
  <c r="J96" i="9" s="1"/>
  <c r="J37" i="2"/>
  <c r="J52" i="2" s="1"/>
  <c r="J3" i="9" s="1"/>
  <c r="J101" i="9" s="1"/>
  <c r="J100" i="9"/>
  <c r="J41" i="2"/>
  <c r="J56" i="2" s="1"/>
  <c r="J7" i="9" s="1"/>
  <c r="J159" i="9" s="1"/>
  <c r="J74" i="8"/>
  <c r="J72" i="7"/>
  <c r="J58" i="7"/>
  <c r="J72" i="8"/>
  <c r="J58" i="2"/>
  <c r="J78" i="7" s="1"/>
  <c r="J25" i="7"/>
  <c r="J43" i="2"/>
  <c r="J59" i="7"/>
  <c r="J29" i="8"/>
  <c r="J87" i="8" s="1"/>
  <c r="J24" i="7"/>
  <c r="J83" i="7" s="1"/>
  <c r="J95" i="7" s="1"/>
  <c r="I173" i="9" l="1"/>
  <c r="I182" i="9" s="1"/>
  <c r="I186" i="9" s="1"/>
  <c r="I169" i="9"/>
  <c r="I178" i="9" s="1"/>
  <c r="I189" i="9" s="1"/>
  <c r="I168" i="9"/>
  <c r="I177" i="9" s="1"/>
  <c r="I192" i="9" s="1"/>
  <c r="I201" i="9" s="1"/>
  <c r="I170" i="9"/>
  <c r="I179" i="9" s="1"/>
  <c r="I190" i="9" s="1"/>
  <c r="I199" i="9" s="1"/>
  <c r="I172" i="9"/>
  <c r="I181" i="9" s="1"/>
  <c r="I188" i="9" s="1"/>
  <c r="I174" i="9"/>
  <c r="I183" i="9" s="1"/>
  <c r="I187" i="9" s="1"/>
  <c r="I196" i="9" s="1"/>
  <c r="I171" i="9"/>
  <c r="I180" i="9" s="1"/>
  <c r="I191" i="9" s="1"/>
  <c r="I200" i="9" s="1"/>
  <c r="I107" i="9"/>
  <c r="I116" i="9" s="1"/>
  <c r="I131" i="9" s="1"/>
  <c r="I140" i="9" s="1"/>
  <c r="I109" i="9"/>
  <c r="I118" i="9" s="1"/>
  <c r="I129" i="9" s="1"/>
  <c r="I138" i="9" s="1"/>
  <c r="I112" i="9"/>
  <c r="I121" i="9" s="1"/>
  <c r="I125" i="9" s="1"/>
  <c r="I134" i="9" s="1"/>
  <c r="I110" i="9"/>
  <c r="I119" i="9" s="1"/>
  <c r="I130" i="9" s="1"/>
  <c r="I139" i="9" s="1"/>
  <c r="I108" i="9"/>
  <c r="I117" i="9" s="1"/>
  <c r="I128" i="9" s="1"/>
  <c r="I137" i="9" s="1"/>
  <c r="I113" i="9"/>
  <c r="I111" i="9"/>
  <c r="I120" i="9" s="1"/>
  <c r="I127" i="9" s="1"/>
  <c r="I136" i="9" s="1"/>
  <c r="J157" i="9"/>
  <c r="J162" i="9"/>
  <c r="J98" i="9"/>
  <c r="J62" i="2"/>
  <c r="J69" i="2" s="1"/>
  <c r="J144" i="9" s="1"/>
  <c r="J158" i="9"/>
  <c r="J141" i="8"/>
  <c r="J92" i="7"/>
  <c r="J80" i="7"/>
  <c r="K103" i="7" s="1"/>
  <c r="J17" i="9" l="1"/>
  <c r="J8" i="9"/>
  <c r="I198" i="9"/>
  <c r="I232" i="9"/>
  <c r="I234" i="9" s="1"/>
  <c r="I235" i="9" s="1"/>
  <c r="I148" i="8" s="1"/>
  <c r="I122" i="9"/>
  <c r="I126" i="9" s="1"/>
  <c r="I241" i="9"/>
  <c r="I197" i="9"/>
  <c r="I246" i="9"/>
  <c r="I244" i="9"/>
  <c r="I2" i="6"/>
  <c r="I3" i="6" s="1"/>
  <c r="I240" i="9"/>
  <c r="I195" i="9"/>
  <c r="I30" i="8"/>
  <c r="K109" i="7"/>
  <c r="K97" i="26" s="1"/>
  <c r="J66" i="2"/>
  <c r="J83" i="9" s="1"/>
  <c r="K145" i="11"/>
  <c r="K3" i="2" s="1"/>
  <c r="K149" i="11"/>
  <c r="K7" i="2" s="1"/>
  <c r="K148" i="11"/>
  <c r="K6" i="2" s="1"/>
  <c r="K146" i="11"/>
  <c r="K4" i="2" s="1"/>
  <c r="K150" i="11"/>
  <c r="K8" i="2" s="1"/>
  <c r="K131" i="8" s="1"/>
  <c r="K144" i="11"/>
  <c r="K2" i="2" s="1"/>
  <c r="K147" i="11"/>
  <c r="K5" i="2" s="1"/>
  <c r="K151" i="11"/>
  <c r="K9" i="2" s="1"/>
  <c r="K138" i="8" s="1"/>
  <c r="J89" i="7"/>
  <c r="K15" i="8" l="1"/>
  <c r="K73" i="8" s="1"/>
  <c r="K127" i="8"/>
  <c r="K16" i="8"/>
  <c r="K74" i="8" s="1"/>
  <c r="K128" i="8"/>
  <c r="K17" i="8"/>
  <c r="K75" i="8" s="1"/>
  <c r="K129" i="8"/>
  <c r="K14" i="8"/>
  <c r="K72" i="8" s="1"/>
  <c r="K126" i="8"/>
  <c r="K13" i="8"/>
  <c r="K125" i="8"/>
  <c r="K18" i="8"/>
  <c r="K76" i="8" s="1"/>
  <c r="K130" i="8"/>
  <c r="J156" i="9"/>
  <c r="J72" i="9"/>
  <c r="J73" i="9" s="1"/>
  <c r="J74" i="9" s="1"/>
  <c r="J75" i="9" s="1"/>
  <c r="J76" i="9" s="1"/>
  <c r="J77" i="9" s="1"/>
  <c r="J78" i="9" s="1"/>
  <c r="J95" i="9"/>
  <c r="I88" i="8"/>
  <c r="I142" i="8"/>
  <c r="I245" i="9"/>
  <c r="I31" i="8" s="1"/>
  <c r="I135" i="9"/>
  <c r="J86" i="9"/>
  <c r="J104" i="9" s="1"/>
  <c r="J147" i="9"/>
  <c r="J165" i="9" s="1"/>
  <c r="C9" i="26"/>
  <c r="D9" i="26" s="1"/>
  <c r="K25" i="2"/>
  <c r="K28" i="2"/>
  <c r="K27" i="2"/>
  <c r="K23" i="2"/>
  <c r="K26" i="2"/>
  <c r="K55" i="2" s="1"/>
  <c r="K29" i="2"/>
  <c r="K22" i="2"/>
  <c r="K24" i="2"/>
  <c r="J113" i="9" l="1"/>
  <c r="J108" i="9"/>
  <c r="J117" i="9" s="1"/>
  <c r="J128" i="9" s="1"/>
  <c r="J137" i="9" s="1"/>
  <c r="J112" i="9"/>
  <c r="J121" i="9" s="1"/>
  <c r="J125" i="9" s="1"/>
  <c r="J134" i="9" s="1"/>
  <c r="J107" i="9"/>
  <c r="J116" i="9" s="1"/>
  <c r="J131" i="9" s="1"/>
  <c r="J140" i="9" s="1"/>
  <c r="J110" i="9"/>
  <c r="J119" i="9" s="1"/>
  <c r="J130" i="9" s="1"/>
  <c r="J139" i="9" s="1"/>
  <c r="J111" i="9"/>
  <c r="J120" i="9" s="1"/>
  <c r="J127" i="9" s="1"/>
  <c r="J136" i="9" s="1"/>
  <c r="I89" i="8"/>
  <c r="I143" i="8"/>
  <c r="I149" i="8" s="1"/>
  <c r="I106" i="8" s="1"/>
  <c r="J170" i="9"/>
  <c r="J179" i="9" s="1"/>
  <c r="J190" i="9" s="1"/>
  <c r="J199" i="9" s="1"/>
  <c r="J169" i="9"/>
  <c r="J178" i="9" s="1"/>
  <c r="J189" i="9" s="1"/>
  <c r="J168" i="9"/>
  <c r="J177" i="9" s="1"/>
  <c r="J192" i="9" s="1"/>
  <c r="J201" i="9" s="1"/>
  <c r="J172" i="9"/>
  <c r="J181" i="9" s="1"/>
  <c r="J188" i="9" s="1"/>
  <c r="J173" i="9"/>
  <c r="J182" i="9" s="1"/>
  <c r="J186" i="9" s="1"/>
  <c r="J171" i="9"/>
  <c r="J180" i="9" s="1"/>
  <c r="J191" i="9" s="1"/>
  <c r="J200" i="9" s="1"/>
  <c r="J174" i="9"/>
  <c r="J183" i="9" s="1"/>
  <c r="J187" i="9" s="1"/>
  <c r="J196" i="9" s="1"/>
  <c r="J109" i="9"/>
  <c r="J118" i="9" s="1"/>
  <c r="J129" i="9" s="1"/>
  <c r="J138" i="9" s="1"/>
  <c r="K50" i="8"/>
  <c r="K73" i="7"/>
  <c r="K41" i="2"/>
  <c r="K56" i="2" s="1"/>
  <c r="K7" i="9" s="1"/>
  <c r="K24" i="7"/>
  <c r="K83" i="7" s="1"/>
  <c r="K42" i="2"/>
  <c r="K57" i="2" s="1"/>
  <c r="K77" i="7" s="1"/>
  <c r="K49" i="8"/>
  <c r="K48" i="8"/>
  <c r="K86" i="7"/>
  <c r="K59" i="7"/>
  <c r="K25" i="7"/>
  <c r="K43" i="2"/>
  <c r="K58" i="2"/>
  <c r="K78" i="7" s="1"/>
  <c r="K68" i="7"/>
  <c r="K36" i="2"/>
  <c r="K51" i="2" s="1"/>
  <c r="K2" i="9" s="1"/>
  <c r="K29" i="8"/>
  <c r="K72" i="7"/>
  <c r="K40" i="2"/>
  <c r="K6" i="9"/>
  <c r="K69" i="7"/>
  <c r="K37" i="2"/>
  <c r="K52" i="2" s="1"/>
  <c r="K3" i="9" s="1"/>
  <c r="K51" i="8"/>
  <c r="K38" i="2"/>
  <c r="K53" i="2" s="1"/>
  <c r="K4" i="9" s="1"/>
  <c r="K70" i="7"/>
  <c r="K47" i="8"/>
  <c r="K58" i="7"/>
  <c r="K71" i="7"/>
  <c r="K39" i="2"/>
  <c r="K54" i="2"/>
  <c r="K5" i="9" s="1"/>
  <c r="J198" i="9" l="1"/>
  <c r="J232" i="9"/>
  <c r="J234" i="9" s="1"/>
  <c r="J235" i="9" s="1"/>
  <c r="J148" i="8" s="1"/>
  <c r="J195" i="9"/>
  <c r="J244" i="9"/>
  <c r="J2" i="6"/>
  <c r="J3" i="6" s="1"/>
  <c r="J30" i="8"/>
  <c r="J240" i="9"/>
  <c r="J197" i="9"/>
  <c r="J246" i="9"/>
  <c r="J122" i="9"/>
  <c r="J126" i="9" s="1"/>
  <c r="J241" i="9"/>
  <c r="K162" i="9"/>
  <c r="K101" i="9"/>
  <c r="K159" i="9"/>
  <c r="K98" i="9"/>
  <c r="K157" i="9"/>
  <c r="K96" i="9"/>
  <c r="K99" i="9"/>
  <c r="K160" i="9"/>
  <c r="K100" i="9"/>
  <c r="K161" i="9"/>
  <c r="K97" i="9"/>
  <c r="K158" i="9"/>
  <c r="K87" i="8"/>
  <c r="K141" i="8"/>
  <c r="K95" i="7"/>
  <c r="K92" i="7"/>
  <c r="K62" i="2"/>
  <c r="K66" i="2" s="1"/>
  <c r="J135" i="9" l="1"/>
  <c r="J245" i="9"/>
  <c r="J31" i="8" s="1"/>
  <c r="J88" i="8"/>
  <c r="J142" i="8"/>
  <c r="K69" i="2"/>
  <c r="K144" i="9" s="1"/>
  <c r="K83" i="9"/>
  <c r="K89" i="7"/>
  <c r="J89" i="8" l="1"/>
  <c r="J143" i="8"/>
  <c r="J149" i="8" s="1"/>
  <c r="J106" i="8" s="1"/>
  <c r="K8" i="9"/>
  <c r="K17" i="9"/>
  <c r="K80" i="7"/>
  <c r="L103" i="7" s="1"/>
  <c r="K72" i="9" l="1"/>
  <c r="K73" i="9" s="1"/>
  <c r="K74" i="9" s="1"/>
  <c r="K75" i="9" s="1"/>
  <c r="K76" i="9" s="1"/>
  <c r="K77" i="9" s="1"/>
  <c r="K78" i="9" s="1"/>
  <c r="K156" i="9"/>
  <c r="K95" i="9"/>
  <c r="K86" i="9"/>
  <c r="K104" i="9" s="1"/>
  <c r="K147" i="9"/>
  <c r="K165" i="9" s="1"/>
  <c r="L109" i="7"/>
  <c r="L97" i="26" s="1"/>
  <c r="L144" i="11"/>
  <c r="L2" i="2" s="1"/>
  <c r="L148" i="11"/>
  <c r="L6" i="2" s="1"/>
  <c r="L147" i="11"/>
  <c r="L5" i="2" s="1"/>
  <c r="L145" i="11"/>
  <c r="L3" i="2" s="1"/>
  <c r="L149" i="11"/>
  <c r="L7" i="2" s="1"/>
  <c r="L146" i="11"/>
  <c r="L4" i="2" s="1"/>
  <c r="L150" i="11"/>
  <c r="L8" i="2" s="1"/>
  <c r="L131" i="8" s="1"/>
  <c r="L151" i="11"/>
  <c r="L9" i="2" s="1"/>
  <c r="L138" i="8" s="1"/>
  <c r="L15" i="8" l="1"/>
  <c r="L73" i="8" s="1"/>
  <c r="L127" i="8"/>
  <c r="L18" i="8"/>
  <c r="L76" i="8" s="1"/>
  <c r="L130" i="8"/>
  <c r="L13" i="8"/>
  <c r="L125" i="8"/>
  <c r="L17" i="8"/>
  <c r="L75" i="8" s="1"/>
  <c r="L129" i="8"/>
  <c r="L14" i="8"/>
  <c r="L47" i="8" s="1"/>
  <c r="L126" i="8"/>
  <c r="L16" i="8"/>
  <c r="L74" i="8" s="1"/>
  <c r="L128" i="8"/>
  <c r="K107" i="9"/>
  <c r="K116" i="9" s="1"/>
  <c r="K131" i="9" s="1"/>
  <c r="K140" i="9" s="1"/>
  <c r="K110" i="9"/>
  <c r="K119" i="9" s="1"/>
  <c r="K130" i="9" s="1"/>
  <c r="K139" i="9" s="1"/>
  <c r="K112" i="9"/>
  <c r="K121" i="9" s="1"/>
  <c r="K125" i="9" s="1"/>
  <c r="K134" i="9" s="1"/>
  <c r="K109" i="9"/>
  <c r="K118" i="9" s="1"/>
  <c r="K129" i="9" s="1"/>
  <c r="K138" i="9" s="1"/>
  <c r="K113" i="9"/>
  <c r="K111" i="9"/>
  <c r="K120" i="9" s="1"/>
  <c r="K127" i="9" s="1"/>
  <c r="K136" i="9" s="1"/>
  <c r="K108" i="9"/>
  <c r="K117" i="9" s="1"/>
  <c r="K128" i="9" s="1"/>
  <c r="K137" i="9" s="1"/>
  <c r="K171" i="9"/>
  <c r="K180" i="9" s="1"/>
  <c r="K191" i="9" s="1"/>
  <c r="K200" i="9" s="1"/>
  <c r="K168" i="9"/>
  <c r="K177" i="9" s="1"/>
  <c r="K192" i="9" s="1"/>
  <c r="K201" i="9" s="1"/>
  <c r="K174" i="9"/>
  <c r="K183" i="9" s="1"/>
  <c r="K187" i="9" s="1"/>
  <c r="K196" i="9" s="1"/>
  <c r="K173" i="9"/>
  <c r="K182" i="9" s="1"/>
  <c r="K186" i="9" s="1"/>
  <c r="K169" i="9"/>
  <c r="K178" i="9" s="1"/>
  <c r="K189" i="9" s="1"/>
  <c r="K172" i="9"/>
  <c r="K181" i="9" s="1"/>
  <c r="K188" i="9" s="1"/>
  <c r="K170" i="9"/>
  <c r="K179" i="9" s="1"/>
  <c r="K190" i="9" s="1"/>
  <c r="K199" i="9" s="1"/>
  <c r="L27" i="2"/>
  <c r="L41" i="2" s="1"/>
  <c r="L56" i="2" s="1"/>
  <c r="L7" i="9" s="1"/>
  <c r="L159" i="9" s="1"/>
  <c r="L23" i="2"/>
  <c r="L37" i="2" s="1"/>
  <c r="L52" i="2" s="1"/>
  <c r="L3" i="9" s="1"/>
  <c r="L162" i="9" s="1"/>
  <c r="L25" i="2"/>
  <c r="L24" i="2"/>
  <c r="L26" i="2"/>
  <c r="L55" i="2" s="1"/>
  <c r="L29" i="2"/>
  <c r="L28" i="2"/>
  <c r="L22" i="2"/>
  <c r="L72" i="8" l="1"/>
  <c r="K198" i="9"/>
  <c r="K232" i="9"/>
  <c r="K234" i="9" s="1"/>
  <c r="K235" i="9" s="1"/>
  <c r="K148" i="8" s="1"/>
  <c r="K244" i="9"/>
  <c r="K195" i="9"/>
  <c r="K240" i="9"/>
  <c r="K2" i="6"/>
  <c r="K3" i="6" s="1"/>
  <c r="K30" i="8"/>
  <c r="K246" i="9"/>
  <c r="K197" i="9"/>
  <c r="K241" i="9"/>
  <c r="K122" i="9"/>
  <c r="K126" i="9" s="1"/>
  <c r="L98" i="9"/>
  <c r="L51" i="8"/>
  <c r="L73" i="7"/>
  <c r="L101" i="9"/>
  <c r="L69" i="7"/>
  <c r="L54" i="2"/>
  <c r="L5" i="9" s="1"/>
  <c r="L71" i="7"/>
  <c r="L39" i="2"/>
  <c r="L49" i="8"/>
  <c r="L24" i="7"/>
  <c r="L83" i="7" s="1"/>
  <c r="L42" i="2"/>
  <c r="L57" i="2" s="1"/>
  <c r="L77" i="7" s="1"/>
  <c r="L38" i="2"/>
  <c r="L53" i="2" s="1"/>
  <c r="L4" i="9" s="1"/>
  <c r="L70" i="7"/>
  <c r="L68" i="7"/>
  <c r="L29" i="8"/>
  <c r="L36" i="2"/>
  <c r="L50" i="8"/>
  <c r="L86" i="7"/>
  <c r="L59" i="7"/>
  <c r="L43" i="2"/>
  <c r="L25" i="7"/>
  <c r="L58" i="2"/>
  <c r="L78" i="7" s="1"/>
  <c r="L6" i="9"/>
  <c r="L40" i="2"/>
  <c r="L58" i="7"/>
  <c r="L72" i="7"/>
  <c r="L48" i="8"/>
  <c r="K135" i="9" l="1"/>
  <c r="K245" i="9"/>
  <c r="K31" i="8" s="1"/>
  <c r="K142" i="8"/>
  <c r="K88" i="8"/>
  <c r="L157" i="9"/>
  <c r="L96" i="9"/>
  <c r="L87" i="8"/>
  <c r="L141" i="8"/>
  <c r="L97" i="9"/>
  <c r="L158" i="9"/>
  <c r="L51" i="2"/>
  <c r="L2" i="9" s="1"/>
  <c r="L62" i="2"/>
  <c r="L160" i="9"/>
  <c r="L99" i="9"/>
  <c r="L95" i="7"/>
  <c r="L92" i="7"/>
  <c r="K143" i="8" l="1"/>
  <c r="K149" i="8" s="1"/>
  <c r="K106" i="8" s="1"/>
  <c r="K89" i="8"/>
  <c r="L66" i="2"/>
  <c r="L83" i="9" s="1"/>
  <c r="L69" i="2"/>
  <c r="L144" i="9" s="1"/>
  <c r="L161" i="9"/>
  <c r="L100" i="9"/>
  <c r="L17" i="9" l="1"/>
  <c r="L8" i="9"/>
  <c r="L89" i="7"/>
  <c r="L156" i="9" l="1"/>
  <c r="L95" i="9"/>
  <c r="L72" i="9"/>
  <c r="L73" i="9" s="1"/>
  <c r="L74" i="9" s="1"/>
  <c r="L75" i="9" s="1"/>
  <c r="L76" i="9" s="1"/>
  <c r="L77" i="9" s="1"/>
  <c r="L78" i="9" s="1"/>
  <c r="L86" i="9"/>
  <c r="L104" i="9" s="1"/>
  <c r="L147" i="9"/>
  <c r="L165" i="9" s="1"/>
  <c r="L80" i="7"/>
  <c r="L169" i="9" l="1"/>
  <c r="L178" i="9" s="1"/>
  <c r="L189" i="9" s="1"/>
  <c r="L198" i="9" s="1"/>
  <c r="L111" i="9"/>
  <c r="L120" i="9" s="1"/>
  <c r="L127" i="9" s="1"/>
  <c r="L136" i="9" s="1"/>
  <c r="L171" i="9"/>
  <c r="L180" i="9" s="1"/>
  <c r="L191" i="9" s="1"/>
  <c r="L200" i="9" s="1"/>
  <c r="L168" i="9"/>
  <c r="L177" i="9" s="1"/>
  <c r="L192" i="9" s="1"/>
  <c r="L201" i="9" s="1"/>
  <c r="L108" i="9"/>
  <c r="L117" i="9" s="1"/>
  <c r="L128" i="9" s="1"/>
  <c r="L137" i="9" s="1"/>
  <c r="L113" i="9"/>
  <c r="L122" i="9" s="1"/>
  <c r="L126" i="9" s="1"/>
  <c r="L112" i="9"/>
  <c r="L121" i="9" s="1"/>
  <c r="L125" i="9" s="1"/>
  <c r="L134" i="9" s="1"/>
  <c r="L172" i="9"/>
  <c r="L181" i="9" s="1"/>
  <c r="L188" i="9" s="1"/>
  <c r="L246" i="9" s="1"/>
  <c r="L173" i="9"/>
  <c r="L182" i="9" s="1"/>
  <c r="L186" i="9" s="1"/>
  <c r="L244" i="9" s="1"/>
  <c r="L170" i="9"/>
  <c r="L179" i="9" s="1"/>
  <c r="L190" i="9" s="1"/>
  <c r="L199" i="9" s="1"/>
  <c r="L109" i="9"/>
  <c r="L118" i="9" s="1"/>
  <c r="L129" i="9" s="1"/>
  <c r="L138" i="9" s="1"/>
  <c r="L174" i="9"/>
  <c r="L183" i="9" s="1"/>
  <c r="L187" i="9" s="1"/>
  <c r="L196" i="9" s="1"/>
  <c r="L110" i="9"/>
  <c r="L119" i="9" s="1"/>
  <c r="L130" i="9" s="1"/>
  <c r="L139" i="9" s="1"/>
  <c r="L107" i="9"/>
  <c r="L116" i="9" s="1"/>
  <c r="L131" i="9" s="1"/>
  <c r="L140" i="9" s="1"/>
  <c r="L197" i="9" l="1"/>
  <c r="L195" i="9"/>
  <c r="L241" i="9"/>
  <c r="L30" i="8"/>
  <c r="L88" i="8" s="1"/>
  <c r="L240" i="9"/>
  <c r="L232" i="9"/>
  <c r="L234" i="9" s="1"/>
  <c r="L235" i="9" s="1"/>
  <c r="L148" i="8" s="1"/>
  <c r="L2" i="6"/>
  <c r="L3" i="6" s="1"/>
  <c r="L135" i="9"/>
  <c r="L245" i="9"/>
  <c r="L31" i="8" s="1"/>
  <c r="L142" i="8" l="1"/>
  <c r="L143" i="8"/>
  <c r="L89" i="8"/>
  <c r="L149" i="8" l="1"/>
  <c r="L106" i="8" s="1"/>
  <c r="F19" i="8" l="1"/>
  <c r="G19" i="8" s="1"/>
  <c r="C40" i="26"/>
  <c r="D40" i="26" s="1"/>
  <c r="C112" i="8"/>
  <c r="C13" i="5"/>
  <c r="E2" i="29" s="1"/>
  <c r="E112" i="8"/>
  <c r="D112" i="8"/>
  <c r="E13" i="5"/>
  <c r="G2" i="29" s="1"/>
  <c r="D13" i="5"/>
  <c r="F2" i="29" s="1"/>
  <c r="C6" i="26" l="1"/>
  <c r="C5" i="26"/>
  <c r="C4" i="26"/>
  <c r="C116" i="8"/>
  <c r="C150" i="8" s="1"/>
  <c r="C151" i="8" s="1"/>
  <c r="E3" i="29" s="1"/>
  <c r="D116" i="8"/>
  <c r="D150" i="8" s="1"/>
  <c r="D151" i="8" s="1"/>
  <c r="F3" i="29" s="1"/>
  <c r="E116" i="8"/>
  <c r="E150" i="8" s="1"/>
  <c r="E151" i="8" s="1"/>
  <c r="G3" i="29" s="1"/>
  <c r="F38" i="8"/>
  <c r="F52" i="8"/>
  <c r="F61" i="8" s="1"/>
  <c r="F103" i="8" s="1"/>
  <c r="F77" i="8"/>
  <c r="F93" i="8" s="1"/>
  <c r="F96" i="8" s="1"/>
  <c r="F102" i="8" s="1"/>
  <c r="F37" i="8"/>
  <c r="F105" i="8" s="1"/>
  <c r="F107" i="8" s="1"/>
  <c r="H19" i="8"/>
  <c r="I19" i="8" s="1"/>
  <c r="G52" i="8"/>
  <c r="G77" i="8"/>
  <c r="C36" i="26" l="1"/>
  <c r="C37" i="26"/>
  <c r="D4" i="26"/>
  <c r="D3" i="26"/>
  <c r="D5" i="26"/>
  <c r="C35" i="26"/>
  <c r="F111" i="8"/>
  <c r="F9" i="5"/>
  <c r="F11" i="5" s="1"/>
  <c r="F62" i="8"/>
  <c r="F97" i="8"/>
  <c r="H52" i="8"/>
  <c r="F4" i="5"/>
  <c r="H77" i="8"/>
  <c r="F3" i="5"/>
  <c r="F5" i="5"/>
  <c r="I52" i="8"/>
  <c r="J19" i="8"/>
  <c r="I77" i="8"/>
  <c r="D35" i="26" l="1"/>
  <c r="D36" i="26"/>
  <c r="D34" i="26"/>
  <c r="F109" i="8"/>
  <c r="F7" i="5"/>
  <c r="F110" i="8" s="1"/>
  <c r="J77" i="8"/>
  <c r="J52" i="8"/>
  <c r="K19" i="8"/>
  <c r="F19" i="5" l="1"/>
  <c r="G25" i="8" s="1"/>
  <c r="F108" i="8"/>
  <c r="F12" i="5" s="1"/>
  <c r="L19" i="8"/>
  <c r="K77" i="8"/>
  <c r="K52" i="8"/>
  <c r="G26" i="8" l="1"/>
  <c r="G22" i="8"/>
  <c r="F13" i="5"/>
  <c r="H2" i="29" s="1"/>
  <c r="F112" i="8"/>
  <c r="L77" i="8"/>
  <c r="L52" i="8"/>
  <c r="C7" i="26" l="1"/>
  <c r="D6" i="26" s="1"/>
  <c r="G79" i="8"/>
  <c r="G54" i="8"/>
  <c r="G38" i="8"/>
  <c r="G71" i="8"/>
  <c r="G46" i="8"/>
  <c r="G37" i="8"/>
  <c r="G105" i="8" s="1"/>
  <c r="G107" i="8" s="1"/>
  <c r="G80" i="8"/>
  <c r="G55" i="8"/>
  <c r="G59" i="8"/>
  <c r="G84" i="8"/>
  <c r="G83" i="8"/>
  <c r="G58" i="8"/>
  <c r="G78" i="8"/>
  <c r="G53" i="8"/>
  <c r="G82" i="8"/>
  <c r="G57" i="8"/>
  <c r="F116" i="8"/>
  <c r="F150" i="8" s="1"/>
  <c r="F151" i="8" s="1"/>
  <c r="H3" i="29" s="1"/>
  <c r="C38" i="26" l="1"/>
  <c r="G109" i="8"/>
  <c r="G111" i="8"/>
  <c r="G93" i="8"/>
  <c r="G96" i="8" s="1"/>
  <c r="G102" i="8" s="1"/>
  <c r="G62" i="8"/>
  <c r="G61" i="8"/>
  <c r="G97" i="8"/>
  <c r="D37" i="26" l="1"/>
  <c r="G5" i="5"/>
  <c r="G4" i="5"/>
  <c r="G3" i="5"/>
  <c r="G103" i="8"/>
  <c r="G9" i="5"/>
  <c r="G11" i="5" s="1"/>
  <c r="G7" i="5" l="1"/>
  <c r="G19" i="5" l="1"/>
  <c r="H25" i="8" s="1"/>
  <c r="I25" i="8" s="1"/>
  <c r="J25" i="8" s="1"/>
  <c r="K25" i="8" s="1"/>
  <c r="L25" i="8" s="1"/>
  <c r="G110" i="8"/>
  <c r="G108" i="8" s="1"/>
  <c r="G12" i="5" s="1"/>
  <c r="H26" i="8"/>
  <c r="H22" i="8"/>
  <c r="G13" i="5" l="1"/>
  <c r="C8" i="26" s="1"/>
  <c r="B94" i="28" s="1"/>
  <c r="G112" i="8"/>
  <c r="G116" i="8" s="1"/>
  <c r="G150" i="8" s="1"/>
  <c r="G151" i="8" s="1"/>
  <c r="H84" i="8"/>
  <c r="H59" i="8"/>
  <c r="I26" i="8"/>
  <c r="I22" i="8"/>
  <c r="H80" i="8"/>
  <c r="H55" i="8"/>
  <c r="H78" i="8"/>
  <c r="H53" i="8"/>
  <c r="H46" i="8"/>
  <c r="H71" i="8"/>
  <c r="H37" i="8"/>
  <c r="H105" i="8" s="1"/>
  <c r="H107" i="8" s="1"/>
  <c r="H79" i="8"/>
  <c r="H54" i="8"/>
  <c r="H38" i="8"/>
  <c r="H83" i="8"/>
  <c r="H58" i="8"/>
  <c r="H82" i="8"/>
  <c r="H57" i="8"/>
  <c r="D4" i="15" l="1"/>
  <c r="D8" i="26"/>
  <c r="D7" i="26"/>
  <c r="B22" i="28"/>
  <c r="C39" i="26"/>
  <c r="D39" i="26" s="1"/>
  <c r="A94" i="28"/>
  <c r="A22" i="28"/>
  <c r="H111" i="8"/>
  <c r="H109" i="8"/>
  <c r="I78" i="8"/>
  <c r="I53" i="8"/>
  <c r="I80" i="8"/>
  <c r="I55" i="8"/>
  <c r="J22" i="8"/>
  <c r="I83" i="8"/>
  <c r="I58" i="8"/>
  <c r="H97" i="8"/>
  <c r="H93" i="8"/>
  <c r="H96" i="8" s="1"/>
  <c r="H102" i="8" s="1"/>
  <c r="I59" i="8"/>
  <c r="J26" i="8"/>
  <c r="I84" i="8"/>
  <c r="I79" i="8"/>
  <c r="I54" i="8"/>
  <c r="I38" i="8"/>
  <c r="H61" i="8"/>
  <c r="H62" i="8"/>
  <c r="I71" i="8"/>
  <c r="I46" i="8"/>
  <c r="I37" i="8"/>
  <c r="I105" i="8" s="1"/>
  <c r="I107" i="8" s="1"/>
  <c r="I82" i="8"/>
  <c r="I57" i="8"/>
  <c r="B26" i="28" l="1"/>
  <c r="G4" i="15"/>
  <c r="D38" i="26"/>
  <c r="B98" i="28"/>
  <c r="A98" i="28"/>
  <c r="A26" i="28"/>
  <c r="I109" i="8"/>
  <c r="I111" i="8"/>
  <c r="H5" i="5"/>
  <c r="I62" i="8"/>
  <c r="I61" i="8"/>
  <c r="I103" i="8" s="1"/>
  <c r="H3" i="5"/>
  <c r="J82" i="8"/>
  <c r="J57" i="8"/>
  <c r="J79" i="8"/>
  <c r="J54" i="8"/>
  <c r="J38" i="8"/>
  <c r="J58" i="8"/>
  <c r="J83" i="8"/>
  <c r="J46" i="8"/>
  <c r="J71" i="8"/>
  <c r="J37" i="8"/>
  <c r="J105" i="8" s="1"/>
  <c r="J107" i="8" s="1"/>
  <c r="J84" i="8"/>
  <c r="J59" i="8"/>
  <c r="K26" i="8"/>
  <c r="J55" i="8"/>
  <c r="J80" i="8"/>
  <c r="K22" i="8"/>
  <c r="J53" i="8"/>
  <c r="J78" i="8"/>
  <c r="H103" i="8"/>
  <c r="H9" i="5"/>
  <c r="H11" i="5" s="1"/>
  <c r="I93" i="8"/>
  <c r="I96" i="8" s="1"/>
  <c r="I102" i="8" s="1"/>
  <c r="H4" i="5"/>
  <c r="I97" i="8"/>
  <c r="I9" i="5" l="1"/>
  <c r="I11" i="5" s="1"/>
  <c r="J109" i="8"/>
  <c r="J111" i="8"/>
  <c r="H7" i="5"/>
  <c r="J97" i="8"/>
  <c r="J61" i="8"/>
  <c r="J103" i="8" s="1"/>
  <c r="I4" i="5"/>
  <c r="I5" i="5"/>
  <c r="I3" i="5"/>
  <c r="K78" i="8"/>
  <c r="K53" i="8"/>
  <c r="K46" i="8"/>
  <c r="K71" i="8"/>
  <c r="K37" i="8"/>
  <c r="K105" i="8" s="1"/>
  <c r="K107" i="8" s="1"/>
  <c r="K58" i="8"/>
  <c r="K83" i="8"/>
  <c r="J62" i="8"/>
  <c r="K84" i="8"/>
  <c r="K59" i="8"/>
  <c r="L26" i="8"/>
  <c r="K80" i="8"/>
  <c r="L22" i="8"/>
  <c r="K55" i="8"/>
  <c r="J93" i="8"/>
  <c r="J96" i="8" s="1"/>
  <c r="J102" i="8" s="1"/>
  <c r="K79" i="8"/>
  <c r="K54" i="8"/>
  <c r="K38" i="8"/>
  <c r="K82" i="8"/>
  <c r="K57" i="8"/>
  <c r="H110" i="8" l="1"/>
  <c r="H112" i="8" s="1"/>
  <c r="K111" i="8"/>
  <c r="K109" i="8"/>
  <c r="J9" i="5"/>
  <c r="J11" i="5" s="1"/>
  <c r="I7" i="5"/>
  <c r="K97" i="8"/>
  <c r="J3" i="5"/>
  <c r="K62" i="8"/>
  <c r="L84" i="8"/>
  <c r="L59" i="8"/>
  <c r="L83" i="8"/>
  <c r="L58" i="8"/>
  <c r="L53" i="8"/>
  <c r="L78" i="8"/>
  <c r="L79" i="8"/>
  <c r="L54" i="8"/>
  <c r="L38" i="8"/>
  <c r="L71" i="8"/>
  <c r="L46" i="8"/>
  <c r="L37" i="8"/>
  <c r="L105" i="8" s="1"/>
  <c r="L107" i="8" s="1"/>
  <c r="L82" i="8"/>
  <c r="L57" i="8"/>
  <c r="K93" i="8"/>
  <c r="K96" i="8" s="1"/>
  <c r="K102" i="8" s="1"/>
  <c r="J5" i="5"/>
  <c r="L55" i="8"/>
  <c r="L80" i="8"/>
  <c r="J4" i="5"/>
  <c r="K61" i="8"/>
  <c r="H108" i="8" l="1"/>
  <c r="H12" i="5" s="1"/>
  <c r="I110" i="8"/>
  <c r="I108" i="8" s="1"/>
  <c r="I12" i="5" s="1"/>
  <c r="L111" i="8"/>
  <c r="L109" i="8"/>
  <c r="J7" i="5"/>
  <c r="K3" i="5"/>
  <c r="K5" i="5"/>
  <c r="L97" i="8"/>
  <c r="K103" i="8"/>
  <c r="K9" i="5"/>
  <c r="K11" i="5" s="1"/>
  <c r="L93" i="8"/>
  <c r="L96" i="8" s="1"/>
  <c r="L102" i="8" s="1"/>
  <c r="L62" i="8"/>
  <c r="K4" i="5"/>
  <c r="L61" i="8"/>
  <c r="I13" i="5" l="1"/>
  <c r="H13" i="5"/>
  <c r="H116" i="8"/>
  <c r="H150" i="8" s="1"/>
  <c r="H151" i="8" s="1"/>
  <c r="I112" i="8"/>
  <c r="I116" i="8" s="1"/>
  <c r="I150" i="8" s="1"/>
  <c r="I151" i="8" s="1"/>
  <c r="J110" i="8"/>
  <c r="J112" i="8" s="1"/>
  <c r="K7" i="5"/>
  <c r="L5" i="5"/>
  <c r="L4" i="5"/>
  <c r="L3" i="5"/>
  <c r="L103" i="8"/>
  <c r="L9" i="5"/>
  <c r="L11" i="5" s="1"/>
  <c r="J108" i="8" l="1"/>
  <c r="J12" i="5" s="1"/>
  <c r="K110" i="8"/>
  <c r="K108" i="8" s="1"/>
  <c r="K12" i="5" s="1"/>
  <c r="L7" i="5"/>
  <c r="K13" i="5" l="1"/>
  <c r="J13" i="5"/>
  <c r="J116" i="8"/>
  <c r="J150" i="8" s="1"/>
  <c r="J151" i="8" s="1"/>
  <c r="K112" i="8"/>
  <c r="K116" i="8" s="1"/>
  <c r="K150" i="8" s="1"/>
  <c r="K151" i="8" s="1"/>
  <c r="L110" i="8"/>
  <c r="L108" i="8" s="1"/>
  <c r="L12" i="5" s="1"/>
  <c r="L13" i="5" l="1"/>
  <c r="L112" i="8"/>
  <c r="L116" i="8" s="1"/>
  <c r="L150" i="8" s="1"/>
  <c r="L151"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Robbie</author>
  </authors>
  <commentList>
    <comment ref="B5" authorId="0" shapeId="0" xr:uid="{00000000-0006-0000-0400-000001000000}">
      <text>
        <r>
          <rPr>
            <b/>
            <sz val="9"/>
            <color indexed="81"/>
            <rFont val="Tahoma"/>
            <family val="2"/>
          </rPr>
          <t>Robbie:</t>
        </r>
        <r>
          <rPr>
            <sz val="9"/>
            <color indexed="81"/>
            <rFont val="Tahoma"/>
            <family val="2"/>
          </rPr>
          <t xml:space="preserve">
stabilizes utility revenues but kills your efficiency and DER market; affects EE and DER additions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Robbie</author>
  </authors>
  <commentList>
    <comment ref="B9" authorId="0" shapeId="0" xr:uid="{00000000-0006-0000-0700-000001000000}">
      <text>
        <r>
          <rPr>
            <b/>
            <sz val="9"/>
            <color indexed="81"/>
            <rFont val="Tahoma"/>
            <family val="2"/>
          </rPr>
          <t>Robbie:</t>
        </r>
        <r>
          <rPr>
            <sz val="9"/>
            <color indexed="81"/>
            <rFont val="Tahoma"/>
            <family val="2"/>
          </rPr>
          <t xml:space="preserve">
how much do we change these?</t>
        </r>
      </text>
    </comment>
    <comment ref="A21" authorId="0" shapeId="0" xr:uid="{00000000-0006-0000-0700-000002000000}">
      <text>
        <r>
          <rPr>
            <b/>
            <sz val="9"/>
            <color indexed="81"/>
            <rFont val="Tahoma"/>
            <family val="2"/>
          </rPr>
          <t>Robbie:</t>
        </r>
        <r>
          <rPr>
            <sz val="9"/>
            <color indexed="81"/>
            <rFont val="Tahoma"/>
            <family val="2"/>
          </rPr>
          <t xml:space="preserve">
right now all types of utilities paying for all of this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Robbie</author>
  </authors>
  <commentList>
    <comment ref="A203" authorId="0" shapeId="0" xr:uid="{00000000-0006-0000-0B00-000001000000}">
      <text>
        <r>
          <rPr>
            <b/>
            <sz val="9"/>
            <color indexed="81"/>
            <rFont val="Tahoma"/>
            <family val="2"/>
          </rPr>
          <t>Robbie:</t>
        </r>
        <r>
          <rPr>
            <sz val="9"/>
            <color indexed="81"/>
            <rFont val="Tahoma"/>
            <family val="2"/>
          </rPr>
          <t xml:space="preserve">
Need to update this to reflect contracted dispatch</t>
        </r>
      </text>
    </comment>
  </commentList>
</comments>
</file>

<file path=xl/sharedStrings.xml><?xml version="1.0" encoding="utf-8"?>
<sst xmlns="http://schemas.openxmlformats.org/spreadsheetml/2006/main" count="1248" uniqueCount="564">
  <si>
    <t>Additive Policies</t>
  </si>
  <si>
    <t>Time of Use Pricing</t>
  </si>
  <si>
    <t>Decoupling</t>
  </si>
  <si>
    <t>RPS</t>
  </si>
  <si>
    <t>Heat Wave</t>
  </si>
  <si>
    <t>CO2 Pricing</t>
  </si>
  <si>
    <t>Gas Price Spike</t>
  </si>
  <si>
    <t>coal</t>
  </si>
  <si>
    <t>natural gas</t>
  </si>
  <si>
    <t>solar</t>
  </si>
  <si>
    <t>wind</t>
  </si>
  <si>
    <t>hydro</t>
  </si>
  <si>
    <t>EE</t>
  </si>
  <si>
    <t>nuclear</t>
  </si>
  <si>
    <t>Revenue</t>
  </si>
  <si>
    <t>Round</t>
  </si>
  <si>
    <t>Coal</t>
  </si>
  <si>
    <t>Natural Gas</t>
  </si>
  <si>
    <t>Nuclear</t>
  </si>
  <si>
    <t>Round ($/MMBtu)</t>
  </si>
  <si>
    <t>Carbon Pricing</t>
  </si>
  <si>
    <t>$/ton CO2</t>
  </si>
  <si>
    <t>Carbon Adder by Plant Type ($/MWh)</t>
  </si>
  <si>
    <t>Source</t>
  </si>
  <si>
    <t>EIA</t>
  </si>
  <si>
    <t>Lazard</t>
  </si>
  <si>
    <t>Total Variable Costs ($/MWh)</t>
  </si>
  <si>
    <t>Potential Generation (MWh)</t>
  </si>
  <si>
    <t>Demand (MWh)</t>
  </si>
  <si>
    <t>Cost ($/MWh)</t>
  </si>
  <si>
    <t>Price (for graphing only)</t>
  </si>
  <si>
    <t>Cumulative Potential Generation (MWh)</t>
  </si>
  <si>
    <t>Demand and Load</t>
  </si>
  <si>
    <t>Events</t>
  </si>
  <si>
    <t>Level of Vertical Integration</t>
  </si>
  <si>
    <t>GTDR</t>
  </si>
  <si>
    <t>DR</t>
  </si>
  <si>
    <t>Round 1</t>
  </si>
  <si>
    <t>Recovery of Past Investments</t>
  </si>
  <si>
    <t>Revenue Requirement</t>
  </si>
  <si>
    <t xml:space="preserve">     New Coal Plants</t>
  </si>
  <si>
    <t xml:space="preserve">     New Nuclear Plants</t>
  </si>
  <si>
    <t xml:space="preserve">     New Hydro Plants</t>
  </si>
  <si>
    <t>Amortized Collection of New Investments</t>
  </si>
  <si>
    <t xml:space="preserve">     New Solar PV Plants</t>
  </si>
  <si>
    <t xml:space="preserve">     New Wind Plants</t>
  </si>
  <si>
    <t xml:space="preserve">     New Natural Gas Plants</t>
  </si>
  <si>
    <t xml:space="preserve">     New Energy Efficiency</t>
  </si>
  <si>
    <t>Power Plant Lifetime</t>
  </si>
  <si>
    <t>&lt;assumption</t>
  </si>
  <si>
    <t>Power Plant Construction Costs ($/MW)</t>
  </si>
  <si>
    <t>Power Plant Fixed Costs ($/MW-year)</t>
  </si>
  <si>
    <t>Added Capacity (MW)</t>
  </si>
  <si>
    <t>Retiring Capacity (MW)</t>
  </si>
  <si>
    <t>Total Capacity (MW)</t>
  </si>
  <si>
    <t xml:space="preserve">     Fixed O&amp;M</t>
  </si>
  <si>
    <t xml:space="preserve">     Variable O&amp;M</t>
  </si>
  <si>
    <t xml:space="preserve">     Fuel</t>
  </si>
  <si>
    <t>Power Plant Variable Costs ($/MWh)</t>
  </si>
  <si>
    <t>Power Plant Characteristics</t>
  </si>
  <si>
    <t>Power Plant Type</t>
  </si>
  <si>
    <t>Fuel Prices</t>
  </si>
  <si>
    <t>Forecast Demand (MWh)</t>
  </si>
  <si>
    <t>Power Plant Heat Rates (MMBtu/MWh)</t>
  </si>
  <si>
    <t xml:space="preserve">     Generation</t>
  </si>
  <si>
    <t xml:space="preserve">     Transmission</t>
  </si>
  <si>
    <t xml:space="preserve">     Distribution</t>
  </si>
  <si>
    <t xml:space="preserve">     New Transmission Infrastructure</t>
  </si>
  <si>
    <t xml:space="preserve">     New Distribution System Infrastructure</t>
  </si>
  <si>
    <t>Round 2</t>
  </si>
  <si>
    <t>Round 3</t>
  </si>
  <si>
    <t>Round 4</t>
  </si>
  <si>
    <t>Round 5</t>
  </si>
  <si>
    <t>Current Round</t>
  </si>
  <si>
    <t>Utility Revenue</t>
  </si>
  <si>
    <t>Generation Operations and Maintenance Costs</t>
  </si>
  <si>
    <t>Customers</t>
  </si>
  <si>
    <t>Variable Costs</t>
  </si>
  <si>
    <t>Fixed Asset Costs</t>
  </si>
  <si>
    <t>Portion of Fixed Assets Assigned to Fixed Charges</t>
  </si>
  <si>
    <t>Fixed Charge Calculation</t>
  </si>
  <si>
    <t>Variable Charge Calculation</t>
  </si>
  <si>
    <t>Variable Charge per Customer ($/kWh)</t>
  </si>
  <si>
    <t>Fixed Charge per Customer ($)</t>
  </si>
  <si>
    <t>Forecast Load (MWh)</t>
  </si>
  <si>
    <t>Total Costs to Recover through Variable Charge</t>
  </si>
  <si>
    <t>Actual Load</t>
  </si>
  <si>
    <t>Demand and System Requirements</t>
  </si>
  <si>
    <t>Deviation from Forecast Load (+/-)</t>
  </si>
  <si>
    <t>System Load Factor</t>
  </si>
  <si>
    <t>Reserve Margin Requirement</t>
  </si>
  <si>
    <t>NERC (http://www.nerc.com/news/Headlines%20DL/2012%20Long%20Term%20Reliability%20Assessment.pdf)</t>
  </si>
  <si>
    <t>Actual Load (MWh)</t>
  </si>
  <si>
    <t>Average Demand (MW)</t>
  </si>
  <si>
    <t>Power Plant Capacity Factors</t>
  </si>
  <si>
    <t>Average</t>
  </si>
  <si>
    <t>Peak</t>
  </si>
  <si>
    <t>Revenue from Variable Charges</t>
  </si>
  <si>
    <t>Revenue from Fixed Charges</t>
  </si>
  <si>
    <t>Total Revenue Collected</t>
  </si>
  <si>
    <t>&lt;copy and paste values before running</t>
  </si>
  <si>
    <t>Average Customer Bill in Average Month</t>
  </si>
  <si>
    <t>Variable Component</t>
  </si>
  <si>
    <t xml:space="preserve">     Generation Charges ($/kWh)</t>
  </si>
  <si>
    <t xml:space="preserve">     Transmission Charges ($/kWh)</t>
  </si>
  <si>
    <t xml:space="preserve">     Distribution System Charges ($/kWh)</t>
  </si>
  <si>
    <t>Fixed Component</t>
  </si>
  <si>
    <t xml:space="preserve">     GTD Fixed Charge ($)</t>
  </si>
  <si>
    <t xml:space="preserve">     Customer Relationship ($)</t>
  </si>
  <si>
    <t>Total Variable Charges</t>
  </si>
  <si>
    <t>Total Fixed Charges</t>
  </si>
  <si>
    <t>Customer Relationship Charge ($/Bill)</t>
  </si>
  <si>
    <t>Do we allow cost recovery for EE? Right now we are</t>
  </si>
  <si>
    <t>Historical Annualized Investment Recovery for Generation</t>
  </si>
  <si>
    <t>Historical Annualized Investment Recovery for Transmission</t>
  </si>
  <si>
    <t>Historical Annualized Investment Recovery for Distribution</t>
  </si>
  <si>
    <t>Round--&gt;</t>
  </si>
  <si>
    <t>Price Ranking</t>
  </si>
  <si>
    <t>Dispatch Order</t>
  </si>
  <si>
    <t>Cumulative Dispatch Potential</t>
  </si>
  <si>
    <t>Dispatch Amounts</t>
  </si>
  <si>
    <t>MWh</t>
  </si>
  <si>
    <t>Projected Dispatch by Plant Type</t>
  </si>
  <si>
    <t>Projected Fuel Use by Plant Type (MMBtu)</t>
  </si>
  <si>
    <t>Projected Load Estimates</t>
  </si>
  <si>
    <t>Actual Load Calculations</t>
  </si>
  <si>
    <t>Dispatch by Plant Type</t>
  </si>
  <si>
    <t>Fuel + Variable O&amp;M Costs ($/MWh)</t>
  </si>
  <si>
    <t>CO2 Emissions Rate (ton/MWh)</t>
  </si>
  <si>
    <t>In vertical market, are generators paid marginal value or bid value?</t>
  </si>
  <si>
    <t>Assumption used for dispatch</t>
  </si>
  <si>
    <t>This Year Dispatch Curve for Graphing</t>
  </si>
  <si>
    <t>This Year Generation (MWh)</t>
  </si>
  <si>
    <t>Carbon Emissions Performance</t>
  </si>
  <si>
    <t>Tons CO2</t>
  </si>
  <si>
    <t>Reliability</t>
  </si>
  <si>
    <t>Flexibility Points per Technology Type</t>
  </si>
  <si>
    <t>CT (natural gas combustion turbine)</t>
  </si>
  <si>
    <t>NaS or Li-ion (batteries)</t>
  </si>
  <si>
    <t>PH (pumped hydro, many mode changes)</t>
  </si>
  <si>
    <t>PH (pumped hydro, 2 mode changes)</t>
  </si>
  <si>
    <t>PH (pumped hydro, average)</t>
  </si>
  <si>
    <t>DR (demand response)</t>
  </si>
  <si>
    <t>http://energyenvironment.pnnl.gov/ei/pdf/NWPP%20report.pdf</t>
  </si>
  <si>
    <t>Transmission Connectivity Coefficient</t>
  </si>
  <si>
    <t>Ratio of Flexbility Points to Provided Flexibility</t>
  </si>
  <si>
    <t>Policy Solutions Model</t>
  </si>
  <si>
    <t>Initial Installed Peaking Resources (MW)</t>
  </si>
  <si>
    <t>Pumped Hydro</t>
  </si>
  <si>
    <t>Batteries</t>
  </si>
  <si>
    <t>Additional Installed Peaking Resources (MW)</t>
  </si>
  <si>
    <t>Total Installed Peaking Resources (MW)</t>
  </si>
  <si>
    <t>Flexibility Points Provided by Peaking Resource</t>
  </si>
  <si>
    <t>Installed Transmission capacity</t>
  </si>
  <si>
    <t>Circuit miles</t>
  </si>
  <si>
    <t>&lt;based on http://www.eia.gov/electricity/annual/html/epa_08_10_a.html</t>
  </si>
  <si>
    <t>Circuit*miles</t>
  </si>
  <si>
    <t>Initial Installed Transmission Capacity</t>
  </si>
  <si>
    <t>Additional Installed Transmission Capacity</t>
  </si>
  <si>
    <t>Total Installed Transmission Capacity</t>
  </si>
  <si>
    <t>Percent Increase in Transmission Capacity</t>
  </si>
  <si>
    <t>%</t>
  </si>
  <si>
    <t>Ratio of total points to available points</t>
  </si>
  <si>
    <t>Total Available Flexibility Points</t>
  </si>
  <si>
    <t>Total Required Flexibility Points</t>
  </si>
  <si>
    <t>Total Potential Generation Before Reliability Considerations (MWh)</t>
  </si>
  <si>
    <t>Total Potential Generation After Reliability Considerations (MWh)</t>
  </si>
  <si>
    <t>MW</t>
  </si>
  <si>
    <t>Forecast Peak Demand</t>
  </si>
  <si>
    <t>Actual Peak Demand</t>
  </si>
  <si>
    <t>CT</t>
  </si>
  <si>
    <t>New Transmission Cost</t>
  </si>
  <si>
    <t>$/circuit mile</t>
  </si>
  <si>
    <t>Transmission Infrastructure Lifetime</t>
  </si>
  <si>
    <t>years</t>
  </si>
  <si>
    <t>http://www.ct.gov/csc/lib/csc/lifecycle2011/life_cycle_final_report.pdf</t>
  </si>
  <si>
    <t>https://www.wecc.biz/Reliability/2014_TEPPC_Transmission_CapCost_Report_B+V.pdf</t>
  </si>
  <si>
    <t>Description:</t>
  </si>
  <si>
    <t>With your support, your state has decided to implement a Renewable Portfolio Standard. By the end of turn 10, at least 20% of your utility's generation must be derived from wind and/or solar.</t>
  </si>
  <si>
    <t>How it works:</t>
  </si>
  <si>
    <t>With your support, your state has decided to decouple utility revenues from the volume of electricity sold. The variable portion of your revenues will be automatically adjusted in each round to ensure you meet the revenue requirement of the variable portion of your income.</t>
  </si>
  <si>
    <t>Impact:</t>
  </si>
  <si>
    <t>Institutes an Alternative Compliance Payment if the minimum amount of renewables are not procured.</t>
  </si>
  <si>
    <t>Causes investment in renewables that might otherwise be foregone. Players that choose to invest in renewables early as replacements for retiring assets will be rewarded with lower overall costs and lower customer bills.</t>
  </si>
  <si>
    <t>Rates in each year will be adjusted so that the utility recovers the full amount of its variable-revenue. Fixed revenue will not be adjusted.</t>
  </si>
  <si>
    <t xml:space="preserve">Impact: </t>
  </si>
  <si>
    <t>Will provide more certainty for utilities when evaluating their revenue. For utilities shifting a large portion of revenue to fixed charges, they will continue to be exposed to defecting customers.</t>
  </si>
  <si>
    <t>Increase Demand Charges</t>
  </si>
  <si>
    <t>In response to an increasing number of customers leaving the utility and falling utility revenues, your state has decided to increase the share of revenues coming from fixed charges. The fixed charge per customer is determined once in the year this policy is enacted.</t>
  </si>
  <si>
    <t>Increases the proportion of revenue coming from fixed charges.</t>
  </si>
  <si>
    <t>Will help shield the utility from falling revenues due to load or customer loss. However, the amount is not adjusted after it is set, so the more customers that leave, the less revenue the utility will have. This will also impact the attractiveness of DERs and EE</t>
  </si>
  <si>
    <t>To better align rates with electricity costs, your state has decided to shift all customers to Time of Use (ToU pricing). This reduces your required reserve margin by 5% because customers are more responsive to reducing load during peak times.</t>
  </si>
  <si>
    <t>Will reduce the need for investment in peaking resources. Savings will flow through to customers through lower bills with fewer assets being needed.</t>
  </si>
  <si>
    <t>Performance Based Regulation</t>
  </si>
  <si>
    <t>To encourage your utility to align decision-making with public policy goals, your state has chosen to shift you to performance based regulation (PBR). Your RoR is reduced by 2%, but you are eligible to received bonus payments for reducing your emissions, minimizing curtailment, and lowering customer bills</t>
  </si>
  <si>
    <t>Reduces RoR by 2%, lowering the utility's revenue. Creates bonuses for environmental performance, reliability, and lowering customer bills.</t>
  </si>
  <si>
    <t>Will demonstrate how PBR works. Done well, even though it lowers RoR, PBR will reslut in increased utility revenue while improving the metrics that they are evaluated against.</t>
  </si>
  <si>
    <t>Policies Enabled</t>
  </si>
  <si>
    <t>Calamities</t>
  </si>
  <si>
    <t>RPS Compliance</t>
  </si>
  <si>
    <t>RPS Enabled</t>
  </si>
  <si>
    <t>Renewable Generation</t>
  </si>
  <si>
    <t>Renewable Requirement</t>
  </si>
  <si>
    <t>Renewable Shortage (MWh)</t>
  </si>
  <si>
    <t>Alternative Compliance Payment ($)</t>
  </si>
  <si>
    <t>Alternative Compliance Payment Amount ($/MWh)</t>
  </si>
  <si>
    <t>What should we set the ACP to?</t>
  </si>
  <si>
    <t>Policy Related Revenue</t>
  </si>
  <si>
    <t xml:space="preserve">     RPS ACP Penalties</t>
  </si>
  <si>
    <t>Decoupling Load Adjustment</t>
  </si>
  <si>
    <t>$/transmission mile</t>
  </si>
  <si>
    <t>Transmission and Distribution Operations and Maintenance Costs</t>
  </si>
  <si>
    <t xml:space="preserve">     Transmission O&amp;M</t>
  </si>
  <si>
    <t>http://www3.sce.com/sscc/law/dis/dbattach5e.nsf/0/BACF374E1EFE27CE88257C2100811E3D/$FILE/SCE-03%20Vol.%2008.pdf, p.2</t>
  </si>
  <si>
    <t xml:space="preserve">     Distribution O&amp;M</t>
  </si>
  <si>
    <t>Transmission O&amp;M Expenses</t>
  </si>
  <si>
    <t>Distribution O&amp;M Expenses</t>
  </si>
  <si>
    <t>How do we handle reliability from distribution system upgrades</t>
  </si>
  <si>
    <t>Number of Substations</t>
  </si>
  <si>
    <t>no.</t>
  </si>
  <si>
    <t>Estimated Number of Customers</t>
  </si>
  <si>
    <t>Actual Number of Customers</t>
  </si>
  <si>
    <t>New Investments</t>
  </si>
  <si>
    <t>Change in System Load Factor in Response to ToU</t>
  </si>
  <si>
    <t>&lt;update with elasticity values</t>
  </si>
  <si>
    <t xml:space="preserve">          Customer Bills</t>
  </si>
  <si>
    <t xml:space="preserve">          Reliability</t>
  </si>
  <si>
    <t>&lt;calibrate this</t>
  </si>
  <si>
    <t>https://www.smartgrid.gov/files/SMUD-CBS_Final_Evaluation_Submitted_DOE_9_9_2014.pdf, Table 4-1, Default TOU, IHD-Offer, average</t>
  </si>
  <si>
    <t>Residential Reduction in Peak Load with ToU</t>
  </si>
  <si>
    <t>Number of Customers</t>
  </si>
  <si>
    <t>No.</t>
  </si>
  <si>
    <t>Residential</t>
  </si>
  <si>
    <t>Commercial</t>
  </si>
  <si>
    <t>Industrial</t>
  </si>
  <si>
    <t>Sales by Customer Class, GWh</t>
  </si>
  <si>
    <t>Sales by Customer Class, %</t>
  </si>
  <si>
    <t>Pre-Policy Peak Demand (MW)</t>
  </si>
  <si>
    <t>ToU Peak Demand Reduction (MW)</t>
  </si>
  <si>
    <t>PIMs</t>
  </si>
  <si>
    <t>Increased Fixed Charges</t>
  </si>
  <si>
    <t>Time of Use Charge Flexibility Point Multiplier</t>
  </si>
  <si>
    <t>Multiplier</t>
  </si>
  <si>
    <t>Residential + Commercial</t>
  </si>
  <si>
    <t>Decreases peak load for commercial and residential customers and increases the total number of flexibility points available.</t>
  </si>
  <si>
    <t>Bonus Available for Environmental Goals (% of Revenue Requirement)</t>
  </si>
  <si>
    <t>Bonus Available for Customer Bill Goals (% of Revenue Requirement)</t>
  </si>
  <si>
    <t>Bonus Available for Reliability Goals (% of Revenue Requirement)</t>
  </si>
  <si>
    <t>Authorized Rate of Return (RoR)</t>
  </si>
  <si>
    <t>Total Costs</t>
  </si>
  <si>
    <t>Utility Costs and Expenses</t>
  </si>
  <si>
    <t>Net Income</t>
  </si>
  <si>
    <t>Need time for distribution assets (and plug into utility revenue)</t>
  </si>
  <si>
    <t>Start Year Capacities (MW)</t>
  </si>
  <si>
    <t>DER (solar PV)--&gt; can this be curtailed/does it require distribution system investment??</t>
  </si>
  <si>
    <t>Projected Utility Load</t>
  </si>
  <si>
    <t>Generation Costs</t>
  </si>
  <si>
    <t>Round Names</t>
  </si>
  <si>
    <t>Game Setup</t>
  </si>
  <si>
    <t>Round 6</t>
  </si>
  <si>
    <t>Round 7</t>
  </si>
  <si>
    <t>Round 8</t>
  </si>
  <si>
    <t>Round 9</t>
  </si>
  <si>
    <t>Round 10</t>
  </si>
  <si>
    <t>Current Round:</t>
  </si>
  <si>
    <t>Select</t>
  </si>
  <si>
    <t>Round Completion</t>
  </si>
  <si>
    <t>Utility Name:</t>
  </si>
  <si>
    <t>None</t>
  </si>
  <si>
    <t>Nat Gas Price Spike</t>
  </si>
  <si>
    <t>$/MWh</t>
  </si>
  <si>
    <t>Natural Gas Price Spike Increase ($/MMBtu)</t>
  </si>
  <si>
    <t>Pre-Event Actual Load (MWh)</t>
  </si>
  <si>
    <t>Post-Event Actual Load (MWh)</t>
  </si>
  <si>
    <t>Event Impacts</t>
  </si>
  <si>
    <t>Heat Wave Load Increase (%)</t>
  </si>
  <si>
    <t>RPS Requirement</t>
  </si>
  <si>
    <t>should there be a one turn delay in policy/event cards? (specifically RPS, CO2 pricing, others?); right now there is a one year delay</t>
  </si>
  <si>
    <t>Demand Response</t>
  </si>
  <si>
    <t>Widening Balancing Area</t>
  </si>
  <si>
    <t>Widened Balancing Area Multiplier</t>
  </si>
  <si>
    <t>Widened Balancing Areas</t>
  </si>
  <si>
    <t>Flexibility Multiplier Provided by Widening Balancing Areas</t>
  </si>
  <si>
    <t>To increase system flexibility and lower costs, your state has voted to allow market based exchages between your balancing area and others.</t>
  </si>
  <si>
    <t>Multiplies the amount of flexible resources by 10%. In the DR game mode, this policy is enabled from the start year.</t>
  </si>
  <si>
    <t>Reduces the need to build flexibility resources for integrating variable generating and for meeting peak demand. Saves money by avoiding capital investment.</t>
  </si>
  <si>
    <t>Weighted Average Cost of Capital (WACC)</t>
  </si>
  <si>
    <t>Debt Repayment Period for Capital Investments (years)</t>
  </si>
  <si>
    <t xml:space="preserve">     New NG Combustion Turbines</t>
  </si>
  <si>
    <t xml:space="preserve">     New Battery Storage</t>
  </si>
  <si>
    <t xml:space="preserve">     New Pumped Hydro</t>
  </si>
  <si>
    <t xml:space="preserve">     New Demand Response</t>
  </si>
  <si>
    <t>Past Investments</t>
  </si>
  <si>
    <t>NG Combustion Turbines</t>
  </si>
  <si>
    <t>Battery Storage</t>
  </si>
  <si>
    <t>http://www.eia.gov/forecasts/capitalcost/pdf/updated_capcost.pdf</t>
  </si>
  <si>
    <t>http://www.nwcouncil.org/media/7149235/drpotential_postaprcouncil_forwebsite_05042015.xlsx</t>
  </si>
  <si>
    <t>n/a</t>
  </si>
  <si>
    <t>&lt;use in construction costs</t>
  </si>
  <si>
    <t>http://aceee.org/sites/default/files/publications/researchreports/u1402.pdf</t>
  </si>
  <si>
    <t>EE is backcalculated based on $/kWh</t>
  </si>
  <si>
    <t>Background</t>
  </si>
  <si>
    <t>Here are some things to consider as you begin thinking about how you will manage your utility:</t>
  </si>
  <si>
    <t>2) Some of your nuclear and coal assets are planning to retire. What will you replace these with?</t>
  </si>
  <si>
    <t>Annual Reduction in Solar PV costs</t>
  </si>
  <si>
    <t>Annual Reduction in Wind Costs</t>
  </si>
  <si>
    <t>solar pv</t>
  </si>
  <si>
    <t>Right now background page is based on GTDR… how would we change it for DR?</t>
  </si>
  <si>
    <t>can utilities earn a return for EE/DR?; right now, no RoR on EE but they have to pay the WACC when purchasing</t>
  </si>
  <si>
    <t>4) Distributed energy resources and customer energy efficiency are expected to grow over the next 10 years. How will you manage this growth while maximizing the performance of your utility?</t>
  </si>
  <si>
    <t>Questions</t>
  </si>
  <si>
    <t>Answers:</t>
  </si>
  <si>
    <t>With decoupling they get RoR</t>
  </si>
  <si>
    <t>see below</t>
  </si>
  <si>
    <t>Match DR generation recovery to GTDR revenue recovery</t>
  </si>
  <si>
    <t>Set it at 100 and could be randomized/test it</t>
  </si>
  <si>
    <t>Event: utility bond rating downgrade</t>
  </si>
  <si>
    <t>Delay construction times</t>
  </si>
  <si>
    <t>differentiated lead times based on resource type</t>
  </si>
  <si>
    <t>Forecast of things necessary for lead times (e.g. reliability)</t>
  </si>
  <si>
    <t>Random between 0.5 and 0.8</t>
  </si>
  <si>
    <t>Does partial fuel cost non-passthrough become a policy option?</t>
  </si>
  <si>
    <t>Compare assumptions to FINDER model (Mike will send it on)</t>
  </si>
  <si>
    <t>Earnings per share (check cost and value paper)</t>
  </si>
  <si>
    <t>Distribution paper (ERG paper on CA distribution system)</t>
  </si>
  <si>
    <t>&lt;rethink this</t>
  </si>
  <si>
    <t>Average Minutes per Year of Outages</t>
  </si>
  <si>
    <t>Minutes per Year Outages</t>
  </si>
  <si>
    <t>Minutes</t>
  </si>
  <si>
    <t xml:space="preserve">Current Round: </t>
  </si>
  <si>
    <t>Average Customer Bill</t>
  </si>
  <si>
    <t>Customer Bills</t>
  </si>
  <si>
    <t>Past Rounds</t>
  </si>
  <si>
    <t>Name</t>
  </si>
  <si>
    <t>Current Round + Past Round</t>
  </si>
  <si>
    <t>Round Number</t>
  </si>
  <si>
    <t>Distribution System Investment</t>
  </si>
  <si>
    <t>Environmental Performance</t>
  </si>
  <si>
    <t>lbs/kWh</t>
  </si>
  <si>
    <t>Round Event</t>
  </si>
  <si>
    <t>Round Policy</t>
  </si>
  <si>
    <t>Transformers and Substations</t>
  </si>
  <si>
    <t>Lines and Feeders</t>
  </si>
  <si>
    <t>http://www.nrel.gov/docs/fy03osti/32500.pdf, Table 3</t>
  </si>
  <si>
    <t>http://www.nrel.gov/docs/fy03osti/32500.pdf, Table 4</t>
  </si>
  <si>
    <t>http://www.nrel.gov/docs/fy03osti/32500.pdf, Table 5</t>
  </si>
  <si>
    <t>Transformers and Substations ($ per MW peak)</t>
  </si>
  <si>
    <t>Lines and Feeders ($ per MW peak)</t>
  </si>
  <si>
    <t>http://www.nrel.gov/docs/fy03osti/32500.pdf, Table 6</t>
  </si>
  <si>
    <t>Dollar per Marginal MW Distribution Investment</t>
  </si>
  <si>
    <t>http://www.nrel.gov/docs/fy03osti/32500.pdf, Table 7</t>
  </si>
  <si>
    <t>http://www.nrel.gov/docs/fy03osti/32500.pdf, Table 8</t>
  </si>
  <si>
    <t>Embedded Distribution Costs, $ per peak MW</t>
  </si>
  <si>
    <t>Transormer and Substations</t>
  </si>
  <si>
    <t>Transmission (circuit*miles)</t>
  </si>
  <si>
    <t>Available Peak Demand Generating Capacity (MW*PCF)</t>
  </si>
  <si>
    <t>Available Peak Demand Distribution Capacity</t>
  </si>
  <si>
    <t>Estimated Generation Reserve Margin</t>
  </si>
  <si>
    <t>Estimated Distribution Reserve Margin</t>
  </si>
  <si>
    <t>EIA Form 861, SAIDI*SAIFI</t>
  </si>
  <si>
    <t>Decrease in System Load Factor per Year</t>
  </si>
  <si>
    <t>Generation Reserve Margin</t>
  </si>
  <si>
    <t>NERC Standard</t>
  </si>
  <si>
    <t>Transformers, Substations, Lines, and Feeders (MW)</t>
  </si>
  <si>
    <t>Distribution System Infrastructure</t>
  </si>
  <si>
    <t>Carbon Pricing ($/year)</t>
  </si>
  <si>
    <t>Solar</t>
  </si>
  <si>
    <t>Wind</t>
  </si>
  <si>
    <t>Hydro</t>
  </si>
  <si>
    <t>Distributed PV</t>
  </si>
  <si>
    <t>Total Number of Shares</t>
  </si>
  <si>
    <t>Earnings per Share</t>
  </si>
  <si>
    <t>(minutes of outages per year)</t>
  </si>
  <si>
    <t>Business Models</t>
  </si>
  <si>
    <t>ToU Pricing DR Addition (MW)</t>
  </si>
  <si>
    <t>ToU Effects</t>
  </si>
  <si>
    <t>Increased DR (MW)</t>
  </si>
  <si>
    <t>Utility-Scale</t>
  </si>
  <si>
    <t>Distribution Scale</t>
  </si>
  <si>
    <t>Generation Capacity Buildout</t>
  </si>
  <si>
    <t>Utility Resources</t>
  </si>
  <si>
    <t>Installed Capacity (will not affect revenue requirement)</t>
  </si>
  <si>
    <t>Added Capacity (will affect revenue requirement)</t>
  </si>
  <si>
    <t>Transmission Capacity (Circuit*miles)</t>
  </si>
  <si>
    <t>Retiring Capacity</t>
  </si>
  <si>
    <t>Bonus/Penalties ($)</t>
  </si>
  <si>
    <t>Bonus/Penalties (% of Net Revenue)</t>
  </si>
  <si>
    <t>Yes</t>
  </si>
  <si>
    <t>No</t>
  </si>
  <si>
    <t>Direct Changes from Override Sheet</t>
  </si>
  <si>
    <t xml:space="preserve">     New Distributed PV</t>
  </si>
  <si>
    <t>Restructured Performance Based Regulatory Model</t>
  </si>
  <si>
    <t>Vertically Integrated Cost of Service Model</t>
  </si>
  <si>
    <t>Restructured Cost of Service Model</t>
  </si>
  <si>
    <t>Restructured Transactive Model</t>
  </si>
  <si>
    <t>Business Model Type</t>
  </si>
  <si>
    <t>Types of Costs to Include</t>
  </si>
  <si>
    <t>Generation</t>
  </si>
  <si>
    <t>Transmission</t>
  </si>
  <si>
    <t>Distribution</t>
  </si>
  <si>
    <t>Total Vertically Integrated Utility Revenue Requirement</t>
  </si>
  <si>
    <t>Total Restructured Utility Revenue Requirement</t>
  </si>
  <si>
    <t>Revenue from Performance Based Regulation</t>
  </si>
  <si>
    <t>Distribution Only Charge per Customer ($)</t>
  </si>
  <si>
    <t>Distribution Only Charge per Customer ($/kWh)</t>
  </si>
  <si>
    <t xml:space="preserve">     Revenue at RoR</t>
  </si>
  <si>
    <t xml:space="preserve">     Revenue at WACC</t>
  </si>
  <si>
    <t xml:space="preserve">     Potential Revenue from PBR</t>
  </si>
  <si>
    <t xml:space="preserve">          Environmental Performance </t>
  </si>
  <si>
    <t xml:space="preserve">     Revenue from PBR</t>
  </si>
  <si>
    <t>Policy Targets</t>
  </si>
  <si>
    <t>CO2/MWh</t>
  </si>
  <si>
    <t>&lt;calibrate (20% improvement)</t>
  </si>
  <si>
    <t>Final Year Targets</t>
  </si>
  <si>
    <t>Carbon Emissions Targets</t>
  </si>
  <si>
    <t>lbs/MWh</t>
  </si>
  <si>
    <t>lbs/MWh (midway point)</t>
  </si>
  <si>
    <t>Customer Bill Targets</t>
  </si>
  <si>
    <t>Average Annual Bill</t>
  </si>
  <si>
    <t>Average Annual Bill (midpoint)</t>
  </si>
  <si>
    <t>Reliability Targets</t>
  </si>
  <si>
    <t>Minutes (midpoint)</t>
  </si>
  <si>
    <t>Contracted Generation (MWh)</t>
  </si>
  <si>
    <t>Remaining Load</t>
  </si>
  <si>
    <t>Projected Market Based Dispatch Amounts</t>
  </si>
  <si>
    <t>Remaining Potential Output by Source</t>
  </si>
  <si>
    <t>Total Projected Dispatch Amounts</t>
  </si>
  <si>
    <t>Actual Market Based Dispatch Amounts</t>
  </si>
  <si>
    <t>Added Capacity</t>
  </si>
  <si>
    <t>Contracted Generation</t>
  </si>
  <si>
    <t>Minimum Dispatch Amounts Accounting for Reliability</t>
  </si>
  <si>
    <t>Target</t>
  </si>
  <si>
    <t>Environmental Performance - CO2</t>
  </si>
  <si>
    <t>Maximum Amount Buildable</t>
  </si>
  <si>
    <t xml:space="preserve">Type </t>
  </si>
  <si>
    <t>Amount</t>
  </si>
  <si>
    <t>Override Sheet</t>
  </si>
  <si>
    <t>Decoupling + Incentive</t>
  </si>
  <si>
    <t>With your support, your state has decided to decouple utility revenues from the volume of electricity sold. The variable portion of your revenues will be automatically adjusted in each round to ensure you meet the revenue requirement of the variable portion of your income. Additionally, you are allowed to rate-base efficiency investments.</t>
  </si>
  <si>
    <t>Rates in each year will be adjusted so that the utility recovers the full amount of its variable-revenue. Fixed revenue will not be adjusted. Efficiency investments will be recoverable at the RoR.</t>
  </si>
  <si>
    <t>Will provide more certainty for utilities when evaluating their revenue. For utilities shifting a large portion of revenue to fixed charges, they will continue to be exposed to defecting customers. Will increase operating income and earnings per share.</t>
  </si>
  <si>
    <t>Decoupling + Incentives</t>
  </si>
  <si>
    <t>Performance as a Fraction</t>
  </si>
  <si>
    <t>Policies Chosen by User</t>
  </si>
  <si>
    <t>TOTAL</t>
  </si>
  <si>
    <t>1) Demand for electricity is expected to be stagnant, if not declining over the next 10 years. How will you increase your earnings per share while sales continue to decline?</t>
  </si>
  <si>
    <t>Allow Events and Policies</t>
  </si>
  <si>
    <t>Policies</t>
  </si>
  <si>
    <t>Peaking Resources Capacity Factors</t>
  </si>
  <si>
    <t>Forecast Utility Demand (Load - DER - Customer EE-Peaking Resources)</t>
  </si>
  <si>
    <t>Actual Utility Demand (Load - DER - Customer EE-Peaking Resources)</t>
  </si>
  <si>
    <t>Current Policies</t>
  </si>
  <si>
    <t>Reliability Requirements</t>
  </si>
  <si>
    <t>RPS Increment</t>
  </si>
  <si>
    <t>First Year for RPS Increment</t>
  </si>
  <si>
    <t>Fuel Costs</t>
  </si>
  <si>
    <t>Change in RoR with PIMs</t>
  </si>
  <si>
    <t>Current Business Model</t>
  </si>
  <si>
    <t>Model:</t>
  </si>
  <si>
    <t>Transactive Utility Payments</t>
  </si>
  <si>
    <r>
      <t xml:space="preserve">     </t>
    </r>
    <r>
      <rPr>
        <sz val="11"/>
        <color theme="1"/>
        <rFont val="Calibri"/>
        <family val="2"/>
        <scheme val="minor"/>
      </rPr>
      <t>Energy Tariffs</t>
    </r>
  </si>
  <si>
    <r>
      <t xml:space="preserve">     </t>
    </r>
    <r>
      <rPr>
        <sz val="11"/>
        <color theme="1"/>
        <rFont val="Calibri"/>
        <family val="2"/>
        <scheme val="minor"/>
      </rPr>
      <t xml:space="preserve">Demand Tariffs </t>
    </r>
  </si>
  <si>
    <t>Transactive Framework</t>
  </si>
  <si>
    <t>Energy Charge ($/kWh)</t>
  </si>
  <si>
    <t>Demand Charge ($/kW)</t>
  </si>
  <si>
    <t>CoS/PBR</t>
  </si>
  <si>
    <t>Transactive</t>
  </si>
  <si>
    <t>Restructured Market Buildout</t>
  </si>
  <si>
    <t>Buildout Shares</t>
  </si>
  <si>
    <t>Demand Response and Batteries</t>
  </si>
  <si>
    <t>DR (per round)</t>
  </si>
  <si>
    <t>Batteries (per round)</t>
  </si>
  <si>
    <t>Restructured Utility Amount to Build</t>
  </si>
  <si>
    <t>&lt;we have to adjust for the fact that peak time capcacity factors require us to bulid more than just a strict capacity value</t>
  </si>
  <si>
    <t>Growth in Distributed PV and Customer EE</t>
  </si>
  <si>
    <t>Tech</t>
  </si>
  <si>
    <t>Vertically Integrated Performance Based Regulatory Model</t>
  </si>
  <si>
    <t>Coal Buildable</t>
  </si>
  <si>
    <t>Natural Gas Buildable</t>
  </si>
  <si>
    <t>Nuclear Buildable</t>
  </si>
  <si>
    <t>Wind Buildable</t>
  </si>
  <si>
    <t>Solar Buildable</t>
  </si>
  <si>
    <t>Hydro Buildable</t>
  </si>
  <si>
    <t>Capacity and Generation Buildout from UserForm</t>
  </si>
  <si>
    <t>Distributed PV Buildable</t>
  </si>
  <si>
    <t>Capacity Pop Up Information</t>
  </si>
  <si>
    <t>Buildable Increments</t>
  </si>
  <si>
    <t>Capacity</t>
  </si>
  <si>
    <t>Generation Buildout from UserForm Converted to Capacity</t>
  </si>
  <si>
    <t>Capacity vs Generation Title</t>
  </si>
  <si>
    <t>Flexiblity</t>
  </si>
  <si>
    <t>Flexible Resources Pop Up Information</t>
  </si>
  <si>
    <t>Flexibility Resource Buildout from UserForm</t>
  </si>
  <si>
    <t>Widen Balancing Areas</t>
  </si>
  <si>
    <t>Policy Name</t>
  </si>
  <si>
    <t>Policy Description</t>
  </si>
  <si>
    <t>The RPS requires a minimum amount of generation to come from qualifying renewable (solar and wind) resources. If an insufficient amount of renewable electricity is generated, teams will penalized by paying an alternative compliance payment of $100/MWh.</t>
  </si>
  <si>
    <t xml:space="preserve">Increasing demand charges will help shield teams from losses in revenues from falling energy sales by increasing the proportion of revenue coming from fixed customer demand charges. However, it will also reduce the amount of distributed resources that come online. </t>
  </si>
  <si>
    <t>Time of use pricing will decrease peak demand, increase the flexibility of existing resources, and encourage additional demand response resources to be built.</t>
  </si>
  <si>
    <t>Widening balancing areas causes teams to have to build less capacity by lowering the reserve margin requirement.</t>
  </si>
  <si>
    <t xml:space="preserve">Decoupling + incentives recovers or returns shortfall or excess revenues from differences between forecast and actual load AND causes efficiency investements to earn a rate of return. </t>
  </si>
  <si>
    <t xml:space="preserve">Decoupling causes to teams to recover or return any shortfall or excess revenues caused by a deviation between forecast and actual load. </t>
  </si>
  <si>
    <t>Policy Included?</t>
  </si>
  <si>
    <t>Event Name</t>
  </si>
  <si>
    <t>Event Description</t>
  </si>
  <si>
    <t>Event Included?</t>
  </si>
  <si>
    <t>Natural Gas Price Spike</t>
  </si>
  <si>
    <t>Regulators have decided to price carbon emissions in your region. Power plants in your territory will now incorporate a carbon payment in their costs.</t>
  </si>
  <si>
    <t>A shortage in available natural gas has increased the price by $3/MMBtu, causing natural gas power plants to become more expensive.</t>
  </si>
  <si>
    <t>A heat wave has hit your territory, causing your total demand to increase significantly.</t>
  </si>
  <si>
    <t>Advance Round</t>
  </si>
  <si>
    <t>End Game</t>
  </si>
  <si>
    <t>Renewables Requirements</t>
  </si>
  <si>
    <t>Requirement</t>
  </si>
  <si>
    <t>Advance to Next Planning Cycle</t>
  </si>
  <si>
    <t>Energy Efficiency</t>
  </si>
  <si>
    <t>Energy Efficiency Buildable</t>
  </si>
  <si>
    <t>Amount of Distributed PV and EE Added Each Turn Independently</t>
  </si>
  <si>
    <t>Utility Scale Solar PV</t>
  </si>
  <si>
    <t>Limits</t>
  </si>
  <si>
    <t>Policy and Resource Planning</t>
  </si>
  <si>
    <t>Resource Constraints</t>
  </si>
  <si>
    <t>(lbs/MWh)</t>
  </si>
  <si>
    <t>Other Assumptions</t>
  </si>
  <si>
    <t>Maximum Amount of Peak Load that Can Be Met by Demand Response</t>
  </si>
  <si>
    <t>Percentage of Peak Load</t>
  </si>
  <si>
    <t>Events Chosen by User</t>
  </si>
  <si>
    <t>Policy PopUp</t>
  </si>
  <si>
    <t>Event PopUp</t>
  </si>
  <si>
    <t>Round Summary</t>
  </si>
  <si>
    <t>Planning Process Years</t>
  </si>
  <si>
    <t>New Round Summary</t>
  </si>
  <si>
    <t>Game Summary</t>
  </si>
  <si>
    <t>Override Inputs</t>
  </si>
  <si>
    <t>energy efficiency</t>
  </si>
  <si>
    <t>Congratulations! Your team has just been assigned the task of managing your utility's energy portfolio. Your goal over the next 5 rounds (10 years) will be to maximize your utility's performance across four areas: profitability, customer bills, environmental performance, and reliability.  You will need to balance choices across these four areas in order to maximize your utility's performance. Along the way you will make decisions about which assets to build and which policies to enact,  while adapting to long term trends in the electric sector. But be careful, your decisions will affect your performance down the road.... and you never know what environmental calamity or policy change might be lurking ahead.</t>
  </si>
  <si>
    <t>3) The cost of renewable energy technologies, like wind and solar, will continue to drop. This will provide you with cheap new sources of power, but you'll need to ensure the system is flexible enough to integrate these resources. How will you take advantage of these new cheap sources of power?</t>
  </si>
  <si>
    <t>Annual Use (kWh/customer)</t>
  </si>
  <si>
    <t>Average Monthly Bill</t>
  </si>
  <si>
    <t>Renewable Subsidies</t>
  </si>
  <si>
    <t>Year</t>
  </si>
  <si>
    <t>Production Tax Credit: Wind ($/MWh)</t>
  </si>
  <si>
    <t>Investment Tax Credit: Solar (% project cost)</t>
  </si>
  <si>
    <t>average</t>
  </si>
  <si>
    <t>peak</t>
  </si>
  <si>
    <t>Reserve Margin Shortage</t>
  </si>
  <si>
    <t>MW Short</t>
  </si>
  <si>
    <t>Capacity/Generation Mix</t>
  </si>
  <si>
    <t>Utility-Scale Solar PV</t>
  </si>
  <si>
    <t>Distributed Solar PV</t>
  </si>
  <si>
    <t>Earnings Sharing Mechanism</t>
  </si>
  <si>
    <t>Reserve Margin Capacity Before Market Additions</t>
  </si>
  <si>
    <t>Reserve Margin Shortfall Before Market Additions</t>
  </si>
  <si>
    <t>Maximum Amount of Demand/Peak Load that Can Be Met by Energy Efficiency</t>
  </si>
  <si>
    <t>Percentage of Total/Peak Load</t>
  </si>
  <si>
    <t>Bills</t>
  </si>
  <si>
    <t>CO2</t>
  </si>
  <si>
    <t>EPS</t>
  </si>
  <si>
    <t>Team Name</t>
  </si>
  <si>
    <t>Business Model</t>
  </si>
  <si>
    <t>Metric</t>
  </si>
  <si>
    <t>[Insert Utility Name Here]</t>
  </si>
  <si>
    <t>Utility Performance Incentive Charges/Benefits</t>
  </si>
  <si>
    <t>Version 2.06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</si>
</sst>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_(&quot;$&quot;* #,##0_);_(&quot;$&quot;* \(#,##0\);_(&quot;$&quot;* &quot;-&quot;??_);_(@_)"/>
    <numFmt numFmtId="166" formatCode="_(&quot;$&quot;* #,##0.000_);_(&quot;$&quot;* \(#,##0.000\);_(&quot;$&quot;* &quot;-&quot;??_);_(@_)"/>
    <numFmt numFmtId="167" formatCode="_(* #,##0_);_(* \(#,##0\);_(* &quot;-&quot;??_);_(@_)"/>
    <numFmt numFmtId="168" formatCode="_(&quot;$&quot;* #,##0.0_);_(&quot;$&quot;* \(#,##0.0\);_(&quot;$&quot;* &quot;-&quot;??_);_(@_)"/>
    <numFmt numFmtId="169" formatCode="0.0%"/>
    <numFmt numFmtId="170" formatCode="0.000"/>
    <numFmt numFmtId="171" formatCode="&quot;$&quot;#,##0.00"/>
    <numFmt numFmtId="172" formatCode="&quot;$&quot;#,##0"/>
    <numFmt numFmtId="173" formatCode="&quot;$&quot;#,##0.000"/>
  </numFmts>
  <fonts count="18"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b/>
      <sz val="14"/>
      <color theme="1"/>
      <name val="Calibri"/>
      <family val="2"/>
      <scheme val="minor"/>
    </font>
    <font>
      <b/>
      <i/>
      <sz val="11"/>
      <color theme="1"/>
      <name val="Calibri"/>
      <family val="2"/>
      <scheme val="minor"/>
    </font>
    <font>
      <u/>
      <sz val="11"/>
      <color theme="10"/>
      <name val="Calibri"/>
      <family val="2"/>
      <scheme val="minor"/>
    </font>
    <font>
      <sz val="9"/>
      <color indexed="81"/>
      <name val="Tahoma"/>
      <family val="2"/>
    </font>
    <font>
      <b/>
      <sz val="9"/>
      <color indexed="81"/>
      <name val="Tahoma"/>
      <family val="2"/>
    </font>
    <font>
      <sz val="20"/>
      <color theme="1"/>
      <name val="Calibri"/>
      <family val="2"/>
      <scheme val="minor"/>
    </font>
    <font>
      <b/>
      <sz val="20"/>
      <color theme="1"/>
      <name val="Calibri"/>
      <family val="2"/>
      <scheme val="minor"/>
    </font>
    <font>
      <sz val="14"/>
      <color theme="1"/>
      <name val="Calibri"/>
      <family val="2"/>
      <scheme val="minor"/>
    </font>
    <font>
      <b/>
      <sz val="12"/>
      <color theme="1"/>
      <name val="Calibri"/>
      <family val="2"/>
      <scheme val="minor"/>
    </font>
    <font>
      <sz val="11"/>
      <name val="Calibri"/>
      <family val="2"/>
      <scheme val="minor"/>
    </font>
    <font>
      <sz val="11"/>
      <color rgb="FF9C0006"/>
      <name val="Calibri"/>
      <family val="2"/>
      <scheme val="minor"/>
    </font>
    <font>
      <sz val="11"/>
      <color rgb="FFFF0000"/>
      <name val="Calibri"/>
      <family val="2"/>
      <scheme val="minor"/>
    </font>
    <font>
      <sz val="12"/>
      <color theme="1"/>
      <name val="Calibri"/>
      <family val="2"/>
      <scheme val="minor"/>
    </font>
    <font>
      <sz val="8"/>
      <color theme="1"/>
      <name val="Calibri"/>
      <family val="2"/>
      <scheme val="minor"/>
    </font>
  </fonts>
  <fills count="13">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8"/>
        <bgColor indexed="64"/>
      </patternFill>
    </fill>
    <fill>
      <patternFill patternType="solid">
        <fgColor theme="5" tint="0.59999389629810485"/>
        <bgColor indexed="64"/>
      </patternFill>
    </fill>
    <fill>
      <patternFill patternType="solid">
        <fgColor theme="6"/>
        <bgColor indexed="64"/>
      </patternFill>
    </fill>
    <fill>
      <patternFill patternType="solid">
        <fgColor theme="5" tint="0.79998168889431442"/>
        <bgColor indexed="64"/>
      </patternFill>
    </fill>
    <fill>
      <patternFill patternType="solid">
        <fgColor theme="0"/>
        <bgColor indexed="64"/>
      </patternFill>
    </fill>
    <fill>
      <patternFill patternType="solid">
        <fgColor theme="5" tint="0.39997558519241921"/>
        <bgColor indexed="64"/>
      </patternFill>
    </fill>
    <fill>
      <patternFill patternType="solid">
        <fgColor theme="7"/>
        <bgColor indexed="64"/>
      </patternFill>
    </fill>
    <fill>
      <patternFill patternType="solid">
        <fgColor rgb="FFFFC7CE"/>
      </patternFill>
    </fill>
    <fill>
      <patternFill patternType="solid">
        <fgColor theme="2"/>
        <bgColor indexed="64"/>
      </patternFill>
    </fill>
  </fills>
  <borders count="26">
    <border>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double">
        <color indexed="64"/>
      </top>
      <bottom style="thin">
        <color indexed="64"/>
      </bottom>
      <diagonal/>
    </border>
    <border>
      <left/>
      <right/>
      <top style="thin">
        <color indexed="64"/>
      </top>
      <bottom/>
      <diagonal/>
    </border>
    <border>
      <left/>
      <right/>
      <top style="double">
        <color indexed="64"/>
      </top>
      <bottom style="double">
        <color indexed="64"/>
      </bottom>
      <diagonal/>
    </border>
    <border>
      <left style="medium">
        <color indexed="64"/>
      </left>
      <right style="medium">
        <color indexed="64"/>
      </right>
      <top style="medium">
        <color indexed="64"/>
      </top>
      <bottom/>
      <diagonal/>
    </border>
    <border>
      <left/>
      <right/>
      <top/>
      <bottom style="double">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6">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6" fillId="0" borderId="0" applyNumberFormat="0" applyFill="0" applyBorder="0" applyAlignment="0" applyProtection="0"/>
    <xf numFmtId="0" fontId="14" fillId="11" borderId="0" applyNumberFormat="0" applyBorder="0" applyAlignment="0" applyProtection="0"/>
  </cellStyleXfs>
  <cellXfs count="240">
    <xf numFmtId="0" fontId="0" fillId="0" borderId="0" xfId="0"/>
    <xf numFmtId="0" fontId="2" fillId="0" borderId="0" xfId="0" applyFont="1"/>
    <xf numFmtId="164" fontId="0" fillId="0" borderId="0" xfId="0" applyNumberFormat="1"/>
    <xf numFmtId="0" fontId="0" fillId="2" borderId="0" xfId="0" applyFill="1"/>
    <xf numFmtId="0" fontId="3" fillId="0" borderId="0" xfId="0" applyFont="1"/>
    <xf numFmtId="9" fontId="0" fillId="0" borderId="0" xfId="2" applyFont="1"/>
    <xf numFmtId="6" fontId="0" fillId="0" borderId="0" xfId="0" applyNumberFormat="1"/>
    <xf numFmtId="165" fontId="0" fillId="0" borderId="0" xfId="1" applyNumberFormat="1" applyFont="1"/>
    <xf numFmtId="166" fontId="0" fillId="0" borderId="0" xfId="1" applyNumberFormat="1" applyFont="1"/>
    <xf numFmtId="0" fontId="2" fillId="2" borderId="0" xfId="0" applyFont="1" applyFill="1"/>
    <xf numFmtId="2" fontId="0" fillId="0" borderId="0" xfId="0" applyNumberFormat="1"/>
    <xf numFmtId="0" fontId="2" fillId="3" borderId="1" xfId="0" applyFont="1" applyFill="1" applyBorder="1"/>
    <xf numFmtId="0" fontId="0" fillId="0" borderId="0" xfId="0" applyBorder="1"/>
    <xf numFmtId="0" fontId="2" fillId="5" borderId="0" xfId="0" applyFont="1" applyFill="1"/>
    <xf numFmtId="0" fontId="0" fillId="5" borderId="0" xfId="0" applyFill="1"/>
    <xf numFmtId="44" fontId="0" fillId="0" borderId="0" xfId="1" applyFont="1"/>
    <xf numFmtId="1" fontId="0" fillId="0" borderId="0" xfId="0" applyNumberFormat="1"/>
    <xf numFmtId="0" fontId="0" fillId="0" borderId="0" xfId="0" applyFont="1"/>
    <xf numFmtId="9" fontId="0" fillId="0" borderId="0" xfId="0" applyNumberFormat="1"/>
    <xf numFmtId="165" fontId="0" fillId="0" borderId="0" xfId="1" applyNumberFormat="1" applyFont="1" applyFill="1"/>
    <xf numFmtId="0" fontId="4" fillId="4" borderId="0" xfId="0" applyFont="1" applyFill="1"/>
    <xf numFmtId="0" fontId="0" fillId="4" borderId="0" xfId="0" applyFill="1"/>
    <xf numFmtId="0" fontId="0" fillId="0" borderId="2" xfId="0" applyBorder="1"/>
    <xf numFmtId="165" fontId="0" fillId="0" borderId="2" xfId="1" applyNumberFormat="1" applyFont="1" applyBorder="1"/>
    <xf numFmtId="0" fontId="5" fillId="0" borderId="0" xfId="0" applyFont="1"/>
    <xf numFmtId="165" fontId="0" fillId="0" borderId="0" xfId="0" applyNumberFormat="1"/>
    <xf numFmtId="0" fontId="0" fillId="0" borderId="0" xfId="0" applyFill="1" applyBorder="1"/>
    <xf numFmtId="165" fontId="0" fillId="0" borderId="0" xfId="1" applyNumberFormat="1" applyFont="1" applyBorder="1"/>
    <xf numFmtId="0" fontId="3" fillId="0" borderId="0" xfId="0" applyFont="1" applyBorder="1"/>
    <xf numFmtId="0" fontId="0" fillId="0" borderId="2" xfId="0" applyFill="1" applyBorder="1"/>
    <xf numFmtId="0" fontId="0" fillId="3" borderId="1" xfId="0" applyFill="1" applyBorder="1"/>
    <xf numFmtId="44" fontId="0" fillId="0" borderId="0" xfId="1" applyFont="1" applyFill="1" applyBorder="1"/>
    <xf numFmtId="0" fontId="0" fillId="3" borderId="1" xfId="0" applyFill="1" applyBorder="1" applyAlignment="1">
      <alignment horizontal="right"/>
    </xf>
    <xf numFmtId="167" fontId="0" fillId="0" borderId="0" xfId="3" applyNumberFormat="1" applyFont="1"/>
    <xf numFmtId="0" fontId="5" fillId="0" borderId="3" xfId="0" applyFont="1" applyBorder="1"/>
    <xf numFmtId="165" fontId="0" fillId="0" borderId="2" xfId="0" applyNumberFormat="1" applyBorder="1"/>
    <xf numFmtId="0" fontId="0" fillId="0" borderId="4" xfId="0" applyBorder="1"/>
    <xf numFmtId="0" fontId="0" fillId="0" borderId="4" xfId="0" applyFill="1" applyBorder="1"/>
    <xf numFmtId="167" fontId="0" fillId="0" borderId="4" xfId="3" applyNumberFormat="1" applyFont="1" applyBorder="1"/>
    <xf numFmtId="0" fontId="2" fillId="0" borderId="5" xfId="0" applyFont="1" applyFill="1" applyBorder="1"/>
    <xf numFmtId="0" fontId="0" fillId="0" borderId="4" xfId="0" applyFont="1" applyBorder="1"/>
    <xf numFmtId="165" fontId="0" fillId="0" borderId="3" xfId="1" applyNumberFormat="1" applyFont="1" applyBorder="1"/>
    <xf numFmtId="0" fontId="0" fillId="0" borderId="0" xfId="0" quotePrefix="1" applyAlignment="1">
      <alignment horizontal="left"/>
    </xf>
    <xf numFmtId="0" fontId="0" fillId="0" borderId="0" xfId="0" applyAlignment="1">
      <alignment horizontal="left"/>
    </xf>
    <xf numFmtId="9" fontId="0" fillId="0" borderId="0" xfId="2" applyNumberFormat="1" applyFont="1"/>
    <xf numFmtId="0" fontId="0" fillId="0" borderId="3" xfId="0" applyBorder="1"/>
    <xf numFmtId="0" fontId="5" fillId="0" borderId="5" xfId="0" applyFont="1" applyBorder="1"/>
    <xf numFmtId="165" fontId="0" fillId="0" borderId="5" xfId="0" applyNumberFormat="1" applyBorder="1"/>
    <xf numFmtId="9" fontId="0" fillId="6" borderId="1" xfId="2" applyFont="1" applyFill="1" applyBorder="1"/>
    <xf numFmtId="44" fontId="0" fillId="0" borderId="0" xfId="0" applyNumberFormat="1"/>
    <xf numFmtId="168" fontId="0" fillId="0" borderId="5" xfId="0" applyNumberFormat="1" applyFont="1" applyBorder="1"/>
    <xf numFmtId="166" fontId="0" fillId="0" borderId="2" xfId="1" applyNumberFormat="1" applyFont="1" applyBorder="1"/>
    <xf numFmtId="0" fontId="3" fillId="0" borderId="3" xfId="0" applyFont="1" applyBorder="1"/>
    <xf numFmtId="0" fontId="3" fillId="0" borderId="6" xfId="0" applyFont="1" applyBorder="1"/>
    <xf numFmtId="1" fontId="0" fillId="0" borderId="6" xfId="0" applyNumberFormat="1" applyBorder="1"/>
    <xf numFmtId="0" fontId="2" fillId="0" borderId="4" xfId="0" applyFont="1" applyBorder="1"/>
    <xf numFmtId="44" fontId="0" fillId="0" borderId="4" xfId="0" applyNumberFormat="1" applyBorder="1"/>
    <xf numFmtId="0" fontId="3" fillId="0" borderId="5" xfId="0" applyFont="1" applyBorder="1"/>
    <xf numFmtId="0" fontId="0" fillId="0" borderId="5" xfId="0" applyBorder="1"/>
    <xf numFmtId="44" fontId="0" fillId="0" borderId="2" xfId="1" applyFont="1" applyBorder="1"/>
    <xf numFmtId="0" fontId="5" fillId="0" borderId="7" xfId="0" applyFont="1" applyBorder="1"/>
    <xf numFmtId="44" fontId="0" fillId="0" borderId="7" xfId="0" applyNumberFormat="1" applyBorder="1"/>
    <xf numFmtId="0" fontId="0" fillId="0" borderId="0" xfId="0" applyAlignment="1">
      <alignment horizontal="right"/>
    </xf>
    <xf numFmtId="44" fontId="0" fillId="6" borderId="1" xfId="1" applyFont="1" applyFill="1" applyBorder="1"/>
    <xf numFmtId="167" fontId="0" fillId="0" borderId="0" xfId="0" applyNumberFormat="1"/>
    <xf numFmtId="0" fontId="6" fillId="0" borderId="0" xfId="4"/>
    <xf numFmtId="0" fontId="0" fillId="0" borderId="0" xfId="0" applyAlignment="1">
      <alignment wrapText="1"/>
    </xf>
    <xf numFmtId="0" fontId="0" fillId="0" borderId="0" xfId="0" applyAlignment="1">
      <alignment vertical="center"/>
    </xf>
    <xf numFmtId="0" fontId="2" fillId="0" borderId="0" xfId="0" applyFont="1" applyFill="1"/>
    <xf numFmtId="0" fontId="0" fillId="0" borderId="0" xfId="0" applyFill="1"/>
    <xf numFmtId="0" fontId="0" fillId="0" borderId="0" xfId="0" applyAlignment="1">
      <alignment horizontal="left" vertical="center"/>
    </xf>
    <xf numFmtId="0" fontId="0" fillId="0" borderId="0" xfId="0" applyFont="1" applyFill="1" applyBorder="1"/>
    <xf numFmtId="0" fontId="0" fillId="0" borderId="0" xfId="0" applyFont="1" applyBorder="1"/>
    <xf numFmtId="167" fontId="0" fillId="0" borderId="0" xfId="3" applyNumberFormat="1" applyFont="1" applyBorder="1"/>
    <xf numFmtId="167" fontId="0" fillId="0" borderId="3" xfId="3" applyNumberFormat="1" applyFont="1" applyBorder="1"/>
    <xf numFmtId="0" fontId="3" fillId="0" borderId="4" xfId="0" applyFont="1" applyBorder="1"/>
    <xf numFmtId="166" fontId="0" fillId="0" borderId="5" xfId="1" applyNumberFormat="1" applyFont="1" applyBorder="1"/>
    <xf numFmtId="0" fontId="2" fillId="2" borderId="0" xfId="0" applyFont="1" applyFill="1" applyBorder="1"/>
    <xf numFmtId="0" fontId="0" fillId="0" borderId="0" xfId="0" applyBorder="1" applyAlignment="1">
      <alignment vertical="center"/>
    </xf>
    <xf numFmtId="0" fontId="0" fillId="0" borderId="0" xfId="0" applyBorder="1" applyAlignment="1">
      <alignment wrapText="1"/>
    </xf>
    <xf numFmtId="0" fontId="3" fillId="0" borderId="2" xfId="0" applyFont="1" applyBorder="1"/>
    <xf numFmtId="9" fontId="0" fillId="6" borderId="1" xfId="0" applyNumberFormat="1" applyFill="1" applyBorder="1"/>
    <xf numFmtId="169" fontId="0" fillId="0" borderId="0" xfId="2" applyNumberFormat="1" applyFont="1"/>
    <xf numFmtId="1" fontId="2" fillId="2" borderId="0" xfId="0" applyNumberFormat="1" applyFont="1" applyFill="1"/>
    <xf numFmtId="3" fontId="0" fillId="0" borderId="0" xfId="0" applyNumberFormat="1"/>
    <xf numFmtId="3" fontId="0" fillId="0" borderId="0" xfId="0" applyNumberFormat="1" applyFont="1" applyBorder="1"/>
    <xf numFmtId="169" fontId="0" fillId="6" borderId="8" xfId="2" applyNumberFormat="1" applyFont="1" applyFill="1" applyBorder="1"/>
    <xf numFmtId="169" fontId="0" fillId="6" borderId="1" xfId="2" applyNumberFormat="1" applyFont="1" applyFill="1" applyBorder="1"/>
    <xf numFmtId="165" fontId="0" fillId="6" borderId="1" xfId="1" applyNumberFormat="1" applyFont="1" applyFill="1" applyBorder="1"/>
    <xf numFmtId="8" fontId="0" fillId="0" borderId="0" xfId="0" applyNumberFormat="1"/>
    <xf numFmtId="0" fontId="5" fillId="0" borderId="9" xfId="0" applyFont="1" applyFill="1" applyBorder="1"/>
    <xf numFmtId="0" fontId="5" fillId="0" borderId="4" xfId="0" applyFont="1" applyBorder="1"/>
    <xf numFmtId="165" fontId="0" fillId="0" borderId="4" xfId="0" applyNumberFormat="1" applyBorder="1"/>
    <xf numFmtId="165" fontId="0" fillId="0" borderId="9" xfId="0" applyNumberFormat="1" applyBorder="1"/>
    <xf numFmtId="165" fontId="0" fillId="0" borderId="3" xfId="0" applyNumberFormat="1" applyBorder="1"/>
    <xf numFmtId="165" fontId="0" fillId="0" borderId="0" xfId="0" applyNumberFormat="1" applyBorder="1"/>
    <xf numFmtId="0" fontId="0" fillId="8" borderId="0" xfId="0" applyFill="1"/>
    <xf numFmtId="169" fontId="4" fillId="4" borderId="0" xfId="2" applyNumberFormat="1" applyFont="1" applyFill="1"/>
    <xf numFmtId="10" fontId="0" fillId="0" borderId="0" xfId="2" applyNumberFormat="1" applyFont="1"/>
    <xf numFmtId="0" fontId="0" fillId="8" borderId="0" xfId="0" applyFill="1" applyAlignment="1">
      <alignment wrapText="1"/>
    </xf>
    <xf numFmtId="0" fontId="2" fillId="4" borderId="1" xfId="0" applyFont="1" applyFill="1" applyBorder="1"/>
    <xf numFmtId="0" fontId="0" fillId="6" borderId="1" xfId="0" applyFill="1" applyBorder="1"/>
    <xf numFmtId="1" fontId="0" fillId="0" borderId="0" xfId="2" applyNumberFormat="1" applyFont="1"/>
    <xf numFmtId="44" fontId="0" fillId="0" borderId="0" xfId="1" applyNumberFormat="1" applyFont="1"/>
    <xf numFmtId="9" fontId="0" fillId="6" borderId="16" xfId="0" applyNumberFormat="1" applyFill="1" applyBorder="1"/>
    <xf numFmtId="0" fontId="9" fillId="8" borderId="0" xfId="0" applyFont="1" applyFill="1"/>
    <xf numFmtId="0" fontId="11" fillId="8" borderId="0" xfId="0" applyFont="1" applyFill="1"/>
    <xf numFmtId="170" fontId="0" fillId="8" borderId="0" xfId="0" applyNumberFormat="1" applyFill="1"/>
    <xf numFmtId="0" fontId="10" fillId="8" borderId="0" xfId="0" applyFont="1" applyFill="1" applyBorder="1" applyAlignment="1"/>
    <xf numFmtId="0" fontId="0" fillId="10" borderId="0" xfId="0" applyFill="1"/>
    <xf numFmtId="0" fontId="2" fillId="4" borderId="10" xfId="0" applyFont="1" applyFill="1" applyBorder="1"/>
    <xf numFmtId="0" fontId="0" fillId="4" borderId="10" xfId="0" applyFont="1" applyFill="1" applyBorder="1"/>
    <xf numFmtId="0" fontId="0" fillId="4" borderId="1" xfId="0" applyFill="1" applyBorder="1"/>
    <xf numFmtId="2" fontId="0" fillId="0" borderId="0" xfId="1" applyNumberFormat="1" applyFont="1"/>
    <xf numFmtId="169" fontId="0" fillId="6" borderId="1" xfId="0" applyNumberFormat="1" applyFill="1" applyBorder="1"/>
    <xf numFmtId="1" fontId="0" fillId="0" borderId="0" xfId="1" applyNumberFormat="1" applyFont="1"/>
    <xf numFmtId="165" fontId="0" fillId="0" borderId="0" xfId="1" applyNumberFormat="1" applyFont="1" applyFill="1" applyBorder="1"/>
    <xf numFmtId="0" fontId="13" fillId="0" borderId="0" xfId="0" applyFont="1"/>
    <xf numFmtId="165" fontId="13" fillId="0" borderId="0" xfId="1" applyNumberFormat="1" applyFont="1"/>
    <xf numFmtId="0" fontId="0" fillId="0" borderId="0" xfId="2" applyNumberFormat="1" applyFont="1"/>
    <xf numFmtId="44" fontId="0" fillId="0" borderId="9" xfId="0" applyNumberFormat="1" applyBorder="1"/>
    <xf numFmtId="171" fontId="0" fillId="0" borderId="0" xfId="0" applyNumberFormat="1"/>
    <xf numFmtId="171" fontId="0" fillId="0" borderId="0" xfId="1" applyNumberFormat="1" applyFont="1"/>
    <xf numFmtId="0" fontId="0" fillId="0" borderId="0" xfId="0" applyNumberFormat="1"/>
    <xf numFmtId="0" fontId="14" fillId="11" borderId="0" xfId="5"/>
    <xf numFmtId="0" fontId="3" fillId="0" borderId="4" xfId="0" applyFont="1" applyFill="1" applyBorder="1"/>
    <xf numFmtId="0" fontId="3" fillId="4" borderId="0" xfId="0" applyFont="1" applyFill="1"/>
    <xf numFmtId="3" fontId="15" fillId="0" borderId="0" xfId="0" applyNumberFormat="1" applyFont="1"/>
    <xf numFmtId="3" fontId="13" fillId="0" borderId="0" xfId="0" applyNumberFormat="1" applyFont="1" applyBorder="1"/>
    <xf numFmtId="0" fontId="2" fillId="4" borderId="0" xfId="0" applyFont="1" applyFill="1"/>
    <xf numFmtId="44" fontId="0" fillId="0" borderId="3" xfId="1" applyFont="1" applyFill="1" applyBorder="1"/>
    <xf numFmtId="44" fontId="0" fillId="0" borderId="4" xfId="1" applyFont="1" applyFill="1" applyBorder="1"/>
    <xf numFmtId="0" fontId="4" fillId="2" borderId="0" xfId="0" applyFont="1" applyFill="1" applyAlignment="1">
      <alignment horizontal="left"/>
    </xf>
    <xf numFmtId="0" fontId="2" fillId="2" borderId="0" xfId="0" applyFont="1" applyFill="1" applyAlignment="1">
      <alignment horizontal="left"/>
    </xf>
    <xf numFmtId="165" fontId="0" fillId="0" borderId="0" xfId="0" applyNumberFormat="1" applyFont="1"/>
    <xf numFmtId="44" fontId="0" fillId="0" borderId="4" xfId="1" applyFont="1" applyBorder="1"/>
    <xf numFmtId="0" fontId="2" fillId="0" borderId="22" xfId="0" applyFont="1" applyBorder="1"/>
    <xf numFmtId="0" fontId="0" fillId="0" borderId="22" xfId="0" applyBorder="1"/>
    <xf numFmtId="0" fontId="2" fillId="0" borderId="23" xfId="0" applyFont="1" applyBorder="1"/>
    <xf numFmtId="0" fontId="0" fillId="0" borderId="23" xfId="0" applyBorder="1"/>
    <xf numFmtId="0" fontId="0" fillId="0" borderId="22" xfId="0" applyBorder="1" applyAlignment="1">
      <alignment vertical="top"/>
    </xf>
    <xf numFmtId="0" fontId="0" fillId="0" borderId="22" xfId="0" applyBorder="1" applyAlignment="1">
      <alignment horizontal="right"/>
    </xf>
    <xf numFmtId="0" fontId="0" fillId="0" borderId="22" xfId="0" applyFill="1" applyBorder="1"/>
    <xf numFmtId="44" fontId="0" fillId="0" borderId="2" xfId="1" applyFont="1" applyFill="1" applyBorder="1"/>
    <xf numFmtId="165" fontId="13" fillId="0" borderId="0" xfId="1" applyNumberFormat="1" applyFont="1" applyBorder="1"/>
    <xf numFmtId="0" fontId="0" fillId="4" borderId="23" xfId="0" applyFill="1" applyBorder="1"/>
    <xf numFmtId="0" fontId="16" fillId="8" borderId="0" xfId="0" applyFont="1" applyFill="1" applyAlignment="1">
      <alignment vertical="center"/>
    </xf>
    <xf numFmtId="0" fontId="17" fillId="8" borderId="0" xfId="0" applyFont="1" applyFill="1"/>
    <xf numFmtId="0" fontId="17" fillId="0" borderId="0" xfId="0" applyFont="1"/>
    <xf numFmtId="0" fontId="17" fillId="8" borderId="0" xfId="0" applyFont="1" applyFill="1" applyAlignment="1">
      <alignment vertical="center"/>
    </xf>
    <xf numFmtId="0" fontId="17" fillId="8" borderId="0" xfId="0" applyFont="1" applyFill="1" applyAlignment="1">
      <alignment wrapText="1"/>
    </xf>
    <xf numFmtId="0" fontId="17" fillId="0" borderId="0" xfId="0" applyFont="1" applyAlignment="1">
      <alignment wrapText="1"/>
    </xf>
    <xf numFmtId="44" fontId="0" fillId="6" borderId="1" xfId="0" applyNumberFormat="1" applyFill="1" applyBorder="1"/>
    <xf numFmtId="1" fontId="0" fillId="6" borderId="1" xfId="2" applyNumberFormat="1" applyFont="1" applyFill="1" applyBorder="1"/>
    <xf numFmtId="0" fontId="3" fillId="0" borderId="0" xfId="0" applyFont="1" applyFill="1" applyBorder="1"/>
    <xf numFmtId="3" fontId="0" fillId="3" borderId="0" xfId="0" applyNumberFormat="1" applyFill="1"/>
    <xf numFmtId="1" fontId="0" fillId="0" borderId="22" xfId="0" applyNumberFormat="1" applyBorder="1" applyAlignment="1">
      <alignment horizontal="right"/>
    </xf>
    <xf numFmtId="0" fontId="2" fillId="10" borderId="23" xfId="0" applyFont="1" applyFill="1" applyBorder="1"/>
    <xf numFmtId="0" fontId="2" fillId="0" borderId="22" xfId="0" applyFont="1" applyFill="1" applyBorder="1"/>
    <xf numFmtId="0" fontId="0" fillId="0" borderId="22" xfId="0" applyFont="1" applyFill="1" applyBorder="1"/>
    <xf numFmtId="3" fontId="0" fillId="0" borderId="22" xfId="0" applyNumberFormat="1" applyFont="1" applyFill="1" applyBorder="1"/>
    <xf numFmtId="3" fontId="0" fillId="0" borderId="22" xfId="0" applyNumberFormat="1" applyFill="1" applyBorder="1"/>
    <xf numFmtId="0" fontId="2" fillId="0" borderId="22" xfId="0" applyFont="1" applyBorder="1" applyAlignment="1">
      <alignment vertical="top"/>
    </xf>
    <xf numFmtId="0" fontId="2" fillId="0" borderId="24" xfId="0" applyFont="1" applyBorder="1"/>
    <xf numFmtId="3" fontId="0" fillId="0" borderId="25" xfId="0" applyNumberFormat="1" applyFont="1" applyFill="1" applyBorder="1"/>
    <xf numFmtId="3" fontId="0" fillId="0" borderId="22" xfId="0" applyNumberFormat="1" applyBorder="1"/>
    <xf numFmtId="0" fontId="2" fillId="0" borderId="0" xfId="0" applyFont="1" applyAlignment="1">
      <alignment wrapText="1"/>
    </xf>
    <xf numFmtId="0" fontId="16" fillId="8" borderId="0" xfId="0" applyFont="1" applyFill="1" applyBorder="1"/>
    <xf numFmtId="0" fontId="16" fillId="8" borderId="18" xfId="0" applyFont="1" applyFill="1" applyBorder="1"/>
    <xf numFmtId="0" fontId="16" fillId="8" borderId="0" xfId="0" applyFont="1" applyFill="1" applyBorder="1" applyAlignment="1"/>
    <xf numFmtId="0" fontId="16" fillId="8" borderId="20" xfId="0" applyFont="1" applyFill="1" applyBorder="1"/>
    <xf numFmtId="0" fontId="16" fillId="8" borderId="21" xfId="0" applyFont="1" applyFill="1" applyBorder="1"/>
    <xf numFmtId="0" fontId="16" fillId="8" borderId="17" xfId="0" applyFont="1" applyFill="1" applyBorder="1" applyAlignment="1">
      <alignment vertical="center"/>
    </xf>
    <xf numFmtId="0" fontId="16" fillId="8" borderId="19" xfId="0" applyFont="1" applyFill="1" applyBorder="1" applyAlignment="1">
      <alignment vertical="center"/>
    </xf>
    <xf numFmtId="165" fontId="0" fillId="0" borderId="2" xfId="1" applyNumberFormat="1" applyFont="1" applyFill="1" applyBorder="1"/>
    <xf numFmtId="0" fontId="17" fillId="7" borderId="18" xfId="0" applyFont="1" applyFill="1" applyBorder="1" applyAlignment="1"/>
    <xf numFmtId="0" fontId="17" fillId="7" borderId="21" xfId="0" applyFont="1" applyFill="1" applyBorder="1" applyAlignment="1"/>
    <xf numFmtId="0" fontId="0" fillId="0" borderId="22" xfId="0" applyNumberFormat="1" applyFont="1" applyFill="1" applyBorder="1"/>
    <xf numFmtId="0" fontId="0" fillId="0" borderId="22" xfId="0" applyNumberFormat="1" applyBorder="1"/>
    <xf numFmtId="0" fontId="2" fillId="2" borderId="0" xfId="0" applyFont="1" applyFill="1" applyAlignment="1">
      <alignment horizontal="left"/>
    </xf>
    <xf numFmtId="0" fontId="2" fillId="2" borderId="0" xfId="0" applyFont="1" applyFill="1" applyAlignment="1">
      <alignment horizontal="right"/>
    </xf>
    <xf numFmtId="0" fontId="0" fillId="0" borderId="0" xfId="0" applyAlignment="1"/>
    <xf numFmtId="9" fontId="0" fillId="0" borderId="0" xfId="2" applyFont="1" applyFill="1"/>
    <xf numFmtId="0" fontId="4" fillId="8" borderId="0" xfId="0" applyFont="1" applyFill="1" applyAlignment="1">
      <alignment horizontal="left" wrapText="1"/>
    </xf>
    <xf numFmtId="0" fontId="0" fillId="3" borderId="1" xfId="0" applyFill="1" applyBorder="1" applyAlignment="1">
      <alignment horizontal="left"/>
    </xf>
    <xf numFmtId="0" fontId="2" fillId="0" borderId="9" xfId="0" applyFont="1" applyBorder="1"/>
    <xf numFmtId="0" fontId="13" fillId="0" borderId="0" xfId="5" applyFont="1" applyFill="1" applyBorder="1"/>
    <xf numFmtId="0" fontId="13" fillId="0" borderId="0" xfId="5" applyFont="1" applyFill="1"/>
    <xf numFmtId="165" fontId="13" fillId="0" borderId="0" xfId="1" applyNumberFormat="1" applyFont="1" applyFill="1"/>
    <xf numFmtId="0" fontId="2" fillId="2" borderId="0" xfId="0" applyFont="1" applyFill="1" applyAlignment="1">
      <alignment horizontal="left"/>
    </xf>
    <xf numFmtId="0" fontId="0" fillId="0" borderId="25" xfId="0" applyFill="1" applyBorder="1"/>
    <xf numFmtId="0" fontId="0" fillId="0" borderId="3" xfId="0" applyFont="1" applyBorder="1"/>
    <xf numFmtId="165" fontId="0" fillId="0" borderId="3" xfId="0" applyNumberFormat="1" applyFont="1" applyBorder="1"/>
    <xf numFmtId="0" fontId="4" fillId="8" borderId="0" xfId="0" applyFont="1" applyFill="1" applyAlignment="1">
      <alignment horizontal="left" wrapText="1"/>
    </xf>
    <xf numFmtId="0" fontId="10" fillId="2" borderId="0" xfId="0" applyFont="1" applyFill="1" applyBorder="1" applyAlignment="1">
      <alignment horizontal="center"/>
    </xf>
    <xf numFmtId="0" fontId="11" fillId="8" borderId="0" xfId="0" applyFont="1" applyFill="1" applyAlignment="1">
      <alignment horizontal="left" wrapText="1"/>
    </xf>
    <xf numFmtId="0" fontId="9" fillId="3" borderId="10" xfId="0" applyFont="1" applyFill="1" applyBorder="1" applyAlignment="1">
      <alignment horizontal="center"/>
    </xf>
    <xf numFmtId="0" fontId="9" fillId="3" borderId="15" xfId="0" applyFont="1" applyFill="1" applyBorder="1" applyAlignment="1">
      <alignment horizontal="center"/>
    </xf>
    <xf numFmtId="0" fontId="9" fillId="3" borderId="11" xfId="0" applyFont="1" applyFill="1" applyBorder="1" applyAlignment="1">
      <alignment horizontal="center"/>
    </xf>
    <xf numFmtId="0" fontId="4" fillId="8" borderId="0" xfId="0" applyFont="1" applyFill="1" applyAlignment="1">
      <alignment horizontal="left"/>
    </xf>
    <xf numFmtId="0" fontId="16" fillId="8" borderId="19" xfId="0" applyFont="1" applyFill="1" applyBorder="1" applyAlignment="1">
      <alignment horizontal="left" vertical="center" wrapText="1"/>
    </xf>
    <xf numFmtId="0" fontId="16" fillId="8" borderId="20" xfId="0" applyFont="1" applyFill="1" applyBorder="1" applyAlignment="1">
      <alignment horizontal="left" vertical="center" wrapText="1"/>
    </xf>
    <xf numFmtId="0" fontId="16" fillId="8" borderId="21" xfId="0" applyFont="1" applyFill="1" applyBorder="1" applyAlignment="1">
      <alignment horizontal="left" vertical="center" wrapText="1"/>
    </xf>
    <xf numFmtId="0" fontId="12" fillId="9" borderId="12" xfId="0" applyFont="1" applyFill="1" applyBorder="1" applyAlignment="1">
      <alignment horizontal="center" vertical="center"/>
    </xf>
    <xf numFmtId="0" fontId="12" fillId="9" borderId="14" xfId="0" applyFont="1" applyFill="1" applyBorder="1" applyAlignment="1">
      <alignment horizontal="center" vertical="center"/>
    </xf>
    <xf numFmtId="171" fontId="16" fillId="7" borderId="17" xfId="1" applyNumberFormat="1" applyFont="1" applyFill="1" applyBorder="1" applyAlignment="1">
      <alignment horizontal="center" vertical="center"/>
    </xf>
    <xf numFmtId="171" fontId="16" fillId="7" borderId="19" xfId="1" applyNumberFormat="1" applyFont="1" applyFill="1" applyBorder="1" applyAlignment="1">
      <alignment horizontal="center" vertical="center"/>
    </xf>
    <xf numFmtId="0" fontId="17" fillId="7" borderId="18" xfId="0" applyFont="1" applyFill="1" applyBorder="1" applyAlignment="1">
      <alignment horizontal="center" wrapText="1"/>
    </xf>
    <xf numFmtId="0" fontId="17" fillId="7" borderId="21" xfId="0" applyFont="1" applyFill="1" applyBorder="1" applyAlignment="1">
      <alignment horizontal="center" wrapText="1"/>
    </xf>
    <xf numFmtId="164" fontId="16" fillId="7" borderId="17" xfId="0" applyNumberFormat="1" applyFont="1" applyFill="1" applyBorder="1" applyAlignment="1">
      <alignment horizontal="center" vertical="top" wrapText="1"/>
    </xf>
    <xf numFmtId="164" fontId="16" fillId="7" borderId="19" xfId="0" applyNumberFormat="1" applyFont="1" applyFill="1" applyBorder="1" applyAlignment="1">
      <alignment horizontal="center" vertical="top" wrapText="1"/>
    </xf>
    <xf numFmtId="164" fontId="16" fillId="7" borderId="17" xfId="0" applyNumberFormat="1" applyFont="1" applyFill="1" applyBorder="1" applyAlignment="1">
      <alignment horizontal="center"/>
    </xf>
    <xf numFmtId="165" fontId="17" fillId="7" borderId="18" xfId="1" applyNumberFormat="1" applyFont="1" applyFill="1" applyBorder="1" applyAlignment="1">
      <alignment horizontal="center" wrapText="1"/>
    </xf>
    <xf numFmtId="165" fontId="17" fillId="7" borderId="21" xfId="1" applyNumberFormat="1" applyFont="1" applyFill="1" applyBorder="1" applyAlignment="1">
      <alignment horizontal="center" wrapText="1"/>
    </xf>
    <xf numFmtId="1" fontId="16" fillId="7" borderId="17" xfId="0" applyNumberFormat="1" applyFont="1" applyFill="1" applyBorder="1" applyAlignment="1">
      <alignment horizontal="center" wrapText="1"/>
    </xf>
    <xf numFmtId="1" fontId="16" fillId="7" borderId="17" xfId="0" applyNumberFormat="1" applyFont="1" applyFill="1" applyBorder="1" applyAlignment="1">
      <alignment horizontal="center" vertical="top" wrapText="1"/>
    </xf>
    <xf numFmtId="1" fontId="16" fillId="7" borderId="19" xfId="0" applyNumberFormat="1" applyFont="1" applyFill="1" applyBorder="1" applyAlignment="1">
      <alignment horizontal="center" vertical="top" wrapText="1"/>
    </xf>
    <xf numFmtId="0" fontId="16" fillId="0" borderId="17" xfId="0" applyFont="1" applyBorder="1" applyAlignment="1">
      <alignment horizontal="left" vertical="center" wrapText="1"/>
    </xf>
    <xf numFmtId="0" fontId="16" fillId="0" borderId="0" xfId="0" applyFont="1" applyBorder="1" applyAlignment="1">
      <alignment horizontal="left" vertical="center" wrapText="1"/>
    </xf>
    <xf numFmtId="0" fontId="16" fillId="0" borderId="18" xfId="0" applyFont="1" applyBorder="1" applyAlignment="1">
      <alignment horizontal="left" vertical="center" wrapText="1"/>
    </xf>
    <xf numFmtId="0" fontId="16" fillId="0" borderId="19" xfId="0" applyFont="1" applyBorder="1" applyAlignment="1">
      <alignment horizontal="left" vertical="center" wrapText="1"/>
    </xf>
    <xf numFmtId="0" fontId="16" fillId="0" borderId="20" xfId="0" applyFont="1" applyBorder="1" applyAlignment="1">
      <alignment horizontal="left" vertical="center" wrapText="1"/>
    </xf>
    <xf numFmtId="0" fontId="16" fillId="0" borderId="21" xfId="0" applyFont="1" applyBorder="1" applyAlignment="1">
      <alignment horizontal="left" vertical="center" wrapText="1"/>
    </xf>
    <xf numFmtId="0" fontId="12" fillId="12" borderId="12" xfId="0" applyFont="1" applyFill="1" applyBorder="1" applyAlignment="1">
      <alignment horizontal="center" vertical="center"/>
    </xf>
    <xf numFmtId="0" fontId="12" fillId="12" borderId="13" xfId="0" applyFont="1" applyFill="1" applyBorder="1" applyAlignment="1">
      <alignment horizontal="center" vertical="center"/>
    </xf>
    <xf numFmtId="0" fontId="12" fillId="12" borderId="14" xfId="0" applyFont="1" applyFill="1" applyBorder="1" applyAlignment="1">
      <alignment horizontal="center" vertical="center"/>
    </xf>
    <xf numFmtId="173" fontId="16" fillId="7" borderId="17" xfId="1" applyNumberFormat="1" applyFont="1" applyFill="1" applyBorder="1" applyAlignment="1">
      <alignment horizontal="center" vertical="center"/>
    </xf>
    <xf numFmtId="173" fontId="16" fillId="7" borderId="19" xfId="1" applyNumberFormat="1" applyFont="1" applyFill="1" applyBorder="1" applyAlignment="1">
      <alignment horizontal="center" vertical="center"/>
    </xf>
    <xf numFmtId="172" fontId="17" fillId="7" borderId="18" xfId="1" applyNumberFormat="1" applyFont="1" applyFill="1" applyBorder="1" applyAlignment="1">
      <alignment horizontal="center" vertical="center"/>
    </xf>
    <xf numFmtId="172" fontId="17" fillId="7" borderId="21" xfId="1" applyNumberFormat="1" applyFont="1" applyFill="1" applyBorder="1" applyAlignment="1">
      <alignment horizontal="center" vertical="center"/>
    </xf>
    <xf numFmtId="0" fontId="12" fillId="4" borderId="0" xfId="0" applyFont="1" applyFill="1" applyAlignment="1">
      <alignment horizontal="center"/>
    </xf>
    <xf numFmtId="0" fontId="0" fillId="8" borderId="19" xfId="0" applyFont="1" applyFill="1" applyBorder="1" applyAlignment="1">
      <alignment horizontal="left" vertical="center" wrapText="1"/>
    </xf>
    <xf numFmtId="0" fontId="0" fillId="8" borderId="20" xfId="0" applyFont="1" applyFill="1" applyBorder="1" applyAlignment="1">
      <alignment horizontal="left" vertical="center" wrapText="1"/>
    </xf>
    <xf numFmtId="0" fontId="0" fillId="8" borderId="21" xfId="0" applyFont="1" applyFill="1" applyBorder="1" applyAlignment="1">
      <alignment horizontal="left" vertical="center" wrapText="1"/>
    </xf>
    <xf numFmtId="0" fontId="2" fillId="0" borderId="22" xfId="0" applyFont="1" applyFill="1" applyBorder="1" applyAlignment="1">
      <alignment horizontal="center"/>
    </xf>
    <xf numFmtId="0" fontId="2" fillId="0" borderId="23" xfId="0" applyFont="1" applyFill="1" applyBorder="1" applyAlignment="1">
      <alignment horizontal="center"/>
    </xf>
    <xf numFmtId="0" fontId="2" fillId="0" borderId="22" xfId="0" applyFont="1" applyBorder="1" applyAlignment="1">
      <alignment horizontal="center"/>
    </xf>
    <xf numFmtId="0" fontId="2" fillId="0" borderId="24" xfId="0" applyFont="1" applyFill="1" applyBorder="1" applyAlignment="1">
      <alignment horizontal="center"/>
    </xf>
    <xf numFmtId="0" fontId="4" fillId="4" borderId="0" xfId="0" applyFont="1" applyFill="1" applyAlignment="1">
      <alignment horizontal="left"/>
    </xf>
    <xf numFmtId="0" fontId="2" fillId="2" borderId="0" xfId="0" applyFont="1" applyFill="1" applyAlignment="1">
      <alignment horizontal="left"/>
    </xf>
  </cellXfs>
  <cellStyles count="6">
    <cellStyle name="Bad" xfId="5" builtinId="27"/>
    <cellStyle name="Comma" xfId="3" builtinId="3"/>
    <cellStyle name="Currency" xfId="1" builtinId="4"/>
    <cellStyle name="Hyperlink" xfId="4" builtinId="8"/>
    <cellStyle name="Normal" xfId="0" builtinId="0"/>
    <cellStyle name="Percent" xfId="2" builtinId="5"/>
  </cellStyles>
  <dxfs count="7">
    <dxf>
      <font>
        <color rgb="FFC00000"/>
      </font>
      <fill>
        <patternFill>
          <bgColor theme="6" tint="0.79998168889431442"/>
        </patternFill>
      </fill>
    </dxf>
    <dxf>
      <font>
        <color rgb="FFC00000"/>
      </font>
      <fill>
        <patternFill>
          <bgColor theme="6" tint="0.79998168889431442"/>
        </patternFill>
      </fill>
    </dxf>
    <dxf>
      <font>
        <color theme="0" tint="-0.24994659260841701"/>
      </font>
      <fill>
        <patternFill>
          <bgColor theme="0" tint="-0.24994659260841701"/>
        </patternFill>
      </fill>
    </dxf>
    <dxf>
      <font>
        <color theme="0"/>
      </font>
      <fill>
        <patternFill>
          <bgColor theme="0"/>
        </patternFill>
      </fill>
      <border>
        <left/>
        <right/>
        <top/>
        <bottom/>
        <vertical/>
        <horizontal/>
      </border>
    </dxf>
    <dxf>
      <font>
        <b/>
        <i val="0"/>
        <color theme="0"/>
      </font>
      <fill>
        <patternFill>
          <bgColor theme="5"/>
        </patternFill>
      </fill>
    </dxf>
    <dxf>
      <font>
        <b/>
        <i val="0"/>
        <color theme="0"/>
      </font>
      <fill>
        <patternFill>
          <bgColor theme="5"/>
        </patternFill>
      </fill>
    </dxf>
    <dxf>
      <font>
        <b/>
        <i val="0"/>
        <color theme="0"/>
      </font>
      <fill>
        <patternFill>
          <bgColor theme="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Forecast Electricity Demand</c:v>
          </c:tx>
          <c:spPr>
            <a:ln w="28575" cap="rnd">
              <a:solidFill>
                <a:schemeClr val="accent1"/>
              </a:solidFill>
              <a:round/>
            </a:ln>
            <a:effectLst/>
          </c:spPr>
          <c:marker>
            <c:symbol val="none"/>
          </c:marker>
          <c:cat>
            <c:numRef>
              <c:f>Graphs!$A$34:$A$39</c:f>
              <c:numCache>
                <c:formatCode>General</c:formatCode>
                <c:ptCount val="6"/>
                <c:pt idx="0">
                  <c:v>2015</c:v>
                </c:pt>
                <c:pt idx="1">
                  <c:v>2017</c:v>
                </c:pt>
                <c:pt idx="2">
                  <c:v>2019</c:v>
                </c:pt>
                <c:pt idx="3">
                  <c:v>2021</c:v>
                </c:pt>
                <c:pt idx="4">
                  <c:v>2023</c:v>
                </c:pt>
                <c:pt idx="5">
                  <c:v>2025</c:v>
                </c:pt>
              </c:numCache>
            </c:numRef>
          </c:cat>
          <c:val>
            <c:numRef>
              <c:f>'Resource Mix and Demand'!$B$65:$G$65</c:f>
              <c:numCache>
                <c:formatCode>#,##0</c:formatCode>
                <c:ptCount val="6"/>
                <c:pt idx="0">
                  <c:v>60000000</c:v>
                </c:pt>
                <c:pt idx="1">
                  <c:v>59500000</c:v>
                </c:pt>
                <c:pt idx="2">
                  <c:v>59000000</c:v>
                </c:pt>
                <c:pt idx="3">
                  <c:v>58500000</c:v>
                </c:pt>
                <c:pt idx="4">
                  <c:v>58000000</c:v>
                </c:pt>
                <c:pt idx="5">
                  <c:v>57500000</c:v>
                </c:pt>
              </c:numCache>
            </c:numRef>
          </c:val>
          <c:smooth val="0"/>
          <c:extLst>
            <c:ext xmlns:c16="http://schemas.microsoft.com/office/drawing/2014/chart" uri="{C3380CC4-5D6E-409C-BE32-E72D297353CC}">
              <c16:uniqueId val="{00000000-1F70-4B50-A849-8AEBDCD9E28F}"/>
            </c:ext>
          </c:extLst>
        </c:ser>
        <c:dLbls>
          <c:showLegendKey val="0"/>
          <c:showVal val="0"/>
          <c:showCatName val="0"/>
          <c:showSerName val="0"/>
          <c:showPercent val="0"/>
          <c:showBubbleSize val="0"/>
        </c:dLbls>
        <c:smooth val="0"/>
        <c:axId val="466992304"/>
        <c:axId val="466987992"/>
      </c:lineChart>
      <c:catAx>
        <c:axId val="466992304"/>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87992"/>
        <c:crosses val="autoZero"/>
        <c:auto val="1"/>
        <c:lblAlgn val="ctr"/>
        <c:lblOffset val="100"/>
        <c:noMultiLvlLbl val="0"/>
      </c:catAx>
      <c:valAx>
        <c:axId val="4669879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92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Planned Retirements (MW)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'Resource Mix and Demand'!$A$12</c:f>
              <c:strCache>
                <c:ptCount val="1"/>
                <c:pt idx="0">
                  <c:v>coal</c:v>
                </c:pt>
              </c:strCache>
            </c:strRef>
          </c:tx>
          <c:spPr>
            <a:solidFill>
              <a:schemeClr val="accent1"/>
            </a:solidFill>
            <a:ln>
              <a:noFill/>
            </a:ln>
            <a:effectLst/>
          </c:spPr>
          <c:invertIfNegative val="0"/>
          <c:cat>
            <c:numRef>
              <c:f>Graphs!$A$35:$A$39</c:f>
              <c:numCache>
                <c:formatCode>General</c:formatCode>
                <c:ptCount val="5"/>
                <c:pt idx="0">
                  <c:v>2017</c:v>
                </c:pt>
                <c:pt idx="1">
                  <c:v>2019</c:v>
                </c:pt>
                <c:pt idx="2">
                  <c:v>2021</c:v>
                </c:pt>
                <c:pt idx="3">
                  <c:v>2023</c:v>
                </c:pt>
                <c:pt idx="4">
                  <c:v>2025</c:v>
                </c:pt>
              </c:numCache>
            </c:numRef>
          </c:cat>
          <c:val>
            <c:numRef>
              <c:f>'Resource Mix and Demand'!$C$12:$G$12</c:f>
              <c:numCache>
                <c:formatCode>#,##0</c:formatCode>
                <c:ptCount val="5"/>
                <c:pt idx="0">
                  <c:v>0</c:v>
                </c:pt>
                <c:pt idx="1">
                  <c:v>1000</c:v>
                </c:pt>
                <c:pt idx="2">
                  <c:v>1000</c:v>
                </c:pt>
                <c:pt idx="3">
                  <c:v>0</c:v>
                </c:pt>
                <c:pt idx="4">
                  <c:v>0</c:v>
                </c:pt>
              </c:numCache>
            </c:numRef>
          </c:val>
          <c:extLst>
            <c:ext xmlns:c16="http://schemas.microsoft.com/office/drawing/2014/chart" uri="{C3380CC4-5D6E-409C-BE32-E72D297353CC}">
              <c16:uniqueId val="{00000000-9171-4356-AB60-E928A3D84A9E}"/>
            </c:ext>
          </c:extLst>
        </c:ser>
        <c:ser>
          <c:idx val="1"/>
          <c:order val="1"/>
          <c:tx>
            <c:strRef>
              <c:f>'Resource Mix and Demand'!$A$14</c:f>
              <c:strCache>
                <c:ptCount val="1"/>
                <c:pt idx="0">
                  <c:v>nuclear</c:v>
                </c:pt>
              </c:strCache>
            </c:strRef>
          </c:tx>
          <c:spPr>
            <a:solidFill>
              <a:schemeClr val="accent3"/>
            </a:solidFill>
            <a:ln>
              <a:noFill/>
            </a:ln>
            <a:effectLst/>
          </c:spPr>
          <c:invertIfNegative val="0"/>
          <c:cat>
            <c:numRef>
              <c:f>Graphs!$A$35:$A$39</c:f>
              <c:numCache>
                <c:formatCode>General</c:formatCode>
                <c:ptCount val="5"/>
                <c:pt idx="0">
                  <c:v>2017</c:v>
                </c:pt>
                <c:pt idx="1">
                  <c:v>2019</c:v>
                </c:pt>
                <c:pt idx="2">
                  <c:v>2021</c:v>
                </c:pt>
                <c:pt idx="3">
                  <c:v>2023</c:v>
                </c:pt>
                <c:pt idx="4">
                  <c:v>2025</c:v>
                </c:pt>
              </c:numCache>
            </c:numRef>
          </c:cat>
          <c:val>
            <c:numRef>
              <c:f>'Resource Mix and Demand'!$C$14:$G$14</c:f>
              <c:numCache>
                <c:formatCode>#,##0</c:formatCode>
                <c:ptCount val="5"/>
                <c:pt idx="0">
                  <c:v>1000</c:v>
                </c:pt>
                <c:pt idx="1">
                  <c:v>0</c:v>
                </c:pt>
                <c:pt idx="2">
                  <c:v>0</c:v>
                </c:pt>
                <c:pt idx="3">
                  <c:v>0</c:v>
                </c:pt>
                <c:pt idx="4">
                  <c:v>0</c:v>
                </c:pt>
              </c:numCache>
            </c:numRef>
          </c:val>
          <c:extLst>
            <c:ext xmlns:c16="http://schemas.microsoft.com/office/drawing/2014/chart" uri="{C3380CC4-5D6E-409C-BE32-E72D297353CC}">
              <c16:uniqueId val="{00000001-9171-4356-AB60-E928A3D84A9E}"/>
            </c:ext>
          </c:extLst>
        </c:ser>
        <c:dLbls>
          <c:showLegendKey val="0"/>
          <c:showVal val="0"/>
          <c:showCatName val="0"/>
          <c:showSerName val="0"/>
          <c:showPercent val="0"/>
          <c:showBubbleSize val="0"/>
        </c:dLbls>
        <c:gapWidth val="219"/>
        <c:overlap val="100"/>
        <c:axId val="466988776"/>
        <c:axId val="466989168"/>
        <c:extLst/>
      </c:barChart>
      <c:catAx>
        <c:axId val="466988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89168"/>
        <c:crosses val="autoZero"/>
        <c:auto val="1"/>
        <c:lblAlgn val="ctr"/>
        <c:lblOffset val="100"/>
        <c:noMultiLvlLbl val="0"/>
      </c:catAx>
      <c:valAx>
        <c:axId val="4669891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88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v>Start Year Capacity</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1D3-4911-8567-E608AE042EA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1D3-4911-8567-E608AE042EA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1D3-4911-8567-E608AE042EA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1D3-4911-8567-E608AE042EA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1D3-4911-8567-E608AE042EA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1D3-4911-8567-E608AE042EA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1D3-4911-8567-E608AE042EA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'Game Assumptions'!$J$41:$J$47</c:f>
              <c:strCache>
                <c:ptCount val="7"/>
                <c:pt idx="0">
                  <c:v>coal</c:v>
                </c:pt>
                <c:pt idx="1">
                  <c:v>natural gas</c:v>
                </c:pt>
                <c:pt idx="2">
                  <c:v>nuclear</c:v>
                </c:pt>
                <c:pt idx="3">
                  <c:v>solar</c:v>
                </c:pt>
                <c:pt idx="4">
                  <c:v>wind</c:v>
                </c:pt>
                <c:pt idx="5">
                  <c:v>hydro</c:v>
                </c:pt>
                <c:pt idx="6">
                  <c:v>EE</c:v>
                </c:pt>
              </c:strCache>
            </c:strRef>
          </c:cat>
          <c:val>
            <c:numRef>
              <c:f>'Game Assumptions'!$K$41:$K$47</c:f>
              <c:numCache>
                <c:formatCode>0</c:formatCode>
                <c:ptCount val="7"/>
                <c:pt idx="0">
                  <c:v>4000</c:v>
                </c:pt>
                <c:pt idx="1">
                  <c:v>8000</c:v>
                </c:pt>
                <c:pt idx="2">
                  <c:v>2000</c:v>
                </c:pt>
                <c:pt idx="3">
                  <c:v>200</c:v>
                </c:pt>
                <c:pt idx="4">
                  <c:v>200</c:v>
                </c:pt>
                <c:pt idx="5">
                  <c:v>200</c:v>
                </c:pt>
                <c:pt idx="6">
                  <c:v>200</c:v>
                </c:pt>
              </c:numCache>
            </c:numRef>
          </c:val>
          <c:extLst>
            <c:ext xmlns:c16="http://schemas.microsoft.com/office/drawing/2014/chart" uri="{C3380CC4-5D6E-409C-BE32-E72D297353CC}">
              <c16:uniqueId val="{0000000E-A1D3-4911-8567-E608AE042EA6}"/>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Solar</a:t>
            </a:r>
            <a:r>
              <a:rPr lang="en-US" baseline="0"/>
              <a:t> and Wind Capital Costs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'Initial Setup'!$B$48</c:f>
              <c:strCache>
                <c:ptCount val="1"/>
                <c:pt idx="0">
                  <c:v>solar pv</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Graphs!$A$34:$A$39</c:f>
              <c:numCache>
                <c:formatCode>General</c:formatCode>
                <c:ptCount val="6"/>
                <c:pt idx="0">
                  <c:v>2015</c:v>
                </c:pt>
                <c:pt idx="1">
                  <c:v>2017</c:v>
                </c:pt>
                <c:pt idx="2">
                  <c:v>2019</c:v>
                </c:pt>
                <c:pt idx="3">
                  <c:v>2021</c:v>
                </c:pt>
                <c:pt idx="4">
                  <c:v>2023</c:v>
                </c:pt>
                <c:pt idx="5">
                  <c:v>2025</c:v>
                </c:pt>
              </c:numCache>
            </c:numRef>
          </c:cat>
          <c:val>
            <c:numRef>
              <c:f>'Initial Setup'!$B$49:$B$54</c:f>
              <c:numCache>
                <c:formatCode>0.000</c:formatCode>
                <c:ptCount val="6"/>
                <c:pt idx="0" formatCode="General">
                  <c:v>1.5625</c:v>
                </c:pt>
                <c:pt idx="1">
                  <c:v>1.46875</c:v>
                </c:pt>
                <c:pt idx="2">
                  <c:v>1.380625</c:v>
                </c:pt>
                <c:pt idx="3">
                  <c:v>1.2977874999999999</c:v>
                </c:pt>
                <c:pt idx="4">
                  <c:v>1.2199202499999997</c:v>
                </c:pt>
                <c:pt idx="5">
                  <c:v>1.1467250349999996</c:v>
                </c:pt>
              </c:numCache>
            </c:numRef>
          </c:val>
          <c:smooth val="0"/>
          <c:extLst>
            <c:ext xmlns:c16="http://schemas.microsoft.com/office/drawing/2014/chart" uri="{C3380CC4-5D6E-409C-BE32-E72D297353CC}">
              <c16:uniqueId val="{00000000-CE96-4481-877C-90B7D917B511}"/>
            </c:ext>
          </c:extLst>
        </c:ser>
        <c:ser>
          <c:idx val="2"/>
          <c:order val="1"/>
          <c:tx>
            <c:strRef>
              <c:f>'Initial Setup'!$C$48</c:f>
              <c:strCache>
                <c:ptCount val="1"/>
                <c:pt idx="0">
                  <c:v>wind</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Graphs!$A$34:$A$39</c:f>
              <c:numCache>
                <c:formatCode>General</c:formatCode>
                <c:ptCount val="6"/>
                <c:pt idx="0">
                  <c:v>2015</c:v>
                </c:pt>
                <c:pt idx="1">
                  <c:v>2017</c:v>
                </c:pt>
                <c:pt idx="2">
                  <c:v>2019</c:v>
                </c:pt>
                <c:pt idx="3">
                  <c:v>2021</c:v>
                </c:pt>
                <c:pt idx="4">
                  <c:v>2023</c:v>
                </c:pt>
                <c:pt idx="5">
                  <c:v>2025</c:v>
                </c:pt>
              </c:numCache>
            </c:numRef>
          </c:cat>
          <c:val>
            <c:numRef>
              <c:f>'Initial Setup'!$C$49:$C$54</c:f>
              <c:numCache>
                <c:formatCode>0.000</c:formatCode>
                <c:ptCount val="6"/>
                <c:pt idx="0" formatCode="General">
                  <c:v>1.4750000000000001</c:v>
                </c:pt>
                <c:pt idx="1">
                  <c:v>1.43075</c:v>
                </c:pt>
                <c:pt idx="2">
                  <c:v>1.3878275</c:v>
                </c:pt>
                <c:pt idx="3">
                  <c:v>1.3461926749999999</c:v>
                </c:pt>
                <c:pt idx="4">
                  <c:v>1.3058068947499999</c:v>
                </c:pt>
                <c:pt idx="5">
                  <c:v>1.2666326879074998</c:v>
                </c:pt>
              </c:numCache>
            </c:numRef>
          </c:val>
          <c:smooth val="0"/>
          <c:extLst>
            <c:ext xmlns:c16="http://schemas.microsoft.com/office/drawing/2014/chart" uri="{C3380CC4-5D6E-409C-BE32-E72D297353CC}">
              <c16:uniqueId val="{00000001-CE96-4481-877C-90B7D917B511}"/>
            </c:ext>
          </c:extLst>
        </c:ser>
        <c:dLbls>
          <c:showLegendKey val="0"/>
          <c:showVal val="0"/>
          <c:showCatName val="0"/>
          <c:showSerName val="0"/>
          <c:showPercent val="0"/>
          <c:showBubbleSize val="0"/>
        </c:dLbls>
        <c:marker val="1"/>
        <c:smooth val="0"/>
        <c:axId val="466989952"/>
        <c:axId val="466990736"/>
      </c:lineChart>
      <c:catAx>
        <c:axId val="466989952"/>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90736"/>
        <c:crosses val="autoZero"/>
        <c:auto val="1"/>
        <c:lblAlgn val="ctr"/>
        <c:lblOffset val="100"/>
        <c:noMultiLvlLbl val="0"/>
      </c:catAx>
      <c:valAx>
        <c:axId val="466990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89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Growth of Customer-Sited DERs and EE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Distributed PV</c:v>
          </c:tx>
          <c:spPr>
            <a:ln w="28575" cap="rnd">
              <a:solidFill>
                <a:schemeClr val="accent2">
                  <a:lumMod val="40000"/>
                  <a:lumOff val="60000"/>
                </a:schemeClr>
              </a:solidFill>
              <a:round/>
            </a:ln>
            <a:effectLst/>
          </c:spPr>
          <c:marker>
            <c:symbol val="none"/>
          </c:marker>
          <c:cat>
            <c:numRef>
              <c:f>Graphs!$A$34:$A$39</c:f>
              <c:numCache>
                <c:formatCode>General</c:formatCode>
                <c:ptCount val="6"/>
                <c:pt idx="0">
                  <c:v>2015</c:v>
                </c:pt>
                <c:pt idx="1">
                  <c:v>2017</c:v>
                </c:pt>
                <c:pt idx="2">
                  <c:v>2019</c:v>
                </c:pt>
                <c:pt idx="3">
                  <c:v>2021</c:v>
                </c:pt>
                <c:pt idx="4">
                  <c:v>2023</c:v>
                </c:pt>
                <c:pt idx="5">
                  <c:v>2025</c:v>
                </c:pt>
              </c:numCache>
            </c:numRef>
          </c:cat>
          <c:val>
            <c:numRef>
              <c:f>Graphs!$B$102:$F$102</c:f>
              <c:numCache>
                <c:formatCode>#,##0</c:formatCode>
                <c:ptCount val="5"/>
                <c:pt idx="0">
                  <c:v>60</c:v>
                </c:pt>
                <c:pt idx="1">
                  <c:v>70</c:v>
                </c:pt>
                <c:pt idx="2">
                  <c:v>80</c:v>
                </c:pt>
                <c:pt idx="3">
                  <c:v>90</c:v>
                </c:pt>
                <c:pt idx="4">
                  <c:v>100</c:v>
                </c:pt>
              </c:numCache>
            </c:numRef>
          </c:val>
          <c:smooth val="0"/>
          <c:extLst>
            <c:ext xmlns:c16="http://schemas.microsoft.com/office/drawing/2014/chart" uri="{C3380CC4-5D6E-409C-BE32-E72D297353CC}">
              <c16:uniqueId val="{00000000-1443-4201-9B10-E4927AAF827E}"/>
            </c:ext>
          </c:extLst>
        </c:ser>
        <c:ser>
          <c:idx val="1"/>
          <c:order val="1"/>
          <c:tx>
            <c:v>Energy Efficiency</c:v>
          </c:tx>
          <c:spPr>
            <a:ln w="28575" cap="rnd">
              <a:solidFill>
                <a:srgbClr val="7030A0"/>
              </a:solidFill>
              <a:round/>
            </a:ln>
            <a:effectLst/>
          </c:spPr>
          <c:marker>
            <c:symbol val="none"/>
          </c:marker>
          <c:cat>
            <c:numRef>
              <c:f>Graphs!$A$34:$A$39</c:f>
              <c:numCache>
                <c:formatCode>General</c:formatCode>
                <c:ptCount val="6"/>
                <c:pt idx="0">
                  <c:v>2015</c:v>
                </c:pt>
                <c:pt idx="1">
                  <c:v>2017</c:v>
                </c:pt>
                <c:pt idx="2">
                  <c:v>2019</c:v>
                </c:pt>
                <c:pt idx="3">
                  <c:v>2021</c:v>
                </c:pt>
                <c:pt idx="4">
                  <c:v>2023</c:v>
                </c:pt>
                <c:pt idx="5">
                  <c:v>2025</c:v>
                </c:pt>
              </c:numCache>
            </c:numRef>
          </c:cat>
          <c:val>
            <c:numRef>
              <c:f>Graphs!$B$101:$F$101</c:f>
              <c:numCache>
                <c:formatCode>#,##0</c:formatCode>
                <c:ptCount val="5"/>
                <c:pt idx="0">
                  <c:v>225</c:v>
                </c:pt>
                <c:pt idx="1">
                  <c:v>250</c:v>
                </c:pt>
                <c:pt idx="2">
                  <c:v>275</c:v>
                </c:pt>
                <c:pt idx="3">
                  <c:v>300</c:v>
                </c:pt>
                <c:pt idx="4">
                  <c:v>325</c:v>
                </c:pt>
              </c:numCache>
            </c:numRef>
          </c:val>
          <c:smooth val="0"/>
          <c:extLst>
            <c:ext xmlns:c16="http://schemas.microsoft.com/office/drawing/2014/chart" uri="{C3380CC4-5D6E-409C-BE32-E72D297353CC}">
              <c16:uniqueId val="{00000001-1443-4201-9B10-E4927AAF827E}"/>
            </c:ext>
          </c:extLst>
        </c:ser>
        <c:dLbls>
          <c:showLegendKey val="0"/>
          <c:showVal val="0"/>
          <c:showCatName val="0"/>
          <c:showSerName val="0"/>
          <c:showPercent val="0"/>
          <c:showBubbleSize val="0"/>
        </c:dLbls>
        <c:smooth val="0"/>
        <c:axId val="466992696"/>
        <c:axId val="466877040"/>
      </c:lineChart>
      <c:catAx>
        <c:axId val="466992696"/>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77040"/>
        <c:crosses val="autoZero"/>
        <c:auto val="1"/>
        <c:lblAlgn val="ctr"/>
        <c:lblOffset val="100"/>
        <c:noMultiLvlLbl val="0"/>
      </c:catAx>
      <c:valAx>
        <c:axId val="466877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MW Capacity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92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Graphs!$A$34:$A$39</c:f>
              <c:numCache>
                <c:formatCode>General</c:formatCode>
                <c:ptCount val="6"/>
                <c:pt idx="0">
                  <c:v>2015</c:v>
                </c:pt>
                <c:pt idx="1">
                  <c:v>2017</c:v>
                </c:pt>
                <c:pt idx="2">
                  <c:v>2019</c:v>
                </c:pt>
                <c:pt idx="3">
                  <c:v>2021</c:v>
                </c:pt>
                <c:pt idx="4">
                  <c:v>2023</c:v>
                </c:pt>
                <c:pt idx="5">
                  <c:v>2025</c:v>
                </c:pt>
              </c:numCache>
            </c:numRef>
          </c:cat>
          <c:val>
            <c:numRef>
              <c:f>Graphs!$C$34:$C$39</c:f>
              <c:numCache>
                <c:formatCode>"$"#,##0.00</c:formatCode>
                <c:ptCount val="6"/>
                <c:pt idx="0">
                  <c:v>0.54024054081148387</c:v>
                </c:pt>
                <c:pt idx="1">
                  <c:v>#N/A</c:v>
                </c:pt>
                <c:pt idx="2">
                  <c:v>#N/A</c:v>
                </c:pt>
                <c:pt idx="3">
                  <c:v>#N/A</c:v>
                </c:pt>
                <c:pt idx="4">
                  <c:v>#N/A</c:v>
                </c:pt>
                <c:pt idx="5">
                  <c:v>#N/A</c:v>
                </c:pt>
              </c:numCache>
            </c:numRef>
          </c:val>
          <c:smooth val="0"/>
          <c:extLst>
            <c:ext xmlns:c16="http://schemas.microsoft.com/office/drawing/2014/chart" uri="{C3380CC4-5D6E-409C-BE32-E72D297353CC}">
              <c16:uniqueId val="{00000000-6D23-43F7-8929-53B7EE06FA9A}"/>
            </c:ext>
          </c:extLst>
        </c:ser>
        <c:ser>
          <c:idx val="1"/>
          <c:order val="1"/>
          <c:tx>
            <c:strRef>
              <c:f>Graphs!$D$2</c:f>
              <c:strCache>
                <c:ptCount val="1"/>
                <c:pt idx="0">
                  <c:v>Current Round + Past Round</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Graphs!$A$34:$A$39</c:f>
              <c:numCache>
                <c:formatCode>General</c:formatCode>
                <c:ptCount val="6"/>
                <c:pt idx="0">
                  <c:v>2015</c:v>
                </c:pt>
                <c:pt idx="1">
                  <c:v>2017</c:v>
                </c:pt>
                <c:pt idx="2">
                  <c:v>2019</c:v>
                </c:pt>
                <c:pt idx="3">
                  <c:v>2021</c:v>
                </c:pt>
                <c:pt idx="4">
                  <c:v>2023</c:v>
                </c:pt>
                <c:pt idx="5">
                  <c:v>2025</c:v>
                </c:pt>
              </c:numCache>
            </c:numRef>
          </c:cat>
          <c:val>
            <c:numRef>
              <c:f>Graphs!$D$34:$D$39</c:f>
              <c:numCache>
                <c:formatCode>"$"#,##0.00</c:formatCode>
                <c:ptCount val="6"/>
                <c:pt idx="0">
                  <c:v>0.54024054081148387</c:v>
                </c:pt>
                <c:pt idx="1">
                  <c:v>#N/A</c:v>
                </c:pt>
                <c:pt idx="2">
                  <c:v>#N/A</c:v>
                </c:pt>
                <c:pt idx="3">
                  <c:v>#N/A</c:v>
                </c:pt>
                <c:pt idx="4">
                  <c:v>#N/A</c:v>
                </c:pt>
                <c:pt idx="5">
                  <c:v>#N/A</c:v>
                </c:pt>
              </c:numCache>
            </c:numRef>
          </c:val>
          <c:smooth val="0"/>
          <c:extLst>
            <c:ext xmlns:c16="http://schemas.microsoft.com/office/drawing/2014/chart" uri="{C3380CC4-5D6E-409C-BE32-E72D297353CC}">
              <c16:uniqueId val="{00000001-6D23-43F7-8929-53B7EE06FA9A}"/>
            </c:ext>
          </c:extLst>
        </c:ser>
        <c:dLbls>
          <c:showLegendKey val="0"/>
          <c:showVal val="0"/>
          <c:showCatName val="0"/>
          <c:showSerName val="0"/>
          <c:showPercent val="0"/>
          <c:showBubbleSize val="0"/>
        </c:dLbls>
        <c:marker val="1"/>
        <c:smooth val="0"/>
        <c:axId val="466875472"/>
        <c:axId val="466878216"/>
      </c:lineChart>
      <c:catAx>
        <c:axId val="466875472"/>
        <c:scaling>
          <c:orientation val="minMax"/>
        </c:scaling>
        <c:delete val="0"/>
        <c:axPos val="b"/>
        <c:numFmt formatCode="General" sourceLinked="1"/>
        <c:majorTickMark val="cross"/>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66878216"/>
        <c:crosses val="autoZero"/>
        <c:auto val="1"/>
        <c:lblAlgn val="ctr"/>
        <c:lblOffset val="100"/>
        <c:noMultiLvlLbl val="0"/>
      </c:catAx>
      <c:valAx>
        <c:axId val="466878216"/>
        <c:scaling>
          <c:orientation val="minMax"/>
          <c:max val="2"/>
          <c:min val="0"/>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6687547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Graphs!$E$2</c:f>
              <c:strCache>
                <c:ptCount val="1"/>
                <c:pt idx="0">
                  <c:v>Target</c:v>
                </c:pt>
              </c:strCache>
            </c:strRef>
          </c:tx>
          <c:spPr>
            <a:ln w="19050" cap="rnd">
              <a:solidFill>
                <a:schemeClr val="tx1"/>
              </a:solidFill>
              <a:prstDash val="sysDash"/>
              <a:round/>
            </a:ln>
            <a:effectLst/>
          </c:spPr>
          <c:marker>
            <c:symbol val="none"/>
          </c:marker>
          <c:cat>
            <c:numRef>
              <c:f>Graphs!$A$3:$A$8</c:f>
              <c:numCache>
                <c:formatCode>General</c:formatCode>
                <c:ptCount val="6"/>
                <c:pt idx="0">
                  <c:v>2015</c:v>
                </c:pt>
                <c:pt idx="1">
                  <c:v>2017</c:v>
                </c:pt>
                <c:pt idx="2">
                  <c:v>2019</c:v>
                </c:pt>
                <c:pt idx="3">
                  <c:v>2021</c:v>
                </c:pt>
                <c:pt idx="4">
                  <c:v>2023</c:v>
                </c:pt>
                <c:pt idx="5">
                  <c:v>2025</c:v>
                </c:pt>
              </c:numCache>
            </c:numRef>
          </c:cat>
          <c:val>
            <c:numRef>
              <c:f>'Customer Bills'!$B$17:$G$17</c:f>
              <c:numCache>
                <c:formatCode>_("$"* #,##0.00_);_("$"* \(#,##0.00\);_("$"* "-"??_);_(@_)</c:formatCode>
                <c:ptCount val="6"/>
                <c:pt idx="0">
                  <c:v>95.70191479695302</c:v>
                </c:pt>
                <c:pt idx="1">
                  <c:v>95.70191479695302</c:v>
                </c:pt>
                <c:pt idx="2">
                  <c:v>95.70191479695302</c:v>
                </c:pt>
                <c:pt idx="3">
                  <c:v>95.70191479695302</c:v>
                </c:pt>
                <c:pt idx="4">
                  <c:v>95.70191479695302</c:v>
                </c:pt>
                <c:pt idx="5">
                  <c:v>95.70191479695302</c:v>
                </c:pt>
              </c:numCache>
            </c:numRef>
          </c:val>
          <c:smooth val="0"/>
          <c:extLst>
            <c:ext xmlns:c16="http://schemas.microsoft.com/office/drawing/2014/chart" uri="{C3380CC4-5D6E-409C-BE32-E72D297353CC}">
              <c16:uniqueId val="{00000000-8AD6-4027-908E-AFD5F3358D98}"/>
            </c:ext>
          </c:extLst>
        </c:ser>
        <c:ser>
          <c:idx val="0"/>
          <c:order val="1"/>
          <c:tx>
            <c:strRef>
              <c:f>Graphs!$C$2</c:f>
              <c:strCache>
                <c:ptCount val="1"/>
                <c:pt idx="0">
                  <c:v>Past Rounds</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Graphs!$A$3:$A$8</c:f>
              <c:numCache>
                <c:formatCode>General</c:formatCode>
                <c:ptCount val="6"/>
                <c:pt idx="0">
                  <c:v>2015</c:v>
                </c:pt>
                <c:pt idx="1">
                  <c:v>2017</c:v>
                </c:pt>
                <c:pt idx="2">
                  <c:v>2019</c:v>
                </c:pt>
                <c:pt idx="3">
                  <c:v>2021</c:v>
                </c:pt>
                <c:pt idx="4">
                  <c:v>2023</c:v>
                </c:pt>
                <c:pt idx="5">
                  <c:v>2025</c:v>
                </c:pt>
              </c:numCache>
            </c:numRef>
          </c:cat>
          <c:val>
            <c:numRef>
              <c:f>Graphs!$C$3:$C$8</c:f>
              <c:numCache>
                <c:formatCode>_("$"* #,##0.00_);_("$"* \(#,##0.00\);_("$"* "-"??_);_(@_)</c:formatCode>
                <c:ptCount val="6"/>
                <c:pt idx="0">
                  <c:v>95.70191479695302</c:v>
                </c:pt>
                <c:pt idx="1">
                  <c:v>#N/A</c:v>
                </c:pt>
                <c:pt idx="2">
                  <c:v>#N/A</c:v>
                </c:pt>
                <c:pt idx="3">
                  <c:v>#N/A</c:v>
                </c:pt>
                <c:pt idx="4">
                  <c:v>#N/A</c:v>
                </c:pt>
                <c:pt idx="5">
                  <c:v>#N/A</c:v>
                </c:pt>
              </c:numCache>
            </c:numRef>
          </c:val>
          <c:smooth val="0"/>
          <c:extLst>
            <c:ext xmlns:c16="http://schemas.microsoft.com/office/drawing/2014/chart" uri="{C3380CC4-5D6E-409C-BE32-E72D297353CC}">
              <c16:uniqueId val="{00000001-8AD6-4027-908E-AFD5F3358D98}"/>
            </c:ext>
          </c:extLst>
        </c:ser>
        <c:ser>
          <c:idx val="1"/>
          <c:order val="2"/>
          <c:tx>
            <c:strRef>
              <c:f>Graphs!$D$2</c:f>
              <c:strCache>
                <c:ptCount val="1"/>
                <c:pt idx="0">
                  <c:v>Current Round + Past Round</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Graphs!$A$3:$A$8</c:f>
              <c:numCache>
                <c:formatCode>General</c:formatCode>
                <c:ptCount val="6"/>
                <c:pt idx="0">
                  <c:v>2015</c:v>
                </c:pt>
                <c:pt idx="1">
                  <c:v>2017</c:v>
                </c:pt>
                <c:pt idx="2">
                  <c:v>2019</c:v>
                </c:pt>
                <c:pt idx="3">
                  <c:v>2021</c:v>
                </c:pt>
                <c:pt idx="4">
                  <c:v>2023</c:v>
                </c:pt>
                <c:pt idx="5">
                  <c:v>2025</c:v>
                </c:pt>
              </c:numCache>
            </c:numRef>
          </c:cat>
          <c:val>
            <c:numRef>
              <c:f>Graphs!$D$3:$D$8</c:f>
              <c:numCache>
                <c:formatCode>_("$"* #,##0.00_);_("$"* \(#,##0.00\);_("$"* "-"??_);_(@_)</c:formatCode>
                <c:ptCount val="6"/>
                <c:pt idx="0">
                  <c:v>95.70191479695302</c:v>
                </c:pt>
                <c:pt idx="1">
                  <c:v>#N/A</c:v>
                </c:pt>
                <c:pt idx="2">
                  <c:v>#N/A</c:v>
                </c:pt>
                <c:pt idx="3">
                  <c:v>#N/A</c:v>
                </c:pt>
                <c:pt idx="4">
                  <c:v>#N/A</c:v>
                </c:pt>
                <c:pt idx="5">
                  <c:v>#N/A</c:v>
                </c:pt>
              </c:numCache>
            </c:numRef>
          </c:val>
          <c:smooth val="0"/>
          <c:extLst>
            <c:ext xmlns:c16="http://schemas.microsoft.com/office/drawing/2014/chart" uri="{C3380CC4-5D6E-409C-BE32-E72D297353CC}">
              <c16:uniqueId val="{00000002-8AD6-4027-908E-AFD5F3358D98}"/>
            </c:ext>
          </c:extLst>
        </c:ser>
        <c:dLbls>
          <c:showLegendKey val="0"/>
          <c:showVal val="0"/>
          <c:showCatName val="0"/>
          <c:showSerName val="0"/>
          <c:showPercent val="0"/>
          <c:showBubbleSize val="0"/>
        </c:dLbls>
        <c:smooth val="0"/>
        <c:axId val="466878608"/>
        <c:axId val="466873904"/>
      </c:lineChart>
      <c:catAx>
        <c:axId val="466878608"/>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66873904"/>
        <c:crosses val="autoZero"/>
        <c:auto val="1"/>
        <c:lblAlgn val="ctr"/>
        <c:lblOffset val="100"/>
        <c:noMultiLvlLbl val="0"/>
      </c:catAx>
      <c:valAx>
        <c:axId val="4668739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668786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Graphs!$E$17</c:f>
              <c:strCache>
                <c:ptCount val="1"/>
                <c:pt idx="0">
                  <c:v>Target</c:v>
                </c:pt>
              </c:strCache>
            </c:strRef>
          </c:tx>
          <c:spPr>
            <a:ln w="19050" cap="rnd">
              <a:solidFill>
                <a:schemeClr val="tx1"/>
              </a:solidFill>
              <a:prstDash val="sysDash"/>
              <a:round/>
            </a:ln>
            <a:effectLst/>
          </c:spPr>
          <c:marker>
            <c:symbol val="none"/>
          </c:marker>
          <c:cat>
            <c:numRef>
              <c:f>Graphs!$A$18:$A$23</c:f>
              <c:numCache>
                <c:formatCode>General</c:formatCode>
                <c:ptCount val="6"/>
                <c:pt idx="0">
                  <c:v>2015</c:v>
                </c:pt>
                <c:pt idx="1">
                  <c:v>2017</c:v>
                </c:pt>
                <c:pt idx="2">
                  <c:v>2019</c:v>
                </c:pt>
                <c:pt idx="3">
                  <c:v>2021</c:v>
                </c:pt>
                <c:pt idx="4">
                  <c:v>2023</c:v>
                </c:pt>
                <c:pt idx="5">
                  <c:v>2025</c:v>
                </c:pt>
              </c:numCache>
            </c:numRef>
          </c:cat>
          <c:val>
            <c:numRef>
              <c:f>'Environmental Performance'!$B$6:$G$6</c:f>
              <c:numCache>
                <c:formatCode>0</c:formatCode>
                <c:ptCount val="6"/>
                <c:pt idx="0">
                  <c:v>1077.7907015393157</c:v>
                </c:pt>
                <c:pt idx="1">
                  <c:v>970.03256123145252</c:v>
                </c:pt>
                <c:pt idx="2">
                  <c:v>862.27442092358933</c:v>
                </c:pt>
                <c:pt idx="3">
                  <c:v>754.51628061572615</c:v>
                </c:pt>
                <c:pt idx="4">
                  <c:v>646.75814030786296</c:v>
                </c:pt>
                <c:pt idx="5">
                  <c:v>539</c:v>
                </c:pt>
              </c:numCache>
            </c:numRef>
          </c:val>
          <c:smooth val="0"/>
          <c:extLst>
            <c:ext xmlns:c16="http://schemas.microsoft.com/office/drawing/2014/chart" uri="{C3380CC4-5D6E-409C-BE32-E72D297353CC}">
              <c16:uniqueId val="{00000000-8E92-412C-BC9A-35A62B6D9E41}"/>
            </c:ext>
          </c:extLst>
        </c:ser>
        <c:ser>
          <c:idx val="0"/>
          <c:order val="1"/>
          <c:tx>
            <c:strRef>
              <c:f>Graphs!$C$2</c:f>
              <c:strCache>
                <c:ptCount val="1"/>
                <c:pt idx="0">
                  <c:v>Past Rounds</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Graphs!$A$18:$A$23</c:f>
              <c:numCache>
                <c:formatCode>General</c:formatCode>
                <c:ptCount val="6"/>
                <c:pt idx="0">
                  <c:v>2015</c:v>
                </c:pt>
                <c:pt idx="1">
                  <c:v>2017</c:v>
                </c:pt>
                <c:pt idx="2">
                  <c:v>2019</c:v>
                </c:pt>
                <c:pt idx="3">
                  <c:v>2021</c:v>
                </c:pt>
                <c:pt idx="4">
                  <c:v>2023</c:v>
                </c:pt>
                <c:pt idx="5">
                  <c:v>2025</c:v>
                </c:pt>
              </c:numCache>
            </c:numRef>
          </c:cat>
          <c:val>
            <c:numRef>
              <c:f>Graphs!$C$18:$C$23</c:f>
              <c:numCache>
                <c:formatCode>0.00</c:formatCode>
                <c:ptCount val="6"/>
                <c:pt idx="0">
                  <c:v>1077.7907015393157</c:v>
                </c:pt>
                <c:pt idx="1">
                  <c:v>#N/A</c:v>
                </c:pt>
                <c:pt idx="2">
                  <c:v>#N/A</c:v>
                </c:pt>
                <c:pt idx="3">
                  <c:v>#N/A</c:v>
                </c:pt>
                <c:pt idx="4">
                  <c:v>#N/A</c:v>
                </c:pt>
                <c:pt idx="5">
                  <c:v>#N/A</c:v>
                </c:pt>
              </c:numCache>
            </c:numRef>
          </c:val>
          <c:smooth val="0"/>
          <c:extLst>
            <c:ext xmlns:c16="http://schemas.microsoft.com/office/drawing/2014/chart" uri="{C3380CC4-5D6E-409C-BE32-E72D297353CC}">
              <c16:uniqueId val="{00000001-8E92-412C-BC9A-35A62B6D9E41}"/>
            </c:ext>
          </c:extLst>
        </c:ser>
        <c:ser>
          <c:idx val="1"/>
          <c:order val="2"/>
          <c:tx>
            <c:strRef>
              <c:f>Graphs!$D$2</c:f>
              <c:strCache>
                <c:ptCount val="1"/>
                <c:pt idx="0">
                  <c:v>Current Round + Past Round</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Graphs!$A$18:$A$23</c:f>
              <c:numCache>
                <c:formatCode>General</c:formatCode>
                <c:ptCount val="6"/>
                <c:pt idx="0">
                  <c:v>2015</c:v>
                </c:pt>
                <c:pt idx="1">
                  <c:v>2017</c:v>
                </c:pt>
                <c:pt idx="2">
                  <c:v>2019</c:v>
                </c:pt>
                <c:pt idx="3">
                  <c:v>2021</c:v>
                </c:pt>
                <c:pt idx="4">
                  <c:v>2023</c:v>
                </c:pt>
                <c:pt idx="5">
                  <c:v>2025</c:v>
                </c:pt>
              </c:numCache>
            </c:numRef>
          </c:cat>
          <c:val>
            <c:numRef>
              <c:f>Graphs!$D$18:$D$23</c:f>
              <c:numCache>
                <c:formatCode>0.00</c:formatCode>
                <c:ptCount val="6"/>
                <c:pt idx="0">
                  <c:v>1077.7907015393157</c:v>
                </c:pt>
                <c:pt idx="1">
                  <c:v>#N/A</c:v>
                </c:pt>
                <c:pt idx="2">
                  <c:v>#N/A</c:v>
                </c:pt>
                <c:pt idx="3">
                  <c:v>#N/A</c:v>
                </c:pt>
                <c:pt idx="4">
                  <c:v>#N/A</c:v>
                </c:pt>
                <c:pt idx="5">
                  <c:v>#N/A</c:v>
                </c:pt>
              </c:numCache>
            </c:numRef>
          </c:val>
          <c:smooth val="0"/>
          <c:extLst>
            <c:ext xmlns:c16="http://schemas.microsoft.com/office/drawing/2014/chart" uri="{C3380CC4-5D6E-409C-BE32-E72D297353CC}">
              <c16:uniqueId val="{00000002-8E92-412C-BC9A-35A62B6D9E41}"/>
            </c:ext>
          </c:extLst>
        </c:ser>
        <c:dLbls>
          <c:showLegendKey val="0"/>
          <c:showVal val="0"/>
          <c:showCatName val="0"/>
          <c:showSerName val="0"/>
          <c:showPercent val="0"/>
          <c:showBubbleSize val="0"/>
        </c:dLbls>
        <c:smooth val="0"/>
        <c:axId val="466876256"/>
        <c:axId val="466877824"/>
      </c:lineChart>
      <c:catAx>
        <c:axId val="466876256"/>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66877824"/>
        <c:crosses val="autoZero"/>
        <c:auto val="1"/>
        <c:lblAlgn val="ctr"/>
        <c:lblOffset val="100"/>
        <c:noMultiLvlLbl val="0"/>
      </c:catAx>
      <c:valAx>
        <c:axId val="4668778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6687625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Graphs!$E$50</c:f>
              <c:strCache>
                <c:ptCount val="1"/>
                <c:pt idx="0">
                  <c:v>Target</c:v>
                </c:pt>
              </c:strCache>
            </c:strRef>
          </c:tx>
          <c:spPr>
            <a:ln w="19050" cap="rnd">
              <a:solidFill>
                <a:schemeClr val="tx1"/>
              </a:solidFill>
              <a:prstDash val="sysDash"/>
              <a:round/>
            </a:ln>
            <a:effectLst/>
          </c:spPr>
          <c:marker>
            <c:symbol val="none"/>
          </c:marker>
          <c:cat>
            <c:numRef>
              <c:f>Graphs!$A$51:$A$61</c:f>
              <c:numCache>
                <c:formatCode>General</c:formatCode>
                <c:ptCount val="11"/>
                <c:pt idx="0">
                  <c:v>2015</c:v>
                </c:pt>
                <c:pt idx="1">
                  <c:v>2017</c:v>
                </c:pt>
                <c:pt idx="2">
                  <c:v>2019</c:v>
                </c:pt>
                <c:pt idx="3">
                  <c:v>2021</c:v>
                </c:pt>
                <c:pt idx="4">
                  <c:v>2023</c:v>
                </c:pt>
                <c:pt idx="5">
                  <c:v>2025</c:v>
                </c:pt>
                <c:pt idx="6">
                  <c:v>2027</c:v>
                </c:pt>
                <c:pt idx="7">
                  <c:v>2029</c:v>
                </c:pt>
                <c:pt idx="8">
                  <c:v>2031</c:v>
                </c:pt>
                <c:pt idx="9">
                  <c:v>2033</c:v>
                </c:pt>
                <c:pt idx="10">
                  <c:v>2035</c:v>
                </c:pt>
              </c:numCache>
            </c:numRef>
          </c:cat>
          <c:val>
            <c:numRef>
              <c:f>Reliability!$B$98:$G$98</c:f>
              <c:numCache>
                <c:formatCode>0</c:formatCode>
                <c:ptCount val="6"/>
                <c:pt idx="0" formatCode="General">
                  <c:v>287</c:v>
                </c:pt>
                <c:pt idx="1">
                  <c:v>275.60000000000002</c:v>
                </c:pt>
                <c:pt idx="2">
                  <c:v>264.20000000000005</c:v>
                </c:pt>
                <c:pt idx="3">
                  <c:v>252.80000000000004</c:v>
                </c:pt>
                <c:pt idx="4">
                  <c:v>241.40000000000003</c:v>
                </c:pt>
                <c:pt idx="5">
                  <c:v>230</c:v>
                </c:pt>
              </c:numCache>
            </c:numRef>
          </c:val>
          <c:smooth val="0"/>
          <c:extLst>
            <c:ext xmlns:c16="http://schemas.microsoft.com/office/drawing/2014/chart" uri="{C3380CC4-5D6E-409C-BE32-E72D297353CC}">
              <c16:uniqueId val="{00000000-83AB-454F-8490-E37F81A06B27}"/>
            </c:ext>
          </c:extLst>
        </c:ser>
        <c:ser>
          <c:idx val="0"/>
          <c:order val="1"/>
          <c:tx>
            <c:strRef>
              <c:f>Graphs!$C$2</c:f>
              <c:strCache>
                <c:ptCount val="1"/>
                <c:pt idx="0">
                  <c:v>Past Rounds</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numRef>
              <c:f>Graphs!$A$51:$A$61</c:f>
              <c:numCache>
                <c:formatCode>General</c:formatCode>
                <c:ptCount val="11"/>
                <c:pt idx="0">
                  <c:v>2015</c:v>
                </c:pt>
                <c:pt idx="1">
                  <c:v>2017</c:v>
                </c:pt>
                <c:pt idx="2">
                  <c:v>2019</c:v>
                </c:pt>
                <c:pt idx="3">
                  <c:v>2021</c:v>
                </c:pt>
                <c:pt idx="4">
                  <c:v>2023</c:v>
                </c:pt>
                <c:pt idx="5">
                  <c:v>2025</c:v>
                </c:pt>
                <c:pt idx="6">
                  <c:v>2027</c:v>
                </c:pt>
                <c:pt idx="7">
                  <c:v>2029</c:v>
                </c:pt>
                <c:pt idx="8">
                  <c:v>2031</c:v>
                </c:pt>
                <c:pt idx="9">
                  <c:v>2033</c:v>
                </c:pt>
                <c:pt idx="10">
                  <c:v>2035</c:v>
                </c:pt>
              </c:numCache>
            </c:numRef>
          </c:cat>
          <c:val>
            <c:numRef>
              <c:f>Graphs!$C$51:$C$56</c:f>
              <c:numCache>
                <c:formatCode>0</c:formatCode>
                <c:ptCount val="6"/>
                <c:pt idx="0">
                  <c:v>287</c:v>
                </c:pt>
                <c:pt idx="1">
                  <c:v>#N/A</c:v>
                </c:pt>
                <c:pt idx="2">
                  <c:v>#N/A</c:v>
                </c:pt>
                <c:pt idx="3">
                  <c:v>#N/A</c:v>
                </c:pt>
                <c:pt idx="4">
                  <c:v>#N/A</c:v>
                </c:pt>
                <c:pt idx="5">
                  <c:v>#N/A</c:v>
                </c:pt>
              </c:numCache>
            </c:numRef>
          </c:val>
          <c:smooth val="0"/>
          <c:extLst>
            <c:ext xmlns:c16="http://schemas.microsoft.com/office/drawing/2014/chart" uri="{C3380CC4-5D6E-409C-BE32-E72D297353CC}">
              <c16:uniqueId val="{00000001-83AB-454F-8490-E37F81A06B27}"/>
            </c:ext>
          </c:extLst>
        </c:ser>
        <c:ser>
          <c:idx val="1"/>
          <c:order val="2"/>
          <c:tx>
            <c:strRef>
              <c:f>Graphs!$D$2</c:f>
              <c:strCache>
                <c:ptCount val="1"/>
                <c:pt idx="0">
                  <c:v>Current Round + Past Round</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dPt>
            <c:idx val="0"/>
            <c:marker>
              <c:symbol val="circle"/>
              <c:size val="8"/>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3-83AB-454F-8490-E37F81A06B27}"/>
              </c:ext>
            </c:extLst>
          </c:dPt>
          <c:cat>
            <c:numRef>
              <c:f>Graphs!$A$51:$A$61</c:f>
              <c:numCache>
                <c:formatCode>General</c:formatCode>
                <c:ptCount val="11"/>
                <c:pt idx="0">
                  <c:v>2015</c:v>
                </c:pt>
                <c:pt idx="1">
                  <c:v>2017</c:v>
                </c:pt>
                <c:pt idx="2">
                  <c:v>2019</c:v>
                </c:pt>
                <c:pt idx="3">
                  <c:v>2021</c:v>
                </c:pt>
                <c:pt idx="4">
                  <c:v>2023</c:v>
                </c:pt>
                <c:pt idx="5">
                  <c:v>2025</c:v>
                </c:pt>
                <c:pt idx="6">
                  <c:v>2027</c:v>
                </c:pt>
                <c:pt idx="7">
                  <c:v>2029</c:v>
                </c:pt>
                <c:pt idx="8">
                  <c:v>2031</c:v>
                </c:pt>
                <c:pt idx="9">
                  <c:v>2033</c:v>
                </c:pt>
                <c:pt idx="10">
                  <c:v>2035</c:v>
                </c:pt>
              </c:numCache>
            </c:numRef>
          </c:cat>
          <c:val>
            <c:numRef>
              <c:f>Graphs!$D$51:$D$56</c:f>
              <c:numCache>
                <c:formatCode>0</c:formatCode>
                <c:ptCount val="6"/>
                <c:pt idx="0">
                  <c:v>287</c:v>
                </c:pt>
                <c:pt idx="1">
                  <c:v>#N/A</c:v>
                </c:pt>
                <c:pt idx="2">
                  <c:v>#N/A</c:v>
                </c:pt>
                <c:pt idx="3">
                  <c:v>#N/A</c:v>
                </c:pt>
                <c:pt idx="4">
                  <c:v>#N/A</c:v>
                </c:pt>
                <c:pt idx="5">
                  <c:v>#N/A</c:v>
                </c:pt>
              </c:numCache>
            </c:numRef>
          </c:val>
          <c:smooth val="0"/>
          <c:extLst>
            <c:ext xmlns:c16="http://schemas.microsoft.com/office/drawing/2014/chart" uri="{C3380CC4-5D6E-409C-BE32-E72D297353CC}">
              <c16:uniqueId val="{00000004-83AB-454F-8490-E37F81A06B27}"/>
            </c:ext>
          </c:extLst>
        </c:ser>
        <c:dLbls>
          <c:showLegendKey val="0"/>
          <c:showVal val="0"/>
          <c:showCatName val="0"/>
          <c:showSerName val="0"/>
          <c:showPercent val="0"/>
          <c:showBubbleSize val="0"/>
        </c:dLbls>
        <c:smooth val="0"/>
        <c:axId val="466879784"/>
        <c:axId val="466880568"/>
      </c:lineChart>
      <c:catAx>
        <c:axId val="466879784"/>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66880568"/>
        <c:crosses val="autoZero"/>
        <c:auto val="1"/>
        <c:lblAlgn val="ctr"/>
        <c:lblOffset val="100"/>
        <c:noMultiLvlLbl val="0"/>
      </c:catAx>
      <c:valAx>
        <c:axId val="4668805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6687978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A31-4116-88B8-3FA10ED2759A}"/>
              </c:ext>
            </c:extLst>
          </c:dPt>
          <c:val>
            <c:numRef>
              <c:f>'Resource Mix and Demand'!#REF!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'Resource Mix and Demand'!#REF!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'Resource Mix and Demand'!#REF!</c15:sqref>
                        </c15:formulaRef>
                      </c:ext>
                    </c:extLst>
                  </c:multiLvlStrRef>
                </c15:cat>
              </c15:filteredCategoryTitle>
            </c:ext>
            <c:ext xmlns:c16="http://schemas.microsoft.com/office/drawing/2014/chart" uri="{C3380CC4-5D6E-409C-BE32-E72D297353CC}">
              <c16:uniqueId val="{00000002-CA31-4116-88B8-3FA10ED2759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Forecasted Load vs.</a:t>
            </a:r>
            <a:r>
              <a:rPr lang="en-US" baseline="0"/>
              <a:t> Actual Load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'Resource Mix and Demand'!$A$65</c:f>
              <c:strCache>
                <c:ptCount val="1"/>
                <c:pt idx="0">
                  <c:v>Forecast Demand (MWh)</c:v>
                </c:pt>
              </c:strCache>
            </c:strRef>
          </c:tx>
          <c:spPr>
            <a:ln w="28575" cap="rnd">
              <a:solidFill>
                <a:schemeClr val="accent1"/>
              </a:solidFill>
              <a:round/>
            </a:ln>
            <a:effectLst/>
          </c:spPr>
          <c:marker>
            <c:symbol val="none"/>
          </c:marker>
          <c:cat>
            <c:numRef>
              <c:f>'Resource Mix and Demand'!$B$50:$L$50</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Demand'!$B$65:$L$65</c:f>
              <c:numCache>
                <c:formatCode>#,##0</c:formatCode>
                <c:ptCount val="11"/>
                <c:pt idx="0">
                  <c:v>60000000</c:v>
                </c:pt>
                <c:pt idx="1">
                  <c:v>59500000</c:v>
                </c:pt>
                <c:pt idx="2">
                  <c:v>59000000</c:v>
                </c:pt>
                <c:pt idx="3">
                  <c:v>58500000</c:v>
                </c:pt>
                <c:pt idx="4">
                  <c:v>58000000</c:v>
                </c:pt>
                <c:pt idx="5">
                  <c:v>57500000</c:v>
                </c:pt>
                <c:pt idx="6">
                  <c:v>57000000</c:v>
                </c:pt>
                <c:pt idx="7">
                  <c:v>56500000</c:v>
                </c:pt>
                <c:pt idx="8">
                  <c:v>56000000</c:v>
                </c:pt>
                <c:pt idx="9">
                  <c:v>55500000</c:v>
                </c:pt>
                <c:pt idx="10">
                  <c:v>55000000</c:v>
                </c:pt>
              </c:numCache>
            </c:numRef>
          </c:val>
          <c:smooth val="0"/>
          <c:extLst>
            <c:ext xmlns:c16="http://schemas.microsoft.com/office/drawing/2014/chart" uri="{C3380CC4-5D6E-409C-BE32-E72D297353CC}">
              <c16:uniqueId val="{00000000-B951-4725-B823-AE9CD4C63C66}"/>
            </c:ext>
          </c:extLst>
        </c:ser>
        <c:ser>
          <c:idx val="1"/>
          <c:order val="1"/>
          <c:spPr>
            <a:ln w="28575" cap="rnd">
              <a:solidFill>
                <a:schemeClr val="accent2"/>
              </a:solidFill>
              <a:round/>
            </a:ln>
            <a:effectLst/>
          </c:spPr>
          <c:marker>
            <c:symbol val="none"/>
          </c:marker>
          <c:cat>
            <c:numRef>
              <c:f>'Resource Mix and Demand'!$B$50:$L$50</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Demand'!$B$67:$L$67</c:f>
              <c:numCache>
                <c:formatCode>#,##0</c:formatCode>
                <c:ptCount val="11"/>
                <c:pt idx="0">
                  <c:v>60000000</c:v>
                </c:pt>
                <c:pt idx="1">
                  <c:v>59202500</c:v>
                </c:pt>
                <c:pt idx="2">
                  <c:v>59177000</c:v>
                </c:pt>
                <c:pt idx="3">
                  <c:v>58207500</c:v>
                </c:pt>
                <c:pt idx="4">
                  <c:v>57942000</c:v>
                </c:pt>
                <c:pt idx="5">
                  <c:v>57672500</c:v>
                </c:pt>
                <c:pt idx="6">
                  <c:v>56772000</c:v>
                </c:pt>
                <c:pt idx="7">
                  <c:v>56443500</c:v>
                </c:pt>
                <c:pt idx="8">
                  <c:v>55944000</c:v>
                </c:pt>
                <c:pt idx="9">
                  <c:v>55333500</c:v>
                </c:pt>
                <c:pt idx="10">
                  <c:v>54780000</c:v>
                </c:pt>
              </c:numCache>
            </c:numRef>
          </c:val>
          <c:smooth val="0"/>
          <c:extLst>
            <c:ext xmlns:c16="http://schemas.microsoft.com/office/drawing/2014/chart" uri="{C3380CC4-5D6E-409C-BE32-E72D297353CC}">
              <c16:uniqueId val="{00000001-B951-4725-B823-AE9CD4C63C66}"/>
            </c:ext>
          </c:extLst>
        </c:ser>
        <c:dLbls>
          <c:showLegendKey val="0"/>
          <c:showVal val="0"/>
          <c:showCatName val="0"/>
          <c:showSerName val="0"/>
          <c:showPercent val="0"/>
          <c:showBubbleSize val="0"/>
        </c:dLbls>
        <c:smooth val="0"/>
        <c:axId val="466874688"/>
        <c:axId val="466875080"/>
      </c:lineChart>
      <c:catAx>
        <c:axId val="466874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75080"/>
        <c:crosses val="autoZero"/>
        <c:auto val="1"/>
        <c:lblAlgn val="ctr"/>
        <c:lblOffset val="100"/>
        <c:noMultiLvlLbl val="0"/>
      </c:catAx>
      <c:valAx>
        <c:axId val="46687508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74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Bills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4243835717718384"/>
          <c:y val="0.2035116598079561"/>
          <c:w val="0.6674207977523936"/>
          <c:h val="0.64176533488869447"/>
        </c:manualLayout>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Graphs!$A$3:$A$8</c:f>
              <c:numCache>
                <c:formatCode>General</c:formatCode>
                <c:ptCount val="6"/>
                <c:pt idx="0">
                  <c:v>2015</c:v>
                </c:pt>
                <c:pt idx="1">
                  <c:v>2017</c:v>
                </c:pt>
                <c:pt idx="2">
                  <c:v>2019</c:v>
                </c:pt>
                <c:pt idx="3">
                  <c:v>2021</c:v>
                </c:pt>
                <c:pt idx="4">
                  <c:v>2023</c:v>
                </c:pt>
                <c:pt idx="5">
                  <c:v>2025</c:v>
                </c:pt>
              </c:numCache>
            </c:numRef>
          </c:cat>
          <c:val>
            <c:numRef>
              <c:f>Graphs!$C$3:$C$8</c:f>
              <c:numCache>
                <c:formatCode>_("$"* #,##0.00_);_("$"* \(#,##0.00\);_("$"* "-"??_);_(@_)</c:formatCode>
                <c:ptCount val="6"/>
                <c:pt idx="0">
                  <c:v>95.70191479695302</c:v>
                </c:pt>
                <c:pt idx="1">
                  <c:v>#N/A</c:v>
                </c:pt>
                <c:pt idx="2">
                  <c:v>#N/A</c:v>
                </c:pt>
                <c:pt idx="3">
                  <c:v>#N/A</c:v>
                </c:pt>
                <c:pt idx="4">
                  <c:v>#N/A</c:v>
                </c:pt>
                <c:pt idx="5">
                  <c:v>#N/A</c:v>
                </c:pt>
              </c:numCache>
            </c:numRef>
          </c:val>
          <c:smooth val="0"/>
          <c:extLst>
            <c:ext xmlns:c16="http://schemas.microsoft.com/office/drawing/2014/chart" uri="{C3380CC4-5D6E-409C-BE32-E72D297353CC}">
              <c16:uniqueId val="{00000000-E3B4-4F0C-94F2-2C96490A79FB}"/>
            </c:ext>
          </c:extLst>
        </c:ser>
        <c:ser>
          <c:idx val="2"/>
          <c:order val="2"/>
          <c:tx>
            <c:strRef>
              <c:f>Graphs!$E$2</c:f>
              <c:strCache>
                <c:ptCount val="1"/>
                <c:pt idx="0">
                  <c:v>Target</c:v>
                </c:pt>
              </c:strCache>
            </c:strRef>
          </c:tx>
          <c:spPr>
            <a:ln w="28575" cap="rnd">
              <a:solidFill>
                <a:schemeClr val="tx1"/>
              </a:solidFill>
              <a:prstDash val="sysDash"/>
              <a:round/>
            </a:ln>
            <a:effectLst/>
          </c:spPr>
          <c:marker>
            <c:symbol val="none"/>
          </c:marker>
          <c:cat>
            <c:numRef>
              <c:f>Graphs!$A$3:$A$8</c:f>
              <c:numCache>
                <c:formatCode>General</c:formatCode>
                <c:ptCount val="6"/>
                <c:pt idx="0">
                  <c:v>2015</c:v>
                </c:pt>
                <c:pt idx="1">
                  <c:v>2017</c:v>
                </c:pt>
                <c:pt idx="2">
                  <c:v>2019</c:v>
                </c:pt>
                <c:pt idx="3">
                  <c:v>2021</c:v>
                </c:pt>
                <c:pt idx="4">
                  <c:v>2023</c:v>
                </c:pt>
                <c:pt idx="5">
                  <c:v>2025</c:v>
                </c:pt>
              </c:numCache>
            </c:numRef>
          </c:cat>
          <c:val>
            <c:numRef>
              <c:f>Graphs!$E$3:$E$8</c:f>
              <c:numCache>
                <c:formatCode>General</c:formatCode>
                <c:ptCount val="6"/>
                <c:pt idx="0">
                  <c:v>95.70191479695302</c:v>
                </c:pt>
                <c:pt idx="1">
                  <c:v>95.70191479695302</c:v>
                </c:pt>
                <c:pt idx="2">
                  <c:v>95.70191479695302</c:v>
                </c:pt>
                <c:pt idx="3">
                  <c:v>95.70191479695302</c:v>
                </c:pt>
                <c:pt idx="4">
                  <c:v>95.70191479695302</c:v>
                </c:pt>
                <c:pt idx="5">
                  <c:v>95.70191479695302</c:v>
                </c:pt>
              </c:numCache>
            </c:numRef>
          </c:val>
          <c:smooth val="0"/>
          <c:extLst>
            <c:ext xmlns:c16="http://schemas.microsoft.com/office/drawing/2014/chart" uri="{C3380CC4-5D6E-409C-BE32-E72D297353CC}">
              <c16:uniqueId val="{00000001-E3B4-4F0C-94F2-2C96490A79FB}"/>
            </c:ext>
          </c:extLst>
        </c:ser>
        <c:dLbls>
          <c:showLegendKey val="0"/>
          <c:showVal val="0"/>
          <c:showCatName val="0"/>
          <c:showSerName val="0"/>
          <c:showPercent val="0"/>
          <c:showBubbleSize val="0"/>
        </c:dLbls>
        <c:marker val="1"/>
        <c:smooth val="0"/>
        <c:axId val="497014936"/>
        <c:axId val="497014544"/>
        <c:extLst>
          <c:ext xmlns:c15="http://schemas.microsoft.com/office/drawing/2012/chart" uri="{02D57815-91ED-43cb-92C2-25804820EDAC}">
            <c15:filteredLineSeries>
              <c15:ser>
                <c:idx val="1"/>
                <c:order val="1"/>
                <c:tx>
                  <c:strRef>
                    <c:extLst>
                      <c:ext uri="{02D57815-91ED-43cb-92C2-25804820EDAC}">
                        <c15:formulaRef>
                          <c15:sqref>Graphs!$D$2</c15:sqref>
                        </c15:formulaRef>
                      </c:ext>
                    </c:extLst>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extLst>
                      <c:ext uri="{02D57815-91ED-43cb-92C2-25804820EDAC}">
                        <c15:formulaRef>
                          <c15:sqref>Graphs!$A$3:$A$8</c15:sqref>
                        </c15:formulaRef>
                      </c:ext>
                    </c:extLst>
                    <c:numCache>
                      <c:formatCode>General</c:formatCode>
                      <c:ptCount val="6"/>
                      <c:pt idx="0">
                        <c:v>2015</c:v>
                      </c:pt>
                      <c:pt idx="1">
                        <c:v>2017</c:v>
                      </c:pt>
                      <c:pt idx="2">
                        <c:v>2019</c:v>
                      </c:pt>
                      <c:pt idx="3">
                        <c:v>2021</c:v>
                      </c:pt>
                      <c:pt idx="4">
                        <c:v>2023</c:v>
                      </c:pt>
                      <c:pt idx="5">
                        <c:v>2025</c:v>
                      </c:pt>
                    </c:numCache>
                  </c:numRef>
                </c:cat>
                <c:val>
                  <c:numRef>
                    <c:extLst>
                      <c:ext uri="{02D57815-91ED-43cb-92C2-25804820EDAC}">
                        <c15:formulaRef>
                          <c15:sqref>Graphs!$D$3:$D$8</c15:sqref>
                        </c15:formulaRef>
                      </c:ext>
                    </c:extLst>
                    <c:numCache>
                      <c:formatCode>_("$"* #,##0.00_);_("$"* \(#,##0.00\);_("$"* "-"??_);_(@_)</c:formatCode>
                      <c:ptCount val="6"/>
                      <c:pt idx="0">
                        <c:v>95.70191479695302</c:v>
                      </c:pt>
                      <c:pt idx="1">
                        <c:v>#N/A</c:v>
                      </c:pt>
                      <c:pt idx="2">
                        <c:v>#N/A</c:v>
                      </c:pt>
                      <c:pt idx="3">
                        <c:v>#N/A</c:v>
                      </c:pt>
                      <c:pt idx="4">
                        <c:v>#N/A</c:v>
                      </c:pt>
                      <c:pt idx="5">
                        <c:v>#N/A</c:v>
                      </c:pt>
                    </c:numCache>
                  </c:numRef>
                </c:val>
                <c:smooth val="0"/>
                <c:extLst>
                  <c:ext xmlns:c16="http://schemas.microsoft.com/office/drawing/2014/chart" uri="{C3380CC4-5D6E-409C-BE32-E72D297353CC}">
                    <c16:uniqueId val="{00000002-E3B4-4F0C-94F2-2C96490A79FB}"/>
                  </c:ext>
                </c:extLst>
              </c15:ser>
            </c15:filteredLineSeries>
          </c:ext>
        </c:extLst>
      </c:lineChart>
      <c:dateAx>
        <c:axId val="497014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4544"/>
        <c:crosses val="autoZero"/>
        <c:auto val="0"/>
        <c:lblOffset val="100"/>
        <c:baseTimeUnit val="days"/>
        <c:majorUnit val="2"/>
        <c:majorTimeUnit val="days"/>
      </c:dateAx>
      <c:valAx>
        <c:axId val="49701454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4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a:t>
            </a:r>
            <a:r>
              <a:rPr lang="en-US" baseline="-25000"/>
              <a:t>2</a:t>
            </a:r>
            <a:r>
              <a:rPr lang="en-US"/>
              <a:t> Emissions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113319285793502"/>
          <c:y val="0.20407152682255847"/>
          <c:w val="0.67497009352704151"/>
          <c:h val="0.64628188326527958"/>
        </c:manualLayout>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Graphs!$A$18:$A$23</c:f>
              <c:numCache>
                <c:formatCode>General</c:formatCode>
                <c:ptCount val="6"/>
                <c:pt idx="0">
                  <c:v>2015</c:v>
                </c:pt>
                <c:pt idx="1">
                  <c:v>2017</c:v>
                </c:pt>
                <c:pt idx="2">
                  <c:v>2019</c:v>
                </c:pt>
                <c:pt idx="3">
                  <c:v>2021</c:v>
                </c:pt>
                <c:pt idx="4">
                  <c:v>2023</c:v>
                </c:pt>
                <c:pt idx="5">
                  <c:v>2025</c:v>
                </c:pt>
              </c:numCache>
            </c:numRef>
          </c:cat>
          <c:val>
            <c:numRef>
              <c:f>Graphs!$C$18:$C$23</c:f>
              <c:numCache>
                <c:formatCode>0.00</c:formatCode>
                <c:ptCount val="6"/>
                <c:pt idx="0">
                  <c:v>1077.7907015393157</c:v>
                </c:pt>
                <c:pt idx="1">
                  <c:v>#N/A</c:v>
                </c:pt>
                <c:pt idx="2">
                  <c:v>#N/A</c:v>
                </c:pt>
                <c:pt idx="3">
                  <c:v>#N/A</c:v>
                </c:pt>
                <c:pt idx="4">
                  <c:v>#N/A</c:v>
                </c:pt>
                <c:pt idx="5">
                  <c:v>#N/A</c:v>
                </c:pt>
              </c:numCache>
            </c:numRef>
          </c:val>
          <c:smooth val="0"/>
          <c:extLst>
            <c:ext xmlns:c16="http://schemas.microsoft.com/office/drawing/2014/chart" uri="{C3380CC4-5D6E-409C-BE32-E72D297353CC}">
              <c16:uniqueId val="{00000000-40FD-461D-8FD1-558ED20D176A}"/>
            </c:ext>
          </c:extLst>
        </c:ser>
        <c:ser>
          <c:idx val="2"/>
          <c:order val="2"/>
          <c:tx>
            <c:strRef>
              <c:f>Graphs!$E$17</c:f>
              <c:strCache>
                <c:ptCount val="1"/>
                <c:pt idx="0">
                  <c:v>Target</c:v>
                </c:pt>
              </c:strCache>
            </c:strRef>
          </c:tx>
          <c:spPr>
            <a:ln w="28575" cap="rnd">
              <a:solidFill>
                <a:schemeClr val="tx1"/>
              </a:solidFill>
              <a:prstDash val="sysDash"/>
              <a:round/>
            </a:ln>
            <a:effectLst/>
          </c:spPr>
          <c:marker>
            <c:symbol val="none"/>
          </c:marker>
          <c:cat>
            <c:numRef>
              <c:f>Graphs!$A$18:$A$23</c:f>
              <c:numCache>
                <c:formatCode>General</c:formatCode>
                <c:ptCount val="6"/>
                <c:pt idx="0">
                  <c:v>2015</c:v>
                </c:pt>
                <c:pt idx="1">
                  <c:v>2017</c:v>
                </c:pt>
                <c:pt idx="2">
                  <c:v>2019</c:v>
                </c:pt>
                <c:pt idx="3">
                  <c:v>2021</c:v>
                </c:pt>
                <c:pt idx="4">
                  <c:v>2023</c:v>
                </c:pt>
                <c:pt idx="5">
                  <c:v>2025</c:v>
                </c:pt>
              </c:numCache>
            </c:numRef>
          </c:cat>
          <c:val>
            <c:numRef>
              <c:f>Graphs!$E$18:$E$23</c:f>
              <c:numCache>
                <c:formatCode>General</c:formatCode>
                <c:ptCount val="6"/>
                <c:pt idx="0">
                  <c:v>1077.7907015393157</c:v>
                </c:pt>
                <c:pt idx="1">
                  <c:v>970.03256123145252</c:v>
                </c:pt>
                <c:pt idx="2">
                  <c:v>862.27442092358933</c:v>
                </c:pt>
                <c:pt idx="3">
                  <c:v>754.51628061572615</c:v>
                </c:pt>
                <c:pt idx="4">
                  <c:v>646.75814030786296</c:v>
                </c:pt>
                <c:pt idx="5">
                  <c:v>539</c:v>
                </c:pt>
              </c:numCache>
            </c:numRef>
          </c:val>
          <c:smooth val="0"/>
          <c:extLst>
            <c:ext xmlns:c16="http://schemas.microsoft.com/office/drawing/2014/chart" uri="{C3380CC4-5D6E-409C-BE32-E72D297353CC}">
              <c16:uniqueId val="{00000001-40FD-461D-8FD1-558ED20D176A}"/>
            </c:ext>
          </c:extLst>
        </c:ser>
        <c:dLbls>
          <c:showLegendKey val="0"/>
          <c:showVal val="0"/>
          <c:showCatName val="0"/>
          <c:showSerName val="0"/>
          <c:showPercent val="0"/>
          <c:showBubbleSize val="0"/>
        </c:dLbls>
        <c:marker val="1"/>
        <c:smooth val="0"/>
        <c:axId val="497015328"/>
        <c:axId val="497016896"/>
        <c:extLst>
          <c:ext xmlns:c15="http://schemas.microsoft.com/office/drawing/2012/chart" uri="{02D57815-91ED-43cb-92C2-25804820EDAC}">
            <c15:filteredLineSeries>
              <c15:ser>
                <c:idx val="1"/>
                <c:order val="1"/>
                <c:tx>
                  <c:strRef>
                    <c:extLst>
                      <c:ext uri="{02D57815-91ED-43cb-92C2-25804820EDAC}">
                        <c15:formulaRef>
                          <c15:sqref>Graphs!$D$2</c15:sqref>
                        </c15:formulaRef>
                      </c:ext>
                    </c:extLst>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extLst>
                      <c:ext uri="{02D57815-91ED-43cb-92C2-25804820EDAC}">
                        <c15:formulaRef>
                          <c15:sqref>Graphs!$A$18:$A$23</c15:sqref>
                        </c15:formulaRef>
                      </c:ext>
                    </c:extLst>
                    <c:numCache>
                      <c:formatCode>General</c:formatCode>
                      <c:ptCount val="6"/>
                      <c:pt idx="0">
                        <c:v>2015</c:v>
                      </c:pt>
                      <c:pt idx="1">
                        <c:v>2017</c:v>
                      </c:pt>
                      <c:pt idx="2">
                        <c:v>2019</c:v>
                      </c:pt>
                      <c:pt idx="3">
                        <c:v>2021</c:v>
                      </c:pt>
                      <c:pt idx="4">
                        <c:v>2023</c:v>
                      </c:pt>
                      <c:pt idx="5">
                        <c:v>2025</c:v>
                      </c:pt>
                    </c:numCache>
                  </c:numRef>
                </c:cat>
                <c:val>
                  <c:numRef>
                    <c:extLst>
                      <c:ext uri="{02D57815-91ED-43cb-92C2-25804820EDAC}">
                        <c15:formulaRef>
                          <c15:sqref>Graphs!$D$18:$D$23</c15:sqref>
                        </c15:formulaRef>
                      </c:ext>
                    </c:extLst>
                    <c:numCache>
                      <c:formatCode>0.00</c:formatCode>
                      <c:ptCount val="6"/>
                      <c:pt idx="0">
                        <c:v>1077.7907015393157</c:v>
                      </c:pt>
                      <c:pt idx="1">
                        <c:v>#N/A</c:v>
                      </c:pt>
                      <c:pt idx="2">
                        <c:v>#N/A</c:v>
                      </c:pt>
                      <c:pt idx="3">
                        <c:v>#N/A</c:v>
                      </c:pt>
                      <c:pt idx="4">
                        <c:v>#N/A</c:v>
                      </c:pt>
                      <c:pt idx="5">
                        <c:v>#N/A</c:v>
                      </c:pt>
                    </c:numCache>
                  </c:numRef>
                </c:val>
                <c:smooth val="0"/>
                <c:extLst>
                  <c:ext xmlns:c16="http://schemas.microsoft.com/office/drawing/2014/chart" uri="{C3380CC4-5D6E-409C-BE32-E72D297353CC}">
                    <c16:uniqueId val="{00000002-40FD-461D-8FD1-558ED20D176A}"/>
                  </c:ext>
                </c:extLst>
              </c15:ser>
            </c15:filteredLineSeries>
          </c:ext>
        </c:extLst>
      </c:lineChart>
      <c:catAx>
        <c:axId val="497015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6896"/>
        <c:crosses val="autoZero"/>
        <c:auto val="1"/>
        <c:lblAlgn val="ctr"/>
        <c:lblOffset val="100"/>
        <c:noMultiLvlLbl val="0"/>
      </c:catAx>
      <c:valAx>
        <c:axId val="497016896"/>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lbs CO</a:t>
                </a:r>
                <a:r>
                  <a:rPr lang="en-US" baseline="-25000"/>
                  <a:t>2</a:t>
                </a:r>
                <a:r>
                  <a:rPr lang="en-US"/>
                  <a:t>/MWh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5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Earnings per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660707552401019"/>
          <c:y val="0.20407152682255847"/>
          <c:w val="0.74325207940556737"/>
          <c:h val="0.62977569344409667"/>
        </c:manualLayout>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Graphs!$A$34:$A$39</c:f>
              <c:numCache>
                <c:formatCode>General</c:formatCode>
                <c:ptCount val="6"/>
                <c:pt idx="0">
                  <c:v>2015</c:v>
                </c:pt>
                <c:pt idx="1">
                  <c:v>2017</c:v>
                </c:pt>
                <c:pt idx="2">
                  <c:v>2019</c:v>
                </c:pt>
                <c:pt idx="3">
                  <c:v>2021</c:v>
                </c:pt>
                <c:pt idx="4">
                  <c:v>2023</c:v>
                </c:pt>
                <c:pt idx="5">
                  <c:v>2025</c:v>
                </c:pt>
              </c:numCache>
            </c:numRef>
          </c:cat>
          <c:val>
            <c:numRef>
              <c:f>Graphs!$C$34:$C$39</c:f>
              <c:numCache>
                <c:formatCode>"$"#,##0.00</c:formatCode>
                <c:ptCount val="6"/>
                <c:pt idx="0">
                  <c:v>0.54024054081148387</c:v>
                </c:pt>
                <c:pt idx="1">
                  <c:v>#N/A</c:v>
                </c:pt>
                <c:pt idx="2">
                  <c:v>#N/A</c:v>
                </c:pt>
                <c:pt idx="3">
                  <c:v>#N/A</c:v>
                </c:pt>
                <c:pt idx="4">
                  <c:v>#N/A</c:v>
                </c:pt>
                <c:pt idx="5">
                  <c:v>#N/A</c:v>
                </c:pt>
              </c:numCache>
            </c:numRef>
          </c:val>
          <c:smooth val="0"/>
          <c:extLst>
            <c:ext xmlns:c16="http://schemas.microsoft.com/office/drawing/2014/chart" uri="{C3380CC4-5D6E-409C-BE32-E72D297353CC}">
              <c16:uniqueId val="{00000000-FD83-42C7-B2BC-45BA43548D1D}"/>
            </c:ext>
          </c:extLst>
        </c:ser>
        <c:dLbls>
          <c:showLegendKey val="0"/>
          <c:showVal val="0"/>
          <c:showCatName val="0"/>
          <c:showSerName val="0"/>
          <c:showPercent val="0"/>
          <c:showBubbleSize val="0"/>
        </c:dLbls>
        <c:marker val="1"/>
        <c:smooth val="0"/>
        <c:axId val="497015720"/>
        <c:axId val="497016112"/>
        <c:extLst>
          <c:ext xmlns:c15="http://schemas.microsoft.com/office/drawing/2012/chart" uri="{02D57815-91ED-43cb-92C2-25804820EDAC}">
            <c15:filteredLineSeries>
              <c15:ser>
                <c:idx val="1"/>
                <c:order val="1"/>
                <c:tx>
                  <c:strRef>
                    <c:extLst>
                      <c:ext uri="{02D57815-91ED-43cb-92C2-25804820EDAC}">
                        <c15:formulaRef>
                          <c15:sqref>Graphs!$D$2</c15:sqref>
                        </c15:formulaRef>
                      </c:ext>
                    </c:extLst>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extLst>
                      <c:ext uri="{02D57815-91ED-43cb-92C2-25804820EDAC}">
                        <c15:formulaRef>
                          <c15:sqref>Graphs!$A$34:$A$39</c15:sqref>
                        </c15:formulaRef>
                      </c:ext>
                    </c:extLst>
                    <c:numCache>
                      <c:formatCode>General</c:formatCode>
                      <c:ptCount val="6"/>
                      <c:pt idx="0">
                        <c:v>2015</c:v>
                      </c:pt>
                      <c:pt idx="1">
                        <c:v>2017</c:v>
                      </c:pt>
                      <c:pt idx="2">
                        <c:v>2019</c:v>
                      </c:pt>
                      <c:pt idx="3">
                        <c:v>2021</c:v>
                      </c:pt>
                      <c:pt idx="4">
                        <c:v>2023</c:v>
                      </c:pt>
                      <c:pt idx="5">
                        <c:v>2025</c:v>
                      </c:pt>
                    </c:numCache>
                  </c:numRef>
                </c:cat>
                <c:val>
                  <c:numRef>
                    <c:extLst>
                      <c:ext uri="{02D57815-91ED-43cb-92C2-25804820EDAC}">
                        <c15:formulaRef>
                          <c15:sqref>Graphs!$D$34:$D$39</c15:sqref>
                        </c15:formulaRef>
                      </c:ext>
                    </c:extLst>
                    <c:numCache>
                      <c:formatCode>"$"#,##0.00</c:formatCode>
                      <c:ptCount val="6"/>
                      <c:pt idx="0">
                        <c:v>0.54024054081148387</c:v>
                      </c:pt>
                      <c:pt idx="1">
                        <c:v>#N/A</c:v>
                      </c:pt>
                      <c:pt idx="2">
                        <c:v>#N/A</c:v>
                      </c:pt>
                      <c:pt idx="3">
                        <c:v>#N/A</c:v>
                      </c:pt>
                      <c:pt idx="4">
                        <c:v>#N/A</c:v>
                      </c:pt>
                      <c:pt idx="5">
                        <c:v>#N/A</c:v>
                      </c:pt>
                    </c:numCache>
                  </c:numRef>
                </c:val>
                <c:smooth val="0"/>
                <c:extLst>
                  <c:ext xmlns:c16="http://schemas.microsoft.com/office/drawing/2014/chart" uri="{C3380CC4-5D6E-409C-BE32-E72D297353CC}">
                    <c16:uniqueId val="{00000001-FD83-42C7-B2BC-45BA43548D1D}"/>
                  </c:ext>
                </c:extLst>
              </c15:ser>
            </c15:filteredLineSeries>
          </c:ext>
        </c:extLst>
      </c:lineChart>
      <c:catAx>
        <c:axId val="497015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6112"/>
        <c:crosses val="autoZero"/>
        <c:auto val="1"/>
        <c:lblAlgn val="ctr"/>
        <c:lblOffset val="100"/>
        <c:noMultiLvlLbl val="0"/>
      </c:catAx>
      <c:valAx>
        <c:axId val="49701611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5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Reliability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684196517688811"/>
          <c:y val="0.20407152682255847"/>
          <c:w val="0.67799371557428556"/>
          <c:h val="0.65178394653900729"/>
        </c:manualLayout>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Graphs!$A$51:$A$56</c:f>
              <c:numCache>
                <c:formatCode>General</c:formatCode>
                <c:ptCount val="6"/>
                <c:pt idx="0">
                  <c:v>2015</c:v>
                </c:pt>
                <c:pt idx="1">
                  <c:v>2017</c:v>
                </c:pt>
                <c:pt idx="2">
                  <c:v>2019</c:v>
                </c:pt>
                <c:pt idx="3">
                  <c:v>2021</c:v>
                </c:pt>
                <c:pt idx="4">
                  <c:v>2023</c:v>
                </c:pt>
                <c:pt idx="5">
                  <c:v>2025</c:v>
                </c:pt>
              </c:numCache>
            </c:numRef>
          </c:cat>
          <c:val>
            <c:numRef>
              <c:f>Graphs!$C$51:$C$56</c:f>
              <c:numCache>
                <c:formatCode>0</c:formatCode>
                <c:ptCount val="6"/>
                <c:pt idx="0">
                  <c:v>287</c:v>
                </c:pt>
                <c:pt idx="1">
                  <c:v>#N/A</c:v>
                </c:pt>
                <c:pt idx="2">
                  <c:v>#N/A</c:v>
                </c:pt>
                <c:pt idx="3">
                  <c:v>#N/A</c:v>
                </c:pt>
                <c:pt idx="4">
                  <c:v>#N/A</c:v>
                </c:pt>
                <c:pt idx="5">
                  <c:v>#N/A</c:v>
                </c:pt>
              </c:numCache>
            </c:numRef>
          </c:val>
          <c:smooth val="0"/>
          <c:extLst>
            <c:ext xmlns:c16="http://schemas.microsoft.com/office/drawing/2014/chart" uri="{C3380CC4-5D6E-409C-BE32-E72D297353CC}">
              <c16:uniqueId val="{00000000-C984-4F7B-98C6-AA971D3D67AD}"/>
            </c:ext>
          </c:extLst>
        </c:ser>
        <c:ser>
          <c:idx val="2"/>
          <c:order val="2"/>
          <c:tx>
            <c:strRef>
              <c:f>Graphs!$E$50</c:f>
              <c:strCache>
                <c:ptCount val="1"/>
                <c:pt idx="0">
                  <c:v>Target</c:v>
                </c:pt>
              </c:strCache>
            </c:strRef>
          </c:tx>
          <c:spPr>
            <a:ln w="28575" cap="rnd">
              <a:solidFill>
                <a:schemeClr val="tx1"/>
              </a:solidFill>
              <a:prstDash val="sysDash"/>
              <a:round/>
            </a:ln>
            <a:effectLst/>
          </c:spPr>
          <c:marker>
            <c:symbol val="none"/>
          </c:marker>
          <c:cat>
            <c:numRef>
              <c:f>Graphs!$A$51:$A$56</c:f>
              <c:numCache>
                <c:formatCode>General</c:formatCode>
                <c:ptCount val="6"/>
                <c:pt idx="0">
                  <c:v>2015</c:v>
                </c:pt>
                <c:pt idx="1">
                  <c:v>2017</c:v>
                </c:pt>
                <c:pt idx="2">
                  <c:v>2019</c:v>
                </c:pt>
                <c:pt idx="3">
                  <c:v>2021</c:v>
                </c:pt>
                <c:pt idx="4">
                  <c:v>2023</c:v>
                </c:pt>
                <c:pt idx="5">
                  <c:v>2025</c:v>
                </c:pt>
              </c:numCache>
            </c:numRef>
          </c:cat>
          <c:val>
            <c:numRef>
              <c:f>Graphs!$E$51:$E$56</c:f>
              <c:numCache>
                <c:formatCode>General</c:formatCode>
                <c:ptCount val="6"/>
                <c:pt idx="0">
                  <c:v>287</c:v>
                </c:pt>
                <c:pt idx="1">
                  <c:v>275.60000000000002</c:v>
                </c:pt>
                <c:pt idx="2">
                  <c:v>264.20000000000005</c:v>
                </c:pt>
                <c:pt idx="3">
                  <c:v>252.80000000000004</c:v>
                </c:pt>
                <c:pt idx="4">
                  <c:v>241.40000000000003</c:v>
                </c:pt>
                <c:pt idx="5">
                  <c:v>230</c:v>
                </c:pt>
              </c:numCache>
            </c:numRef>
          </c:val>
          <c:smooth val="0"/>
          <c:extLst>
            <c:ext xmlns:c16="http://schemas.microsoft.com/office/drawing/2014/chart" uri="{C3380CC4-5D6E-409C-BE32-E72D297353CC}">
              <c16:uniqueId val="{00000001-C984-4F7B-98C6-AA971D3D67AD}"/>
            </c:ext>
          </c:extLst>
        </c:ser>
        <c:dLbls>
          <c:showLegendKey val="0"/>
          <c:showVal val="0"/>
          <c:showCatName val="0"/>
          <c:showSerName val="0"/>
          <c:showPercent val="0"/>
          <c:showBubbleSize val="0"/>
        </c:dLbls>
        <c:marker val="1"/>
        <c:smooth val="0"/>
        <c:axId val="497014152"/>
        <c:axId val="497016504"/>
        <c:extLst>
          <c:ext xmlns:c15="http://schemas.microsoft.com/office/drawing/2012/chart" uri="{02D57815-91ED-43cb-92C2-25804820EDAC}">
            <c15:filteredLineSeries>
              <c15:ser>
                <c:idx val="1"/>
                <c:order val="1"/>
                <c:tx>
                  <c:strRef>
                    <c:extLst>
                      <c:ext uri="{02D57815-91ED-43cb-92C2-25804820EDAC}">
                        <c15:formulaRef>
                          <c15:sqref>Graphs!$D$2</c15:sqref>
                        </c15:formulaRef>
                      </c:ext>
                    </c:extLst>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extLst>
                      <c:ext uri="{02D57815-91ED-43cb-92C2-25804820EDAC}">
                        <c15:formulaRef>
                          <c15:sqref>Graphs!$A$51:$A$56</c15:sqref>
                        </c15:formulaRef>
                      </c:ext>
                    </c:extLst>
                    <c:numCache>
                      <c:formatCode>General</c:formatCode>
                      <c:ptCount val="6"/>
                      <c:pt idx="0">
                        <c:v>2015</c:v>
                      </c:pt>
                      <c:pt idx="1">
                        <c:v>2017</c:v>
                      </c:pt>
                      <c:pt idx="2">
                        <c:v>2019</c:v>
                      </c:pt>
                      <c:pt idx="3">
                        <c:v>2021</c:v>
                      </c:pt>
                      <c:pt idx="4">
                        <c:v>2023</c:v>
                      </c:pt>
                      <c:pt idx="5">
                        <c:v>2025</c:v>
                      </c:pt>
                    </c:numCache>
                  </c:numRef>
                </c:cat>
                <c:val>
                  <c:numRef>
                    <c:extLst>
                      <c:ext uri="{02D57815-91ED-43cb-92C2-25804820EDAC}">
                        <c15:formulaRef>
                          <c15:sqref>Graphs!$D$51:$D$56</c15:sqref>
                        </c15:formulaRef>
                      </c:ext>
                    </c:extLst>
                    <c:numCache>
                      <c:formatCode>0</c:formatCode>
                      <c:ptCount val="6"/>
                      <c:pt idx="0">
                        <c:v>287</c:v>
                      </c:pt>
                      <c:pt idx="1">
                        <c:v>#N/A</c:v>
                      </c:pt>
                      <c:pt idx="2">
                        <c:v>#N/A</c:v>
                      </c:pt>
                      <c:pt idx="3">
                        <c:v>#N/A</c:v>
                      </c:pt>
                      <c:pt idx="4">
                        <c:v>#N/A</c:v>
                      </c:pt>
                      <c:pt idx="5">
                        <c:v>#N/A</c:v>
                      </c:pt>
                    </c:numCache>
                  </c:numRef>
                </c:val>
                <c:smooth val="0"/>
                <c:extLst>
                  <c:ext xmlns:c16="http://schemas.microsoft.com/office/drawing/2014/chart" uri="{C3380CC4-5D6E-409C-BE32-E72D297353CC}">
                    <c16:uniqueId val="{00000002-C984-4F7B-98C6-AA971D3D67AD}"/>
                  </c:ext>
                </c:extLst>
              </c15:ser>
            </c15:filteredLineSeries>
          </c:ext>
        </c:extLst>
      </c:lineChart>
      <c:catAx>
        <c:axId val="497014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6504"/>
        <c:crosses val="autoZero"/>
        <c:auto val="1"/>
        <c:lblAlgn val="ctr"/>
        <c:lblOffset val="100"/>
        <c:noMultiLvlLbl val="0"/>
      </c:catAx>
      <c:valAx>
        <c:axId val="4970165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Minutes of Outages per Year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4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Graphs!$C$65</c:f>
          <c:strCache>
            <c:ptCount val="1"/>
            <c:pt idx="0">
              <c:v>Generation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Century Gothic" panose="020B0502020202020204" pitchFamily="34" charset="0"/>
              <a:ea typeface="+mn-ea"/>
              <a:cs typeface="+mn-cs"/>
            </a:defRPr>
          </a:pPr>
          <a:endParaRPr lang="en-US"/>
        </a:p>
      </c:txPr>
    </c:title>
    <c:autoTitleDeleted val="0"/>
    <c:plotArea>
      <c:layout>
        <c:manualLayout>
          <c:layoutTarget val="inner"/>
          <c:xMode val="edge"/>
          <c:yMode val="edge"/>
          <c:x val="0.12430239177849249"/>
          <c:y val="0.25085119518244536"/>
          <c:w val="0.43673476026764257"/>
          <c:h val="0.63978338333567997"/>
        </c:manualLayout>
      </c:layout>
      <c:pieChart>
        <c:varyColors val="1"/>
        <c:ser>
          <c:idx val="0"/>
          <c:order val="0"/>
          <c:tx>
            <c:strRef>
              <c:f>Graphs!$B$2</c:f>
              <c:strCache>
                <c:ptCount val="1"/>
                <c:pt idx="0">
                  <c:v>Round Number</c:v>
                </c:pt>
              </c:strCache>
            </c:strRef>
          </c:tx>
          <c:dPt>
            <c:idx val="0"/>
            <c:bubble3D val="0"/>
            <c:spPr>
              <a:solidFill>
                <a:schemeClr val="accent1"/>
              </a:solidFill>
              <a:ln>
                <a:noFill/>
              </a:ln>
              <a:effectLst/>
            </c:spPr>
            <c:extLst>
              <c:ext xmlns:c16="http://schemas.microsoft.com/office/drawing/2014/chart" uri="{C3380CC4-5D6E-409C-BE32-E72D297353CC}">
                <c16:uniqueId val="{00000001-CD8E-4867-AD3D-5909D5DE62A4}"/>
              </c:ext>
            </c:extLst>
          </c:dPt>
          <c:dPt>
            <c:idx val="1"/>
            <c:bubble3D val="0"/>
            <c:spPr>
              <a:solidFill>
                <a:schemeClr val="accent2"/>
              </a:solidFill>
              <a:ln>
                <a:noFill/>
              </a:ln>
              <a:effectLst/>
            </c:spPr>
            <c:extLst>
              <c:ext xmlns:c16="http://schemas.microsoft.com/office/drawing/2014/chart" uri="{C3380CC4-5D6E-409C-BE32-E72D297353CC}">
                <c16:uniqueId val="{00000003-CD8E-4867-AD3D-5909D5DE62A4}"/>
              </c:ext>
            </c:extLst>
          </c:dPt>
          <c:dPt>
            <c:idx val="2"/>
            <c:bubble3D val="0"/>
            <c:spPr>
              <a:solidFill>
                <a:schemeClr val="accent3"/>
              </a:solidFill>
              <a:ln>
                <a:noFill/>
              </a:ln>
              <a:effectLst/>
            </c:spPr>
            <c:extLst>
              <c:ext xmlns:c16="http://schemas.microsoft.com/office/drawing/2014/chart" uri="{C3380CC4-5D6E-409C-BE32-E72D297353CC}">
                <c16:uniqueId val="{00000005-CD8E-4867-AD3D-5909D5DE62A4}"/>
              </c:ext>
            </c:extLst>
          </c:dPt>
          <c:dPt>
            <c:idx val="3"/>
            <c:bubble3D val="0"/>
            <c:spPr>
              <a:solidFill>
                <a:schemeClr val="accent4"/>
              </a:solidFill>
              <a:ln>
                <a:noFill/>
              </a:ln>
              <a:effectLst/>
            </c:spPr>
            <c:extLst>
              <c:ext xmlns:c16="http://schemas.microsoft.com/office/drawing/2014/chart" uri="{C3380CC4-5D6E-409C-BE32-E72D297353CC}">
                <c16:uniqueId val="{00000007-CD8E-4867-AD3D-5909D5DE62A4}"/>
              </c:ext>
            </c:extLst>
          </c:dPt>
          <c:dPt>
            <c:idx val="4"/>
            <c:bubble3D val="0"/>
            <c:spPr>
              <a:solidFill>
                <a:schemeClr val="accent2">
                  <a:lumMod val="60000"/>
                  <a:lumOff val="40000"/>
                </a:schemeClr>
              </a:solidFill>
              <a:ln>
                <a:noFill/>
              </a:ln>
              <a:effectLst/>
            </c:spPr>
            <c:extLst>
              <c:ext xmlns:c16="http://schemas.microsoft.com/office/drawing/2014/chart" uri="{C3380CC4-5D6E-409C-BE32-E72D297353CC}">
                <c16:uniqueId val="{00000009-CD8E-4867-AD3D-5909D5DE62A4}"/>
              </c:ext>
            </c:extLst>
          </c:dPt>
          <c:dPt>
            <c:idx val="5"/>
            <c:bubble3D val="0"/>
            <c:spPr>
              <a:solidFill>
                <a:schemeClr val="accent6"/>
              </a:solidFill>
              <a:ln>
                <a:noFill/>
              </a:ln>
              <a:effectLst/>
            </c:spPr>
            <c:extLst>
              <c:ext xmlns:c16="http://schemas.microsoft.com/office/drawing/2014/chart" uri="{C3380CC4-5D6E-409C-BE32-E72D297353CC}">
                <c16:uniqueId val="{0000000B-CD8E-4867-AD3D-5909D5DE62A4}"/>
              </c:ext>
            </c:extLst>
          </c:dPt>
          <c:dPt>
            <c:idx val="6"/>
            <c:bubble3D val="0"/>
            <c:spPr>
              <a:solidFill>
                <a:schemeClr val="accent5"/>
              </a:solidFill>
              <a:ln>
                <a:noFill/>
              </a:ln>
              <a:effectLst/>
            </c:spPr>
            <c:extLst>
              <c:ext xmlns:c16="http://schemas.microsoft.com/office/drawing/2014/chart" uri="{C3380CC4-5D6E-409C-BE32-E72D297353CC}">
                <c16:uniqueId val="{0000000D-DBB1-429B-B20E-DC5609E18A16}"/>
              </c:ext>
            </c:extLst>
          </c:dPt>
          <c:dPt>
            <c:idx val="7"/>
            <c:bubble3D val="0"/>
            <c:spPr>
              <a:solidFill>
                <a:srgbClr val="92D050"/>
              </a:solidFill>
              <a:ln>
                <a:noFill/>
              </a:ln>
              <a:effectLst/>
            </c:spPr>
            <c:extLst>
              <c:ext xmlns:c16="http://schemas.microsoft.com/office/drawing/2014/chart" uri="{C3380CC4-5D6E-409C-BE32-E72D297353CC}">
                <c16:uniqueId val="{0000000C-DBB1-429B-B20E-DC5609E18A16}"/>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Century Gothic" panose="020B0502020202020204" pitchFamily="34" charset="0"/>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Graphs!$C$66:$C$73</c:f>
              <c:strCache>
                <c:ptCount val="8"/>
                <c:pt idx="0">
                  <c:v>Coal</c:v>
                </c:pt>
                <c:pt idx="1">
                  <c:v>Natural Gas</c:v>
                </c:pt>
                <c:pt idx="2">
                  <c:v>Nuclear</c:v>
                </c:pt>
                <c:pt idx="3">
                  <c:v>Utility-Scale Solar PV</c:v>
                </c:pt>
                <c:pt idx="4">
                  <c:v>Distributed Solar PV</c:v>
                </c:pt>
                <c:pt idx="5">
                  <c:v>Wind</c:v>
                </c:pt>
                <c:pt idx="6">
                  <c:v>Hydro</c:v>
                </c:pt>
                <c:pt idx="7">
                  <c:v>Energy Efficiency</c:v>
                </c:pt>
              </c:strCache>
            </c:strRef>
          </c:cat>
          <c:val>
            <c:numRef>
              <c:f>Graphs!$B$66:$B$73</c:f>
              <c:numCache>
                <c:formatCode>#,##0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C-CD8E-4867-AD3D-5909D5DE62A4}"/>
            </c:ext>
          </c:extLst>
        </c:ser>
        <c:dLbls>
          <c:dLblPos val="bestFit"/>
          <c:showLegendKey val="0"/>
          <c:showVal val="1"/>
          <c:showCatName val="0"/>
          <c:showSerName val="0"/>
          <c:showPercent val="0"/>
          <c:showBubbleSize val="0"/>
          <c:showLeaderLines val="1"/>
        </c:dLbls>
        <c:firstSliceAng val="334"/>
      </c:pieChart>
      <c:spPr>
        <a:noFill/>
        <a:ln>
          <a:noFill/>
        </a:ln>
        <a:effectLst/>
      </c:spPr>
    </c:plotArea>
    <c:legend>
      <c:legendPos val="r"/>
      <c:layout>
        <c:manualLayout>
          <c:xMode val="edge"/>
          <c:yMode val="edge"/>
          <c:x val="0.56890761894199848"/>
          <c:y val="0.15897713611108102"/>
          <c:w val="0.38602195852279031"/>
          <c:h val="0.7874925538021639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Century Gothic" panose="020B0502020202020204" pitchFamily="34"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Graphs!$A$83:$A$93</c:f>
              <c:numCache>
                <c:formatCode>General</c:formatCode>
                <c:ptCount val="11"/>
                <c:pt idx="0">
                  <c:v>2015</c:v>
                </c:pt>
                <c:pt idx="1">
                  <c:v>2017</c:v>
                </c:pt>
                <c:pt idx="2">
                  <c:v>2019</c:v>
                </c:pt>
                <c:pt idx="3">
                  <c:v>2021</c:v>
                </c:pt>
                <c:pt idx="4">
                  <c:v>2023</c:v>
                </c:pt>
                <c:pt idx="5">
                  <c:v>2025</c:v>
                </c:pt>
                <c:pt idx="6">
                  <c:v>2027</c:v>
                </c:pt>
                <c:pt idx="7">
                  <c:v>2029</c:v>
                </c:pt>
                <c:pt idx="8">
                  <c:v>2031</c:v>
                </c:pt>
                <c:pt idx="9">
                  <c:v>2033</c:v>
                </c:pt>
                <c:pt idx="10">
                  <c:v>2035</c:v>
                </c:pt>
              </c:numCache>
            </c:numRef>
          </c:cat>
          <c:val>
            <c:numRef>
              <c:f>Graphs!$C$83:$C$93</c:f>
              <c:numCache>
                <c:formatCode>0%</c:formatCode>
                <c:ptCount val="11"/>
                <c:pt idx="0">
                  <c:v>0.20238299999999998</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919F-4606-902D-E17BAA1A2FEF}"/>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Graphs!$A$83:$A$93</c:f>
              <c:numCache>
                <c:formatCode>General</c:formatCode>
                <c:ptCount val="11"/>
                <c:pt idx="0">
                  <c:v>2015</c:v>
                </c:pt>
                <c:pt idx="1">
                  <c:v>2017</c:v>
                </c:pt>
                <c:pt idx="2">
                  <c:v>2019</c:v>
                </c:pt>
                <c:pt idx="3">
                  <c:v>2021</c:v>
                </c:pt>
                <c:pt idx="4">
                  <c:v>2023</c:v>
                </c:pt>
                <c:pt idx="5">
                  <c:v>2025</c:v>
                </c:pt>
                <c:pt idx="6">
                  <c:v>2027</c:v>
                </c:pt>
                <c:pt idx="7">
                  <c:v>2029</c:v>
                </c:pt>
                <c:pt idx="8">
                  <c:v>2031</c:v>
                </c:pt>
                <c:pt idx="9">
                  <c:v>2033</c:v>
                </c:pt>
                <c:pt idx="10">
                  <c:v>2035</c:v>
                </c:pt>
              </c:numCache>
            </c:numRef>
          </c:cat>
          <c:val>
            <c:numRef>
              <c:f>Graphs!$D$83:$D$93</c:f>
              <c:numCache>
                <c:formatCode>0%</c:formatCode>
                <c:ptCount val="11"/>
                <c:pt idx="0">
                  <c:v>0.20238299999999998</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919F-4606-902D-E17BAA1A2FEF}"/>
            </c:ext>
          </c:extLst>
        </c:ser>
        <c:ser>
          <c:idx val="2"/>
          <c:order val="2"/>
          <c:tx>
            <c:strRef>
              <c:f>Graphs!$E$82</c:f>
              <c:strCache>
                <c:ptCount val="1"/>
                <c:pt idx="0">
                  <c:v>NERC Standard</c:v>
                </c:pt>
              </c:strCache>
            </c:strRef>
          </c:tx>
          <c:spPr>
            <a:ln w="28575" cap="rnd">
              <a:solidFill>
                <a:schemeClr val="tx1"/>
              </a:solidFill>
              <a:prstDash val="dash"/>
              <a:round/>
            </a:ln>
            <a:effectLst/>
          </c:spPr>
          <c:marker>
            <c:symbol val="none"/>
          </c:marker>
          <c:val>
            <c:numRef>
              <c:f>Graphs!$E$83:$E$93</c:f>
              <c:numCache>
                <c:formatCode>0%</c:formatCode>
                <c:ptCount val="11"/>
                <c:pt idx="0">
                  <c:v>0.15</c:v>
                </c:pt>
                <c:pt idx="1">
                  <c:v>0.15</c:v>
                </c:pt>
                <c:pt idx="2">
                  <c:v>0.15</c:v>
                </c:pt>
                <c:pt idx="3">
                  <c:v>0.15</c:v>
                </c:pt>
                <c:pt idx="4">
                  <c:v>0.15</c:v>
                </c:pt>
                <c:pt idx="5">
                  <c:v>0.15</c:v>
                </c:pt>
                <c:pt idx="6">
                  <c:v>0.15</c:v>
                </c:pt>
                <c:pt idx="7">
                  <c:v>0.15</c:v>
                </c:pt>
                <c:pt idx="8">
                  <c:v>0.15</c:v>
                </c:pt>
                <c:pt idx="9">
                  <c:v>0.15</c:v>
                </c:pt>
                <c:pt idx="10">
                  <c:v>0.15</c:v>
                </c:pt>
              </c:numCache>
            </c:numRef>
          </c:val>
          <c:smooth val="0"/>
          <c:extLst>
            <c:ext xmlns:c16="http://schemas.microsoft.com/office/drawing/2014/chart" uri="{C3380CC4-5D6E-409C-BE32-E72D297353CC}">
              <c16:uniqueId val="{00000002-919F-4606-902D-E17BAA1A2FEF}"/>
            </c:ext>
          </c:extLst>
        </c:ser>
        <c:dLbls>
          <c:showLegendKey val="0"/>
          <c:showVal val="0"/>
          <c:showCatName val="0"/>
          <c:showSerName val="0"/>
          <c:showPercent val="0"/>
          <c:showBubbleSize val="0"/>
        </c:dLbls>
        <c:marker val="1"/>
        <c:smooth val="0"/>
        <c:axId val="497012584"/>
        <c:axId val="497012976"/>
      </c:lineChart>
      <c:catAx>
        <c:axId val="497012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2976"/>
        <c:crosses val="autoZero"/>
        <c:auto val="1"/>
        <c:lblAlgn val="ctr"/>
        <c:lblOffset val="100"/>
        <c:noMultiLvlLbl val="0"/>
      </c:catAx>
      <c:valAx>
        <c:axId val="497012976"/>
        <c:scaling>
          <c:orientation val="minMax"/>
          <c:max val="0.30000000000000004"/>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12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Supply Curve</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Dispatch!$B$205:$B$218</c:f>
              <c:numCache>
                <c:formatCode>_(* #,##0_);_(* \(#,##0\);_(* "-"??_);_(@_)</c:formatCode>
                <c:ptCount val="14"/>
                <c:pt idx="0" formatCode="General">
                  <c:v>0</c:v>
                </c:pt>
                <c:pt idx="1">
                  <c:v>1752000</c:v>
                </c:pt>
                <c:pt idx="2">
                  <c:v>1752000</c:v>
                </c:pt>
                <c:pt idx="3">
                  <c:v>2190000</c:v>
                </c:pt>
                <c:pt idx="4">
                  <c:v>2190000</c:v>
                </c:pt>
                <c:pt idx="5">
                  <c:v>2715600</c:v>
                </c:pt>
                <c:pt idx="6">
                  <c:v>2715600</c:v>
                </c:pt>
                <c:pt idx="7">
                  <c:v>3766800</c:v>
                </c:pt>
                <c:pt idx="8">
                  <c:v>3766800</c:v>
                </c:pt>
                <c:pt idx="9">
                  <c:v>19534800</c:v>
                </c:pt>
                <c:pt idx="10">
                  <c:v>19534800</c:v>
                </c:pt>
                <c:pt idx="11">
                  <c:v>40558800</c:v>
                </c:pt>
                <c:pt idx="12">
                  <c:v>40558800</c:v>
                </c:pt>
                <c:pt idx="13">
                  <c:v>82606800</c:v>
                </c:pt>
              </c:numCache>
            </c:numRef>
          </c:xVal>
          <c:yVal>
            <c:numRef>
              <c:f>Dispatch!$C$205:$C$218</c:f>
              <c:numCache>
                <c:formatCode>_("$"* #,##0.00_);_("$"* \(#,##0.00\);_("$"* "-"??_);_(@_)</c:formatCode>
                <c:ptCount val="14"/>
                <c:pt idx="0">
                  <c:v>0</c:v>
                </c:pt>
                <c:pt idx="1">
                  <c:v>0</c:v>
                </c:pt>
                <c:pt idx="2">
                  <c:v>0.01</c:v>
                </c:pt>
                <c:pt idx="3">
                  <c:v>0.01</c:v>
                </c:pt>
                <c:pt idx="4">
                  <c:v>0.02</c:v>
                </c:pt>
                <c:pt idx="5">
                  <c:v>0.02</c:v>
                </c:pt>
                <c:pt idx="6">
                  <c:v>7</c:v>
                </c:pt>
                <c:pt idx="7">
                  <c:v>7</c:v>
                </c:pt>
                <c:pt idx="8">
                  <c:v>11.022499999999999</c:v>
                </c:pt>
                <c:pt idx="9">
                  <c:v>11.022499999999999</c:v>
                </c:pt>
                <c:pt idx="10">
                  <c:v>28.747499999999999</c:v>
                </c:pt>
                <c:pt idx="11">
                  <c:v>28.747499999999999</c:v>
                </c:pt>
                <c:pt idx="12">
                  <c:v>36.550000000000004</c:v>
                </c:pt>
                <c:pt idx="13">
                  <c:v>36.550000000000004</c:v>
                </c:pt>
              </c:numCache>
            </c:numRef>
          </c:yVal>
          <c:smooth val="0"/>
          <c:extLst>
            <c:ext xmlns:c16="http://schemas.microsoft.com/office/drawing/2014/chart" uri="{C3380CC4-5D6E-409C-BE32-E72D297353CC}">
              <c16:uniqueId val="{00000000-8A17-43C7-B3AE-21DA4835EBF1}"/>
            </c:ext>
          </c:extLst>
        </c:ser>
        <c:ser>
          <c:idx val="1"/>
          <c:order val="1"/>
          <c:tx>
            <c:v>Demand Curve</c:v>
          </c:tx>
          <c:spPr>
            <a:ln w="19050" cap="rnd">
              <a:solidFill>
                <a:schemeClr val="accent2"/>
              </a:solidFill>
              <a:round/>
            </a:ln>
            <a:effectLst/>
          </c:spPr>
          <c:marker>
            <c:symbol val="circle"/>
            <c:size val="5"/>
            <c:spPr>
              <a:noFill/>
              <a:ln w="9525">
                <a:noFill/>
              </a:ln>
              <a:effectLst/>
            </c:spPr>
          </c:marker>
          <c:xVal>
            <c:numRef>
              <c:f>Dispatch!$D$205:$D$218</c:f>
              <c:numCache>
                <c:formatCode>General</c:formatCode>
                <c:ptCount val="14"/>
                <c:pt idx="0">
                  <c:v>57871320</c:v>
                </c:pt>
                <c:pt idx="1">
                  <c:v>57871320</c:v>
                </c:pt>
                <c:pt idx="2">
                  <c:v>57871320</c:v>
                </c:pt>
                <c:pt idx="3">
                  <c:v>57871320</c:v>
                </c:pt>
                <c:pt idx="4">
                  <c:v>57871320</c:v>
                </c:pt>
                <c:pt idx="5">
                  <c:v>57871320</c:v>
                </c:pt>
                <c:pt idx="6">
                  <c:v>57871320</c:v>
                </c:pt>
                <c:pt idx="7">
                  <c:v>57871320</c:v>
                </c:pt>
                <c:pt idx="8">
                  <c:v>57871320</c:v>
                </c:pt>
                <c:pt idx="9">
                  <c:v>57871320</c:v>
                </c:pt>
                <c:pt idx="10">
                  <c:v>57871320</c:v>
                </c:pt>
                <c:pt idx="11">
                  <c:v>57871320</c:v>
                </c:pt>
                <c:pt idx="12">
                  <c:v>57871320</c:v>
                </c:pt>
                <c:pt idx="13">
                  <c:v>57871320</c:v>
                </c:pt>
              </c:numCache>
            </c:numRef>
          </c:xVal>
          <c:yVal>
            <c:numRef>
              <c:f>Dispatch!$E$205:$E$218</c:f>
              <c:numCache>
                <c:formatCode>General</c:formatCode>
                <c:ptCount val="14"/>
                <c:pt idx="0">
                  <c:v>0</c:v>
                </c:pt>
                <c:pt idx="1">
                  <c:v>0</c:v>
                </c:pt>
                <c:pt idx="2">
                  <c:v>0.01</c:v>
                </c:pt>
                <c:pt idx="3">
                  <c:v>0.01</c:v>
                </c:pt>
                <c:pt idx="4">
                  <c:v>0.02</c:v>
                </c:pt>
                <c:pt idx="5">
                  <c:v>0.02</c:v>
                </c:pt>
                <c:pt idx="6">
                  <c:v>7</c:v>
                </c:pt>
                <c:pt idx="7">
                  <c:v>7</c:v>
                </c:pt>
                <c:pt idx="8">
                  <c:v>11.022499999999999</c:v>
                </c:pt>
                <c:pt idx="9">
                  <c:v>11.022499999999999</c:v>
                </c:pt>
                <c:pt idx="10">
                  <c:v>28.747499999999999</c:v>
                </c:pt>
                <c:pt idx="11">
                  <c:v>28.747499999999999</c:v>
                </c:pt>
                <c:pt idx="12">
                  <c:v>36.550000000000004</c:v>
                </c:pt>
                <c:pt idx="13">
                  <c:v>36.550000000000004</c:v>
                </c:pt>
              </c:numCache>
            </c:numRef>
          </c:yVal>
          <c:smooth val="0"/>
          <c:extLst>
            <c:ext xmlns:c16="http://schemas.microsoft.com/office/drawing/2014/chart" uri="{C3380CC4-5D6E-409C-BE32-E72D297353CC}">
              <c16:uniqueId val="{00000001-8A17-43C7-B3AE-21DA4835EBF1}"/>
            </c:ext>
          </c:extLst>
        </c:ser>
        <c:dLbls>
          <c:showLegendKey val="0"/>
          <c:showVal val="0"/>
          <c:showCatName val="0"/>
          <c:showSerName val="0"/>
          <c:showPercent val="0"/>
          <c:showBubbleSize val="0"/>
        </c:dLbls>
        <c:axId val="372920440"/>
        <c:axId val="372920832"/>
      </c:scatterChart>
      <c:valAx>
        <c:axId val="372920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920832"/>
        <c:crosses val="autoZero"/>
        <c:crossBetween val="midCat"/>
      </c:valAx>
      <c:valAx>
        <c:axId val="37292083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9204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Generation Mix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37D-45BB-A7B3-9A6FE40BDE6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37D-45BB-A7B3-9A6FE40BDE6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37D-45BB-A7B3-9A6FE40BDE6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37D-45BB-A7B3-9A6FE40BDE6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37D-45BB-A7B3-9A6FE40BDE6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37D-45BB-A7B3-9A6FE40BDE66}"/>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D37D-45BB-A7B3-9A6FE40BDE66}"/>
              </c:ext>
            </c:extLst>
          </c:dPt>
          <c:cat>
            <c:strRef>
              <c:f>Dispatch!$A$221:$A$227</c:f>
              <c:strCache>
                <c:ptCount val="7"/>
                <c:pt idx="0">
                  <c:v>coal</c:v>
                </c:pt>
                <c:pt idx="1">
                  <c:v>natural gas</c:v>
                </c:pt>
                <c:pt idx="2">
                  <c:v>nuclear</c:v>
                </c:pt>
                <c:pt idx="3">
                  <c:v>solar</c:v>
                </c:pt>
                <c:pt idx="4">
                  <c:v>wind</c:v>
                </c:pt>
                <c:pt idx="5">
                  <c:v>hydro</c:v>
                </c:pt>
                <c:pt idx="6">
                  <c:v>EE</c:v>
                </c:pt>
              </c:strCache>
            </c:strRef>
          </c:cat>
          <c:val>
            <c:numRef>
              <c:f>Dispatch!$B$221:$B$227</c:f>
              <c:numCache>
                <c:formatCode>_(* #,##0_);_(* \(#,##0\);_(* "-"??_);_(@_)</c:formatCode>
                <c:ptCount val="7"/>
                <c:pt idx="0">
                  <c:v>21024000</c:v>
                </c:pt>
                <c:pt idx="1">
                  <c:v>17312520</c:v>
                </c:pt>
                <c:pt idx="2">
                  <c:v>15768000</c:v>
                </c:pt>
                <c:pt idx="3">
                  <c:v>438000</c:v>
                </c:pt>
                <c:pt idx="4">
                  <c:v>525600</c:v>
                </c:pt>
                <c:pt idx="5">
                  <c:v>1051200</c:v>
                </c:pt>
                <c:pt idx="6">
                  <c:v>1752000</c:v>
                </c:pt>
              </c:numCache>
            </c:numRef>
          </c:val>
          <c:extLst>
            <c:ext xmlns:c16="http://schemas.microsoft.com/office/drawing/2014/chart" uri="{C3380CC4-5D6E-409C-BE32-E72D297353CC}">
              <c16:uniqueId val="{0000000E-D37D-45BB-A7B3-9A6FE40BDE6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5" Type="http://schemas.openxmlformats.org/officeDocument/2006/relationships/chart" Target="../charts/chart16.xml"/><Relationship Id="rId4"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0</xdr:col>
      <xdr:colOff>95249</xdr:colOff>
      <xdr:row>11</xdr:row>
      <xdr:rowOff>104775</xdr:rowOff>
    </xdr:from>
    <xdr:to>
      <xdr:col>4</xdr:col>
      <xdr:colOff>1228724</xdr:colOff>
      <xdr:row>26</xdr:row>
      <xdr:rowOff>42862</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552450</xdr:colOff>
      <xdr:row>29</xdr:row>
      <xdr:rowOff>80962</xdr:rowOff>
    </xdr:from>
    <xdr:to>
      <xdr:col>6</xdr:col>
      <xdr:colOff>342900</xdr:colOff>
      <xdr:row>43</xdr:row>
      <xdr:rowOff>157162</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123825</xdr:colOff>
      <xdr:row>29</xdr:row>
      <xdr:rowOff>33337</xdr:rowOff>
    </xdr:from>
    <xdr:to>
      <xdr:col>3</xdr:col>
      <xdr:colOff>228600</xdr:colOff>
      <xdr:row>43</xdr:row>
      <xdr:rowOff>109537</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46</xdr:row>
      <xdr:rowOff>128587</xdr:rowOff>
    </xdr:from>
    <xdr:to>
      <xdr:col>3</xdr:col>
      <xdr:colOff>457200</xdr:colOff>
      <xdr:row>61</xdr:row>
      <xdr:rowOff>14287</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85725</xdr:colOff>
      <xdr:row>65</xdr:row>
      <xdr:rowOff>88900</xdr:rowOff>
    </xdr:from>
    <xdr:to>
      <xdr:col>3</xdr:col>
      <xdr:colOff>327025</xdr:colOff>
      <xdr:row>80</xdr:row>
      <xdr:rowOff>69850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387350</xdr:colOff>
      <xdr:row>82</xdr:row>
      <xdr:rowOff>69850</xdr:rowOff>
    </xdr:from>
    <xdr:to>
      <xdr:col>6</xdr:col>
      <xdr:colOff>298450</xdr:colOff>
      <xdr:row>87</xdr:row>
      <xdr:rowOff>133350</xdr:rowOff>
    </xdr:to>
    <xdr:sp macro="[0]!Get_Started.Get_Started" textlink="">
      <xdr:nvSpPr>
        <xdr:cNvPr id="7" name="Rounded Rectangle 6">
          <a:extLst>
            <a:ext uri="{FF2B5EF4-FFF2-40B4-BE49-F238E27FC236}">
              <a16:creationId xmlns:a16="http://schemas.microsoft.com/office/drawing/2014/main" id="{00000000-0008-0000-0000-000007000000}"/>
            </a:ext>
          </a:extLst>
        </xdr:cNvPr>
        <xdr:cNvSpPr/>
      </xdr:nvSpPr>
      <xdr:spPr>
        <a:xfrm>
          <a:off x="4718050" y="17659350"/>
          <a:ext cx="4921250" cy="9842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a:t>Get started!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1529411</xdr:colOff>
      <xdr:row>25</xdr:row>
      <xdr:rowOff>78251</xdr:rowOff>
    </xdr:from>
    <xdr:to>
      <xdr:col>7</xdr:col>
      <xdr:colOff>1372528</xdr:colOff>
      <xdr:row>29</xdr:row>
      <xdr:rowOff>139358</xdr:rowOff>
    </xdr:to>
    <xdr:sp macro="[0]!Advance_Round.Advance_Round" textlink="Advance_Button">
      <xdr:nvSpPr>
        <xdr:cNvPr id="2" name="Rounded Rectangle 1">
          <a:extLst>
            <a:ext uri="{FF2B5EF4-FFF2-40B4-BE49-F238E27FC236}">
              <a16:creationId xmlns:a16="http://schemas.microsoft.com/office/drawing/2014/main" id="{00000000-0008-0000-0100-000002000000}"/>
            </a:ext>
          </a:extLst>
        </xdr:cNvPr>
        <xdr:cNvSpPr/>
      </xdr:nvSpPr>
      <xdr:spPr>
        <a:xfrm>
          <a:off x="5256585" y="5412251"/>
          <a:ext cx="4647030" cy="972194"/>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fld id="{BCD4A5F0-70DD-40AB-9879-577D8707DC78}" type="TxLink">
            <a:rPr lang="en-US" sz="1800" b="0" i="0" u="none" strike="noStrike">
              <a:solidFill>
                <a:schemeClr val="bg1"/>
              </a:solidFill>
              <a:latin typeface="Calibri"/>
            </a:rPr>
            <a:pPr algn="ctr"/>
            <a:t>Advance to Next Planning Cycle</a:t>
          </a:fld>
          <a:endParaRPr lang="en-US" sz="3600">
            <a:solidFill>
              <a:schemeClr val="bg1"/>
            </a:solidFill>
          </a:endParaRPr>
        </a:p>
      </xdr:txBody>
    </xdr:sp>
    <xdr:clientData/>
  </xdr:twoCellAnchor>
  <xdr:twoCellAnchor>
    <xdr:from>
      <xdr:col>6</xdr:col>
      <xdr:colOff>835479</xdr:colOff>
      <xdr:row>3</xdr:row>
      <xdr:rowOff>69850</xdr:rowOff>
    </xdr:from>
    <xdr:to>
      <xdr:col>7</xdr:col>
      <xdr:colOff>3648074</xdr:colOff>
      <xdr:row>11</xdr:row>
      <xdr:rowOff>132521</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733426</xdr:colOff>
      <xdr:row>3</xdr:row>
      <xdr:rowOff>54429</xdr:rowOff>
    </xdr:from>
    <xdr:to>
      <xdr:col>4</xdr:col>
      <xdr:colOff>3561523</xdr:colOff>
      <xdr:row>11</xdr:row>
      <xdr:rowOff>132522</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739105</xdr:colOff>
      <xdr:row>14</xdr:row>
      <xdr:rowOff>41413</xdr:rowOff>
    </xdr:from>
    <xdr:to>
      <xdr:col>4</xdr:col>
      <xdr:colOff>3578087</xdr:colOff>
      <xdr:row>24</xdr:row>
      <xdr:rowOff>107675</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2722</xdr:colOff>
      <xdr:row>14</xdr:row>
      <xdr:rowOff>33130</xdr:rowOff>
    </xdr:from>
    <xdr:to>
      <xdr:col>7</xdr:col>
      <xdr:colOff>3626305</xdr:colOff>
      <xdr:row>24</xdr:row>
      <xdr:rowOff>157370</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99392</xdr:colOff>
      <xdr:row>22</xdr:row>
      <xdr:rowOff>96018</xdr:rowOff>
    </xdr:from>
    <xdr:to>
      <xdr:col>2</xdr:col>
      <xdr:colOff>16565</xdr:colOff>
      <xdr:row>29</xdr:row>
      <xdr:rowOff>54073</xdr:rowOff>
    </xdr:to>
    <xdr:grpSp>
      <xdr:nvGrpSpPr>
        <xdr:cNvPr id="15" name="Group 14">
          <a:extLst>
            <a:ext uri="{FF2B5EF4-FFF2-40B4-BE49-F238E27FC236}">
              <a16:creationId xmlns:a16="http://schemas.microsoft.com/office/drawing/2014/main" id="{00000000-0008-0000-0100-00000F000000}"/>
            </a:ext>
          </a:extLst>
        </xdr:cNvPr>
        <xdr:cNvGrpSpPr/>
      </xdr:nvGrpSpPr>
      <xdr:grpSpPr>
        <a:xfrm>
          <a:off x="99392" y="5239518"/>
          <a:ext cx="2752261" cy="1426026"/>
          <a:chOff x="20778107" y="1836964"/>
          <a:chExt cx="2081894" cy="1551215"/>
        </a:xfrm>
      </xdr:grpSpPr>
      <xdr:sp macro="" textlink="">
        <xdr:nvSpPr>
          <xdr:cNvPr id="12" name="Rectangle 11">
            <a:extLst>
              <a:ext uri="{FF2B5EF4-FFF2-40B4-BE49-F238E27FC236}">
                <a16:creationId xmlns:a16="http://schemas.microsoft.com/office/drawing/2014/main" id="{00000000-0008-0000-0100-00000C000000}"/>
              </a:ext>
            </a:extLst>
          </xdr:cNvPr>
          <xdr:cNvSpPr/>
        </xdr:nvSpPr>
        <xdr:spPr>
          <a:xfrm>
            <a:off x="20778107" y="1836964"/>
            <a:ext cx="2081893" cy="1551215"/>
          </a:xfrm>
          <a:prstGeom prst="rect">
            <a:avLst/>
          </a:prstGeom>
          <a:solidFill>
            <a:schemeClr val="bg2"/>
          </a:solid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6" name="Straight Arrow Connector 5">
            <a:extLst>
              <a:ext uri="{FF2B5EF4-FFF2-40B4-BE49-F238E27FC236}">
                <a16:creationId xmlns:a16="http://schemas.microsoft.com/office/drawing/2014/main" id="{00000000-0008-0000-0100-000006000000}"/>
              </a:ext>
            </a:extLst>
          </xdr:cNvPr>
          <xdr:cNvCxnSpPr/>
        </xdr:nvCxnSpPr>
        <xdr:spPr>
          <a:xfrm>
            <a:off x="20982214" y="2217964"/>
            <a:ext cx="421822" cy="0"/>
          </a:xfrm>
          <a:prstGeom prst="straightConnector1">
            <a:avLst/>
          </a:prstGeom>
          <a:ln w="34925">
            <a:headEnd type="oval"/>
            <a:tailEnd type="oval"/>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0100-00000B000000}"/>
              </a:ext>
            </a:extLst>
          </xdr:cNvPr>
          <xdr:cNvCxnSpPr/>
        </xdr:nvCxnSpPr>
        <xdr:spPr>
          <a:xfrm>
            <a:off x="20927786" y="2911928"/>
            <a:ext cx="503464" cy="0"/>
          </a:xfrm>
          <a:prstGeom prst="straightConnector1">
            <a:avLst/>
          </a:prstGeom>
          <a:ln w="34925">
            <a:solidFill>
              <a:schemeClr val="tx1"/>
            </a:solidFill>
            <a:prstDash val="sysDash"/>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21526500" y="1945822"/>
            <a:ext cx="1292680" cy="6373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a:t>Round</a:t>
            </a:r>
            <a:r>
              <a:rPr lang="en-US" sz="1600" baseline="0"/>
              <a:t> </a:t>
            </a:r>
            <a:r>
              <a:rPr lang="en-US" sz="1600"/>
              <a:t>Performance</a:t>
            </a:r>
          </a:p>
        </xdr:txBody>
      </xdr:sp>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21526501" y="2639785"/>
            <a:ext cx="1333500" cy="7043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a:t>Performance</a:t>
            </a:r>
            <a:r>
              <a:rPr lang="en-US" sz="1600" baseline="0"/>
              <a:t> Target</a:t>
            </a:r>
            <a:endParaRPr lang="en-US" sz="1600"/>
          </a:p>
        </xdr:txBody>
      </xdr:sp>
    </xdr:grpSp>
    <xdr:clientData/>
  </xdr:twoCellAnchor>
  <xdr:twoCellAnchor>
    <xdr:from>
      <xdr:col>0</xdr:col>
      <xdr:colOff>94520</xdr:colOff>
      <xdr:row>2</xdr:row>
      <xdr:rowOff>57977</xdr:rowOff>
    </xdr:from>
    <xdr:to>
      <xdr:col>2</xdr:col>
      <xdr:colOff>41413</xdr:colOff>
      <xdr:row>6</xdr:row>
      <xdr:rowOff>356152</xdr:rowOff>
    </xdr:to>
    <xdr:sp macro="[0]!ShowBuildCapacity" textlink="BuildTitle">
      <xdr:nvSpPr>
        <xdr:cNvPr id="3" name="Rounded Rectangle 2">
          <a:extLst>
            <a:ext uri="{FF2B5EF4-FFF2-40B4-BE49-F238E27FC236}">
              <a16:creationId xmlns:a16="http://schemas.microsoft.com/office/drawing/2014/main" id="{00000000-0008-0000-0100-000003000000}"/>
            </a:ext>
          </a:extLst>
        </xdr:cNvPr>
        <xdr:cNvSpPr/>
      </xdr:nvSpPr>
      <xdr:spPr>
        <a:xfrm>
          <a:off x="94520" y="438977"/>
          <a:ext cx="2787828" cy="125067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fld id="{4BE805F2-FFFC-44CE-92EE-9E1206E084EC}" type="TxLink">
            <a:rPr lang="en-US" sz="2000" b="0" i="0" u="none" strike="noStrike">
              <a:solidFill>
                <a:schemeClr val="bg1"/>
              </a:solidFill>
              <a:latin typeface="Calibri"/>
            </a:rPr>
            <a:pPr algn="ctr"/>
            <a:t>Contract for Generation</a:t>
          </a:fld>
          <a:endParaRPr lang="en-US" sz="4000">
            <a:solidFill>
              <a:schemeClr val="bg1"/>
            </a:solidFill>
          </a:endParaRPr>
        </a:p>
      </xdr:txBody>
    </xdr:sp>
    <xdr:clientData/>
  </xdr:twoCellAnchor>
  <xdr:twoCellAnchor>
    <xdr:from>
      <xdr:col>0</xdr:col>
      <xdr:colOff>109525</xdr:colOff>
      <xdr:row>6</xdr:row>
      <xdr:rowOff>414130</xdr:rowOff>
    </xdr:from>
    <xdr:to>
      <xdr:col>2</xdr:col>
      <xdr:colOff>33131</xdr:colOff>
      <xdr:row>12</xdr:row>
      <xdr:rowOff>165652</xdr:rowOff>
    </xdr:to>
    <xdr:sp macro="[0]!ShowBuildFlex" textlink="">
      <xdr:nvSpPr>
        <xdr:cNvPr id="16" name="Rounded Rectangle 15">
          <a:extLst>
            <a:ext uri="{FF2B5EF4-FFF2-40B4-BE49-F238E27FC236}">
              <a16:creationId xmlns:a16="http://schemas.microsoft.com/office/drawing/2014/main" id="{00000000-0008-0000-0100-000010000000}"/>
            </a:ext>
          </a:extLst>
        </xdr:cNvPr>
        <xdr:cNvSpPr/>
      </xdr:nvSpPr>
      <xdr:spPr>
        <a:xfrm>
          <a:off x="109525" y="1747630"/>
          <a:ext cx="2764541" cy="1275522"/>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000" b="0" i="0" u="none" strike="noStrike">
              <a:solidFill>
                <a:schemeClr val="bg1"/>
              </a:solidFill>
              <a:latin typeface="+mn-lt"/>
            </a:rPr>
            <a:t>Build Transmission, Distribution, and Flexibility Resources</a:t>
          </a:r>
        </a:p>
      </xdr:txBody>
    </xdr:sp>
    <xdr:clientData/>
  </xdr:twoCellAnchor>
  <xdr:twoCellAnchor>
    <xdr:from>
      <xdr:col>0</xdr:col>
      <xdr:colOff>111088</xdr:colOff>
      <xdr:row>18</xdr:row>
      <xdr:rowOff>41410</xdr:rowOff>
    </xdr:from>
    <xdr:to>
      <xdr:col>2</xdr:col>
      <xdr:colOff>49697</xdr:colOff>
      <xdr:row>21</xdr:row>
      <xdr:rowOff>165651</xdr:rowOff>
    </xdr:to>
    <xdr:sp macro="[0]!showAddEvent" textlink="">
      <xdr:nvSpPr>
        <xdr:cNvPr id="17" name="Rounded Rectangle 16">
          <a:extLst>
            <a:ext uri="{FF2B5EF4-FFF2-40B4-BE49-F238E27FC236}">
              <a16:creationId xmlns:a16="http://schemas.microsoft.com/office/drawing/2014/main" id="{00000000-0008-0000-0100-000011000000}"/>
            </a:ext>
          </a:extLst>
        </xdr:cNvPr>
        <xdr:cNvSpPr/>
      </xdr:nvSpPr>
      <xdr:spPr>
        <a:xfrm>
          <a:off x="111088" y="4041910"/>
          <a:ext cx="2779544" cy="88624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000" b="0" i="0" u="none" strike="noStrike">
              <a:solidFill>
                <a:schemeClr val="bg1"/>
              </a:solidFill>
              <a:latin typeface="+mn-lt"/>
            </a:rPr>
            <a:t>Add Event</a:t>
          </a:r>
        </a:p>
      </xdr:txBody>
    </xdr:sp>
    <xdr:clientData/>
  </xdr:twoCellAnchor>
  <xdr:twoCellAnchor>
    <xdr:from>
      <xdr:col>0</xdr:col>
      <xdr:colOff>105726</xdr:colOff>
      <xdr:row>13</xdr:row>
      <xdr:rowOff>49697</xdr:rowOff>
    </xdr:from>
    <xdr:to>
      <xdr:col>2</xdr:col>
      <xdr:colOff>49695</xdr:colOff>
      <xdr:row>17</xdr:row>
      <xdr:rowOff>168968</xdr:rowOff>
    </xdr:to>
    <xdr:sp macro="[0]!ShowAddPolicy" textlink="">
      <xdr:nvSpPr>
        <xdr:cNvPr id="18" name="Rounded Rectangle 17">
          <a:extLst>
            <a:ext uri="{FF2B5EF4-FFF2-40B4-BE49-F238E27FC236}">
              <a16:creationId xmlns:a16="http://schemas.microsoft.com/office/drawing/2014/main" id="{00000000-0008-0000-0100-000012000000}"/>
            </a:ext>
          </a:extLst>
        </xdr:cNvPr>
        <xdr:cNvSpPr/>
      </xdr:nvSpPr>
      <xdr:spPr>
        <a:xfrm>
          <a:off x="105726" y="3097697"/>
          <a:ext cx="2784904" cy="881271"/>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000" b="0" i="0" u="none" strike="noStrike">
              <a:solidFill>
                <a:schemeClr val="bg1"/>
              </a:solidFill>
              <a:latin typeface="+mn-lt"/>
            </a:rPr>
            <a:t>Add Policy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215900</xdr:colOff>
      <xdr:row>3</xdr:row>
      <xdr:rowOff>76200</xdr:rowOff>
    </xdr:from>
    <xdr:to>
      <xdr:col>17</xdr:col>
      <xdr:colOff>533400</xdr:colOff>
      <xdr:row>11</xdr:row>
      <xdr:rowOff>31750</xdr:rowOff>
    </xdr:to>
    <xdr:sp macro="[0]!Reset_All.Reset_All" textlink="">
      <xdr:nvSpPr>
        <xdr:cNvPr id="2" name="Rounded Rectangle 1">
          <a:extLst>
            <a:ext uri="{FF2B5EF4-FFF2-40B4-BE49-F238E27FC236}">
              <a16:creationId xmlns:a16="http://schemas.microsoft.com/office/drawing/2014/main" id="{00000000-0008-0000-0200-000002000000}"/>
            </a:ext>
          </a:extLst>
        </xdr:cNvPr>
        <xdr:cNvSpPr/>
      </xdr:nvSpPr>
      <xdr:spPr>
        <a:xfrm>
          <a:off x="9886950" y="635000"/>
          <a:ext cx="2552700" cy="10604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a:t>Reset</a:t>
          </a:r>
          <a:r>
            <a:rPr lang="en-US" sz="2000" baseline="0"/>
            <a:t> All</a:t>
          </a:r>
          <a:endParaRPr lang="en-US" sz="1100"/>
        </a:p>
      </xdr:txBody>
    </xdr:sp>
    <xdr:clientData/>
  </xdr:twoCellAnchor>
  <xdr:twoCellAnchor>
    <xdr:from>
      <xdr:col>14</xdr:col>
      <xdr:colOff>273050</xdr:colOff>
      <xdr:row>12</xdr:row>
      <xdr:rowOff>107950</xdr:rowOff>
    </xdr:from>
    <xdr:to>
      <xdr:col>17</xdr:col>
      <xdr:colOff>552450</xdr:colOff>
      <xdr:row>19</xdr:row>
      <xdr:rowOff>19050</xdr:rowOff>
    </xdr:to>
    <xdr:sp macro="[0]!undoround" textlink="">
      <xdr:nvSpPr>
        <xdr:cNvPr id="3" name="Rectangle: Rounded Corners 2">
          <a:extLst>
            <a:ext uri="{FF2B5EF4-FFF2-40B4-BE49-F238E27FC236}">
              <a16:creationId xmlns:a16="http://schemas.microsoft.com/office/drawing/2014/main" id="{00000000-0008-0000-0200-000003000000}"/>
            </a:ext>
          </a:extLst>
        </xdr:cNvPr>
        <xdr:cNvSpPr/>
      </xdr:nvSpPr>
      <xdr:spPr>
        <a:xfrm>
          <a:off x="12058650" y="2139950"/>
          <a:ext cx="2514600" cy="12001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2000"/>
            <a:t>Go Back to Previous Round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565149</xdr:colOff>
      <xdr:row>3</xdr:row>
      <xdr:rowOff>50801</xdr:rowOff>
    </xdr:from>
    <xdr:to>
      <xdr:col>5</xdr:col>
      <xdr:colOff>508000</xdr:colOff>
      <xdr:row>10</xdr:row>
      <xdr:rowOff>69851</xdr:rowOff>
    </xdr:to>
    <xdr:sp macro="[0]!Override.Override" textlink="">
      <xdr:nvSpPr>
        <xdr:cNvPr id="2" name="Rounded Rectangle 1">
          <a:extLst>
            <a:ext uri="{FF2B5EF4-FFF2-40B4-BE49-F238E27FC236}">
              <a16:creationId xmlns:a16="http://schemas.microsoft.com/office/drawing/2014/main" id="{00000000-0008-0000-0300-000002000000}"/>
            </a:ext>
          </a:extLst>
        </xdr:cNvPr>
        <xdr:cNvSpPr/>
      </xdr:nvSpPr>
      <xdr:spPr>
        <a:xfrm>
          <a:off x="5886449" y="615951"/>
          <a:ext cx="2946401" cy="1308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000"/>
            <a:t>Override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1133475</xdr:colOff>
      <xdr:row>77</xdr:row>
      <xdr:rowOff>157162</xdr:rowOff>
    </xdr:from>
    <xdr:to>
      <xdr:col>8</xdr:col>
      <xdr:colOff>47625</xdr:colOff>
      <xdr:row>92</xdr:row>
      <xdr:rowOff>42862</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219075</xdr:colOff>
      <xdr:row>77</xdr:row>
      <xdr:rowOff>157162</xdr:rowOff>
    </xdr:from>
    <xdr:to>
      <xdr:col>4</xdr:col>
      <xdr:colOff>552450</xdr:colOff>
      <xdr:row>92</xdr:row>
      <xdr:rowOff>42862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66675</xdr:colOff>
      <xdr:row>1</xdr:row>
      <xdr:rowOff>66675</xdr:rowOff>
    </xdr:from>
    <xdr:to>
      <xdr:col>10</xdr:col>
      <xdr:colOff>400050</xdr:colOff>
      <xdr:row>13</xdr:row>
      <xdr:rowOff>95250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53975</xdr:colOff>
      <xdr:row>16</xdr:row>
      <xdr:rowOff>155575</xdr:rowOff>
    </xdr:from>
    <xdr:to>
      <xdr:col>10</xdr:col>
      <xdr:colOff>387350</xdr:colOff>
      <xdr:row>28</xdr:row>
      <xdr:rowOff>177800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53975</xdr:colOff>
      <xdr:row>32</xdr:row>
      <xdr:rowOff>155575</xdr:rowOff>
    </xdr:from>
    <xdr:to>
      <xdr:col>10</xdr:col>
      <xdr:colOff>387350</xdr:colOff>
      <xdr:row>44</xdr:row>
      <xdr:rowOff>177800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53975</xdr:colOff>
      <xdr:row>49</xdr:row>
      <xdr:rowOff>155575</xdr:rowOff>
    </xdr:from>
    <xdr:to>
      <xdr:col>10</xdr:col>
      <xdr:colOff>387350</xdr:colOff>
      <xdr:row>61</xdr:row>
      <xdr:rowOff>177800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568325</xdr:colOff>
      <xdr:row>65</xdr:row>
      <xdr:rowOff>47625</xdr:rowOff>
    </xdr:from>
    <xdr:to>
      <xdr:col>10</xdr:col>
      <xdr:colOff>292100</xdr:colOff>
      <xdr:row>77</xdr:row>
      <xdr:rowOff>69850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53975</xdr:colOff>
      <xdr:row>81</xdr:row>
      <xdr:rowOff>155575</xdr:rowOff>
    </xdr:from>
    <xdr:to>
      <xdr:col>10</xdr:col>
      <xdr:colOff>387350</xdr:colOff>
      <xdr:row>93</xdr:row>
      <xdr:rowOff>177800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304558</xdr:colOff>
      <xdr:row>203</xdr:row>
      <xdr:rowOff>59522</xdr:rowOff>
    </xdr:from>
    <xdr:to>
      <xdr:col>8</xdr:col>
      <xdr:colOff>981982</xdr:colOff>
      <xdr:row>217</xdr:row>
      <xdr:rowOff>135722</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22703</xdr:colOff>
      <xdr:row>203</xdr:row>
      <xdr:rowOff>67180</xdr:rowOff>
    </xdr:from>
    <xdr:to>
      <xdr:col>14</xdr:col>
      <xdr:colOff>637720</xdr:colOff>
      <xdr:row>217</xdr:row>
      <xdr:rowOff>134308</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Rainbow">
      <a:dk1>
        <a:sysClr val="windowText" lastClr="000000"/>
      </a:dk1>
      <a:lt1>
        <a:sysClr val="window" lastClr="FFFFFF"/>
      </a:lt1>
      <a:dk2>
        <a:srgbClr val="44546A"/>
      </a:dk2>
      <a:lt2>
        <a:srgbClr val="E7E6E6"/>
      </a:lt2>
      <a:accent1>
        <a:srgbClr val="8496B0"/>
      </a:accent1>
      <a:accent2>
        <a:srgbClr val="C01B00"/>
      </a:accent2>
      <a:accent3>
        <a:srgbClr val="F593E0"/>
      </a:accent3>
      <a:accent4>
        <a:srgbClr val="FFFF00"/>
      </a:accent4>
      <a:accent5>
        <a:srgbClr val="C2DFFD"/>
      </a:accent5>
      <a:accent6>
        <a:srgbClr val="0563C1"/>
      </a:accent6>
      <a:hlink>
        <a:srgbClr val="00B050"/>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hyperlink" Target="http://www.nrel.gov/docs/fy03osti/32500.pdf,%20Table%206" TargetMode="External"/><Relationship Id="rId3" Type="http://schemas.openxmlformats.org/officeDocument/2006/relationships/hyperlink" Target="http://www3.sce.com/sscc/law/dis/dbattach5e.nsf/0/BACF374E1EFE27CE88257C2100811E3D/$FILE/SCE-03%20Vol.%2008.pdf,%20p.2" TargetMode="External"/><Relationship Id="rId7" Type="http://schemas.openxmlformats.org/officeDocument/2006/relationships/hyperlink" Target="http://www.nrel.gov/docs/fy03osti/32500.pdf,%20Table%205" TargetMode="External"/><Relationship Id="rId2" Type="http://schemas.openxmlformats.org/officeDocument/2006/relationships/hyperlink" Target="http://energyenvironment.pnnl.gov/ei/pdf/NWPP%20report.pdf" TargetMode="External"/><Relationship Id="rId1" Type="http://schemas.openxmlformats.org/officeDocument/2006/relationships/hyperlink" Target="http://energyenvironment.pnnl.gov/ei/pdf/NWPP%20report.pdf" TargetMode="External"/><Relationship Id="rId6" Type="http://schemas.openxmlformats.org/officeDocument/2006/relationships/hyperlink" Target="http://www.nrel.gov/docs/fy03osti/32500.pdf,%20Table%208" TargetMode="External"/><Relationship Id="rId11" Type="http://schemas.openxmlformats.org/officeDocument/2006/relationships/printerSettings" Target="../printerSettings/printerSettings5.bin"/><Relationship Id="rId5" Type="http://schemas.openxmlformats.org/officeDocument/2006/relationships/hyperlink" Target="http://www.nrel.gov/docs/fy03osti/32500.pdf,%20Table%207" TargetMode="External"/><Relationship Id="rId10" Type="http://schemas.openxmlformats.org/officeDocument/2006/relationships/hyperlink" Target="http://www.nrel.gov/docs/fy03osti/32500.pdf,%20Table%204" TargetMode="External"/><Relationship Id="rId4" Type="http://schemas.openxmlformats.org/officeDocument/2006/relationships/hyperlink" Target="https://www.smartgrid.gov/files/SMUD-CBS_Final_Evaluation_Submitted_DOE_9_9_2014.pdf,%20Table%204-1,%20Default%20TOU,%20IHD-Offer,%20average" TargetMode="External"/><Relationship Id="rId9" Type="http://schemas.openxmlformats.org/officeDocument/2006/relationships/hyperlink" Target="http://www.nrel.gov/docs/fy03osti/32500.pdf,%20Table%203"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R247"/>
  <sheetViews>
    <sheetView zoomScaleNormal="100" workbookViewId="0">
      <selection activeCell="B2" sqref="B2:F2"/>
    </sheetView>
  </sheetViews>
  <sheetFormatPr defaultRowHeight="15" x14ac:dyDescent="0.25"/>
  <cols>
    <col min="1" max="1" width="27.28515625" customWidth="1"/>
    <col min="2" max="2" width="21.140625" customWidth="1"/>
    <col min="3" max="3" width="13.5703125" bestFit="1" customWidth="1"/>
    <col min="4" max="4" width="30.28515625" bestFit="1" customWidth="1"/>
    <col min="5" max="6" width="20.7109375" bestFit="1" customWidth="1"/>
    <col min="7" max="7" width="34" bestFit="1" customWidth="1"/>
  </cols>
  <sheetData>
    <row r="1" spans="1:18" ht="27" thickBot="1" x14ac:dyDescent="0.45">
      <c r="A1" s="194" t="s">
        <v>258</v>
      </c>
      <c r="B1" s="194"/>
      <c r="C1" s="194"/>
      <c r="D1" s="194"/>
      <c r="E1" s="194"/>
      <c r="F1" s="194"/>
      <c r="G1" s="194"/>
      <c r="H1" s="194"/>
      <c r="I1" s="194"/>
      <c r="J1" s="194"/>
      <c r="K1" s="194"/>
      <c r="L1" s="194"/>
      <c r="M1" s="194"/>
      <c r="N1" s="194"/>
      <c r="O1" s="96"/>
      <c r="P1" s="96"/>
      <c r="Q1" s="96"/>
      <c r="R1" s="96"/>
    </row>
    <row r="2" spans="1:18" ht="27" thickBot="1" x14ac:dyDescent="0.45">
      <c r="A2" s="105" t="s">
        <v>267</v>
      </c>
      <c r="B2" s="196" t="s">
        <v>561</v>
      </c>
      <c r="C2" s="197"/>
      <c r="D2" s="197"/>
      <c r="E2" s="197"/>
      <c r="F2" s="198"/>
      <c r="G2" s="96"/>
      <c r="H2" s="96"/>
      <c r="I2" s="96"/>
      <c r="J2" s="96"/>
      <c r="K2" s="96"/>
      <c r="L2" s="96"/>
      <c r="M2" s="96"/>
      <c r="N2" s="96"/>
      <c r="O2" s="96"/>
      <c r="P2" s="96"/>
      <c r="Q2" s="96"/>
      <c r="R2" s="96"/>
    </row>
    <row r="3" spans="1:18" ht="27" thickBot="1" x14ac:dyDescent="0.45">
      <c r="A3" s="105" t="s">
        <v>458</v>
      </c>
      <c r="B3" s="196" t="s">
        <v>265</v>
      </c>
      <c r="C3" s="197"/>
      <c r="D3" s="197"/>
      <c r="E3" s="197"/>
      <c r="F3" s="198"/>
      <c r="G3" s="96"/>
      <c r="H3" s="96"/>
      <c r="I3" s="96"/>
      <c r="J3" s="96"/>
      <c r="K3" s="96"/>
      <c r="L3" s="96"/>
      <c r="M3" s="96"/>
      <c r="N3" s="96"/>
      <c r="O3" s="96"/>
      <c r="P3" s="96"/>
      <c r="Q3" s="96"/>
      <c r="R3" s="96"/>
    </row>
    <row r="4" spans="1:18" x14ac:dyDescent="0.25">
      <c r="A4" s="96"/>
      <c r="B4" s="96"/>
      <c r="C4" s="96"/>
      <c r="D4" s="96"/>
      <c r="E4" s="96"/>
      <c r="F4" s="96"/>
      <c r="G4" s="96"/>
      <c r="H4" s="96"/>
      <c r="I4" s="96"/>
      <c r="J4" s="96"/>
      <c r="K4" s="96"/>
      <c r="L4" s="96"/>
      <c r="M4" s="96"/>
      <c r="N4" s="96"/>
      <c r="O4" s="96"/>
      <c r="P4" s="96"/>
      <c r="Q4" s="96"/>
      <c r="R4" s="96"/>
    </row>
    <row r="5" spans="1:18" ht="26.25" x14ac:dyDescent="0.4">
      <c r="A5" s="194" t="s">
        <v>301</v>
      </c>
      <c r="B5" s="194"/>
      <c r="C5" s="194"/>
      <c r="D5" s="194"/>
      <c r="E5" s="194"/>
      <c r="F5" s="194"/>
      <c r="G5" s="194"/>
      <c r="H5" s="194"/>
      <c r="I5" s="194"/>
      <c r="J5" s="194"/>
      <c r="K5" s="194"/>
      <c r="L5" s="194"/>
      <c r="M5" s="194"/>
      <c r="N5" s="194"/>
      <c r="O5" s="108"/>
      <c r="P5" s="96"/>
      <c r="Q5" s="96"/>
      <c r="R5" s="96"/>
    </row>
    <row r="6" spans="1:18" ht="132" customHeight="1" x14ac:dyDescent="0.3">
      <c r="A6" s="195" t="s">
        <v>535</v>
      </c>
      <c r="B6" s="195"/>
      <c r="C6" s="195"/>
      <c r="D6" s="195"/>
      <c r="E6" s="195"/>
      <c r="F6" s="195"/>
      <c r="G6" s="96"/>
      <c r="H6" s="96"/>
      <c r="I6" s="96"/>
      <c r="J6" s="96"/>
      <c r="K6" s="96"/>
      <c r="L6" s="96"/>
      <c r="M6" s="96"/>
      <c r="N6" s="96"/>
      <c r="O6" s="96"/>
      <c r="P6" s="96"/>
      <c r="Q6" s="96"/>
      <c r="R6" s="96"/>
    </row>
    <row r="7" spans="1:18" x14ac:dyDescent="0.25">
      <c r="A7" s="96"/>
      <c r="B7" s="96"/>
      <c r="C7" s="96"/>
      <c r="D7" s="96"/>
      <c r="E7" s="96"/>
      <c r="F7" s="96"/>
      <c r="G7" s="96"/>
      <c r="H7" s="96"/>
      <c r="I7" s="96"/>
      <c r="J7" s="96"/>
      <c r="K7" s="96"/>
      <c r="L7" s="96"/>
      <c r="M7" s="96"/>
      <c r="N7" s="96"/>
      <c r="O7" s="96"/>
      <c r="P7" s="96"/>
      <c r="Q7" s="96"/>
      <c r="R7" s="96"/>
    </row>
    <row r="8" spans="1:18" ht="18.75" x14ac:dyDescent="0.3">
      <c r="A8" s="106" t="s">
        <v>302</v>
      </c>
      <c r="B8" s="96"/>
      <c r="C8" s="96"/>
      <c r="D8" s="96"/>
      <c r="E8" s="96"/>
      <c r="F8" s="96"/>
      <c r="G8" s="96"/>
      <c r="H8" s="96"/>
      <c r="I8" s="96"/>
      <c r="J8" s="96"/>
      <c r="K8" s="96"/>
      <c r="L8" s="96"/>
      <c r="M8" s="96"/>
      <c r="N8" s="96"/>
      <c r="O8" s="96"/>
      <c r="P8" s="96"/>
      <c r="Q8" s="96"/>
      <c r="R8" s="96"/>
    </row>
    <row r="9" spans="1:18" x14ac:dyDescent="0.25">
      <c r="A9" s="96"/>
      <c r="B9" s="96"/>
      <c r="C9" s="96"/>
      <c r="D9" s="96"/>
      <c r="E9" s="96"/>
      <c r="F9" s="96"/>
      <c r="G9" s="96"/>
      <c r="H9" s="96"/>
      <c r="I9" s="96"/>
      <c r="J9" s="96"/>
      <c r="K9" s="96"/>
      <c r="L9" s="96"/>
      <c r="M9" s="96"/>
      <c r="N9" s="96"/>
      <c r="O9" s="96"/>
      <c r="P9" s="96"/>
      <c r="Q9" s="96"/>
      <c r="R9" s="96"/>
    </row>
    <row r="10" spans="1:18" ht="18.75" customHeight="1" x14ac:dyDescent="0.25">
      <c r="A10" s="193" t="s">
        <v>445</v>
      </c>
      <c r="B10" s="193"/>
      <c r="C10" s="193"/>
      <c r="D10" s="193"/>
      <c r="E10" s="193"/>
      <c r="F10" s="193"/>
      <c r="G10" s="96"/>
      <c r="H10" s="96"/>
      <c r="I10" s="96"/>
      <c r="J10" s="96"/>
      <c r="K10" s="96"/>
      <c r="L10" s="96"/>
      <c r="M10" s="96"/>
      <c r="N10" s="96"/>
      <c r="O10" s="96"/>
      <c r="P10" s="96"/>
      <c r="Q10" s="96"/>
      <c r="R10" s="96"/>
    </row>
    <row r="11" spans="1:18" x14ac:dyDescent="0.25">
      <c r="A11" s="193"/>
      <c r="B11" s="193"/>
      <c r="C11" s="193"/>
      <c r="D11" s="193"/>
      <c r="E11" s="193"/>
      <c r="F11" s="193"/>
      <c r="G11" s="96"/>
      <c r="H11" s="96"/>
      <c r="I11" s="96"/>
      <c r="J11" s="96"/>
      <c r="K11" s="96"/>
      <c r="L11" s="96"/>
      <c r="M11" s="96"/>
      <c r="N11" s="96"/>
      <c r="O11" s="96"/>
      <c r="P11" s="96"/>
      <c r="Q11" s="96"/>
      <c r="R11" s="96"/>
    </row>
    <row r="12" spans="1:18" ht="18.75" x14ac:dyDescent="0.3">
      <c r="A12" s="183"/>
      <c r="B12" s="183"/>
      <c r="C12" s="183"/>
      <c r="D12" s="183"/>
      <c r="E12" s="183"/>
      <c r="F12" s="183"/>
      <c r="G12" s="96"/>
      <c r="H12" s="96"/>
      <c r="I12" s="96"/>
      <c r="J12" s="96"/>
      <c r="K12" s="96"/>
      <c r="L12" s="96"/>
      <c r="M12" s="96"/>
      <c r="N12" s="96"/>
      <c r="O12" s="96"/>
      <c r="P12" s="96"/>
      <c r="Q12" s="96"/>
      <c r="R12" s="96"/>
    </row>
    <row r="13" spans="1:18" x14ac:dyDescent="0.25">
      <c r="A13" s="96"/>
      <c r="B13" s="96"/>
      <c r="C13" s="96"/>
      <c r="D13" s="96"/>
      <c r="E13" s="96"/>
      <c r="F13" s="96"/>
      <c r="G13" s="96"/>
      <c r="H13" s="96"/>
      <c r="I13" s="96"/>
      <c r="J13" s="96"/>
      <c r="K13" s="96"/>
      <c r="L13" s="96"/>
      <c r="M13" s="96"/>
      <c r="N13" s="96"/>
      <c r="O13" s="96"/>
      <c r="P13" s="96"/>
      <c r="Q13" s="96"/>
      <c r="R13" s="96"/>
    </row>
    <row r="14" spans="1:18" x14ac:dyDescent="0.25">
      <c r="A14" s="96"/>
      <c r="B14" s="96"/>
      <c r="C14" s="96"/>
      <c r="D14" s="96"/>
      <c r="E14" s="96"/>
      <c r="F14" s="96"/>
      <c r="G14" s="96"/>
      <c r="H14" s="96"/>
      <c r="I14" s="96"/>
      <c r="J14" s="96"/>
      <c r="K14" s="96"/>
      <c r="L14" s="96"/>
      <c r="M14" s="96"/>
      <c r="N14" s="96"/>
      <c r="O14" s="96"/>
      <c r="P14" s="96"/>
      <c r="Q14" s="96"/>
      <c r="R14" s="96"/>
    </row>
    <row r="15" spans="1:18" x14ac:dyDescent="0.25">
      <c r="A15" s="96"/>
      <c r="B15" s="96"/>
      <c r="C15" s="96"/>
      <c r="D15" s="96"/>
      <c r="E15" s="96"/>
      <c r="F15" s="96"/>
      <c r="G15" s="96"/>
      <c r="H15" s="96"/>
      <c r="I15" s="96"/>
      <c r="J15" s="96"/>
      <c r="K15" s="96"/>
      <c r="L15" s="96"/>
      <c r="M15" s="96"/>
      <c r="N15" s="96"/>
      <c r="O15" s="96"/>
      <c r="P15" s="96"/>
      <c r="Q15" s="96"/>
      <c r="R15" s="96"/>
    </row>
    <row r="16" spans="1:18" x14ac:dyDescent="0.25">
      <c r="A16" s="96"/>
      <c r="B16" s="96"/>
      <c r="C16" s="96"/>
      <c r="D16" s="96"/>
      <c r="E16" s="96"/>
      <c r="F16" s="96"/>
      <c r="G16" s="96"/>
      <c r="H16" s="96"/>
      <c r="I16" s="96"/>
      <c r="J16" s="96"/>
      <c r="K16" s="96"/>
      <c r="L16" s="96"/>
      <c r="M16" s="96"/>
      <c r="N16" s="96"/>
      <c r="O16" s="96"/>
      <c r="P16" s="96"/>
      <c r="Q16" s="96"/>
      <c r="R16" s="96"/>
    </row>
    <row r="17" spans="1:18" x14ac:dyDescent="0.25">
      <c r="A17" s="96"/>
      <c r="B17" s="96"/>
      <c r="C17" s="96"/>
      <c r="D17" s="96"/>
      <c r="E17" s="96"/>
      <c r="F17" s="96"/>
      <c r="G17" s="96"/>
      <c r="H17" s="96"/>
      <c r="I17" s="96"/>
      <c r="J17" s="96"/>
      <c r="K17" s="96"/>
      <c r="L17" s="96"/>
      <c r="M17" s="96"/>
      <c r="N17" s="96"/>
      <c r="O17" s="96"/>
      <c r="P17" s="96"/>
      <c r="Q17" s="96"/>
      <c r="R17" s="96"/>
    </row>
    <row r="18" spans="1:18" x14ac:dyDescent="0.25">
      <c r="A18" s="96"/>
      <c r="B18" s="96"/>
      <c r="C18" s="96"/>
      <c r="D18" s="96"/>
      <c r="E18" s="96"/>
      <c r="F18" s="96"/>
      <c r="G18" s="96"/>
      <c r="H18" s="96"/>
      <c r="I18" s="96"/>
      <c r="J18" s="96"/>
      <c r="K18" s="96"/>
      <c r="L18" s="96"/>
      <c r="M18" s="96"/>
      <c r="N18" s="96"/>
      <c r="O18" s="96"/>
      <c r="P18" s="96"/>
      <c r="Q18" s="96"/>
      <c r="R18" s="96"/>
    </row>
    <row r="19" spans="1:18" x14ac:dyDescent="0.25">
      <c r="A19" s="96"/>
      <c r="B19" s="96"/>
      <c r="C19" s="96"/>
      <c r="D19" s="96"/>
      <c r="E19" s="96"/>
      <c r="F19" s="96"/>
      <c r="G19" s="96"/>
      <c r="H19" s="96"/>
      <c r="I19" s="96"/>
      <c r="J19" s="96"/>
      <c r="K19" s="96"/>
      <c r="L19" s="96"/>
      <c r="M19" s="96"/>
      <c r="N19" s="96"/>
      <c r="O19" s="96"/>
      <c r="P19" s="96"/>
      <c r="Q19" s="96"/>
      <c r="R19" s="96"/>
    </row>
    <row r="20" spans="1:18" x14ac:dyDescent="0.25">
      <c r="A20" s="96"/>
      <c r="B20" s="96"/>
      <c r="C20" s="96"/>
      <c r="D20" s="96"/>
      <c r="E20" s="96"/>
      <c r="F20" s="96"/>
      <c r="G20" s="96"/>
      <c r="H20" s="96"/>
      <c r="I20" s="96"/>
      <c r="J20" s="96"/>
      <c r="K20" s="96"/>
      <c r="L20" s="96"/>
      <c r="M20" s="96"/>
      <c r="N20" s="96"/>
      <c r="O20" s="96"/>
      <c r="P20" s="96"/>
      <c r="Q20" s="96"/>
      <c r="R20" s="96"/>
    </row>
    <row r="21" spans="1:18" x14ac:dyDescent="0.25">
      <c r="A21" s="96"/>
      <c r="B21" s="96"/>
      <c r="C21" s="96"/>
      <c r="D21" s="96"/>
      <c r="E21" s="96"/>
      <c r="F21" s="96"/>
      <c r="G21" s="96"/>
      <c r="H21" s="96"/>
      <c r="I21" s="96"/>
      <c r="J21" s="96"/>
      <c r="K21" s="96"/>
      <c r="L21" s="96"/>
      <c r="M21" s="96"/>
      <c r="N21" s="96"/>
      <c r="O21" s="96"/>
      <c r="P21" s="96"/>
      <c r="Q21" s="96"/>
      <c r="R21" s="96"/>
    </row>
    <row r="22" spans="1:18" x14ac:dyDescent="0.25">
      <c r="A22" s="96"/>
      <c r="B22" s="96"/>
      <c r="C22" s="96"/>
      <c r="D22" s="96"/>
      <c r="E22" s="96"/>
      <c r="F22" s="96"/>
      <c r="G22" s="96"/>
      <c r="H22" s="96"/>
      <c r="I22" s="96"/>
      <c r="J22" s="96"/>
      <c r="K22" s="96"/>
      <c r="L22" s="96"/>
      <c r="M22" s="96"/>
      <c r="N22" s="96"/>
      <c r="O22" s="96"/>
      <c r="P22" s="96"/>
      <c r="Q22" s="96"/>
      <c r="R22" s="96"/>
    </row>
    <row r="23" spans="1:18" x14ac:dyDescent="0.25">
      <c r="A23" s="96"/>
      <c r="B23" s="96"/>
      <c r="C23" s="96"/>
      <c r="D23" s="96"/>
      <c r="E23" s="96"/>
      <c r="F23" s="96"/>
      <c r="G23" s="96"/>
      <c r="H23" s="96"/>
      <c r="I23" s="96"/>
      <c r="J23" s="96"/>
      <c r="K23" s="96"/>
      <c r="L23" s="96"/>
      <c r="M23" s="96"/>
      <c r="N23" s="96"/>
      <c r="O23" s="96"/>
      <c r="P23" s="96"/>
      <c r="Q23" s="96"/>
      <c r="R23" s="96"/>
    </row>
    <row r="24" spans="1:18" x14ac:dyDescent="0.25">
      <c r="A24" s="96"/>
      <c r="B24" s="96"/>
      <c r="C24" s="96"/>
      <c r="D24" s="96"/>
      <c r="E24" s="96"/>
      <c r="F24" s="96"/>
      <c r="G24" s="96"/>
      <c r="H24" s="96"/>
      <c r="I24" s="96"/>
      <c r="J24" s="96"/>
      <c r="K24" s="96"/>
      <c r="L24" s="96"/>
      <c r="M24" s="96"/>
      <c r="N24" s="96"/>
      <c r="O24" s="96"/>
      <c r="P24" s="96"/>
      <c r="Q24" s="96"/>
      <c r="R24" s="96"/>
    </row>
    <row r="25" spans="1:18" x14ac:dyDescent="0.25">
      <c r="A25" s="96"/>
      <c r="B25" s="96"/>
      <c r="C25" s="96"/>
      <c r="D25" s="96"/>
      <c r="E25" s="96"/>
      <c r="F25" s="96"/>
      <c r="G25" s="96"/>
      <c r="H25" s="96"/>
      <c r="I25" s="96"/>
      <c r="J25" s="96"/>
      <c r="K25" s="96"/>
      <c r="L25" s="96"/>
      <c r="M25" s="96"/>
      <c r="N25" s="96"/>
      <c r="O25" s="96"/>
      <c r="P25" s="96"/>
      <c r="Q25" s="96"/>
      <c r="R25" s="96"/>
    </row>
    <row r="26" spans="1:18" x14ac:dyDescent="0.25">
      <c r="A26" s="96"/>
      <c r="B26" s="96"/>
      <c r="C26" s="96"/>
      <c r="D26" s="96"/>
      <c r="E26" s="96"/>
      <c r="F26" s="96"/>
      <c r="G26" s="96"/>
      <c r="H26" s="96"/>
      <c r="I26" s="96"/>
      <c r="J26" s="96"/>
      <c r="K26" s="96"/>
      <c r="L26" s="96"/>
      <c r="M26" s="96"/>
      <c r="N26" s="96"/>
      <c r="O26" s="96"/>
      <c r="P26" s="96"/>
      <c r="Q26" s="96"/>
      <c r="R26" s="96"/>
    </row>
    <row r="27" spans="1:18" x14ac:dyDescent="0.25">
      <c r="A27" s="96"/>
      <c r="B27" s="96"/>
      <c r="C27" s="96"/>
      <c r="D27" s="96"/>
      <c r="E27" s="96"/>
      <c r="F27" s="96"/>
      <c r="G27" s="96"/>
      <c r="H27" s="96"/>
      <c r="I27" s="96"/>
      <c r="J27" s="96"/>
      <c r="K27" s="96"/>
      <c r="L27" s="96"/>
      <c r="M27" s="96"/>
      <c r="N27" s="96"/>
      <c r="O27" s="96"/>
      <c r="P27" s="96"/>
      <c r="Q27" s="96"/>
      <c r="R27" s="96"/>
    </row>
    <row r="28" spans="1:18" ht="18.75" x14ac:dyDescent="0.3">
      <c r="A28" s="199" t="s">
        <v>303</v>
      </c>
      <c r="B28" s="199"/>
      <c r="C28" s="199"/>
      <c r="D28" s="199"/>
      <c r="E28" s="199"/>
      <c r="F28" s="199"/>
      <c r="G28" s="96"/>
      <c r="H28" s="96"/>
      <c r="I28" s="96"/>
      <c r="J28" s="96"/>
      <c r="K28" s="96"/>
      <c r="L28" s="96"/>
      <c r="M28" s="96"/>
      <c r="N28" s="96"/>
      <c r="O28" s="96"/>
      <c r="P28" s="96"/>
      <c r="Q28" s="96"/>
      <c r="R28" s="96"/>
    </row>
    <row r="29" spans="1:18" x14ac:dyDescent="0.25">
      <c r="A29" s="96"/>
      <c r="B29" s="96"/>
      <c r="C29" s="96"/>
      <c r="D29" s="96"/>
      <c r="E29" s="96"/>
      <c r="F29" s="96"/>
      <c r="G29" s="96"/>
      <c r="H29" s="96"/>
      <c r="I29" s="96"/>
      <c r="J29" s="96"/>
      <c r="K29" s="96"/>
      <c r="L29" s="96"/>
      <c r="M29" s="96"/>
      <c r="N29" s="96"/>
      <c r="O29" s="96"/>
      <c r="P29" s="96"/>
      <c r="Q29" s="96"/>
      <c r="R29" s="96"/>
    </row>
    <row r="30" spans="1:18" x14ac:dyDescent="0.25">
      <c r="A30" s="96"/>
      <c r="B30" s="96"/>
      <c r="C30" s="96"/>
      <c r="D30" s="96"/>
      <c r="E30" s="96"/>
      <c r="F30" s="96"/>
      <c r="G30" s="96"/>
      <c r="H30" s="96"/>
      <c r="I30" s="96"/>
      <c r="J30" s="96"/>
      <c r="K30" s="96"/>
      <c r="L30" s="96"/>
      <c r="M30" s="96"/>
      <c r="N30" s="96"/>
      <c r="O30" s="96"/>
      <c r="P30" s="96"/>
      <c r="Q30" s="96"/>
      <c r="R30" s="96"/>
    </row>
    <row r="31" spans="1:18" x14ac:dyDescent="0.25">
      <c r="A31" s="96"/>
      <c r="B31" s="96"/>
      <c r="C31" s="96"/>
      <c r="D31" s="96"/>
      <c r="E31" s="96"/>
      <c r="F31" s="96"/>
      <c r="G31" s="96"/>
      <c r="H31" s="96"/>
      <c r="I31" s="96"/>
      <c r="J31" s="96"/>
      <c r="K31" s="96"/>
      <c r="L31" s="96"/>
      <c r="M31" s="96"/>
      <c r="N31" s="96"/>
      <c r="O31" s="96"/>
      <c r="P31" s="96"/>
      <c r="Q31" s="96"/>
      <c r="R31" s="96"/>
    </row>
    <row r="32" spans="1:18" x14ac:dyDescent="0.25">
      <c r="A32" s="96"/>
      <c r="B32" s="96"/>
      <c r="C32" s="96"/>
      <c r="D32" s="96"/>
      <c r="E32" s="96"/>
      <c r="F32" s="96"/>
      <c r="G32" s="96"/>
      <c r="H32" s="96"/>
      <c r="I32" s="96"/>
      <c r="J32" s="96"/>
      <c r="K32" s="96"/>
      <c r="L32" s="96"/>
      <c r="M32" s="96"/>
      <c r="N32" s="96"/>
      <c r="O32" s="96"/>
      <c r="P32" s="96"/>
      <c r="Q32" s="96"/>
      <c r="R32" s="96"/>
    </row>
    <row r="33" spans="1:18" x14ac:dyDescent="0.25">
      <c r="A33" s="96"/>
      <c r="B33" s="96"/>
      <c r="C33" s="96"/>
      <c r="D33" s="96"/>
      <c r="E33" s="96"/>
      <c r="F33" s="96"/>
      <c r="G33" s="96"/>
      <c r="H33" s="96"/>
      <c r="I33" s="96"/>
      <c r="J33" s="96"/>
      <c r="K33" s="96"/>
      <c r="L33" s="96"/>
      <c r="M33" s="96"/>
      <c r="N33" s="96"/>
      <c r="O33" s="96"/>
      <c r="P33" s="96"/>
      <c r="Q33" s="96"/>
      <c r="R33" s="96"/>
    </row>
    <row r="34" spans="1:18" x14ac:dyDescent="0.25">
      <c r="A34" s="96"/>
      <c r="B34" s="96"/>
      <c r="C34" s="96"/>
      <c r="D34" s="96"/>
      <c r="E34" s="96"/>
      <c r="F34" s="96"/>
      <c r="G34" s="96"/>
      <c r="H34" s="96"/>
      <c r="I34" s="96"/>
      <c r="J34" s="96"/>
      <c r="K34" s="96"/>
      <c r="L34" s="96"/>
      <c r="M34" s="96"/>
      <c r="N34" s="96"/>
      <c r="O34" s="96"/>
      <c r="P34" s="96"/>
      <c r="Q34" s="96"/>
      <c r="R34" s="96"/>
    </row>
    <row r="35" spans="1:18" x14ac:dyDescent="0.25">
      <c r="A35" s="96"/>
      <c r="B35" s="96"/>
      <c r="C35" s="96"/>
      <c r="D35" s="96"/>
      <c r="E35" s="96"/>
      <c r="F35" s="96"/>
      <c r="G35" s="96"/>
      <c r="H35" s="96"/>
      <c r="I35" s="96"/>
      <c r="J35" s="96"/>
      <c r="K35" s="96"/>
      <c r="L35" s="96"/>
      <c r="M35" s="96"/>
      <c r="N35" s="96"/>
      <c r="O35" s="96"/>
      <c r="P35" s="96"/>
      <c r="Q35" s="96"/>
      <c r="R35" s="96"/>
    </row>
    <row r="36" spans="1:18" x14ac:dyDescent="0.25">
      <c r="A36" s="96"/>
      <c r="B36" s="96"/>
      <c r="C36" s="96"/>
      <c r="D36" s="96"/>
      <c r="E36" s="96"/>
      <c r="F36" s="96"/>
      <c r="G36" s="96"/>
      <c r="H36" s="96"/>
      <c r="I36" s="96"/>
      <c r="J36" s="96"/>
      <c r="K36" s="96"/>
      <c r="L36" s="96"/>
      <c r="M36" s="96"/>
      <c r="N36" s="96"/>
      <c r="O36" s="96"/>
      <c r="P36" s="96"/>
      <c r="Q36" s="96"/>
      <c r="R36" s="96"/>
    </row>
    <row r="37" spans="1:18" x14ac:dyDescent="0.25">
      <c r="A37" s="96"/>
      <c r="B37" s="96"/>
      <c r="C37" s="96"/>
      <c r="D37" s="96"/>
      <c r="E37" s="96"/>
      <c r="F37" s="96"/>
      <c r="G37" s="96"/>
      <c r="H37" s="96"/>
      <c r="I37" s="96"/>
      <c r="J37" s="96"/>
      <c r="K37" s="96"/>
      <c r="L37" s="96"/>
      <c r="M37" s="96"/>
      <c r="N37" s="96"/>
      <c r="O37" s="96"/>
      <c r="P37" s="96"/>
      <c r="Q37" s="96"/>
      <c r="R37" s="96"/>
    </row>
    <row r="38" spans="1:18" x14ac:dyDescent="0.25">
      <c r="A38" s="96"/>
      <c r="B38" s="96"/>
      <c r="C38" s="96"/>
      <c r="D38" s="96"/>
      <c r="E38" s="96"/>
      <c r="F38" s="96"/>
      <c r="G38" s="96"/>
      <c r="H38" s="96"/>
      <c r="I38" s="96"/>
      <c r="J38" s="96"/>
      <c r="K38" s="96"/>
      <c r="L38" s="96"/>
      <c r="M38" s="96"/>
      <c r="N38" s="96"/>
      <c r="O38" s="96"/>
      <c r="P38" s="96"/>
      <c r="Q38" s="96"/>
      <c r="R38" s="96"/>
    </row>
    <row r="39" spans="1:18" x14ac:dyDescent="0.25">
      <c r="A39" s="96"/>
      <c r="B39" s="96"/>
      <c r="C39" s="96"/>
      <c r="D39" s="96"/>
      <c r="E39" s="96"/>
      <c r="F39" s="96"/>
      <c r="G39" s="96"/>
      <c r="H39" s="96"/>
      <c r="I39" s="96"/>
      <c r="J39" s="96"/>
      <c r="K39" s="96"/>
      <c r="L39" s="96"/>
      <c r="M39" s="96"/>
      <c r="N39" s="96"/>
      <c r="O39" s="96"/>
      <c r="P39" s="96"/>
      <c r="Q39" s="96"/>
      <c r="R39" s="96"/>
    </row>
    <row r="40" spans="1:18" x14ac:dyDescent="0.25">
      <c r="A40" s="96"/>
      <c r="B40" s="96"/>
      <c r="C40" s="96"/>
      <c r="D40" s="96"/>
      <c r="E40" s="96"/>
      <c r="F40" s="96"/>
      <c r="G40" s="96"/>
      <c r="H40" s="96"/>
      <c r="I40" s="96"/>
      <c r="J40" s="96"/>
      <c r="K40" s="96"/>
      <c r="L40" s="96"/>
      <c r="M40" s="96"/>
      <c r="N40" s="96"/>
      <c r="O40" s="96"/>
      <c r="P40" s="96"/>
      <c r="Q40" s="96"/>
      <c r="R40" s="96"/>
    </row>
    <row r="41" spans="1:18" x14ac:dyDescent="0.25">
      <c r="A41" s="96"/>
      <c r="B41" s="96"/>
      <c r="C41" s="96"/>
      <c r="D41" s="96"/>
      <c r="E41" s="96"/>
      <c r="F41" s="96"/>
      <c r="G41" s="96"/>
      <c r="H41" s="96"/>
      <c r="I41" s="96"/>
      <c r="J41" s="96"/>
      <c r="K41" s="96"/>
      <c r="L41" s="96"/>
      <c r="M41" s="96"/>
      <c r="N41" s="96"/>
      <c r="O41" s="96"/>
      <c r="P41" s="96"/>
      <c r="Q41" s="96"/>
      <c r="R41" s="96"/>
    </row>
    <row r="42" spans="1:18" x14ac:dyDescent="0.25">
      <c r="A42" s="96"/>
      <c r="B42" s="96"/>
      <c r="C42" s="96"/>
      <c r="D42" s="96"/>
      <c r="E42" s="96"/>
      <c r="F42" s="96"/>
      <c r="G42" s="96"/>
      <c r="H42" s="96"/>
      <c r="I42" s="96"/>
      <c r="J42" s="96"/>
      <c r="K42" s="96"/>
      <c r="L42" s="96"/>
      <c r="M42" s="96"/>
      <c r="N42" s="96"/>
      <c r="O42" s="96"/>
      <c r="P42" s="96"/>
      <c r="Q42" s="96"/>
      <c r="R42" s="96"/>
    </row>
    <row r="43" spans="1:18" x14ac:dyDescent="0.25">
      <c r="A43" s="96"/>
      <c r="B43" s="96"/>
      <c r="C43" s="96"/>
      <c r="D43" s="96"/>
      <c r="E43" s="96"/>
      <c r="F43" s="96"/>
      <c r="G43" s="96"/>
      <c r="H43" s="96"/>
      <c r="I43" s="96"/>
      <c r="J43" s="96"/>
      <c r="K43" s="96"/>
      <c r="L43" s="96"/>
      <c r="M43" s="96"/>
      <c r="N43" s="96"/>
      <c r="O43" s="96"/>
      <c r="P43" s="96"/>
      <c r="Q43" s="96"/>
      <c r="R43" s="96"/>
    </row>
    <row r="44" spans="1:18" x14ac:dyDescent="0.25">
      <c r="A44" s="96"/>
      <c r="B44" s="96"/>
      <c r="C44" s="96"/>
      <c r="D44" s="96"/>
      <c r="E44" s="96"/>
      <c r="F44" s="96"/>
      <c r="G44" s="96"/>
      <c r="H44" s="96"/>
      <c r="I44" s="96"/>
      <c r="J44" s="96"/>
      <c r="K44" s="96"/>
      <c r="L44" s="96"/>
      <c r="M44" s="96"/>
      <c r="N44" s="96"/>
      <c r="O44" s="96"/>
      <c r="P44" s="96"/>
      <c r="Q44" s="96"/>
      <c r="R44" s="96"/>
    </row>
    <row r="45" spans="1:18" x14ac:dyDescent="0.25">
      <c r="A45" s="96"/>
      <c r="B45" s="96"/>
      <c r="C45" s="96"/>
      <c r="D45" s="96"/>
      <c r="E45" s="96"/>
      <c r="F45" s="96"/>
      <c r="G45" s="96"/>
      <c r="H45" s="96"/>
      <c r="I45" s="96"/>
      <c r="J45" s="96"/>
      <c r="K45" s="96"/>
      <c r="L45" s="96"/>
      <c r="M45" s="96"/>
      <c r="N45" s="96"/>
      <c r="O45" s="96"/>
      <c r="P45" s="96"/>
      <c r="Q45" s="96"/>
      <c r="R45" s="96"/>
    </row>
    <row r="46" spans="1:18" ht="58.5" customHeight="1" x14ac:dyDescent="0.3">
      <c r="A46" s="193" t="s">
        <v>536</v>
      </c>
      <c r="B46" s="193"/>
      <c r="C46" s="193"/>
      <c r="D46" s="193"/>
      <c r="E46" s="193"/>
      <c r="F46" s="193"/>
      <c r="G46" s="99"/>
      <c r="H46" s="96"/>
      <c r="I46" s="96"/>
      <c r="J46" s="96"/>
      <c r="K46" s="96"/>
      <c r="L46" s="96"/>
      <c r="M46" s="96"/>
      <c r="N46" s="96"/>
      <c r="O46" s="96"/>
      <c r="P46" s="96"/>
      <c r="Q46" s="96"/>
      <c r="R46" s="96"/>
    </row>
    <row r="47" spans="1:18" x14ac:dyDescent="0.25">
      <c r="A47" s="96"/>
      <c r="B47" s="96"/>
      <c r="C47" s="96"/>
      <c r="D47" s="96"/>
      <c r="E47" s="96"/>
      <c r="F47" s="96"/>
      <c r="G47" s="96"/>
      <c r="H47" s="96"/>
      <c r="I47" s="96"/>
      <c r="J47" s="96"/>
      <c r="K47" s="96"/>
      <c r="L47" s="96"/>
      <c r="M47" s="96"/>
      <c r="N47" s="96"/>
      <c r="O47" s="96"/>
      <c r="P47" s="96"/>
      <c r="Q47" s="96"/>
      <c r="R47" s="96"/>
    </row>
    <row r="48" spans="1:18" x14ac:dyDescent="0.25">
      <c r="A48" s="96" t="s">
        <v>15</v>
      </c>
      <c r="B48" s="96" t="s">
        <v>306</v>
      </c>
      <c r="C48" s="96" t="s">
        <v>10</v>
      </c>
      <c r="D48" s="96"/>
      <c r="E48" s="96"/>
      <c r="F48" s="96"/>
      <c r="G48" s="96"/>
      <c r="H48" s="96"/>
      <c r="I48" s="96"/>
      <c r="J48" s="96"/>
      <c r="K48" s="96"/>
      <c r="L48" s="96"/>
      <c r="M48" s="96"/>
      <c r="N48" s="96"/>
      <c r="O48" s="96"/>
      <c r="P48" s="96"/>
      <c r="Q48" s="96"/>
      <c r="R48" s="96"/>
    </row>
    <row r="49" spans="1:18" x14ac:dyDescent="0.25">
      <c r="A49" s="96">
        <v>0</v>
      </c>
      <c r="B49" s="96">
        <f>('Game Assumptions'!G31)/(10^6)</f>
        <v>1.5625</v>
      </c>
      <c r="C49" s="96">
        <f>('Game Assumptions'!G32)/(10^6)</f>
        <v>1.4750000000000001</v>
      </c>
      <c r="D49" s="96"/>
      <c r="E49" s="96"/>
      <c r="F49" s="96"/>
      <c r="G49" s="96"/>
      <c r="H49" s="96"/>
      <c r="I49" s="96"/>
      <c r="J49" s="96"/>
      <c r="K49" s="96"/>
      <c r="L49" s="96"/>
      <c r="M49" s="96"/>
      <c r="N49" s="96"/>
      <c r="O49" s="96"/>
      <c r="P49" s="96"/>
      <c r="Q49" s="96"/>
      <c r="R49" s="96"/>
    </row>
    <row r="50" spans="1:18" x14ac:dyDescent="0.25">
      <c r="A50" s="96">
        <v>1</v>
      </c>
      <c r="B50" s="107">
        <f>B49*(1-'Game Assumptions'!$B$15)</f>
        <v>1.46875</v>
      </c>
      <c r="C50" s="107">
        <f>C49*(1-'Game Assumptions'!$B$16)</f>
        <v>1.43075</v>
      </c>
      <c r="D50" s="96"/>
      <c r="E50" s="96"/>
      <c r="F50" s="96"/>
      <c r="G50" s="96"/>
      <c r="H50" s="96"/>
      <c r="I50" s="96"/>
      <c r="J50" s="96"/>
      <c r="K50" s="96"/>
      <c r="L50" s="96"/>
      <c r="M50" s="96"/>
      <c r="N50" s="96"/>
      <c r="O50" s="96"/>
      <c r="P50" s="96"/>
      <c r="Q50" s="96"/>
      <c r="R50" s="96"/>
    </row>
    <row r="51" spans="1:18" x14ac:dyDescent="0.25">
      <c r="A51" s="96">
        <v>2</v>
      </c>
      <c r="B51" s="107">
        <f>B50*(1-'Game Assumptions'!$B$15)</f>
        <v>1.380625</v>
      </c>
      <c r="C51" s="107">
        <f>C50*(1-'Game Assumptions'!$B$16)</f>
        <v>1.3878275</v>
      </c>
      <c r="D51" s="96"/>
      <c r="E51" s="96"/>
      <c r="F51" s="96"/>
      <c r="G51" s="96"/>
      <c r="H51" s="96"/>
      <c r="I51" s="96"/>
      <c r="J51" s="96"/>
      <c r="K51" s="96"/>
      <c r="L51" s="96"/>
      <c r="M51" s="96"/>
      <c r="N51" s="96"/>
      <c r="O51" s="96"/>
      <c r="P51" s="96"/>
      <c r="Q51" s="96"/>
      <c r="R51" s="96"/>
    </row>
    <row r="52" spans="1:18" x14ac:dyDescent="0.25">
      <c r="A52" s="96">
        <v>3</v>
      </c>
      <c r="B52" s="107">
        <f>B51*(1-'Game Assumptions'!$B$15)</f>
        <v>1.2977874999999999</v>
      </c>
      <c r="C52" s="107">
        <f>C51*(1-'Game Assumptions'!$B$16)</f>
        <v>1.3461926749999999</v>
      </c>
      <c r="D52" s="96"/>
      <c r="E52" s="96"/>
      <c r="F52" s="96"/>
      <c r="G52" s="96"/>
      <c r="H52" s="96"/>
      <c r="I52" s="96"/>
      <c r="J52" s="96"/>
      <c r="K52" s="96"/>
      <c r="L52" s="96"/>
      <c r="M52" s="96"/>
      <c r="N52" s="96"/>
      <c r="O52" s="96"/>
      <c r="P52" s="96"/>
      <c r="Q52" s="96"/>
      <c r="R52" s="96"/>
    </row>
    <row r="53" spans="1:18" x14ac:dyDescent="0.25">
      <c r="A53" s="96">
        <v>4</v>
      </c>
      <c r="B53" s="107">
        <f>B52*(1-'Game Assumptions'!$B$15)</f>
        <v>1.2199202499999997</v>
      </c>
      <c r="C53" s="107">
        <f>C52*(1-'Game Assumptions'!$B$16)</f>
        <v>1.3058068947499999</v>
      </c>
      <c r="D53" s="96"/>
      <c r="E53" s="96"/>
      <c r="F53" s="96"/>
      <c r="G53" s="96"/>
      <c r="H53" s="96"/>
      <c r="I53" s="96"/>
      <c r="J53" s="96"/>
      <c r="K53" s="96"/>
      <c r="L53" s="96"/>
      <c r="M53" s="96"/>
      <c r="N53" s="96"/>
      <c r="O53" s="96"/>
      <c r="P53" s="96"/>
      <c r="Q53" s="96"/>
      <c r="R53" s="96"/>
    </row>
    <row r="54" spans="1:18" x14ac:dyDescent="0.25">
      <c r="A54" s="96">
        <v>5</v>
      </c>
      <c r="B54" s="107">
        <f>B53*(1-'Game Assumptions'!$B$15)</f>
        <v>1.1467250349999996</v>
      </c>
      <c r="C54" s="107">
        <f>C53*(1-'Game Assumptions'!$B$16)</f>
        <v>1.2666326879074998</v>
      </c>
      <c r="D54" s="96"/>
      <c r="E54" s="96"/>
      <c r="F54" s="96"/>
      <c r="G54" s="96"/>
      <c r="H54" s="96"/>
      <c r="I54" s="96"/>
      <c r="J54" s="96"/>
      <c r="K54" s="96"/>
      <c r="L54" s="96"/>
      <c r="M54" s="96"/>
      <c r="N54" s="96"/>
      <c r="O54" s="96"/>
      <c r="P54" s="96"/>
      <c r="Q54" s="96"/>
      <c r="R54" s="96"/>
    </row>
    <row r="55" spans="1:18" x14ac:dyDescent="0.25">
      <c r="A55" s="96">
        <v>6</v>
      </c>
      <c r="B55" s="107">
        <f>B54*(1-'Game Assumptions'!$B$15)</f>
        <v>1.0779215328999996</v>
      </c>
      <c r="C55" s="107">
        <f>C54*(1-'Game Assumptions'!$B$16)</f>
        <v>1.2286337072702749</v>
      </c>
      <c r="D55" s="96"/>
      <c r="E55" s="96"/>
      <c r="F55" s="96"/>
      <c r="G55" s="96"/>
      <c r="H55" s="96"/>
      <c r="I55" s="96"/>
      <c r="J55" s="96"/>
      <c r="K55" s="96"/>
      <c r="L55" s="96"/>
      <c r="M55" s="96"/>
      <c r="N55" s="96"/>
      <c r="O55" s="96"/>
      <c r="P55" s="96"/>
      <c r="Q55" s="96"/>
      <c r="R55" s="96"/>
    </row>
    <row r="56" spans="1:18" x14ac:dyDescent="0.25">
      <c r="A56" s="96">
        <v>7</v>
      </c>
      <c r="B56" s="107">
        <f>B55*(1-'Game Assumptions'!$B$15)</f>
        <v>1.0132462409259995</v>
      </c>
      <c r="C56" s="107">
        <f>C55*(1-'Game Assumptions'!$B$16)</f>
        <v>1.1917746960521667</v>
      </c>
      <c r="D56" s="96"/>
      <c r="E56" s="96"/>
      <c r="F56" s="96"/>
      <c r="G56" s="96"/>
      <c r="H56" s="96"/>
      <c r="I56" s="96"/>
      <c r="J56" s="96"/>
      <c r="K56" s="96"/>
      <c r="L56" s="96"/>
      <c r="M56" s="96"/>
      <c r="N56" s="96"/>
      <c r="O56" s="96"/>
      <c r="P56" s="96"/>
      <c r="Q56" s="96"/>
      <c r="R56" s="96"/>
    </row>
    <row r="57" spans="1:18" x14ac:dyDescent="0.25">
      <c r="A57" s="96">
        <v>8</v>
      </c>
      <c r="B57" s="107">
        <f>B56*(1-'Game Assumptions'!$B$15)</f>
        <v>0.95245146647043943</v>
      </c>
      <c r="C57" s="107">
        <f>C56*(1-'Game Assumptions'!$B$16)</f>
        <v>1.1560214551706016</v>
      </c>
      <c r="D57" s="96"/>
      <c r="E57" s="96"/>
      <c r="F57" s="96"/>
      <c r="G57" s="96"/>
      <c r="H57" s="96"/>
      <c r="I57" s="96"/>
      <c r="J57" s="96"/>
      <c r="K57" s="96"/>
      <c r="L57" s="96"/>
      <c r="M57" s="96"/>
      <c r="N57" s="96"/>
      <c r="O57" s="96"/>
      <c r="P57" s="96"/>
      <c r="Q57" s="96"/>
      <c r="R57" s="96"/>
    </row>
    <row r="58" spans="1:18" x14ac:dyDescent="0.25">
      <c r="A58" s="96">
        <v>9</v>
      </c>
      <c r="B58" s="107">
        <f>B57*(1-'Game Assumptions'!$B$15)</f>
        <v>0.895304378482213</v>
      </c>
      <c r="C58" s="107">
        <f>C57*(1-'Game Assumptions'!$B$16)</f>
        <v>1.1213408115154835</v>
      </c>
      <c r="D58" s="96"/>
      <c r="E58" s="96"/>
      <c r="F58" s="96"/>
      <c r="G58" s="96"/>
      <c r="H58" s="96"/>
      <c r="I58" s="96"/>
      <c r="J58" s="96"/>
      <c r="K58" s="96"/>
      <c r="L58" s="96"/>
      <c r="M58" s="96"/>
      <c r="N58" s="96"/>
      <c r="O58" s="96"/>
      <c r="P58" s="96"/>
      <c r="Q58" s="96"/>
      <c r="R58" s="96"/>
    </row>
    <row r="59" spans="1:18" x14ac:dyDescent="0.25">
      <c r="A59" s="96">
        <v>10</v>
      </c>
      <c r="B59" s="107">
        <f>B58*(1-'Game Assumptions'!$B$15)</f>
        <v>0.84158611577328013</v>
      </c>
      <c r="C59" s="107">
        <f>C58*(1-'Game Assumptions'!$B$16)</f>
        <v>1.0877005871700189</v>
      </c>
      <c r="D59" s="96"/>
      <c r="E59" s="96"/>
      <c r="F59" s="96"/>
      <c r="G59" s="96"/>
      <c r="H59" s="96"/>
      <c r="I59" s="96"/>
      <c r="J59" s="96"/>
      <c r="K59" s="96"/>
      <c r="L59" s="96"/>
      <c r="M59" s="96"/>
      <c r="N59" s="96"/>
      <c r="O59" s="96"/>
      <c r="P59" s="96"/>
      <c r="Q59" s="96"/>
      <c r="R59" s="96"/>
    </row>
    <row r="60" spans="1:18" x14ac:dyDescent="0.25">
      <c r="A60" s="96"/>
      <c r="B60" s="96"/>
      <c r="C60" s="96"/>
      <c r="D60" s="96"/>
      <c r="E60" s="96"/>
      <c r="F60" s="96"/>
      <c r="G60" s="96"/>
      <c r="H60" s="96"/>
      <c r="I60" s="96"/>
      <c r="J60" s="96"/>
      <c r="K60" s="96"/>
      <c r="L60" s="96"/>
      <c r="M60" s="96"/>
      <c r="N60" s="96"/>
      <c r="O60" s="96"/>
      <c r="P60" s="96"/>
      <c r="Q60" s="96"/>
      <c r="R60" s="96"/>
    </row>
    <row r="61" spans="1:18" x14ac:dyDescent="0.25">
      <c r="A61" s="96"/>
      <c r="B61" s="96"/>
      <c r="C61" s="96"/>
      <c r="D61" s="96"/>
      <c r="E61" s="96"/>
      <c r="F61" s="96"/>
      <c r="G61" s="96"/>
      <c r="H61" s="96"/>
      <c r="I61" s="96"/>
      <c r="J61" s="96"/>
      <c r="K61" s="96"/>
      <c r="L61" s="96"/>
      <c r="M61" s="96"/>
      <c r="N61" s="96"/>
      <c r="O61" s="96"/>
      <c r="P61" s="96"/>
      <c r="Q61" s="96"/>
      <c r="R61" s="96"/>
    </row>
    <row r="62" spans="1:18" x14ac:dyDescent="0.25">
      <c r="A62" s="96"/>
      <c r="B62" s="96"/>
      <c r="C62" s="96"/>
      <c r="D62" s="96"/>
      <c r="E62" s="96"/>
      <c r="F62" s="96"/>
      <c r="G62" s="96"/>
      <c r="H62" s="96"/>
      <c r="I62" s="96"/>
      <c r="J62" s="96"/>
      <c r="K62" s="96"/>
      <c r="L62" s="96"/>
      <c r="M62" s="96"/>
      <c r="N62" s="96"/>
      <c r="O62" s="96"/>
      <c r="P62" s="96"/>
      <c r="Q62" s="96"/>
      <c r="R62" s="96"/>
    </row>
    <row r="63" spans="1:18" x14ac:dyDescent="0.25">
      <c r="A63" s="96"/>
      <c r="B63" s="96"/>
      <c r="C63" s="96"/>
      <c r="D63" s="96"/>
      <c r="E63" s="96"/>
      <c r="F63" s="96"/>
      <c r="G63" s="96"/>
      <c r="H63" s="96"/>
      <c r="I63" s="96"/>
      <c r="J63" s="96"/>
      <c r="K63" s="96"/>
      <c r="L63" s="96"/>
      <c r="M63" s="96"/>
      <c r="N63" s="96"/>
      <c r="O63" s="96"/>
      <c r="P63" s="96"/>
      <c r="Q63" s="96"/>
      <c r="R63" s="96"/>
    </row>
    <row r="64" spans="1:18" ht="18.75" customHeight="1" x14ac:dyDescent="0.25">
      <c r="A64" s="193" t="s">
        <v>309</v>
      </c>
      <c r="B64" s="193"/>
      <c r="C64" s="193"/>
      <c r="D64" s="193"/>
      <c r="E64" s="193"/>
      <c r="F64" s="193"/>
      <c r="G64" s="96"/>
      <c r="H64" s="96"/>
      <c r="I64" s="96"/>
      <c r="J64" s="96"/>
      <c r="K64" s="96"/>
      <c r="L64" s="96"/>
      <c r="M64" s="96"/>
      <c r="N64" s="96"/>
      <c r="O64" s="96"/>
      <c r="P64" s="96"/>
      <c r="Q64" s="96"/>
      <c r="R64" s="96"/>
    </row>
    <row r="65" spans="1:18" ht="18.75" customHeight="1" x14ac:dyDescent="0.25">
      <c r="A65" s="193"/>
      <c r="B65" s="193"/>
      <c r="C65" s="193"/>
      <c r="D65" s="193"/>
      <c r="E65" s="193"/>
      <c r="F65" s="193"/>
      <c r="G65" s="96"/>
      <c r="H65" s="96"/>
      <c r="I65" s="96"/>
      <c r="J65" s="96"/>
      <c r="K65" s="96"/>
      <c r="L65" s="96"/>
      <c r="M65" s="96"/>
      <c r="N65" s="96"/>
      <c r="O65" s="96"/>
      <c r="P65" s="96"/>
      <c r="Q65" s="96"/>
      <c r="R65" s="96"/>
    </row>
    <row r="66" spans="1:18" x14ac:dyDescent="0.25">
      <c r="A66" s="96"/>
      <c r="B66" s="96"/>
      <c r="C66" s="96"/>
      <c r="D66" s="96"/>
      <c r="E66" s="96"/>
      <c r="F66" s="96"/>
      <c r="G66" s="96"/>
      <c r="H66" s="96"/>
      <c r="I66" s="96"/>
      <c r="J66" s="96"/>
      <c r="K66" s="96"/>
      <c r="L66" s="96"/>
      <c r="M66" s="96"/>
      <c r="N66" s="96"/>
      <c r="O66" s="96"/>
      <c r="P66" s="96"/>
      <c r="Q66" s="96"/>
      <c r="R66" s="96"/>
    </row>
    <row r="67" spans="1:18" x14ac:dyDescent="0.25">
      <c r="A67" s="96"/>
      <c r="B67" s="96"/>
      <c r="C67" s="96"/>
      <c r="D67" s="96"/>
      <c r="E67" s="96"/>
      <c r="F67" s="96"/>
      <c r="G67" s="96"/>
      <c r="H67" s="96"/>
      <c r="I67" s="96"/>
      <c r="J67" s="96"/>
      <c r="K67" s="96"/>
      <c r="L67" s="96"/>
      <c r="M67" s="96"/>
      <c r="N67" s="96"/>
      <c r="O67" s="96"/>
      <c r="P67" s="96"/>
      <c r="Q67" s="96"/>
      <c r="R67" s="96"/>
    </row>
    <row r="68" spans="1:18" x14ac:dyDescent="0.25">
      <c r="A68" s="96"/>
      <c r="B68" s="96"/>
      <c r="C68" s="96"/>
      <c r="D68" s="96"/>
      <c r="E68" s="96"/>
      <c r="F68" s="96"/>
      <c r="G68" s="96"/>
      <c r="H68" s="96"/>
      <c r="I68" s="96"/>
      <c r="J68" s="96"/>
      <c r="K68" s="96"/>
      <c r="L68" s="96"/>
      <c r="M68" s="96"/>
      <c r="N68" s="96"/>
      <c r="O68" s="96"/>
      <c r="P68" s="96"/>
      <c r="Q68" s="96"/>
      <c r="R68" s="96"/>
    </row>
    <row r="69" spans="1:18" x14ac:dyDescent="0.25">
      <c r="A69" s="96"/>
      <c r="B69" s="96"/>
      <c r="C69" s="96"/>
      <c r="D69" s="96"/>
      <c r="E69" s="96"/>
      <c r="F69" s="96"/>
      <c r="G69" s="96"/>
      <c r="H69" s="96"/>
      <c r="I69" s="96"/>
      <c r="J69" s="96"/>
      <c r="K69" s="96"/>
      <c r="L69" s="96"/>
      <c r="M69" s="96"/>
      <c r="N69" s="96"/>
      <c r="O69" s="96"/>
      <c r="P69" s="96"/>
      <c r="Q69" s="96"/>
      <c r="R69" s="96"/>
    </row>
    <row r="70" spans="1:18" x14ac:dyDescent="0.25">
      <c r="A70" s="96"/>
      <c r="B70" s="96"/>
      <c r="C70" s="96"/>
      <c r="D70" s="96"/>
      <c r="E70" s="96"/>
      <c r="F70" s="96"/>
      <c r="G70" s="96"/>
      <c r="H70" s="96"/>
      <c r="I70" s="96"/>
      <c r="J70" s="96"/>
      <c r="K70" s="96"/>
      <c r="L70" s="96"/>
      <c r="M70" s="96"/>
      <c r="N70" s="96"/>
      <c r="O70" s="96"/>
      <c r="P70" s="96"/>
      <c r="Q70" s="96"/>
      <c r="R70" s="96"/>
    </row>
    <row r="71" spans="1:18" x14ac:dyDescent="0.25">
      <c r="A71" s="96"/>
      <c r="B71" s="96"/>
      <c r="C71" s="96"/>
      <c r="D71" s="96"/>
      <c r="E71" s="96"/>
      <c r="F71" s="96"/>
      <c r="G71" s="96"/>
      <c r="H71" s="96"/>
      <c r="I71" s="96"/>
      <c r="J71" s="96"/>
      <c r="K71" s="96"/>
      <c r="L71" s="96"/>
      <c r="M71" s="96"/>
      <c r="N71" s="96"/>
      <c r="O71" s="96"/>
      <c r="P71" s="96"/>
      <c r="Q71" s="96"/>
      <c r="R71" s="96"/>
    </row>
    <row r="72" spans="1:18" x14ac:dyDescent="0.25">
      <c r="A72" s="96"/>
      <c r="B72" s="96"/>
      <c r="C72" s="96"/>
      <c r="D72" s="96"/>
      <c r="E72" s="96"/>
      <c r="F72" s="96"/>
      <c r="G72" s="96"/>
      <c r="H72" s="96"/>
      <c r="I72" s="96"/>
      <c r="J72" s="96"/>
      <c r="K72" s="96"/>
      <c r="L72" s="96"/>
      <c r="M72" s="96"/>
      <c r="N72" s="96"/>
      <c r="O72" s="96"/>
      <c r="P72" s="96"/>
      <c r="Q72" s="96"/>
      <c r="R72" s="96"/>
    </row>
    <row r="73" spans="1:18" x14ac:dyDescent="0.25">
      <c r="A73" s="96"/>
      <c r="B73" s="96"/>
      <c r="C73" s="96"/>
      <c r="D73" s="96"/>
      <c r="E73" s="96"/>
      <c r="F73" s="96"/>
      <c r="G73" s="96"/>
      <c r="H73" s="96"/>
      <c r="I73" s="96"/>
      <c r="J73" s="96"/>
      <c r="K73" s="96"/>
      <c r="L73" s="96"/>
      <c r="M73" s="96"/>
      <c r="N73" s="96"/>
      <c r="O73" s="96"/>
      <c r="P73" s="96"/>
      <c r="Q73" s="96"/>
      <c r="R73" s="96"/>
    </row>
    <row r="74" spans="1:18" x14ac:dyDescent="0.25">
      <c r="A74" s="96"/>
      <c r="B74" s="96"/>
      <c r="C74" s="96"/>
      <c r="D74" s="96"/>
      <c r="E74" s="96"/>
      <c r="F74" s="96"/>
      <c r="G74" s="96"/>
      <c r="H74" s="96"/>
      <c r="I74" s="96"/>
      <c r="J74" s="96"/>
      <c r="K74" s="96"/>
      <c r="L74" s="96"/>
      <c r="M74" s="96"/>
      <c r="N74" s="96"/>
      <c r="O74" s="96"/>
      <c r="P74" s="96"/>
      <c r="Q74" s="96"/>
      <c r="R74" s="96"/>
    </row>
    <row r="75" spans="1:18" x14ac:dyDescent="0.25">
      <c r="A75" s="96"/>
      <c r="B75" s="96"/>
      <c r="C75" s="96"/>
      <c r="D75" s="96"/>
      <c r="E75" s="96"/>
      <c r="F75" s="96"/>
      <c r="G75" s="96"/>
      <c r="H75" s="96"/>
      <c r="I75" s="96"/>
      <c r="J75" s="96"/>
      <c r="K75" s="96"/>
      <c r="L75" s="96"/>
      <c r="M75" s="96"/>
      <c r="N75" s="96"/>
      <c r="O75" s="96"/>
      <c r="P75" s="96"/>
      <c r="Q75" s="96"/>
      <c r="R75" s="96"/>
    </row>
    <row r="76" spans="1:18" x14ac:dyDescent="0.25">
      <c r="A76" s="96"/>
      <c r="B76" s="96"/>
      <c r="C76" s="96"/>
      <c r="D76" s="96"/>
      <c r="E76" s="96"/>
      <c r="F76" s="96"/>
      <c r="G76" s="96"/>
      <c r="H76" s="96"/>
      <c r="I76" s="96"/>
      <c r="J76" s="96"/>
      <c r="K76" s="96"/>
      <c r="L76" s="96"/>
      <c r="M76" s="96"/>
      <c r="N76" s="96"/>
      <c r="O76" s="96"/>
      <c r="P76" s="96"/>
      <c r="Q76" s="96"/>
      <c r="R76" s="96"/>
    </row>
    <row r="77" spans="1:18" x14ac:dyDescent="0.25">
      <c r="A77" s="96"/>
      <c r="B77" s="96"/>
      <c r="C77" s="96"/>
      <c r="D77" s="96"/>
      <c r="E77" s="96"/>
      <c r="F77" s="96"/>
      <c r="G77" s="96"/>
      <c r="H77" s="96"/>
      <c r="I77" s="96"/>
      <c r="J77" s="96"/>
      <c r="K77" s="96"/>
      <c r="L77" s="96"/>
      <c r="M77" s="96"/>
      <c r="N77" s="96"/>
      <c r="O77" s="96"/>
      <c r="P77" s="96"/>
      <c r="Q77" s="96"/>
      <c r="R77" s="96"/>
    </row>
    <row r="78" spans="1:18" x14ac:dyDescent="0.25">
      <c r="A78" s="96"/>
      <c r="B78" s="96"/>
      <c r="C78" s="96"/>
      <c r="D78" s="96"/>
      <c r="E78" s="96"/>
      <c r="F78" s="96"/>
      <c r="G78" s="96"/>
      <c r="H78" s="96"/>
      <c r="I78" s="96"/>
      <c r="J78" s="96"/>
      <c r="K78" s="96"/>
      <c r="L78" s="96"/>
      <c r="M78" s="96"/>
      <c r="N78" s="96"/>
      <c r="O78" s="96"/>
      <c r="P78" s="96"/>
      <c r="Q78" s="96"/>
      <c r="R78" s="96"/>
    </row>
    <row r="79" spans="1:18" x14ac:dyDescent="0.25">
      <c r="A79" s="96"/>
      <c r="B79" s="96"/>
      <c r="C79" s="96"/>
      <c r="D79" s="96"/>
      <c r="E79" s="96"/>
      <c r="F79" s="96"/>
      <c r="G79" s="96"/>
      <c r="H79" s="96"/>
      <c r="I79" s="96"/>
      <c r="J79" s="96"/>
      <c r="K79" s="96"/>
      <c r="L79" s="96"/>
      <c r="M79" s="96"/>
      <c r="N79" s="96"/>
      <c r="O79" s="96"/>
      <c r="P79" s="96"/>
      <c r="Q79" s="96"/>
      <c r="R79" s="96"/>
    </row>
    <row r="80" spans="1:18" x14ac:dyDescent="0.25">
      <c r="A80" s="96"/>
      <c r="B80" s="96"/>
      <c r="C80" s="96"/>
      <c r="D80" s="96"/>
      <c r="E80" s="96"/>
      <c r="F80" s="96"/>
      <c r="G80" s="96"/>
      <c r="H80" s="96"/>
      <c r="I80" s="96"/>
      <c r="J80" s="96"/>
      <c r="K80" s="96"/>
      <c r="L80" s="96"/>
      <c r="M80" s="96"/>
      <c r="N80" s="96"/>
      <c r="O80" s="96"/>
      <c r="P80" s="96"/>
      <c r="Q80" s="96"/>
      <c r="R80" s="96"/>
    </row>
    <row r="81" spans="1:18" x14ac:dyDescent="0.25">
      <c r="A81" s="96"/>
      <c r="B81" s="96"/>
      <c r="C81" s="96"/>
      <c r="D81" s="96"/>
      <c r="E81" s="96"/>
      <c r="F81" s="96"/>
      <c r="G81" s="96"/>
      <c r="H81" s="96"/>
      <c r="I81" s="96"/>
      <c r="J81" s="96"/>
      <c r="K81" s="96"/>
      <c r="L81" s="96"/>
      <c r="M81" s="96"/>
      <c r="N81" s="96"/>
      <c r="O81" s="96"/>
      <c r="P81" s="96"/>
      <c r="Q81" s="96"/>
      <c r="R81" s="96"/>
    </row>
    <row r="82" spans="1:18" x14ac:dyDescent="0.25">
      <c r="A82" s="96"/>
      <c r="B82" s="96"/>
      <c r="C82" s="96"/>
      <c r="D82" s="96"/>
      <c r="E82" s="96"/>
      <c r="F82" s="96"/>
      <c r="G82" s="96"/>
      <c r="H82" s="96"/>
      <c r="I82" s="96"/>
      <c r="J82" s="96"/>
      <c r="K82" s="96"/>
      <c r="L82" s="96"/>
      <c r="M82" s="96"/>
      <c r="N82" s="96"/>
      <c r="O82" s="96"/>
      <c r="P82" s="96"/>
      <c r="Q82" s="96"/>
      <c r="R82" s="96"/>
    </row>
    <row r="83" spans="1:18" x14ac:dyDescent="0.25">
      <c r="A83" s="96"/>
      <c r="B83" s="96"/>
      <c r="C83" s="96"/>
      <c r="D83" s="96"/>
      <c r="E83" s="96"/>
      <c r="F83" s="96"/>
      <c r="G83" s="96"/>
      <c r="H83" s="96"/>
      <c r="I83" s="96"/>
      <c r="J83" s="96"/>
      <c r="K83" s="96"/>
      <c r="L83" s="96"/>
      <c r="M83" s="96"/>
      <c r="N83" s="96"/>
      <c r="O83" s="96"/>
      <c r="P83" s="96"/>
      <c r="Q83" s="96"/>
      <c r="R83" s="96"/>
    </row>
    <row r="84" spans="1:18" x14ac:dyDescent="0.25">
      <c r="A84" s="96"/>
      <c r="B84" s="96"/>
      <c r="C84" s="96"/>
      <c r="D84" s="96"/>
      <c r="E84" s="96"/>
      <c r="F84" s="96"/>
      <c r="G84" s="96"/>
      <c r="H84" s="96"/>
      <c r="I84" s="96"/>
      <c r="J84" s="96"/>
      <c r="K84" s="96"/>
      <c r="L84" s="96"/>
      <c r="M84" s="96"/>
      <c r="N84" s="96"/>
      <c r="O84" s="96"/>
      <c r="P84" s="96"/>
      <c r="Q84" s="96"/>
      <c r="R84" s="96"/>
    </row>
    <row r="85" spans="1:18" x14ac:dyDescent="0.25">
      <c r="A85" s="96"/>
      <c r="B85" s="96"/>
      <c r="C85" s="96"/>
      <c r="D85" s="96"/>
      <c r="E85" s="96"/>
      <c r="F85" s="96"/>
      <c r="G85" s="96"/>
      <c r="H85" s="96"/>
      <c r="I85" s="96"/>
      <c r="J85" s="96"/>
      <c r="K85" s="96"/>
      <c r="L85" s="96"/>
      <c r="M85" s="96"/>
      <c r="N85" s="96"/>
      <c r="O85" s="96"/>
      <c r="P85" s="96"/>
      <c r="Q85" s="96"/>
      <c r="R85" s="96"/>
    </row>
    <row r="86" spans="1:18" x14ac:dyDescent="0.25">
      <c r="A86" s="96"/>
      <c r="B86" s="96"/>
      <c r="C86" s="96"/>
      <c r="D86" s="96"/>
      <c r="E86" s="96"/>
      <c r="F86" s="96"/>
      <c r="G86" s="96"/>
      <c r="H86" s="96"/>
      <c r="I86" s="96"/>
      <c r="J86" s="96"/>
      <c r="K86" s="96"/>
      <c r="L86" s="96"/>
      <c r="M86" s="96"/>
      <c r="N86" s="96"/>
      <c r="O86" s="96"/>
      <c r="P86" s="96"/>
      <c r="Q86" s="96"/>
      <c r="R86" s="96"/>
    </row>
    <row r="87" spans="1:18" x14ac:dyDescent="0.25">
      <c r="A87" s="96"/>
      <c r="B87" s="96"/>
      <c r="C87" s="96"/>
      <c r="D87" s="96"/>
      <c r="E87" s="96"/>
      <c r="F87" s="96"/>
      <c r="G87" s="96"/>
      <c r="H87" s="96"/>
      <c r="I87" s="96"/>
      <c r="J87" s="96"/>
      <c r="K87" s="96"/>
      <c r="L87" s="96"/>
      <c r="M87" s="96"/>
      <c r="N87" s="96"/>
      <c r="O87" s="96"/>
      <c r="P87" s="96"/>
      <c r="Q87" s="96"/>
      <c r="R87" s="96"/>
    </row>
    <row r="88" spans="1:18" x14ac:dyDescent="0.25">
      <c r="A88" s="96"/>
      <c r="B88" s="96"/>
      <c r="C88" s="96"/>
      <c r="D88" s="96"/>
      <c r="E88" s="96"/>
      <c r="F88" s="96"/>
      <c r="G88" s="96"/>
      <c r="H88" s="96"/>
      <c r="I88" s="96"/>
      <c r="J88" s="96"/>
      <c r="K88" s="96"/>
      <c r="L88" s="96"/>
      <c r="M88" s="96"/>
      <c r="N88" s="96"/>
      <c r="O88" s="96"/>
      <c r="P88" s="96"/>
      <c r="Q88" s="96"/>
      <c r="R88" s="96"/>
    </row>
    <row r="89" spans="1:18" x14ac:dyDescent="0.25">
      <c r="A89" s="96"/>
      <c r="B89" s="96"/>
      <c r="C89" s="96"/>
      <c r="D89" s="96"/>
      <c r="E89" s="96"/>
      <c r="F89" s="96"/>
      <c r="G89" s="96"/>
      <c r="H89" s="96"/>
      <c r="I89" s="96"/>
      <c r="J89" s="96"/>
      <c r="K89" s="96"/>
      <c r="L89" s="96"/>
      <c r="M89" s="96"/>
      <c r="N89" s="96"/>
      <c r="O89" s="96"/>
      <c r="P89" s="96"/>
      <c r="Q89" s="96"/>
      <c r="R89" s="96"/>
    </row>
    <row r="90" spans="1:18" x14ac:dyDescent="0.25">
      <c r="A90" s="96"/>
      <c r="B90" s="96"/>
      <c r="C90" s="96"/>
      <c r="D90" s="96"/>
      <c r="E90" s="96"/>
      <c r="F90" s="96"/>
      <c r="G90" s="96"/>
      <c r="H90" s="96"/>
      <c r="I90" s="96"/>
      <c r="J90" s="96"/>
      <c r="K90" s="96"/>
      <c r="L90" s="96"/>
      <c r="M90" s="96"/>
      <c r="N90" s="96"/>
      <c r="O90" s="96"/>
      <c r="P90" s="96"/>
      <c r="Q90" s="96"/>
      <c r="R90" s="96"/>
    </row>
    <row r="91" spans="1:18" x14ac:dyDescent="0.25">
      <c r="A91" s="96"/>
      <c r="B91" s="96"/>
      <c r="C91" s="96"/>
      <c r="D91" s="96"/>
      <c r="E91" s="96"/>
      <c r="F91" s="96"/>
      <c r="G91" s="96"/>
      <c r="H91" s="96"/>
      <c r="I91" s="96"/>
      <c r="J91" s="96"/>
      <c r="K91" s="96"/>
      <c r="L91" s="96"/>
      <c r="M91" s="96"/>
      <c r="N91" s="96"/>
      <c r="O91" s="96"/>
      <c r="P91" s="96"/>
      <c r="Q91" s="96"/>
      <c r="R91" s="96"/>
    </row>
    <row r="92" spans="1:18" x14ac:dyDescent="0.25">
      <c r="A92" s="96"/>
      <c r="B92" s="96"/>
      <c r="C92" s="96"/>
      <c r="D92" s="96"/>
      <c r="E92" s="96"/>
      <c r="F92" s="96"/>
      <c r="G92" s="96"/>
      <c r="H92" s="96"/>
      <c r="I92" s="96"/>
      <c r="J92" s="96"/>
      <c r="K92" s="96"/>
      <c r="L92" s="96"/>
      <c r="M92" s="96"/>
      <c r="N92" s="96"/>
      <c r="O92" s="96"/>
      <c r="P92" s="96"/>
      <c r="Q92" s="96"/>
      <c r="R92" s="96"/>
    </row>
    <row r="93" spans="1:18" x14ac:dyDescent="0.25">
      <c r="A93" s="96"/>
      <c r="B93" s="96"/>
      <c r="C93" s="96"/>
      <c r="D93" s="96"/>
      <c r="E93" s="96"/>
      <c r="F93" s="96"/>
      <c r="G93" s="96"/>
      <c r="H93" s="96"/>
      <c r="I93" s="96"/>
      <c r="J93" s="96"/>
      <c r="K93" s="96"/>
      <c r="L93" s="96"/>
      <c r="M93" s="96"/>
      <c r="N93" s="96"/>
      <c r="O93" s="96"/>
      <c r="P93" s="96"/>
      <c r="Q93" s="96"/>
      <c r="R93" s="96"/>
    </row>
    <row r="94" spans="1:18" x14ac:dyDescent="0.25">
      <c r="A94" s="96"/>
      <c r="B94" s="96"/>
      <c r="C94" s="96"/>
      <c r="D94" s="96"/>
      <c r="E94" s="96"/>
      <c r="F94" s="96"/>
      <c r="G94" s="96"/>
      <c r="H94" s="96"/>
      <c r="I94" s="96"/>
      <c r="J94" s="96"/>
      <c r="K94" s="96"/>
      <c r="L94" s="96"/>
      <c r="M94" s="96"/>
      <c r="N94" s="96"/>
      <c r="O94" s="96"/>
      <c r="P94" s="96"/>
      <c r="Q94" s="96"/>
      <c r="R94" s="96"/>
    </row>
    <row r="95" spans="1:18" x14ac:dyDescent="0.25">
      <c r="A95" s="96"/>
      <c r="B95" s="96"/>
      <c r="C95" s="96"/>
      <c r="D95" s="96"/>
      <c r="E95" s="96"/>
      <c r="F95" s="96"/>
      <c r="G95" s="96"/>
      <c r="H95" s="96"/>
      <c r="I95" s="96"/>
      <c r="J95" s="96"/>
      <c r="K95" s="96"/>
      <c r="L95" s="96"/>
      <c r="M95" s="96"/>
      <c r="N95" s="96"/>
      <c r="O95" s="96"/>
      <c r="P95" s="96"/>
      <c r="Q95" s="96"/>
      <c r="R95" s="96"/>
    </row>
    <row r="96" spans="1:18" x14ac:dyDescent="0.25">
      <c r="A96" s="96"/>
      <c r="B96" s="96"/>
      <c r="C96" s="96"/>
      <c r="D96" s="96"/>
      <c r="E96" s="96"/>
      <c r="F96" s="96"/>
      <c r="G96" s="96"/>
      <c r="H96" s="96"/>
      <c r="I96" s="96"/>
      <c r="J96" s="96"/>
      <c r="K96" s="96"/>
      <c r="L96" s="96"/>
      <c r="M96" s="96"/>
      <c r="N96" s="96"/>
      <c r="O96" s="96"/>
      <c r="P96" s="96"/>
      <c r="Q96" s="96"/>
      <c r="R96" s="96"/>
    </row>
    <row r="97" spans="1:18" x14ac:dyDescent="0.25">
      <c r="A97" s="96"/>
      <c r="B97" s="96"/>
      <c r="C97" s="96"/>
      <c r="D97" s="96"/>
      <c r="E97" s="96"/>
      <c r="F97" s="96"/>
      <c r="G97" s="96"/>
      <c r="H97" s="96"/>
      <c r="I97" s="96"/>
      <c r="J97" s="96"/>
      <c r="K97" s="96"/>
      <c r="L97" s="96"/>
      <c r="M97" s="96"/>
      <c r="N97" s="96"/>
      <c r="O97" s="96"/>
      <c r="P97" s="96"/>
      <c r="Q97" s="96"/>
      <c r="R97" s="96"/>
    </row>
    <row r="98" spans="1:18" x14ac:dyDescent="0.25">
      <c r="A98" s="96"/>
      <c r="B98" s="96"/>
      <c r="C98" s="96"/>
      <c r="D98" s="96"/>
      <c r="E98" s="96"/>
      <c r="F98" s="96"/>
      <c r="G98" s="96"/>
      <c r="H98" s="96"/>
      <c r="I98" s="96"/>
      <c r="J98" s="96"/>
      <c r="K98" s="96"/>
      <c r="L98" s="96"/>
      <c r="M98" s="96"/>
      <c r="N98" s="96"/>
      <c r="O98" s="96"/>
      <c r="P98" s="96"/>
      <c r="Q98" s="96"/>
      <c r="R98" s="96"/>
    </row>
    <row r="99" spans="1:18" x14ac:dyDescent="0.25">
      <c r="A99" s="96"/>
      <c r="B99" s="96"/>
      <c r="C99" s="96"/>
      <c r="D99" s="96"/>
      <c r="E99" s="96"/>
      <c r="F99" s="96"/>
      <c r="G99" s="96"/>
      <c r="H99" s="96"/>
      <c r="I99" s="96"/>
      <c r="J99" s="96"/>
      <c r="K99" s="96"/>
      <c r="L99" s="96"/>
      <c r="M99" s="96"/>
      <c r="N99" s="96"/>
      <c r="O99" s="96"/>
      <c r="P99" s="96"/>
      <c r="Q99" s="96"/>
      <c r="R99" s="96"/>
    </row>
    <row r="100" spans="1:18" x14ac:dyDescent="0.25">
      <c r="A100" s="96"/>
      <c r="B100" s="96"/>
      <c r="C100" s="96"/>
      <c r="D100" s="96"/>
      <c r="E100" s="96"/>
      <c r="F100" s="96"/>
      <c r="G100" s="96"/>
      <c r="H100" s="96"/>
      <c r="I100" s="96"/>
      <c r="J100" s="96"/>
      <c r="K100" s="96"/>
      <c r="L100" s="96"/>
      <c r="M100" s="96"/>
      <c r="N100" s="96"/>
      <c r="O100" s="96"/>
      <c r="P100" s="96"/>
      <c r="Q100" s="96"/>
      <c r="R100" s="96"/>
    </row>
    <row r="101" spans="1:18" x14ac:dyDescent="0.25">
      <c r="A101" s="96"/>
      <c r="B101" s="96"/>
      <c r="C101" s="96"/>
      <c r="D101" s="96"/>
      <c r="E101" s="96"/>
      <c r="F101" s="96"/>
      <c r="G101" s="96"/>
      <c r="H101" s="96"/>
      <c r="I101" s="96"/>
      <c r="J101" s="96"/>
      <c r="K101" s="96"/>
      <c r="L101" s="96"/>
      <c r="M101" s="96"/>
      <c r="N101" s="96"/>
      <c r="O101" s="96"/>
      <c r="P101" s="96"/>
      <c r="Q101" s="96"/>
      <c r="R101" s="96"/>
    </row>
    <row r="102" spans="1:18" x14ac:dyDescent="0.25">
      <c r="A102" s="96"/>
      <c r="B102" s="96"/>
      <c r="C102" s="96"/>
      <c r="D102" s="96"/>
      <c r="E102" s="96"/>
      <c r="F102" s="96"/>
      <c r="G102" s="96"/>
      <c r="H102" s="96"/>
      <c r="I102" s="96"/>
      <c r="J102" s="96"/>
      <c r="K102" s="96"/>
      <c r="L102" s="96"/>
      <c r="M102" s="96"/>
      <c r="N102" s="96"/>
      <c r="O102" s="96"/>
      <c r="P102" s="96"/>
      <c r="Q102" s="96"/>
      <c r="R102" s="96"/>
    </row>
    <row r="103" spans="1:18" x14ac:dyDescent="0.25">
      <c r="A103" s="96"/>
      <c r="B103" s="96"/>
      <c r="C103" s="96"/>
      <c r="D103" s="96"/>
      <c r="E103" s="96"/>
      <c r="F103" s="96"/>
      <c r="G103" s="96"/>
      <c r="H103" s="96"/>
      <c r="I103" s="96"/>
      <c r="J103" s="96"/>
      <c r="K103" s="96"/>
      <c r="L103" s="96"/>
      <c r="M103" s="96"/>
      <c r="N103" s="96"/>
      <c r="O103" s="96"/>
      <c r="P103" s="96"/>
      <c r="Q103" s="96"/>
      <c r="R103" s="96"/>
    </row>
    <row r="104" spans="1:18" x14ac:dyDescent="0.25">
      <c r="A104" s="96"/>
      <c r="B104" s="96"/>
      <c r="C104" s="96"/>
      <c r="D104" s="96"/>
      <c r="E104" s="96"/>
      <c r="F104" s="96"/>
      <c r="G104" s="96"/>
      <c r="H104" s="96"/>
      <c r="I104" s="96"/>
      <c r="J104" s="96"/>
      <c r="K104" s="96"/>
      <c r="L104" s="96"/>
      <c r="M104" s="96"/>
      <c r="N104" s="96"/>
      <c r="O104" s="96"/>
      <c r="P104" s="96"/>
      <c r="Q104" s="96"/>
      <c r="R104" s="96"/>
    </row>
    <row r="105" spans="1:18" x14ac:dyDescent="0.25">
      <c r="A105" s="96"/>
      <c r="B105" s="96"/>
      <c r="C105" s="96"/>
      <c r="D105" s="96"/>
      <c r="E105" s="96"/>
      <c r="F105" s="96"/>
      <c r="G105" s="96"/>
      <c r="H105" s="96"/>
      <c r="I105" s="96"/>
      <c r="J105" s="96"/>
      <c r="K105" s="96"/>
      <c r="L105" s="96"/>
      <c r="M105" s="96"/>
      <c r="N105" s="96"/>
      <c r="O105" s="96"/>
      <c r="P105" s="96"/>
      <c r="Q105" s="96"/>
      <c r="R105" s="96"/>
    </row>
    <row r="106" spans="1:18" x14ac:dyDescent="0.25">
      <c r="A106" s="96"/>
      <c r="B106" s="96"/>
      <c r="C106" s="96"/>
      <c r="D106" s="96"/>
      <c r="E106" s="96"/>
      <c r="F106" s="96"/>
      <c r="G106" s="96"/>
      <c r="H106" s="96"/>
      <c r="I106" s="96"/>
      <c r="J106" s="96"/>
      <c r="K106" s="96"/>
      <c r="L106" s="96"/>
      <c r="M106" s="96"/>
      <c r="N106" s="96"/>
      <c r="O106" s="96"/>
      <c r="P106" s="96"/>
      <c r="Q106" s="96"/>
      <c r="R106" s="96"/>
    </row>
    <row r="107" spans="1:18" x14ac:dyDescent="0.25">
      <c r="A107" s="96"/>
      <c r="B107" s="96"/>
      <c r="C107" s="96"/>
      <c r="D107" s="96"/>
      <c r="E107" s="96"/>
      <c r="F107" s="96"/>
      <c r="G107" s="96"/>
      <c r="H107" s="96"/>
      <c r="I107" s="96"/>
      <c r="J107" s="96"/>
      <c r="K107" s="96"/>
      <c r="L107" s="96"/>
      <c r="M107" s="96"/>
      <c r="N107" s="96"/>
      <c r="O107" s="96"/>
      <c r="P107" s="96"/>
      <c r="Q107" s="96"/>
      <c r="R107" s="96"/>
    </row>
    <row r="108" spans="1:18" x14ac:dyDescent="0.25">
      <c r="A108" s="96"/>
      <c r="B108" s="96"/>
      <c r="C108" s="96"/>
      <c r="D108" s="96"/>
      <c r="E108" s="96"/>
      <c r="F108" s="96"/>
      <c r="G108" s="96"/>
      <c r="H108" s="96"/>
      <c r="I108" s="96"/>
      <c r="J108" s="96"/>
      <c r="K108" s="96"/>
      <c r="L108" s="96"/>
      <c r="M108" s="96"/>
      <c r="N108" s="96"/>
      <c r="O108" s="96"/>
      <c r="P108" s="96"/>
      <c r="Q108" s="96"/>
      <c r="R108" s="96"/>
    </row>
    <row r="109" spans="1:18" x14ac:dyDescent="0.25">
      <c r="A109" s="96"/>
      <c r="B109" s="96"/>
      <c r="C109" s="96"/>
      <c r="D109" s="96"/>
      <c r="E109" s="96"/>
      <c r="F109" s="96"/>
      <c r="G109" s="96"/>
      <c r="H109" s="96"/>
      <c r="I109" s="96"/>
      <c r="J109" s="96"/>
      <c r="K109" s="96"/>
      <c r="L109" s="96"/>
      <c r="M109" s="96"/>
      <c r="N109" s="96"/>
      <c r="O109" s="96"/>
      <c r="P109" s="96"/>
      <c r="Q109" s="96"/>
      <c r="R109" s="96"/>
    </row>
    <row r="110" spans="1:18" x14ac:dyDescent="0.25">
      <c r="A110" s="96"/>
      <c r="B110" s="96"/>
      <c r="C110" s="96"/>
      <c r="D110" s="96"/>
      <c r="E110" s="96"/>
      <c r="F110" s="96"/>
      <c r="G110" s="96"/>
      <c r="H110" s="96"/>
      <c r="I110" s="96"/>
      <c r="J110" s="96"/>
      <c r="K110" s="96"/>
      <c r="L110" s="96"/>
      <c r="M110" s="96"/>
      <c r="N110" s="96"/>
      <c r="O110" s="96"/>
      <c r="P110" s="96"/>
      <c r="Q110" s="96"/>
      <c r="R110" s="96"/>
    </row>
    <row r="111" spans="1:18" x14ac:dyDescent="0.25">
      <c r="A111" s="96"/>
      <c r="B111" s="96"/>
      <c r="C111" s="96"/>
      <c r="D111" s="96"/>
      <c r="E111" s="96"/>
      <c r="F111" s="96"/>
      <c r="G111" s="96"/>
      <c r="H111" s="96"/>
      <c r="I111" s="96"/>
      <c r="J111" s="96"/>
      <c r="K111" s="96"/>
      <c r="L111" s="96"/>
      <c r="M111" s="96"/>
      <c r="N111" s="96"/>
      <c r="O111" s="96"/>
      <c r="P111" s="96"/>
      <c r="Q111" s="96"/>
      <c r="R111" s="96"/>
    </row>
    <row r="112" spans="1:18" x14ac:dyDescent="0.25">
      <c r="A112" s="96"/>
      <c r="B112" s="96"/>
      <c r="C112" s="96"/>
      <c r="D112" s="96"/>
      <c r="E112" s="96"/>
      <c r="F112" s="96"/>
      <c r="G112" s="96"/>
      <c r="H112" s="96"/>
      <c r="I112" s="96"/>
      <c r="J112" s="96"/>
      <c r="K112" s="96"/>
      <c r="L112" s="96"/>
      <c r="M112" s="96"/>
      <c r="N112" s="96"/>
      <c r="O112" s="96"/>
      <c r="P112" s="96"/>
      <c r="Q112" s="96"/>
      <c r="R112" s="96"/>
    </row>
    <row r="113" spans="1:18" x14ac:dyDescent="0.25">
      <c r="A113" s="96"/>
      <c r="B113" s="96"/>
      <c r="C113" s="96"/>
      <c r="D113" s="96"/>
      <c r="E113" s="96"/>
      <c r="F113" s="96"/>
      <c r="G113" s="96"/>
      <c r="H113" s="96"/>
      <c r="I113" s="96"/>
      <c r="J113" s="96"/>
      <c r="K113" s="96"/>
      <c r="L113" s="96"/>
      <c r="M113" s="96"/>
      <c r="N113" s="96"/>
      <c r="O113" s="96"/>
      <c r="P113" s="96"/>
      <c r="Q113" s="96"/>
      <c r="R113" s="96"/>
    </row>
    <row r="114" spans="1:18" x14ac:dyDescent="0.25">
      <c r="A114" s="96"/>
      <c r="B114" s="96"/>
      <c r="C114" s="96"/>
      <c r="D114" s="96"/>
      <c r="E114" s="96"/>
      <c r="F114" s="96"/>
      <c r="G114" s="96"/>
      <c r="H114" s="96"/>
      <c r="I114" s="96"/>
      <c r="J114" s="96"/>
      <c r="K114" s="96"/>
      <c r="L114" s="96"/>
      <c r="M114" s="96"/>
      <c r="N114" s="96"/>
      <c r="O114" s="96"/>
      <c r="P114" s="96"/>
      <c r="Q114" s="96"/>
      <c r="R114" s="96"/>
    </row>
    <row r="115" spans="1:18" x14ac:dyDescent="0.25">
      <c r="A115" s="96"/>
      <c r="B115" s="96"/>
      <c r="C115" s="96"/>
      <c r="D115" s="96"/>
      <c r="E115" s="96"/>
      <c r="F115" s="96"/>
      <c r="G115" s="96"/>
      <c r="H115" s="96"/>
      <c r="I115" s="96"/>
      <c r="J115" s="96"/>
      <c r="K115" s="96"/>
      <c r="L115" s="96"/>
      <c r="M115" s="96"/>
      <c r="N115" s="96"/>
      <c r="O115" s="96"/>
      <c r="P115" s="96"/>
      <c r="Q115" s="96"/>
      <c r="R115" s="96"/>
    </row>
    <row r="116" spans="1:18" x14ac:dyDescent="0.25">
      <c r="A116" s="96"/>
      <c r="B116" s="96"/>
      <c r="C116" s="96"/>
      <c r="D116" s="96"/>
      <c r="E116" s="96"/>
      <c r="F116" s="96"/>
      <c r="G116" s="96"/>
      <c r="H116" s="96"/>
      <c r="I116" s="96"/>
      <c r="J116" s="96"/>
      <c r="K116" s="96"/>
      <c r="L116" s="96"/>
      <c r="M116" s="96"/>
      <c r="N116" s="96"/>
      <c r="O116" s="96"/>
      <c r="P116" s="96"/>
      <c r="Q116" s="96"/>
      <c r="R116" s="96"/>
    </row>
    <row r="117" spans="1:18" x14ac:dyDescent="0.25">
      <c r="A117" s="96"/>
      <c r="B117" s="96"/>
      <c r="C117" s="96"/>
      <c r="D117" s="96"/>
      <c r="E117" s="96"/>
      <c r="F117" s="96"/>
      <c r="G117" s="96"/>
      <c r="H117" s="96"/>
      <c r="I117" s="96"/>
      <c r="J117" s="96"/>
      <c r="K117" s="96"/>
      <c r="L117" s="96"/>
      <c r="M117" s="96"/>
      <c r="N117" s="96"/>
      <c r="O117" s="96"/>
      <c r="P117" s="96"/>
      <c r="Q117" s="96"/>
      <c r="R117" s="96"/>
    </row>
    <row r="118" spans="1:18" x14ac:dyDescent="0.25">
      <c r="A118" s="96"/>
      <c r="B118" s="96"/>
      <c r="C118" s="96"/>
      <c r="D118" s="96"/>
      <c r="E118" s="96"/>
      <c r="F118" s="96"/>
      <c r="G118" s="96"/>
      <c r="H118" s="96"/>
      <c r="I118" s="96"/>
      <c r="J118" s="96"/>
      <c r="K118" s="96"/>
      <c r="L118" s="96"/>
      <c r="M118" s="96"/>
      <c r="N118" s="96"/>
      <c r="O118" s="96"/>
      <c r="P118" s="96"/>
      <c r="Q118" s="96"/>
      <c r="R118" s="96"/>
    </row>
    <row r="119" spans="1:18" x14ac:dyDescent="0.25">
      <c r="A119" s="96"/>
      <c r="B119" s="96"/>
      <c r="C119" s="96"/>
      <c r="D119" s="96"/>
      <c r="E119" s="96"/>
      <c r="F119" s="96"/>
      <c r="G119" s="96"/>
      <c r="H119" s="96"/>
      <c r="I119" s="96"/>
      <c r="J119" s="96"/>
      <c r="K119" s="96"/>
      <c r="L119" s="96"/>
      <c r="M119" s="96"/>
      <c r="N119" s="96"/>
      <c r="O119" s="96"/>
      <c r="P119" s="96"/>
      <c r="Q119" s="96"/>
      <c r="R119" s="96"/>
    </row>
    <row r="120" spans="1:18" x14ac:dyDescent="0.25">
      <c r="A120" s="96"/>
      <c r="B120" s="96"/>
      <c r="C120" s="96"/>
      <c r="D120" s="96"/>
      <c r="E120" s="96"/>
      <c r="F120" s="96"/>
      <c r="G120" s="96"/>
      <c r="H120" s="96"/>
      <c r="I120" s="96"/>
      <c r="J120" s="96"/>
      <c r="K120" s="96"/>
      <c r="L120" s="96"/>
      <c r="M120" s="96"/>
      <c r="N120" s="96"/>
      <c r="O120" s="96"/>
      <c r="P120" s="96"/>
      <c r="Q120" s="96"/>
      <c r="R120" s="96"/>
    </row>
    <row r="121" spans="1:18" x14ac:dyDescent="0.25">
      <c r="A121" s="96"/>
      <c r="B121" s="96"/>
      <c r="C121" s="96"/>
      <c r="D121" s="96"/>
      <c r="E121" s="96"/>
      <c r="F121" s="96"/>
      <c r="G121" s="96"/>
      <c r="H121" s="96"/>
      <c r="I121" s="96"/>
      <c r="J121" s="96"/>
      <c r="K121" s="96"/>
      <c r="L121" s="96"/>
      <c r="M121" s="96"/>
      <c r="N121" s="96"/>
      <c r="O121" s="96"/>
      <c r="P121" s="96"/>
      <c r="Q121" s="96"/>
      <c r="R121" s="96"/>
    </row>
    <row r="122" spans="1:18" x14ac:dyDescent="0.25">
      <c r="A122" s="96"/>
      <c r="B122" s="96"/>
      <c r="C122" s="96"/>
      <c r="D122" s="96"/>
      <c r="E122" s="96"/>
      <c r="F122" s="96"/>
      <c r="G122" s="96"/>
      <c r="H122" s="96"/>
      <c r="I122" s="96"/>
      <c r="J122" s="96"/>
      <c r="K122" s="96"/>
      <c r="L122" s="96"/>
      <c r="M122" s="96"/>
      <c r="N122" s="96"/>
      <c r="O122" s="96"/>
      <c r="P122" s="96"/>
      <c r="Q122" s="96"/>
      <c r="R122" s="96"/>
    </row>
    <row r="123" spans="1:18" x14ac:dyDescent="0.25">
      <c r="A123" s="96"/>
      <c r="B123" s="96"/>
      <c r="C123" s="96"/>
      <c r="D123" s="96"/>
      <c r="E123" s="96"/>
      <c r="F123" s="96"/>
      <c r="G123" s="96"/>
      <c r="H123" s="96"/>
      <c r="I123" s="96"/>
      <c r="J123" s="96"/>
      <c r="K123" s="96"/>
      <c r="L123" s="96"/>
      <c r="M123" s="96"/>
      <c r="N123" s="96"/>
      <c r="O123" s="96"/>
      <c r="P123" s="96"/>
      <c r="Q123" s="96"/>
      <c r="R123" s="96"/>
    </row>
    <row r="124" spans="1:18" x14ac:dyDescent="0.25">
      <c r="A124" s="96"/>
      <c r="B124" s="96"/>
      <c r="C124" s="96"/>
      <c r="D124" s="96"/>
      <c r="E124" s="96"/>
      <c r="F124" s="96"/>
      <c r="G124" s="96"/>
      <c r="H124" s="96"/>
      <c r="I124" s="96"/>
      <c r="J124" s="96"/>
      <c r="K124" s="96"/>
      <c r="L124" s="96"/>
      <c r="M124" s="96"/>
      <c r="N124" s="96"/>
      <c r="O124" s="96"/>
      <c r="P124" s="96"/>
      <c r="Q124" s="96"/>
      <c r="R124" s="96"/>
    </row>
    <row r="125" spans="1:18" x14ac:dyDescent="0.25">
      <c r="A125" s="96"/>
      <c r="B125" s="96"/>
      <c r="C125" s="96"/>
      <c r="D125" s="96"/>
      <c r="E125" s="96"/>
      <c r="F125" s="96"/>
      <c r="G125" s="96"/>
      <c r="H125" s="96"/>
      <c r="I125" s="96"/>
      <c r="J125" s="96"/>
      <c r="K125" s="96"/>
      <c r="L125" s="96"/>
      <c r="M125" s="96"/>
      <c r="N125" s="96"/>
      <c r="O125" s="96"/>
      <c r="P125" s="96"/>
      <c r="Q125" s="96"/>
      <c r="R125" s="96"/>
    </row>
    <row r="126" spans="1:18" x14ac:dyDescent="0.25">
      <c r="A126" s="96"/>
      <c r="B126" s="96"/>
      <c r="C126" s="96"/>
      <c r="D126" s="96"/>
      <c r="E126" s="96"/>
      <c r="F126" s="96"/>
      <c r="G126" s="96"/>
      <c r="H126" s="96"/>
      <c r="I126" s="96"/>
      <c r="J126" s="96"/>
      <c r="K126" s="96"/>
      <c r="L126" s="96"/>
      <c r="M126" s="96"/>
      <c r="N126" s="96"/>
      <c r="O126" s="96"/>
      <c r="P126" s="96"/>
      <c r="Q126" s="96"/>
      <c r="R126" s="96"/>
    </row>
    <row r="127" spans="1:18" x14ac:dyDescent="0.25">
      <c r="A127" s="96"/>
      <c r="B127" s="96"/>
      <c r="C127" s="96"/>
      <c r="D127" s="96"/>
      <c r="E127" s="96"/>
      <c r="F127" s="96"/>
      <c r="G127" s="96"/>
      <c r="H127" s="96"/>
      <c r="I127" s="96"/>
      <c r="J127" s="96"/>
      <c r="K127" s="96"/>
      <c r="L127" s="96"/>
      <c r="M127" s="96"/>
      <c r="N127" s="96"/>
      <c r="O127" s="96"/>
      <c r="P127" s="96"/>
      <c r="Q127" s="96"/>
      <c r="R127" s="96"/>
    </row>
    <row r="128" spans="1:18" x14ac:dyDescent="0.25">
      <c r="A128" s="96"/>
      <c r="B128" s="96"/>
      <c r="C128" s="96"/>
      <c r="D128" s="96"/>
      <c r="E128" s="96"/>
      <c r="F128" s="96"/>
      <c r="G128" s="96"/>
      <c r="H128" s="96"/>
      <c r="I128" s="96"/>
      <c r="J128" s="96"/>
      <c r="K128" s="96"/>
      <c r="L128" s="96"/>
      <c r="M128" s="96"/>
      <c r="N128" s="96"/>
      <c r="O128" s="96"/>
      <c r="P128" s="96"/>
      <c r="Q128" s="96"/>
      <c r="R128" s="96"/>
    </row>
    <row r="129" spans="1:18" x14ac:dyDescent="0.25">
      <c r="A129" s="96"/>
      <c r="B129" s="96"/>
      <c r="C129" s="96"/>
      <c r="D129" s="96"/>
      <c r="E129" s="96"/>
      <c r="F129" s="96"/>
      <c r="G129" s="96"/>
      <c r="H129" s="96"/>
      <c r="I129" s="96"/>
      <c r="J129" s="96"/>
      <c r="K129" s="96"/>
      <c r="L129" s="96"/>
      <c r="M129" s="96"/>
      <c r="N129" s="96"/>
      <c r="O129" s="96"/>
      <c r="P129" s="96"/>
      <c r="Q129" s="96"/>
      <c r="R129" s="96"/>
    </row>
    <row r="130" spans="1:18" x14ac:dyDescent="0.25">
      <c r="A130" s="96"/>
      <c r="B130" s="96"/>
      <c r="C130" s="96"/>
      <c r="D130" s="96"/>
      <c r="E130" s="96"/>
      <c r="F130" s="96"/>
      <c r="G130" s="96"/>
      <c r="H130" s="96"/>
      <c r="I130" s="96"/>
      <c r="J130" s="96"/>
      <c r="K130" s="96"/>
      <c r="L130" s="96"/>
      <c r="M130" s="96"/>
      <c r="N130" s="96"/>
      <c r="O130" s="96"/>
      <c r="P130" s="96"/>
      <c r="Q130" s="96"/>
      <c r="R130" s="96"/>
    </row>
    <row r="131" spans="1:18" x14ac:dyDescent="0.25">
      <c r="A131" s="96"/>
      <c r="B131" s="96"/>
      <c r="C131" s="96"/>
      <c r="D131" s="96"/>
      <c r="E131" s="96"/>
      <c r="F131" s="96"/>
      <c r="G131" s="96"/>
      <c r="H131" s="96"/>
      <c r="I131" s="96"/>
      <c r="J131" s="96"/>
      <c r="K131" s="96"/>
      <c r="L131" s="96"/>
      <c r="M131" s="96"/>
      <c r="N131" s="96"/>
      <c r="O131" s="96"/>
      <c r="P131" s="96"/>
      <c r="Q131" s="96"/>
      <c r="R131" s="96"/>
    </row>
    <row r="132" spans="1:18" x14ac:dyDescent="0.25">
      <c r="A132" s="96"/>
      <c r="B132" s="96"/>
      <c r="C132" s="96"/>
      <c r="D132" s="96"/>
      <c r="E132" s="96"/>
      <c r="F132" s="96"/>
      <c r="G132" s="96"/>
      <c r="H132" s="96"/>
      <c r="I132" s="96"/>
      <c r="J132" s="96"/>
      <c r="K132" s="96"/>
      <c r="L132" s="96"/>
      <c r="M132" s="96"/>
      <c r="N132" s="96"/>
      <c r="O132" s="96"/>
      <c r="P132" s="96"/>
      <c r="Q132" s="96"/>
      <c r="R132" s="96"/>
    </row>
    <row r="133" spans="1:18" x14ac:dyDescent="0.25">
      <c r="A133" s="96"/>
      <c r="B133" s="96"/>
      <c r="C133" s="96"/>
      <c r="D133" s="96"/>
      <c r="E133" s="96"/>
      <c r="F133" s="96"/>
      <c r="G133" s="96"/>
      <c r="H133" s="96"/>
      <c r="I133" s="96"/>
      <c r="J133" s="96"/>
      <c r="K133" s="96"/>
      <c r="L133" s="96"/>
      <c r="M133" s="96"/>
      <c r="N133" s="96"/>
      <c r="O133" s="96"/>
      <c r="P133" s="96"/>
      <c r="Q133" s="96"/>
      <c r="R133" s="96"/>
    </row>
    <row r="134" spans="1:18" x14ac:dyDescent="0.25">
      <c r="A134" s="96"/>
      <c r="B134" s="96"/>
      <c r="C134" s="96"/>
      <c r="D134" s="96"/>
      <c r="E134" s="96"/>
      <c r="F134" s="96"/>
      <c r="G134" s="96"/>
      <c r="H134" s="96"/>
      <c r="I134" s="96"/>
      <c r="J134" s="96"/>
      <c r="K134" s="96"/>
      <c r="L134" s="96"/>
      <c r="M134" s="96"/>
      <c r="N134" s="96"/>
      <c r="O134" s="96"/>
      <c r="P134" s="96"/>
      <c r="Q134" s="96"/>
      <c r="R134" s="96"/>
    </row>
    <row r="135" spans="1:18" x14ac:dyDescent="0.25">
      <c r="A135" s="96"/>
      <c r="B135" s="96"/>
      <c r="C135" s="96"/>
      <c r="D135" s="96"/>
      <c r="E135" s="96"/>
      <c r="F135" s="96"/>
      <c r="G135" s="96"/>
      <c r="H135" s="96"/>
      <c r="I135" s="96"/>
      <c r="J135" s="96"/>
      <c r="K135" s="96"/>
      <c r="L135" s="96"/>
      <c r="M135" s="96"/>
      <c r="N135" s="96"/>
      <c r="O135" s="96"/>
      <c r="P135" s="96"/>
      <c r="Q135" s="96"/>
      <c r="R135" s="96"/>
    </row>
    <row r="136" spans="1:18" x14ac:dyDescent="0.25">
      <c r="A136" s="96"/>
      <c r="B136" s="96"/>
      <c r="C136" s="96"/>
      <c r="D136" s="96"/>
      <c r="E136" s="96"/>
      <c r="F136" s="96"/>
      <c r="G136" s="96"/>
      <c r="H136" s="96"/>
      <c r="I136" s="96"/>
      <c r="J136" s="96"/>
      <c r="K136" s="96"/>
      <c r="L136" s="96"/>
      <c r="M136" s="96"/>
      <c r="N136" s="96"/>
      <c r="O136" s="96"/>
      <c r="P136" s="96"/>
      <c r="Q136" s="96"/>
      <c r="R136" s="96"/>
    </row>
    <row r="137" spans="1:18" x14ac:dyDescent="0.25">
      <c r="A137" s="96"/>
      <c r="B137" s="96"/>
      <c r="C137" s="96"/>
      <c r="D137" s="96"/>
      <c r="E137" s="96"/>
      <c r="F137" s="96"/>
      <c r="G137" s="96"/>
      <c r="H137" s="96"/>
      <c r="I137" s="96"/>
      <c r="J137" s="96"/>
      <c r="K137" s="96"/>
      <c r="L137" s="96"/>
      <c r="M137" s="96"/>
      <c r="N137" s="96"/>
      <c r="O137" s="96"/>
      <c r="P137" s="96"/>
      <c r="Q137" s="96"/>
      <c r="R137" s="96"/>
    </row>
    <row r="138" spans="1:18" x14ac:dyDescent="0.25">
      <c r="A138" s="96"/>
      <c r="B138" s="96"/>
      <c r="C138" s="96"/>
      <c r="D138" s="96"/>
      <c r="E138" s="96"/>
      <c r="F138" s="96"/>
      <c r="G138" s="96"/>
      <c r="H138" s="96"/>
      <c r="I138" s="96"/>
      <c r="J138" s="96"/>
      <c r="K138" s="96"/>
      <c r="L138" s="96"/>
      <c r="M138" s="96"/>
      <c r="N138" s="96"/>
      <c r="O138" s="96"/>
      <c r="P138" s="96"/>
      <c r="Q138" s="96"/>
      <c r="R138" s="96"/>
    </row>
    <row r="139" spans="1:18" x14ac:dyDescent="0.25">
      <c r="A139" s="96"/>
      <c r="B139" s="96"/>
      <c r="C139" s="96"/>
      <c r="D139" s="96"/>
      <c r="E139" s="96"/>
      <c r="F139" s="96"/>
      <c r="G139" s="96"/>
      <c r="H139" s="96"/>
      <c r="I139" s="96"/>
      <c r="J139" s="96"/>
      <c r="K139" s="96"/>
      <c r="L139" s="96"/>
      <c r="M139" s="96"/>
      <c r="N139" s="96"/>
      <c r="O139" s="96"/>
      <c r="P139" s="96"/>
      <c r="Q139" s="96"/>
      <c r="R139" s="96"/>
    </row>
    <row r="140" spans="1:18" x14ac:dyDescent="0.25">
      <c r="A140" s="96"/>
      <c r="B140" s="96"/>
      <c r="C140" s="96"/>
      <c r="D140" s="96"/>
      <c r="E140" s="96"/>
      <c r="F140" s="96"/>
      <c r="G140" s="96"/>
      <c r="H140" s="96"/>
      <c r="I140" s="96"/>
      <c r="J140" s="96"/>
      <c r="K140" s="96"/>
      <c r="L140" s="96"/>
      <c r="M140" s="96"/>
      <c r="N140" s="96"/>
      <c r="O140" s="96"/>
      <c r="P140" s="96"/>
      <c r="Q140" s="96"/>
      <c r="R140" s="96"/>
    </row>
    <row r="141" spans="1:18" x14ac:dyDescent="0.25">
      <c r="A141" s="96"/>
      <c r="B141" s="96"/>
      <c r="C141" s="96"/>
      <c r="D141" s="96"/>
      <c r="E141" s="96"/>
      <c r="F141" s="96"/>
      <c r="G141" s="96"/>
      <c r="H141" s="96"/>
      <c r="I141" s="96"/>
      <c r="J141" s="96"/>
      <c r="K141" s="96"/>
      <c r="L141" s="96"/>
      <c r="M141" s="96"/>
      <c r="N141" s="96"/>
      <c r="O141" s="96"/>
      <c r="P141" s="96"/>
      <c r="Q141" s="96"/>
      <c r="R141" s="96"/>
    </row>
    <row r="142" spans="1:18" x14ac:dyDescent="0.25">
      <c r="A142" s="96"/>
      <c r="B142" s="96"/>
      <c r="C142" s="96"/>
      <c r="D142" s="96"/>
      <c r="E142" s="96"/>
      <c r="F142" s="96"/>
      <c r="G142" s="96"/>
      <c r="H142" s="96"/>
      <c r="I142" s="96"/>
      <c r="J142" s="96"/>
      <c r="K142" s="96"/>
      <c r="L142" s="96"/>
      <c r="M142" s="96"/>
      <c r="N142" s="96"/>
      <c r="O142" s="96"/>
      <c r="P142" s="96"/>
      <c r="Q142" s="96"/>
      <c r="R142" s="96"/>
    </row>
    <row r="143" spans="1:18" x14ac:dyDescent="0.25">
      <c r="A143" s="96"/>
      <c r="B143" s="96"/>
      <c r="C143" s="96"/>
      <c r="D143" s="96"/>
      <c r="E143" s="96"/>
      <c r="F143" s="96"/>
      <c r="G143" s="96"/>
      <c r="H143" s="96"/>
      <c r="I143" s="96"/>
      <c r="J143" s="96"/>
      <c r="K143" s="96"/>
      <c r="L143" s="96"/>
      <c r="M143" s="96"/>
      <c r="N143" s="96"/>
      <c r="O143" s="96"/>
      <c r="P143" s="96"/>
      <c r="Q143" s="96"/>
      <c r="R143" s="96"/>
    </row>
    <row r="144" spans="1:18" x14ac:dyDescent="0.25">
      <c r="A144" s="96"/>
      <c r="B144" s="96"/>
      <c r="C144" s="96"/>
      <c r="D144" s="96"/>
      <c r="E144" s="96"/>
      <c r="F144" s="96"/>
      <c r="G144" s="96"/>
      <c r="H144" s="96"/>
      <c r="I144" s="96"/>
      <c r="J144" s="96"/>
      <c r="K144" s="96"/>
      <c r="L144" s="96"/>
      <c r="M144" s="96"/>
      <c r="N144" s="96"/>
      <c r="O144" s="96"/>
      <c r="P144" s="96"/>
      <c r="Q144" s="96"/>
      <c r="R144" s="96"/>
    </row>
    <row r="145" spans="1:18" x14ac:dyDescent="0.25">
      <c r="A145" s="96"/>
      <c r="B145" s="96"/>
      <c r="C145" s="96"/>
      <c r="D145" s="96"/>
      <c r="E145" s="96"/>
      <c r="F145" s="96"/>
      <c r="G145" s="96"/>
      <c r="H145" s="96"/>
      <c r="I145" s="96"/>
      <c r="J145" s="96"/>
      <c r="K145" s="96"/>
      <c r="L145" s="96"/>
      <c r="M145" s="96"/>
      <c r="N145" s="96"/>
      <c r="O145" s="96"/>
      <c r="P145" s="96"/>
      <c r="Q145" s="96"/>
      <c r="R145" s="96"/>
    </row>
    <row r="146" spans="1:18" x14ac:dyDescent="0.25">
      <c r="A146" s="96"/>
      <c r="B146" s="96"/>
      <c r="C146" s="96"/>
      <c r="D146" s="96"/>
      <c r="E146" s="96"/>
      <c r="F146" s="96"/>
      <c r="G146" s="96"/>
      <c r="H146" s="96"/>
      <c r="I146" s="96"/>
      <c r="J146" s="96"/>
      <c r="K146" s="96"/>
      <c r="L146" s="96"/>
      <c r="M146" s="96"/>
      <c r="N146" s="96"/>
      <c r="O146" s="96"/>
      <c r="P146" s="96"/>
      <c r="Q146" s="96"/>
      <c r="R146" s="96"/>
    </row>
    <row r="147" spans="1:18" x14ac:dyDescent="0.25">
      <c r="A147" s="96"/>
      <c r="B147" s="96"/>
      <c r="C147" s="96"/>
      <c r="D147" s="96"/>
      <c r="E147" s="96"/>
      <c r="F147" s="96"/>
      <c r="G147" s="96"/>
      <c r="H147" s="96"/>
      <c r="I147" s="96"/>
      <c r="J147" s="96"/>
      <c r="K147" s="96"/>
      <c r="L147" s="96"/>
      <c r="M147" s="96"/>
      <c r="N147" s="96"/>
      <c r="O147" s="96"/>
      <c r="P147" s="96"/>
      <c r="Q147" s="96"/>
      <c r="R147" s="96"/>
    </row>
    <row r="148" spans="1:18" x14ac:dyDescent="0.25">
      <c r="A148" s="96"/>
      <c r="B148" s="96"/>
      <c r="C148" s="96"/>
      <c r="D148" s="96"/>
      <c r="E148" s="96"/>
      <c r="F148" s="96"/>
      <c r="G148" s="96"/>
      <c r="H148" s="96"/>
      <c r="I148" s="96"/>
      <c r="J148" s="96"/>
      <c r="K148" s="96"/>
      <c r="L148" s="96"/>
      <c r="M148" s="96"/>
      <c r="N148" s="96"/>
      <c r="O148" s="96"/>
      <c r="P148" s="96"/>
      <c r="Q148" s="96"/>
      <c r="R148" s="96"/>
    </row>
    <row r="149" spans="1:18" x14ac:dyDescent="0.25">
      <c r="A149" s="96"/>
      <c r="B149" s="96"/>
      <c r="C149" s="96"/>
      <c r="D149" s="96"/>
      <c r="E149" s="96"/>
      <c r="F149" s="96"/>
      <c r="G149" s="96"/>
      <c r="H149" s="96"/>
      <c r="I149" s="96"/>
      <c r="J149" s="96"/>
      <c r="K149" s="96"/>
      <c r="L149" s="96"/>
      <c r="M149" s="96"/>
      <c r="N149" s="96"/>
      <c r="O149" s="96"/>
      <c r="P149" s="96"/>
      <c r="Q149" s="96"/>
      <c r="R149" s="96"/>
    </row>
    <row r="150" spans="1:18" x14ac:dyDescent="0.25">
      <c r="A150" s="96"/>
      <c r="B150" s="96"/>
      <c r="C150" s="96"/>
      <c r="D150" s="96"/>
      <c r="E150" s="96"/>
      <c r="F150" s="96"/>
      <c r="G150" s="96"/>
      <c r="H150" s="96"/>
      <c r="I150" s="96"/>
      <c r="J150" s="96"/>
      <c r="K150" s="96"/>
      <c r="L150" s="96"/>
      <c r="M150" s="96"/>
      <c r="N150" s="96"/>
      <c r="O150" s="96"/>
      <c r="P150" s="96"/>
      <c r="Q150" s="96"/>
      <c r="R150" s="96"/>
    </row>
    <row r="151" spans="1:18" x14ac:dyDescent="0.25">
      <c r="A151" s="96"/>
      <c r="B151" s="96"/>
      <c r="C151" s="96"/>
      <c r="D151" s="96"/>
      <c r="E151" s="96"/>
      <c r="F151" s="96"/>
      <c r="G151" s="96"/>
      <c r="H151" s="96"/>
      <c r="I151" s="96"/>
      <c r="J151" s="96"/>
      <c r="K151" s="96"/>
      <c r="L151" s="96"/>
      <c r="M151" s="96"/>
      <c r="N151" s="96"/>
      <c r="O151" s="96"/>
      <c r="P151" s="96"/>
      <c r="Q151" s="96"/>
      <c r="R151" s="96"/>
    </row>
    <row r="152" spans="1:18" x14ac:dyDescent="0.25">
      <c r="A152" s="96"/>
      <c r="B152" s="96"/>
      <c r="C152" s="96"/>
      <c r="D152" s="96"/>
      <c r="E152" s="96"/>
      <c r="F152" s="96"/>
      <c r="G152" s="96"/>
      <c r="H152" s="96"/>
      <c r="I152" s="96"/>
      <c r="J152" s="96"/>
      <c r="K152" s="96"/>
      <c r="L152" s="96"/>
      <c r="M152" s="96"/>
      <c r="N152" s="96"/>
      <c r="O152" s="96"/>
      <c r="P152" s="96"/>
      <c r="Q152" s="96"/>
      <c r="R152" s="96"/>
    </row>
    <row r="153" spans="1:18" x14ac:dyDescent="0.25">
      <c r="A153" s="96"/>
      <c r="B153" s="96"/>
      <c r="C153" s="96"/>
      <c r="D153" s="96"/>
      <c r="E153" s="96"/>
      <c r="F153" s="96"/>
      <c r="G153" s="96"/>
      <c r="H153" s="96"/>
      <c r="I153" s="96"/>
      <c r="J153" s="96"/>
      <c r="K153" s="96"/>
      <c r="L153" s="96"/>
      <c r="M153" s="96"/>
      <c r="N153" s="96"/>
      <c r="O153" s="96"/>
      <c r="P153" s="96"/>
      <c r="Q153" s="96"/>
      <c r="R153" s="96"/>
    </row>
    <row r="154" spans="1:18" x14ac:dyDescent="0.25">
      <c r="A154" s="96"/>
      <c r="B154" s="96"/>
      <c r="C154" s="96"/>
      <c r="D154" s="96"/>
      <c r="E154" s="96"/>
      <c r="F154" s="96"/>
      <c r="G154" s="96"/>
      <c r="H154" s="96"/>
      <c r="I154" s="96"/>
      <c r="J154" s="96"/>
      <c r="K154" s="96"/>
      <c r="L154" s="96"/>
      <c r="M154" s="96"/>
      <c r="N154" s="96"/>
      <c r="O154" s="96"/>
      <c r="P154" s="96"/>
      <c r="Q154" s="96"/>
      <c r="R154" s="96"/>
    </row>
    <row r="155" spans="1:18" x14ac:dyDescent="0.25">
      <c r="A155" s="96"/>
      <c r="B155" s="96"/>
      <c r="C155" s="96"/>
      <c r="D155" s="96"/>
      <c r="E155" s="96"/>
      <c r="F155" s="96"/>
      <c r="G155" s="96"/>
      <c r="H155" s="96"/>
      <c r="I155" s="96"/>
      <c r="J155" s="96"/>
      <c r="K155" s="96"/>
      <c r="L155" s="96"/>
      <c r="M155" s="96"/>
      <c r="N155" s="96"/>
      <c r="O155" s="96"/>
      <c r="P155" s="96"/>
      <c r="Q155" s="96"/>
      <c r="R155" s="96"/>
    </row>
    <row r="156" spans="1:18" x14ac:dyDescent="0.25">
      <c r="A156" s="96"/>
      <c r="B156" s="96"/>
      <c r="C156" s="96"/>
      <c r="D156" s="96"/>
      <c r="E156" s="96"/>
      <c r="F156" s="96"/>
      <c r="G156" s="96"/>
      <c r="H156" s="96"/>
      <c r="I156" s="96"/>
      <c r="J156" s="96"/>
      <c r="K156" s="96"/>
      <c r="L156" s="96"/>
      <c r="M156" s="96"/>
      <c r="N156" s="96"/>
      <c r="O156" s="96"/>
      <c r="P156" s="96"/>
      <c r="Q156" s="96"/>
      <c r="R156" s="96"/>
    </row>
    <row r="157" spans="1:18" x14ac:dyDescent="0.25">
      <c r="A157" s="96"/>
      <c r="B157" s="96"/>
      <c r="C157" s="96"/>
      <c r="D157" s="96"/>
      <c r="E157" s="96"/>
      <c r="F157" s="96"/>
      <c r="G157" s="96"/>
      <c r="H157" s="96"/>
      <c r="I157" s="96"/>
      <c r="J157" s="96"/>
      <c r="K157" s="96"/>
      <c r="L157" s="96"/>
      <c r="M157" s="96"/>
      <c r="N157" s="96"/>
      <c r="O157" s="96"/>
      <c r="P157" s="96"/>
      <c r="Q157" s="96"/>
      <c r="R157" s="96"/>
    </row>
    <row r="158" spans="1:18" x14ac:dyDescent="0.25">
      <c r="A158" s="96"/>
      <c r="B158" s="96"/>
      <c r="C158" s="96"/>
      <c r="D158" s="96"/>
      <c r="E158" s="96"/>
      <c r="F158" s="96"/>
      <c r="G158" s="96"/>
      <c r="H158" s="96"/>
      <c r="I158" s="96"/>
      <c r="J158" s="96"/>
      <c r="K158" s="96"/>
      <c r="L158" s="96"/>
      <c r="M158" s="96"/>
      <c r="N158" s="96"/>
      <c r="O158" s="96"/>
      <c r="P158" s="96"/>
      <c r="Q158" s="96"/>
      <c r="R158" s="96"/>
    </row>
    <row r="159" spans="1:18" x14ac:dyDescent="0.25">
      <c r="A159" s="96"/>
      <c r="B159" s="96"/>
      <c r="C159" s="96"/>
      <c r="D159" s="96"/>
      <c r="E159" s="96"/>
      <c r="F159" s="96"/>
      <c r="G159" s="96"/>
      <c r="H159" s="96"/>
      <c r="I159" s="96"/>
      <c r="J159" s="96"/>
      <c r="K159" s="96"/>
      <c r="L159" s="96"/>
      <c r="M159" s="96"/>
      <c r="N159" s="96"/>
      <c r="O159" s="96"/>
      <c r="P159" s="96"/>
      <c r="Q159" s="96"/>
      <c r="R159" s="96"/>
    </row>
    <row r="160" spans="1:18" x14ac:dyDescent="0.25">
      <c r="A160" s="96"/>
      <c r="B160" s="96"/>
      <c r="C160" s="96"/>
      <c r="D160" s="96"/>
      <c r="E160" s="96"/>
      <c r="F160" s="96"/>
      <c r="G160" s="96"/>
      <c r="H160" s="96"/>
      <c r="I160" s="96"/>
      <c r="J160" s="96"/>
      <c r="K160" s="96"/>
      <c r="L160" s="96"/>
      <c r="M160" s="96"/>
      <c r="N160" s="96"/>
      <c r="O160" s="96"/>
      <c r="P160" s="96"/>
      <c r="Q160" s="96"/>
      <c r="R160" s="96"/>
    </row>
    <row r="161" spans="1:18" x14ac:dyDescent="0.25">
      <c r="A161" s="96"/>
      <c r="B161" s="96"/>
      <c r="C161" s="96"/>
      <c r="D161" s="96"/>
      <c r="E161" s="96"/>
      <c r="F161" s="96"/>
      <c r="G161" s="96"/>
      <c r="H161" s="96"/>
      <c r="I161" s="96"/>
      <c r="J161" s="96"/>
      <c r="K161" s="96"/>
      <c r="L161" s="96"/>
      <c r="M161" s="96"/>
      <c r="N161" s="96"/>
      <c r="O161" s="96"/>
      <c r="P161" s="96"/>
      <c r="Q161" s="96"/>
      <c r="R161" s="96"/>
    </row>
    <row r="162" spans="1:18" x14ac:dyDescent="0.25">
      <c r="A162" s="96"/>
      <c r="B162" s="96"/>
      <c r="C162" s="96"/>
      <c r="D162" s="96"/>
      <c r="E162" s="96"/>
      <c r="F162" s="96"/>
      <c r="G162" s="96"/>
      <c r="H162" s="96"/>
      <c r="I162" s="96"/>
      <c r="J162" s="96"/>
      <c r="K162" s="96"/>
      <c r="L162" s="96"/>
      <c r="M162" s="96"/>
      <c r="N162" s="96"/>
      <c r="O162" s="96"/>
      <c r="P162" s="96"/>
      <c r="Q162" s="96"/>
      <c r="R162" s="96"/>
    </row>
    <row r="163" spans="1:18" x14ac:dyDescent="0.25">
      <c r="A163" s="96"/>
      <c r="B163" s="96"/>
      <c r="C163" s="96"/>
      <c r="D163" s="96"/>
      <c r="E163" s="96"/>
      <c r="F163" s="96"/>
      <c r="G163" s="96"/>
      <c r="H163" s="96"/>
      <c r="I163" s="96"/>
      <c r="J163" s="96"/>
      <c r="K163" s="96"/>
      <c r="L163" s="96"/>
      <c r="M163" s="96"/>
      <c r="N163" s="96"/>
      <c r="O163" s="96"/>
      <c r="P163" s="96"/>
      <c r="Q163" s="96"/>
      <c r="R163" s="96"/>
    </row>
    <row r="164" spans="1:18" x14ac:dyDescent="0.25">
      <c r="A164" s="96"/>
      <c r="B164" s="96"/>
      <c r="C164" s="96"/>
      <c r="D164" s="96"/>
      <c r="E164" s="96"/>
      <c r="F164" s="96"/>
      <c r="G164" s="96"/>
      <c r="H164" s="96"/>
      <c r="I164" s="96"/>
      <c r="J164" s="96"/>
      <c r="K164" s="96"/>
      <c r="L164" s="96"/>
      <c r="M164" s="96"/>
      <c r="N164" s="96"/>
      <c r="O164" s="96"/>
      <c r="P164" s="96"/>
      <c r="Q164" s="96"/>
      <c r="R164" s="96"/>
    </row>
    <row r="165" spans="1:18" x14ac:dyDescent="0.25">
      <c r="A165" s="96"/>
      <c r="B165" s="96"/>
      <c r="C165" s="96"/>
      <c r="D165" s="96"/>
      <c r="E165" s="96"/>
      <c r="F165" s="96"/>
      <c r="G165" s="96"/>
      <c r="H165" s="96"/>
      <c r="I165" s="96"/>
      <c r="J165" s="96"/>
      <c r="K165" s="96"/>
      <c r="L165" s="96"/>
      <c r="M165" s="96"/>
      <c r="N165" s="96"/>
      <c r="O165" s="96"/>
      <c r="P165" s="96"/>
      <c r="Q165" s="96"/>
      <c r="R165" s="96"/>
    </row>
    <row r="166" spans="1:18" x14ac:dyDescent="0.25">
      <c r="A166" s="96"/>
      <c r="B166" s="96"/>
      <c r="C166" s="96"/>
      <c r="D166" s="96"/>
      <c r="E166" s="96"/>
      <c r="F166" s="96"/>
      <c r="G166" s="96"/>
      <c r="H166" s="96"/>
      <c r="I166" s="96"/>
      <c r="J166" s="96"/>
      <c r="K166" s="96"/>
      <c r="L166" s="96"/>
      <c r="M166" s="96"/>
      <c r="N166" s="96"/>
      <c r="O166" s="96"/>
      <c r="P166" s="96"/>
      <c r="Q166" s="96"/>
      <c r="R166" s="96"/>
    </row>
    <row r="167" spans="1:18" x14ac:dyDescent="0.25">
      <c r="A167" s="96"/>
      <c r="B167" s="96"/>
      <c r="C167" s="96"/>
      <c r="D167" s="96"/>
      <c r="E167" s="96"/>
      <c r="F167" s="96"/>
      <c r="G167" s="96"/>
      <c r="H167" s="96"/>
      <c r="I167" s="96"/>
      <c r="J167" s="96"/>
      <c r="K167" s="96"/>
      <c r="L167" s="96"/>
      <c r="M167" s="96"/>
      <c r="N167" s="96"/>
      <c r="O167" s="96"/>
      <c r="P167" s="96"/>
      <c r="Q167" s="96"/>
      <c r="R167" s="96"/>
    </row>
    <row r="168" spans="1:18" x14ac:dyDescent="0.25">
      <c r="A168" s="96"/>
      <c r="B168" s="96"/>
      <c r="C168" s="96"/>
      <c r="D168" s="96"/>
      <c r="E168" s="96"/>
      <c r="F168" s="96"/>
      <c r="G168" s="96"/>
      <c r="H168" s="96"/>
      <c r="I168" s="96"/>
      <c r="J168" s="96"/>
      <c r="K168" s="96"/>
      <c r="L168" s="96"/>
      <c r="M168" s="96"/>
      <c r="N168" s="96"/>
      <c r="O168" s="96"/>
      <c r="P168" s="96"/>
      <c r="Q168" s="96"/>
      <c r="R168" s="96"/>
    </row>
    <row r="169" spans="1:18" x14ac:dyDescent="0.25">
      <c r="A169" s="96"/>
      <c r="B169" s="96"/>
      <c r="C169" s="96"/>
      <c r="D169" s="96"/>
      <c r="E169" s="96"/>
      <c r="F169" s="96"/>
      <c r="G169" s="96"/>
      <c r="H169" s="96"/>
      <c r="I169" s="96"/>
      <c r="J169" s="96"/>
      <c r="K169" s="96"/>
      <c r="L169" s="96"/>
      <c r="M169" s="96"/>
      <c r="N169" s="96"/>
      <c r="O169" s="96"/>
      <c r="P169" s="96"/>
      <c r="Q169" s="96"/>
      <c r="R169" s="96"/>
    </row>
    <row r="170" spans="1:18" x14ac:dyDescent="0.25">
      <c r="A170" s="96"/>
      <c r="B170" s="96"/>
      <c r="C170" s="96"/>
      <c r="D170" s="96"/>
      <c r="E170" s="96"/>
      <c r="F170" s="96"/>
      <c r="G170" s="96"/>
      <c r="H170" s="96"/>
      <c r="I170" s="96"/>
      <c r="J170" s="96"/>
      <c r="K170" s="96"/>
      <c r="L170" s="96"/>
      <c r="M170" s="96"/>
      <c r="N170" s="96"/>
      <c r="O170" s="96"/>
      <c r="P170" s="96"/>
      <c r="Q170" s="96"/>
      <c r="R170" s="96"/>
    </row>
    <row r="171" spans="1:18" x14ac:dyDescent="0.25">
      <c r="A171" s="96"/>
      <c r="B171" s="96"/>
      <c r="C171" s="96"/>
      <c r="D171" s="96"/>
      <c r="E171" s="96"/>
      <c r="F171" s="96"/>
      <c r="G171" s="96"/>
      <c r="H171" s="96"/>
      <c r="I171" s="96"/>
      <c r="J171" s="96"/>
      <c r="K171" s="96"/>
      <c r="L171" s="96"/>
      <c r="M171" s="96"/>
      <c r="N171" s="96"/>
      <c r="O171" s="96"/>
      <c r="P171" s="96"/>
      <c r="Q171" s="96"/>
      <c r="R171" s="96"/>
    </row>
    <row r="172" spans="1:18" x14ac:dyDescent="0.25">
      <c r="A172" s="96"/>
      <c r="B172" s="96"/>
      <c r="C172" s="96"/>
      <c r="D172" s="96"/>
      <c r="E172" s="96"/>
      <c r="F172" s="96"/>
      <c r="G172" s="96"/>
      <c r="H172" s="96"/>
      <c r="I172" s="96"/>
      <c r="J172" s="96"/>
      <c r="K172" s="96"/>
      <c r="L172" s="96"/>
      <c r="M172" s="96"/>
      <c r="N172" s="96"/>
      <c r="O172" s="96"/>
      <c r="P172" s="96"/>
      <c r="Q172" s="96"/>
      <c r="R172" s="96"/>
    </row>
    <row r="173" spans="1:18" x14ac:dyDescent="0.25">
      <c r="A173" s="96"/>
      <c r="B173" s="96"/>
      <c r="C173" s="96"/>
      <c r="D173" s="96"/>
      <c r="E173" s="96"/>
      <c r="F173" s="96"/>
      <c r="G173" s="96"/>
      <c r="H173" s="96"/>
      <c r="I173" s="96"/>
      <c r="J173" s="96"/>
      <c r="K173" s="96"/>
      <c r="L173" s="96"/>
      <c r="M173" s="96"/>
      <c r="N173" s="96"/>
      <c r="O173" s="96"/>
      <c r="P173" s="96"/>
      <c r="Q173" s="96"/>
      <c r="R173" s="96"/>
    </row>
    <row r="174" spans="1:18" x14ac:dyDescent="0.25">
      <c r="A174" s="96"/>
      <c r="B174" s="96"/>
      <c r="C174" s="96"/>
      <c r="D174" s="96"/>
      <c r="E174" s="96"/>
      <c r="F174" s="96"/>
      <c r="G174" s="96"/>
      <c r="H174" s="96"/>
      <c r="I174" s="96"/>
      <c r="J174" s="96"/>
      <c r="K174" s="96"/>
      <c r="L174" s="96"/>
      <c r="M174" s="96"/>
      <c r="N174" s="96"/>
      <c r="O174" s="96"/>
      <c r="P174" s="96"/>
      <c r="Q174" s="96"/>
      <c r="R174" s="96"/>
    </row>
    <row r="175" spans="1:18" x14ac:dyDescent="0.25">
      <c r="A175" s="96"/>
      <c r="B175" s="96"/>
      <c r="C175" s="96"/>
      <c r="D175" s="96"/>
      <c r="E175" s="96"/>
      <c r="F175" s="96"/>
      <c r="G175" s="96"/>
      <c r="H175" s="96"/>
      <c r="I175" s="96"/>
      <c r="J175" s="96"/>
      <c r="K175" s="96"/>
      <c r="L175" s="96"/>
      <c r="M175" s="96"/>
      <c r="N175" s="96"/>
      <c r="O175" s="96"/>
      <c r="P175" s="96"/>
      <c r="Q175" s="96"/>
      <c r="R175" s="96"/>
    </row>
    <row r="176" spans="1:18" x14ac:dyDescent="0.25">
      <c r="A176" s="96"/>
      <c r="B176" s="96"/>
      <c r="C176" s="96"/>
      <c r="D176" s="96"/>
      <c r="E176" s="96"/>
      <c r="F176" s="96"/>
      <c r="G176" s="96"/>
      <c r="H176" s="96"/>
      <c r="I176" s="96"/>
      <c r="J176" s="96"/>
      <c r="K176" s="96"/>
      <c r="L176" s="96"/>
      <c r="M176" s="96"/>
      <c r="N176" s="96"/>
      <c r="O176" s="96"/>
      <c r="P176" s="96"/>
      <c r="Q176" s="96"/>
      <c r="R176" s="96"/>
    </row>
    <row r="177" spans="1:18" x14ac:dyDescent="0.25">
      <c r="A177" s="96"/>
      <c r="B177" s="96"/>
      <c r="C177" s="96"/>
      <c r="D177" s="96"/>
      <c r="E177" s="96"/>
      <c r="F177" s="96"/>
      <c r="G177" s="96"/>
      <c r="H177" s="96"/>
      <c r="I177" s="96"/>
      <c r="J177" s="96"/>
      <c r="K177" s="96"/>
      <c r="L177" s="96"/>
      <c r="M177" s="96"/>
      <c r="N177" s="96"/>
      <c r="O177" s="96"/>
      <c r="P177" s="96"/>
      <c r="Q177" s="96"/>
      <c r="R177" s="96"/>
    </row>
    <row r="178" spans="1:18" x14ac:dyDescent="0.25">
      <c r="A178" s="96"/>
      <c r="B178" s="96"/>
      <c r="C178" s="96"/>
      <c r="D178" s="96"/>
      <c r="E178" s="96"/>
      <c r="F178" s="96"/>
      <c r="G178" s="96"/>
      <c r="H178" s="96"/>
      <c r="I178" s="96"/>
      <c r="J178" s="96"/>
      <c r="K178" s="96"/>
      <c r="L178" s="96"/>
      <c r="M178" s="96"/>
      <c r="N178" s="96"/>
      <c r="O178" s="96"/>
      <c r="P178" s="96"/>
      <c r="Q178" s="96"/>
      <c r="R178" s="96"/>
    </row>
    <row r="179" spans="1:18" x14ac:dyDescent="0.25">
      <c r="A179" s="96"/>
      <c r="B179" s="96"/>
      <c r="C179" s="96"/>
      <c r="D179" s="96"/>
      <c r="E179" s="96"/>
      <c r="F179" s="96"/>
      <c r="G179" s="96"/>
      <c r="H179" s="96"/>
      <c r="I179" s="96"/>
      <c r="J179" s="96"/>
      <c r="K179" s="96"/>
      <c r="L179" s="96"/>
      <c r="M179" s="96"/>
      <c r="N179" s="96"/>
      <c r="O179" s="96"/>
      <c r="P179" s="96"/>
      <c r="Q179" s="96"/>
      <c r="R179" s="96"/>
    </row>
    <row r="180" spans="1:18" x14ac:dyDescent="0.25">
      <c r="A180" s="96"/>
      <c r="B180" s="96"/>
      <c r="C180" s="96"/>
      <c r="D180" s="96"/>
      <c r="E180" s="96"/>
      <c r="F180" s="96"/>
      <c r="G180" s="96"/>
      <c r="H180" s="96"/>
      <c r="I180" s="96"/>
      <c r="J180" s="96"/>
      <c r="K180" s="96"/>
      <c r="L180" s="96"/>
      <c r="M180" s="96"/>
      <c r="N180" s="96"/>
      <c r="O180" s="96"/>
      <c r="P180" s="96"/>
      <c r="Q180" s="96"/>
      <c r="R180" s="96"/>
    </row>
    <row r="181" spans="1:18" x14ac:dyDescent="0.25">
      <c r="A181" s="96"/>
      <c r="B181" s="96"/>
      <c r="C181" s="96"/>
      <c r="D181" s="96"/>
      <c r="E181" s="96"/>
      <c r="F181" s="96"/>
      <c r="G181" s="96"/>
      <c r="H181" s="96"/>
      <c r="I181" s="96"/>
      <c r="J181" s="96"/>
      <c r="K181" s="96"/>
      <c r="L181" s="96"/>
      <c r="M181" s="96"/>
      <c r="N181" s="96"/>
      <c r="O181" s="96"/>
      <c r="P181" s="96"/>
      <c r="Q181" s="96"/>
      <c r="R181" s="96"/>
    </row>
    <row r="182" spans="1:18" x14ac:dyDescent="0.25">
      <c r="A182" s="96"/>
      <c r="B182" s="96"/>
      <c r="C182" s="96"/>
      <c r="D182" s="96"/>
      <c r="E182" s="96"/>
      <c r="F182" s="96"/>
      <c r="G182" s="96"/>
      <c r="H182" s="96"/>
      <c r="I182" s="96"/>
      <c r="J182" s="96"/>
      <c r="K182" s="96"/>
      <c r="L182" s="96"/>
      <c r="M182" s="96"/>
      <c r="N182" s="96"/>
      <c r="O182" s="96"/>
      <c r="P182" s="96"/>
      <c r="Q182" s="96"/>
      <c r="R182" s="96"/>
    </row>
    <row r="183" spans="1:18" x14ac:dyDescent="0.25">
      <c r="A183" s="96"/>
      <c r="B183" s="96"/>
      <c r="C183" s="96"/>
      <c r="D183" s="96"/>
      <c r="E183" s="96"/>
      <c r="F183" s="96"/>
      <c r="G183" s="96"/>
      <c r="H183" s="96"/>
      <c r="I183" s="96"/>
      <c r="J183" s="96"/>
      <c r="K183" s="96"/>
      <c r="L183" s="96"/>
      <c r="M183" s="96"/>
      <c r="N183" s="96"/>
      <c r="O183" s="96"/>
      <c r="P183" s="96"/>
      <c r="Q183" s="96"/>
      <c r="R183" s="96"/>
    </row>
    <row r="184" spans="1:18" x14ac:dyDescent="0.25">
      <c r="A184" s="96"/>
      <c r="B184" s="96"/>
      <c r="C184" s="96"/>
      <c r="D184" s="96"/>
      <c r="E184" s="96"/>
      <c r="F184" s="96"/>
      <c r="G184" s="96"/>
      <c r="H184" s="96"/>
      <c r="I184" s="96"/>
      <c r="J184" s="96"/>
      <c r="K184" s="96"/>
      <c r="L184" s="96"/>
      <c r="M184" s="96"/>
      <c r="N184" s="96"/>
      <c r="O184" s="96"/>
      <c r="P184" s="96"/>
      <c r="Q184" s="96"/>
      <c r="R184" s="96"/>
    </row>
    <row r="185" spans="1:18" x14ac:dyDescent="0.25">
      <c r="A185" s="96"/>
      <c r="B185" s="96"/>
      <c r="C185" s="96"/>
      <c r="D185" s="96"/>
      <c r="E185" s="96"/>
      <c r="F185" s="96"/>
      <c r="G185" s="96"/>
      <c r="H185" s="96"/>
      <c r="I185" s="96"/>
      <c r="J185" s="96"/>
      <c r="K185" s="96"/>
      <c r="L185" s="96"/>
      <c r="M185" s="96"/>
      <c r="N185" s="96"/>
      <c r="O185" s="96"/>
      <c r="P185" s="96"/>
      <c r="Q185" s="96"/>
      <c r="R185" s="96"/>
    </row>
    <row r="186" spans="1:18" x14ac:dyDescent="0.25">
      <c r="A186" s="96"/>
      <c r="B186" s="96"/>
      <c r="C186" s="96"/>
      <c r="D186" s="96"/>
      <c r="E186" s="96"/>
      <c r="F186" s="96"/>
      <c r="G186" s="96"/>
      <c r="H186" s="96"/>
      <c r="I186" s="96"/>
      <c r="J186" s="96"/>
      <c r="K186" s="96"/>
      <c r="L186" s="96"/>
      <c r="M186" s="96"/>
      <c r="N186" s="96"/>
      <c r="O186" s="96"/>
      <c r="P186" s="96"/>
      <c r="Q186" s="96"/>
      <c r="R186" s="96"/>
    </row>
    <row r="187" spans="1:18" x14ac:dyDescent="0.25">
      <c r="A187" s="96"/>
      <c r="B187" s="96"/>
      <c r="C187" s="96"/>
      <c r="D187" s="96"/>
      <c r="E187" s="96"/>
      <c r="F187" s="96"/>
      <c r="G187" s="96"/>
      <c r="H187" s="96"/>
      <c r="I187" s="96"/>
      <c r="J187" s="96"/>
      <c r="K187" s="96"/>
      <c r="L187" s="96"/>
      <c r="M187" s="96"/>
      <c r="N187" s="96"/>
      <c r="O187" s="96"/>
      <c r="P187" s="96"/>
      <c r="Q187" s="96"/>
      <c r="R187" s="96"/>
    </row>
    <row r="188" spans="1:18" x14ac:dyDescent="0.25">
      <c r="A188" s="96"/>
      <c r="B188" s="96"/>
      <c r="C188" s="96"/>
      <c r="D188" s="96"/>
      <c r="E188" s="96"/>
      <c r="F188" s="96"/>
      <c r="G188" s="96"/>
      <c r="H188" s="96"/>
      <c r="I188" s="96"/>
      <c r="J188" s="96"/>
      <c r="K188" s="96"/>
      <c r="L188" s="96"/>
      <c r="M188" s="96"/>
      <c r="N188" s="96"/>
      <c r="O188" s="96"/>
      <c r="P188" s="96"/>
      <c r="Q188" s="96"/>
      <c r="R188" s="96"/>
    </row>
    <row r="189" spans="1:18" x14ac:dyDescent="0.25">
      <c r="A189" s="96"/>
      <c r="B189" s="96"/>
      <c r="C189" s="96"/>
      <c r="D189" s="96"/>
      <c r="E189" s="96"/>
      <c r="F189" s="96"/>
      <c r="G189" s="96"/>
      <c r="H189" s="96"/>
      <c r="I189" s="96"/>
      <c r="J189" s="96"/>
      <c r="K189" s="96"/>
      <c r="L189" s="96"/>
      <c r="M189" s="96"/>
      <c r="N189" s="96"/>
      <c r="O189" s="96"/>
      <c r="P189" s="96"/>
      <c r="Q189" s="96"/>
      <c r="R189" s="96"/>
    </row>
    <row r="190" spans="1:18" x14ac:dyDescent="0.25">
      <c r="A190" s="96"/>
      <c r="B190" s="96"/>
      <c r="C190" s="96"/>
      <c r="D190" s="96"/>
      <c r="E190" s="96"/>
      <c r="F190" s="96"/>
      <c r="G190" s="96"/>
      <c r="H190" s="96"/>
      <c r="I190" s="96"/>
      <c r="J190" s="96"/>
      <c r="K190" s="96"/>
      <c r="L190" s="96"/>
      <c r="M190" s="96"/>
      <c r="N190" s="96"/>
      <c r="O190" s="96"/>
      <c r="P190" s="96"/>
      <c r="Q190" s="96"/>
      <c r="R190" s="96"/>
    </row>
    <row r="191" spans="1:18" x14ac:dyDescent="0.25">
      <c r="A191" s="96"/>
      <c r="B191" s="96"/>
      <c r="C191" s="96"/>
      <c r="D191" s="96"/>
      <c r="E191" s="96"/>
      <c r="F191" s="96"/>
      <c r="G191" s="96"/>
      <c r="H191" s="96"/>
      <c r="I191" s="96"/>
      <c r="J191" s="96"/>
      <c r="K191" s="96"/>
      <c r="L191" s="96"/>
      <c r="M191" s="96"/>
      <c r="N191" s="96"/>
      <c r="O191" s="96"/>
      <c r="P191" s="96"/>
      <c r="Q191" s="96"/>
      <c r="R191" s="96"/>
    </row>
    <row r="192" spans="1:18" x14ac:dyDescent="0.25">
      <c r="A192" s="96"/>
      <c r="B192" s="96"/>
      <c r="C192" s="96"/>
      <c r="D192" s="96"/>
      <c r="E192" s="96"/>
      <c r="F192" s="96"/>
      <c r="G192" s="96"/>
      <c r="H192" s="96"/>
      <c r="I192" s="96"/>
      <c r="J192" s="96"/>
      <c r="K192" s="96"/>
      <c r="L192" s="96"/>
      <c r="M192" s="96"/>
      <c r="N192" s="96"/>
      <c r="O192" s="96"/>
      <c r="P192" s="96"/>
      <c r="Q192" s="96"/>
      <c r="R192" s="96"/>
    </row>
    <row r="193" spans="1:18" x14ac:dyDescent="0.25">
      <c r="A193" s="96"/>
      <c r="B193" s="96"/>
      <c r="C193" s="96"/>
      <c r="D193" s="96"/>
      <c r="E193" s="96"/>
      <c r="F193" s="96"/>
      <c r="G193" s="96"/>
      <c r="H193" s="96"/>
      <c r="I193" s="96"/>
      <c r="J193" s="96"/>
      <c r="K193" s="96"/>
      <c r="L193" s="96"/>
      <c r="M193" s="96"/>
      <c r="N193" s="96"/>
      <c r="O193" s="96"/>
      <c r="P193" s="96"/>
      <c r="Q193" s="96"/>
      <c r="R193" s="96"/>
    </row>
    <row r="194" spans="1:18" x14ac:dyDescent="0.25">
      <c r="A194" s="96"/>
      <c r="B194" s="96"/>
      <c r="C194" s="96"/>
      <c r="D194" s="96"/>
      <c r="E194" s="96"/>
      <c r="F194" s="96"/>
      <c r="G194" s="96"/>
      <c r="H194" s="96"/>
      <c r="I194" s="96"/>
      <c r="J194" s="96"/>
      <c r="K194" s="96"/>
      <c r="L194" s="96"/>
      <c r="M194" s="96"/>
      <c r="N194" s="96"/>
      <c r="O194" s="96"/>
      <c r="P194" s="96"/>
      <c r="Q194" s="96"/>
      <c r="R194" s="96"/>
    </row>
    <row r="195" spans="1:18" x14ac:dyDescent="0.25">
      <c r="A195" s="96"/>
      <c r="B195" s="96"/>
      <c r="C195" s="96"/>
      <c r="D195" s="96"/>
      <c r="E195" s="96"/>
      <c r="F195" s="96"/>
      <c r="G195" s="96"/>
      <c r="H195" s="96"/>
      <c r="I195" s="96"/>
      <c r="J195" s="96"/>
      <c r="K195" s="96"/>
      <c r="L195" s="96"/>
      <c r="M195" s="96"/>
      <c r="N195" s="96"/>
      <c r="O195" s="96"/>
      <c r="P195" s="96"/>
      <c r="Q195" s="96"/>
      <c r="R195" s="96"/>
    </row>
    <row r="196" spans="1:18" x14ac:dyDescent="0.25">
      <c r="A196" s="96"/>
      <c r="B196" s="96"/>
      <c r="C196" s="96"/>
      <c r="D196" s="96"/>
      <c r="E196" s="96"/>
      <c r="F196" s="96"/>
      <c r="G196" s="96"/>
      <c r="H196" s="96"/>
      <c r="I196" s="96"/>
      <c r="J196" s="96"/>
      <c r="K196" s="96"/>
      <c r="L196" s="96"/>
      <c r="M196" s="96"/>
      <c r="N196" s="96"/>
      <c r="O196" s="96"/>
      <c r="P196" s="96"/>
      <c r="Q196" s="96"/>
      <c r="R196" s="96"/>
    </row>
    <row r="197" spans="1:18" x14ac:dyDescent="0.25">
      <c r="A197" s="96"/>
      <c r="B197" s="96"/>
      <c r="C197" s="96"/>
      <c r="D197" s="96"/>
      <c r="E197" s="96"/>
      <c r="F197" s="96"/>
      <c r="G197" s="96"/>
      <c r="H197" s="96"/>
      <c r="I197" s="96"/>
      <c r="J197" s="96"/>
      <c r="K197" s="96"/>
      <c r="L197" s="96"/>
      <c r="M197" s="96"/>
      <c r="N197" s="96"/>
      <c r="O197" s="96"/>
      <c r="P197" s="96"/>
      <c r="Q197" s="96"/>
      <c r="R197" s="96"/>
    </row>
    <row r="198" spans="1:18" x14ac:dyDescent="0.25">
      <c r="A198" s="96"/>
      <c r="B198" s="96"/>
      <c r="C198" s="96"/>
      <c r="D198" s="96"/>
      <c r="E198" s="96"/>
      <c r="F198" s="96"/>
      <c r="G198" s="96"/>
      <c r="H198" s="96"/>
      <c r="I198" s="96"/>
      <c r="J198" s="96"/>
      <c r="K198" s="96"/>
      <c r="L198" s="96"/>
      <c r="M198" s="96"/>
      <c r="N198" s="96"/>
      <c r="O198" s="96"/>
      <c r="P198" s="96"/>
      <c r="Q198" s="96"/>
      <c r="R198" s="96"/>
    </row>
    <row r="199" spans="1:18" x14ac:dyDescent="0.25">
      <c r="A199" s="96"/>
      <c r="B199" s="96"/>
      <c r="C199" s="96"/>
      <c r="D199" s="96"/>
      <c r="E199" s="96"/>
      <c r="F199" s="96"/>
      <c r="G199" s="96"/>
      <c r="H199" s="96"/>
      <c r="I199" s="96"/>
      <c r="J199" s="96"/>
      <c r="K199" s="96"/>
      <c r="L199" s="96"/>
      <c r="M199" s="96"/>
      <c r="N199" s="96"/>
      <c r="O199" s="96"/>
      <c r="P199" s="96"/>
      <c r="Q199" s="96"/>
      <c r="R199" s="96"/>
    </row>
    <row r="200" spans="1:18" x14ac:dyDescent="0.25">
      <c r="A200" s="96"/>
      <c r="B200" s="96"/>
      <c r="C200" s="96"/>
      <c r="D200" s="96"/>
      <c r="E200" s="96"/>
      <c r="F200" s="96"/>
      <c r="G200" s="96"/>
      <c r="H200" s="96"/>
      <c r="I200" s="96"/>
      <c r="J200" s="96"/>
      <c r="K200" s="96"/>
      <c r="L200" s="96"/>
      <c r="M200" s="96"/>
      <c r="N200" s="96"/>
      <c r="O200" s="96"/>
      <c r="P200" s="96"/>
      <c r="Q200" s="96"/>
      <c r="R200" s="96"/>
    </row>
    <row r="201" spans="1:18" x14ac:dyDescent="0.25">
      <c r="A201" s="96"/>
      <c r="B201" s="96"/>
      <c r="C201" s="96"/>
      <c r="D201" s="96"/>
      <c r="E201" s="96"/>
      <c r="F201" s="96"/>
      <c r="G201" s="96"/>
      <c r="H201" s="96"/>
      <c r="I201" s="96"/>
      <c r="J201" s="96"/>
      <c r="K201" s="96"/>
      <c r="L201" s="96"/>
      <c r="M201" s="96"/>
      <c r="N201" s="96"/>
      <c r="O201" s="96"/>
      <c r="P201" s="96"/>
      <c r="Q201" s="96"/>
      <c r="R201" s="96"/>
    </row>
    <row r="202" spans="1:18" x14ac:dyDescent="0.25">
      <c r="A202" s="96"/>
      <c r="B202" s="96"/>
      <c r="C202" s="96"/>
      <c r="D202" s="96"/>
      <c r="E202" s="96"/>
      <c r="F202" s="96"/>
      <c r="G202" s="96"/>
      <c r="H202" s="96"/>
      <c r="I202" s="96"/>
      <c r="J202" s="96"/>
      <c r="K202" s="96"/>
      <c r="L202" s="96"/>
      <c r="M202" s="96"/>
      <c r="N202" s="96"/>
      <c r="O202" s="96"/>
      <c r="P202" s="96"/>
      <c r="Q202" s="96"/>
      <c r="R202" s="96"/>
    </row>
    <row r="203" spans="1:18" x14ac:dyDescent="0.25">
      <c r="A203" s="96"/>
      <c r="B203" s="96"/>
      <c r="C203" s="96"/>
      <c r="D203" s="96"/>
      <c r="E203" s="96"/>
      <c r="F203" s="96"/>
      <c r="G203" s="96"/>
      <c r="H203" s="96"/>
      <c r="I203" s="96"/>
      <c r="J203" s="96"/>
      <c r="K203" s="96"/>
      <c r="L203" s="96"/>
      <c r="M203" s="96"/>
      <c r="N203" s="96"/>
      <c r="O203" s="96"/>
      <c r="P203" s="96"/>
      <c r="Q203" s="96"/>
      <c r="R203" s="96"/>
    </row>
    <row r="204" spans="1:18" x14ac:dyDescent="0.25">
      <c r="A204" s="96"/>
      <c r="B204" s="96"/>
      <c r="C204" s="96"/>
      <c r="D204" s="96"/>
      <c r="E204" s="96"/>
      <c r="F204" s="96"/>
      <c r="G204" s="96"/>
      <c r="H204" s="96"/>
      <c r="I204" s="96"/>
      <c r="J204" s="96"/>
      <c r="K204" s="96"/>
      <c r="L204" s="96"/>
      <c r="M204" s="96"/>
      <c r="N204" s="96"/>
      <c r="O204" s="96"/>
      <c r="P204" s="96"/>
      <c r="Q204" s="96"/>
      <c r="R204" s="96"/>
    </row>
    <row r="205" spans="1:18" x14ac:dyDescent="0.25">
      <c r="A205" s="96"/>
      <c r="B205" s="96"/>
      <c r="C205" s="96"/>
      <c r="D205" s="96"/>
      <c r="E205" s="96"/>
      <c r="F205" s="96"/>
      <c r="G205" s="96"/>
      <c r="H205" s="96"/>
      <c r="I205" s="96"/>
      <c r="J205" s="96"/>
      <c r="K205" s="96"/>
      <c r="L205" s="96"/>
      <c r="M205" s="96"/>
      <c r="N205" s="96"/>
      <c r="O205" s="96"/>
      <c r="P205" s="96"/>
      <c r="Q205" s="96"/>
      <c r="R205" s="96"/>
    </row>
    <row r="206" spans="1:18" x14ac:dyDescent="0.25">
      <c r="A206" s="96"/>
      <c r="B206" s="96"/>
      <c r="C206" s="96"/>
      <c r="D206" s="96"/>
      <c r="E206" s="96"/>
      <c r="F206" s="96"/>
      <c r="G206" s="96"/>
      <c r="H206" s="96"/>
      <c r="I206" s="96"/>
      <c r="J206" s="96"/>
      <c r="K206" s="96"/>
      <c r="L206" s="96"/>
      <c r="M206" s="96"/>
      <c r="N206" s="96"/>
      <c r="O206" s="96"/>
      <c r="P206" s="96"/>
      <c r="Q206" s="96"/>
      <c r="R206" s="96"/>
    </row>
    <row r="207" spans="1:18" x14ac:dyDescent="0.25">
      <c r="A207" s="96"/>
      <c r="B207" s="96"/>
      <c r="C207" s="96"/>
      <c r="D207" s="96"/>
      <c r="E207" s="96"/>
      <c r="F207" s="96"/>
      <c r="G207" s="96"/>
      <c r="H207" s="96"/>
      <c r="I207" s="96"/>
      <c r="J207" s="96"/>
      <c r="K207" s="96"/>
      <c r="L207" s="96"/>
      <c r="M207" s="96"/>
      <c r="N207" s="96"/>
      <c r="O207" s="96"/>
      <c r="P207" s="96"/>
      <c r="Q207" s="96"/>
      <c r="R207" s="96"/>
    </row>
    <row r="208" spans="1:18" x14ac:dyDescent="0.25">
      <c r="A208" s="96"/>
      <c r="B208" s="96"/>
      <c r="C208" s="96"/>
      <c r="D208" s="96"/>
      <c r="E208" s="96"/>
      <c r="F208" s="96"/>
      <c r="G208" s="96"/>
      <c r="H208" s="96"/>
      <c r="I208" s="96"/>
      <c r="J208" s="96"/>
      <c r="K208" s="96"/>
      <c r="L208" s="96"/>
      <c r="M208" s="96"/>
      <c r="N208" s="96"/>
      <c r="O208" s="96"/>
      <c r="P208" s="96"/>
      <c r="Q208" s="96"/>
      <c r="R208" s="96"/>
    </row>
    <row r="209" spans="1:18" x14ac:dyDescent="0.25">
      <c r="A209" s="96"/>
      <c r="B209" s="96"/>
      <c r="C209" s="96"/>
      <c r="D209" s="96"/>
      <c r="E209" s="96"/>
      <c r="F209" s="96"/>
      <c r="G209" s="96"/>
      <c r="H209" s="96"/>
      <c r="I209" s="96"/>
      <c r="J209" s="96"/>
      <c r="K209" s="96"/>
      <c r="L209" s="96"/>
      <c r="M209" s="96"/>
      <c r="N209" s="96"/>
      <c r="O209" s="96"/>
      <c r="P209" s="96"/>
      <c r="Q209" s="96"/>
      <c r="R209" s="96"/>
    </row>
    <row r="210" spans="1:18" x14ac:dyDescent="0.25">
      <c r="A210" s="96"/>
      <c r="B210" s="96"/>
      <c r="C210" s="96"/>
      <c r="D210" s="96"/>
      <c r="E210" s="96"/>
      <c r="F210" s="96"/>
      <c r="G210" s="96"/>
      <c r="H210" s="96"/>
      <c r="I210" s="96"/>
      <c r="J210" s="96"/>
      <c r="K210" s="96"/>
      <c r="L210" s="96"/>
      <c r="M210" s="96"/>
      <c r="N210" s="96"/>
      <c r="O210" s="96"/>
      <c r="P210" s="96"/>
      <c r="Q210" s="96"/>
      <c r="R210" s="96"/>
    </row>
    <row r="211" spans="1:18" x14ac:dyDescent="0.25">
      <c r="A211" s="96"/>
      <c r="B211" s="96"/>
      <c r="C211" s="96"/>
      <c r="D211" s="96"/>
      <c r="E211" s="96"/>
      <c r="F211" s="96"/>
      <c r="G211" s="96"/>
      <c r="H211" s="96"/>
      <c r="I211" s="96"/>
      <c r="J211" s="96"/>
      <c r="K211" s="96"/>
      <c r="L211" s="96"/>
      <c r="M211" s="96"/>
      <c r="N211" s="96"/>
      <c r="O211" s="96"/>
      <c r="P211" s="96"/>
      <c r="Q211" s="96"/>
      <c r="R211" s="96"/>
    </row>
    <row r="212" spans="1:18" x14ac:dyDescent="0.25">
      <c r="A212" s="96"/>
      <c r="B212" s="96"/>
      <c r="C212" s="96"/>
      <c r="D212" s="96"/>
      <c r="E212" s="96"/>
      <c r="F212" s="96"/>
      <c r="G212" s="96"/>
      <c r="H212" s="96"/>
      <c r="I212" s="96"/>
      <c r="J212" s="96"/>
      <c r="K212" s="96"/>
      <c r="L212" s="96"/>
      <c r="M212" s="96"/>
      <c r="N212" s="96"/>
      <c r="O212" s="96"/>
      <c r="P212" s="96"/>
      <c r="Q212" s="96"/>
      <c r="R212" s="96"/>
    </row>
    <row r="213" spans="1:18" x14ac:dyDescent="0.25">
      <c r="A213" s="96"/>
      <c r="B213" s="96"/>
      <c r="C213" s="96"/>
      <c r="D213" s="96"/>
      <c r="E213" s="96"/>
      <c r="F213" s="96"/>
      <c r="G213" s="96"/>
      <c r="H213" s="96"/>
      <c r="I213" s="96"/>
      <c r="J213" s="96"/>
      <c r="K213" s="96"/>
      <c r="L213" s="96"/>
      <c r="M213" s="96"/>
      <c r="N213" s="96"/>
      <c r="O213" s="96"/>
      <c r="P213" s="96"/>
      <c r="Q213" s="96"/>
      <c r="R213" s="96"/>
    </row>
    <row r="214" spans="1:18" x14ac:dyDescent="0.25">
      <c r="A214" s="96"/>
      <c r="B214" s="96"/>
      <c r="C214" s="96"/>
      <c r="D214" s="96"/>
      <c r="E214" s="96"/>
      <c r="F214" s="96"/>
      <c r="G214" s="96"/>
      <c r="H214" s="96"/>
      <c r="I214" s="96"/>
      <c r="J214" s="96"/>
      <c r="K214" s="96"/>
      <c r="L214" s="96"/>
      <c r="M214" s="96"/>
      <c r="N214" s="96"/>
      <c r="O214" s="96"/>
      <c r="P214" s="96"/>
      <c r="Q214" s="96"/>
      <c r="R214" s="96"/>
    </row>
    <row r="215" spans="1:18" x14ac:dyDescent="0.25">
      <c r="A215" s="96"/>
      <c r="B215" s="96"/>
      <c r="C215" s="96"/>
      <c r="D215" s="96"/>
      <c r="E215" s="96"/>
      <c r="F215" s="96"/>
      <c r="G215" s="96"/>
      <c r="H215" s="96"/>
      <c r="I215" s="96"/>
      <c r="J215" s="96"/>
      <c r="K215" s="96"/>
      <c r="L215" s="96"/>
      <c r="M215" s="96"/>
      <c r="N215" s="96"/>
      <c r="O215" s="96"/>
      <c r="P215" s="96"/>
      <c r="Q215" s="96"/>
      <c r="R215" s="96"/>
    </row>
    <row r="216" spans="1:18" x14ac:dyDescent="0.25">
      <c r="A216" s="96"/>
      <c r="B216" s="96"/>
      <c r="C216" s="96"/>
      <c r="D216" s="96"/>
      <c r="E216" s="96"/>
      <c r="F216" s="96"/>
      <c r="G216" s="96"/>
      <c r="H216" s="96"/>
      <c r="I216" s="96"/>
      <c r="J216" s="96"/>
      <c r="K216" s="96"/>
      <c r="L216" s="96"/>
      <c r="M216" s="96"/>
      <c r="N216" s="96"/>
      <c r="O216" s="96"/>
      <c r="P216" s="96"/>
      <c r="Q216" s="96"/>
      <c r="R216" s="96"/>
    </row>
    <row r="217" spans="1:18" x14ac:dyDescent="0.25">
      <c r="A217" s="96"/>
      <c r="B217" s="96"/>
      <c r="C217" s="96"/>
      <c r="D217" s="96"/>
      <c r="E217" s="96"/>
      <c r="F217" s="96"/>
      <c r="G217" s="96"/>
      <c r="H217" s="96"/>
      <c r="I217" s="96"/>
      <c r="J217" s="96"/>
      <c r="K217" s="96"/>
      <c r="L217" s="96"/>
      <c r="M217" s="96"/>
      <c r="N217" s="96"/>
      <c r="O217" s="96"/>
      <c r="P217" s="96"/>
      <c r="Q217" s="96"/>
      <c r="R217" s="96"/>
    </row>
    <row r="218" spans="1:18" x14ac:dyDescent="0.25">
      <c r="A218" s="96"/>
      <c r="B218" s="96"/>
      <c r="C218" s="96"/>
      <c r="D218" s="96"/>
      <c r="E218" s="96"/>
      <c r="F218" s="96"/>
      <c r="G218" s="96"/>
      <c r="H218" s="96"/>
      <c r="I218" s="96"/>
      <c r="J218" s="96"/>
      <c r="K218" s="96"/>
      <c r="L218" s="96"/>
      <c r="M218" s="96"/>
      <c r="N218" s="96"/>
      <c r="O218" s="96"/>
      <c r="P218" s="96"/>
      <c r="Q218" s="96"/>
      <c r="R218" s="96"/>
    </row>
    <row r="219" spans="1:18" x14ac:dyDescent="0.25">
      <c r="A219" s="96"/>
      <c r="B219" s="96"/>
      <c r="C219" s="96"/>
      <c r="D219" s="96"/>
      <c r="E219" s="96"/>
      <c r="F219" s="96"/>
      <c r="G219" s="96"/>
      <c r="H219" s="96"/>
      <c r="I219" s="96"/>
      <c r="J219" s="96"/>
      <c r="K219" s="96"/>
      <c r="L219" s="96"/>
      <c r="M219" s="96"/>
      <c r="N219" s="96"/>
      <c r="O219" s="96"/>
      <c r="P219" s="96"/>
      <c r="Q219" s="96"/>
      <c r="R219" s="96"/>
    </row>
    <row r="220" spans="1:18" x14ac:dyDescent="0.25">
      <c r="A220" s="96"/>
      <c r="B220" s="96"/>
      <c r="C220" s="96"/>
      <c r="D220" s="96"/>
      <c r="E220" s="96"/>
      <c r="F220" s="96"/>
      <c r="G220" s="96"/>
      <c r="H220" s="96"/>
      <c r="I220" s="96"/>
      <c r="J220" s="96"/>
      <c r="K220" s="96"/>
      <c r="L220" s="96"/>
      <c r="M220" s="96"/>
      <c r="N220" s="96"/>
      <c r="O220" s="96"/>
      <c r="P220" s="96"/>
      <c r="Q220" s="96"/>
      <c r="R220" s="96"/>
    </row>
    <row r="221" spans="1:18" x14ac:dyDescent="0.25">
      <c r="A221" s="96"/>
      <c r="B221" s="96"/>
      <c r="C221" s="96"/>
      <c r="D221" s="96"/>
      <c r="E221" s="96"/>
      <c r="F221" s="96"/>
      <c r="G221" s="96"/>
      <c r="H221" s="96"/>
      <c r="I221" s="96"/>
      <c r="J221" s="96"/>
      <c r="K221" s="96"/>
      <c r="L221" s="96"/>
      <c r="M221" s="96"/>
      <c r="N221" s="96"/>
      <c r="O221" s="96"/>
      <c r="P221" s="96"/>
      <c r="Q221" s="96"/>
      <c r="R221" s="96"/>
    </row>
    <row r="222" spans="1:18" x14ac:dyDescent="0.25">
      <c r="A222" s="96"/>
      <c r="B222" s="96"/>
      <c r="C222" s="96"/>
      <c r="D222" s="96"/>
      <c r="E222" s="96"/>
      <c r="F222" s="96"/>
      <c r="G222" s="96"/>
      <c r="H222" s="96"/>
      <c r="I222" s="96"/>
      <c r="J222" s="96"/>
      <c r="K222" s="96"/>
      <c r="L222" s="96"/>
      <c r="M222" s="96"/>
      <c r="N222" s="96"/>
      <c r="O222" s="96"/>
      <c r="P222" s="96"/>
      <c r="Q222" s="96"/>
      <c r="R222" s="96"/>
    </row>
    <row r="223" spans="1:18" x14ac:dyDescent="0.25">
      <c r="A223" s="96"/>
      <c r="B223" s="96"/>
      <c r="C223" s="96"/>
      <c r="D223" s="96"/>
      <c r="E223" s="96"/>
      <c r="F223" s="96"/>
      <c r="G223" s="96"/>
      <c r="H223" s="96"/>
      <c r="I223" s="96"/>
      <c r="J223" s="96"/>
      <c r="K223" s="96"/>
      <c r="L223" s="96"/>
      <c r="M223" s="96"/>
      <c r="N223" s="96"/>
      <c r="O223" s="96"/>
      <c r="P223" s="96"/>
      <c r="Q223" s="96"/>
      <c r="R223" s="96"/>
    </row>
    <row r="224" spans="1:18" x14ac:dyDescent="0.25">
      <c r="A224" s="96"/>
      <c r="B224" s="96"/>
      <c r="C224" s="96"/>
      <c r="D224" s="96"/>
      <c r="E224" s="96"/>
      <c r="F224" s="96"/>
      <c r="G224" s="96"/>
      <c r="H224" s="96"/>
      <c r="I224" s="96"/>
      <c r="J224" s="96"/>
      <c r="K224" s="96"/>
      <c r="L224" s="96"/>
      <c r="M224" s="96"/>
      <c r="N224" s="96"/>
      <c r="O224" s="96"/>
      <c r="P224" s="96"/>
      <c r="Q224" s="96"/>
      <c r="R224" s="96"/>
    </row>
    <row r="225" spans="1:18" x14ac:dyDescent="0.25">
      <c r="A225" s="96"/>
      <c r="B225" s="96"/>
      <c r="C225" s="96"/>
      <c r="D225" s="96"/>
      <c r="E225" s="96"/>
      <c r="F225" s="96"/>
      <c r="G225" s="96"/>
      <c r="H225" s="96"/>
      <c r="I225" s="96"/>
      <c r="J225" s="96"/>
      <c r="K225" s="96"/>
      <c r="L225" s="96"/>
      <c r="M225" s="96"/>
      <c r="N225" s="96"/>
      <c r="O225" s="96"/>
      <c r="P225" s="96"/>
      <c r="Q225" s="96"/>
      <c r="R225" s="96"/>
    </row>
    <row r="226" spans="1:18" x14ac:dyDescent="0.25">
      <c r="A226" s="96"/>
      <c r="B226" s="96"/>
      <c r="C226" s="96"/>
      <c r="D226" s="96"/>
      <c r="E226" s="96"/>
      <c r="F226" s="96"/>
      <c r="G226" s="96"/>
      <c r="H226" s="96"/>
      <c r="I226" s="96"/>
      <c r="J226" s="96"/>
      <c r="K226" s="96"/>
      <c r="L226" s="96"/>
      <c r="M226" s="96"/>
      <c r="N226" s="96"/>
      <c r="O226" s="96"/>
      <c r="P226" s="96"/>
      <c r="Q226" s="96"/>
      <c r="R226" s="96"/>
    </row>
    <row r="227" spans="1:18" x14ac:dyDescent="0.25">
      <c r="A227" s="96"/>
      <c r="B227" s="96"/>
      <c r="C227" s="96"/>
      <c r="D227" s="96"/>
      <c r="E227" s="96"/>
      <c r="F227" s="96"/>
      <c r="G227" s="96"/>
      <c r="H227" s="96"/>
      <c r="I227" s="96"/>
      <c r="J227" s="96"/>
      <c r="K227" s="96"/>
      <c r="L227" s="96"/>
      <c r="M227" s="96"/>
      <c r="N227" s="96"/>
      <c r="O227" s="96"/>
      <c r="P227" s="96"/>
      <c r="Q227" s="96"/>
      <c r="R227" s="96"/>
    </row>
    <row r="228" spans="1:18" x14ac:dyDescent="0.25">
      <c r="A228" s="96"/>
      <c r="B228" s="96"/>
      <c r="C228" s="96"/>
      <c r="D228" s="96"/>
      <c r="E228" s="96"/>
      <c r="F228" s="96"/>
      <c r="G228" s="96"/>
      <c r="H228" s="96"/>
      <c r="I228" s="96"/>
      <c r="J228" s="96"/>
      <c r="K228" s="96"/>
      <c r="L228" s="96"/>
      <c r="M228" s="96"/>
      <c r="N228" s="96"/>
      <c r="O228" s="96"/>
      <c r="P228" s="96"/>
      <c r="Q228" s="96"/>
      <c r="R228" s="96"/>
    </row>
    <row r="229" spans="1:18" x14ac:dyDescent="0.25">
      <c r="A229" s="96"/>
      <c r="B229" s="96"/>
      <c r="C229" s="96"/>
      <c r="D229" s="96"/>
      <c r="E229" s="96"/>
      <c r="F229" s="96"/>
      <c r="G229" s="96"/>
      <c r="H229" s="96"/>
      <c r="I229" s="96"/>
      <c r="J229" s="96"/>
      <c r="K229" s="96"/>
      <c r="L229" s="96"/>
      <c r="M229" s="96"/>
      <c r="N229" s="96"/>
      <c r="O229" s="96"/>
      <c r="P229" s="96"/>
      <c r="Q229" s="96"/>
      <c r="R229" s="96"/>
    </row>
    <row r="230" spans="1:18" x14ac:dyDescent="0.25">
      <c r="A230" s="96"/>
      <c r="B230" s="96"/>
      <c r="C230" s="96"/>
      <c r="D230" s="96"/>
      <c r="E230" s="96"/>
      <c r="F230" s="96"/>
      <c r="G230" s="96"/>
      <c r="H230" s="96"/>
      <c r="I230" s="96"/>
      <c r="J230" s="96"/>
      <c r="K230" s="96"/>
      <c r="L230" s="96"/>
      <c r="M230" s="96"/>
      <c r="N230" s="96"/>
      <c r="O230" s="96"/>
      <c r="P230" s="96"/>
      <c r="Q230" s="96"/>
      <c r="R230" s="96"/>
    </row>
    <row r="231" spans="1:18" x14ac:dyDescent="0.25">
      <c r="A231" s="96"/>
      <c r="B231" s="96"/>
      <c r="C231" s="96"/>
      <c r="D231" s="96"/>
      <c r="E231" s="96"/>
      <c r="F231" s="96"/>
      <c r="G231" s="96"/>
      <c r="H231" s="96"/>
      <c r="I231" s="96"/>
      <c r="J231" s="96"/>
      <c r="K231" s="96"/>
      <c r="L231" s="96"/>
      <c r="M231" s="96"/>
      <c r="N231" s="96"/>
      <c r="O231" s="96"/>
      <c r="P231" s="96"/>
      <c r="Q231" s="96"/>
      <c r="R231" s="96"/>
    </row>
    <row r="232" spans="1:18" x14ac:dyDescent="0.25">
      <c r="A232" s="96"/>
      <c r="B232" s="96"/>
      <c r="C232" s="96"/>
      <c r="D232" s="96"/>
      <c r="E232" s="96"/>
      <c r="F232" s="96"/>
      <c r="G232" s="96"/>
      <c r="H232" s="96"/>
      <c r="I232" s="96"/>
      <c r="J232" s="96"/>
      <c r="K232" s="96"/>
      <c r="L232" s="96"/>
      <c r="M232" s="96"/>
      <c r="N232" s="96"/>
      <c r="O232" s="96"/>
      <c r="P232" s="96"/>
      <c r="Q232" s="96"/>
      <c r="R232" s="96"/>
    </row>
    <row r="233" spans="1:18" x14ac:dyDescent="0.25">
      <c r="A233" s="96"/>
      <c r="B233" s="96"/>
      <c r="C233" s="96"/>
      <c r="D233" s="96"/>
      <c r="E233" s="96"/>
      <c r="F233" s="96"/>
      <c r="G233" s="96"/>
      <c r="H233" s="96"/>
      <c r="I233" s="96"/>
      <c r="J233" s="96"/>
      <c r="K233" s="96"/>
      <c r="L233" s="96"/>
      <c r="M233" s="96"/>
      <c r="N233" s="96"/>
      <c r="O233" s="96"/>
      <c r="P233" s="96"/>
      <c r="Q233" s="96"/>
      <c r="R233" s="96"/>
    </row>
    <row r="234" spans="1:18" x14ac:dyDescent="0.25">
      <c r="A234" s="96"/>
      <c r="B234" s="96"/>
      <c r="C234" s="96"/>
      <c r="D234" s="96"/>
      <c r="E234" s="96"/>
      <c r="F234" s="96"/>
      <c r="G234" s="96"/>
      <c r="H234" s="96"/>
      <c r="I234" s="96"/>
      <c r="J234" s="96"/>
      <c r="K234" s="96"/>
      <c r="L234" s="96"/>
      <c r="M234" s="96"/>
      <c r="N234" s="96"/>
      <c r="O234" s="96"/>
      <c r="P234" s="96"/>
      <c r="Q234" s="96"/>
      <c r="R234" s="96"/>
    </row>
    <row r="235" spans="1:18" x14ac:dyDescent="0.25">
      <c r="A235" s="96"/>
      <c r="B235" s="96"/>
      <c r="C235" s="96"/>
      <c r="D235" s="96"/>
      <c r="E235" s="96"/>
      <c r="F235" s="96"/>
      <c r="G235" s="96"/>
      <c r="H235" s="96"/>
      <c r="I235" s="96"/>
      <c r="J235" s="96"/>
      <c r="K235" s="96"/>
      <c r="L235" s="96"/>
      <c r="M235" s="96"/>
      <c r="N235" s="96"/>
      <c r="O235" s="96"/>
      <c r="P235" s="96"/>
      <c r="Q235" s="96"/>
      <c r="R235" s="96"/>
    </row>
    <row r="236" spans="1:18" x14ac:dyDescent="0.25">
      <c r="A236" s="96"/>
      <c r="B236" s="96"/>
      <c r="C236" s="96"/>
      <c r="D236" s="96"/>
      <c r="E236" s="96"/>
      <c r="F236" s="96"/>
      <c r="G236" s="96"/>
      <c r="H236" s="96"/>
      <c r="I236" s="96"/>
      <c r="J236" s="96"/>
      <c r="K236" s="96"/>
      <c r="L236" s="96"/>
      <c r="M236" s="96"/>
      <c r="N236" s="96"/>
      <c r="O236" s="96"/>
      <c r="P236" s="96"/>
      <c r="Q236" s="96"/>
      <c r="R236" s="96"/>
    </row>
    <row r="237" spans="1:18" x14ac:dyDescent="0.25">
      <c r="A237" s="96"/>
      <c r="B237" s="96"/>
      <c r="C237" s="96"/>
      <c r="D237" s="96"/>
      <c r="E237" s="96"/>
      <c r="F237" s="96"/>
      <c r="G237" s="96"/>
      <c r="H237" s="96"/>
      <c r="I237" s="96"/>
      <c r="J237" s="96"/>
      <c r="K237" s="96"/>
      <c r="L237" s="96"/>
      <c r="M237" s="96"/>
      <c r="N237" s="96"/>
      <c r="O237" s="96"/>
      <c r="P237" s="96"/>
      <c r="Q237" s="96"/>
      <c r="R237" s="96"/>
    </row>
    <row r="238" spans="1:18" x14ac:dyDescent="0.25">
      <c r="A238" s="96"/>
      <c r="B238" s="96"/>
      <c r="C238" s="96"/>
      <c r="D238" s="96"/>
      <c r="E238" s="96"/>
      <c r="F238" s="96"/>
      <c r="G238" s="96"/>
      <c r="H238" s="96"/>
      <c r="I238" s="96"/>
      <c r="J238" s="96"/>
      <c r="K238" s="96"/>
      <c r="L238" s="96"/>
      <c r="M238" s="96"/>
      <c r="N238" s="96"/>
      <c r="O238" s="96"/>
      <c r="P238" s="96"/>
      <c r="Q238" s="96"/>
      <c r="R238" s="96"/>
    </row>
    <row r="239" spans="1:18" x14ac:dyDescent="0.25">
      <c r="A239" s="96"/>
      <c r="B239" s="96"/>
      <c r="C239" s="96"/>
      <c r="D239" s="96"/>
      <c r="E239" s="96"/>
      <c r="F239" s="96"/>
      <c r="G239" s="96"/>
      <c r="H239" s="96"/>
      <c r="I239" s="96"/>
      <c r="J239" s="96"/>
      <c r="K239" s="96"/>
      <c r="L239" s="96"/>
      <c r="M239" s="96"/>
      <c r="N239" s="96"/>
      <c r="O239" s="96"/>
      <c r="P239" s="96"/>
      <c r="Q239" s="96"/>
      <c r="R239" s="96"/>
    </row>
    <row r="240" spans="1:18" x14ac:dyDescent="0.25">
      <c r="A240" s="96"/>
      <c r="B240" s="96"/>
      <c r="C240" s="96"/>
      <c r="D240" s="96"/>
      <c r="E240" s="96"/>
      <c r="F240" s="96"/>
      <c r="G240" s="96"/>
      <c r="H240" s="96"/>
      <c r="I240" s="96"/>
      <c r="J240" s="96"/>
      <c r="K240" s="96"/>
      <c r="L240" s="96"/>
      <c r="M240" s="96"/>
      <c r="N240" s="96"/>
      <c r="O240" s="96"/>
      <c r="P240" s="96"/>
      <c r="Q240" s="96"/>
      <c r="R240" s="96"/>
    </row>
    <row r="241" spans="1:18" x14ac:dyDescent="0.25">
      <c r="A241" s="96"/>
      <c r="B241" s="96"/>
      <c r="C241" s="96"/>
      <c r="D241" s="96"/>
      <c r="E241" s="96"/>
      <c r="F241" s="96"/>
      <c r="G241" s="96"/>
      <c r="H241" s="96"/>
      <c r="I241" s="96"/>
      <c r="J241" s="96"/>
      <c r="K241" s="96"/>
      <c r="L241" s="96"/>
      <c r="M241" s="96"/>
      <c r="N241" s="96"/>
      <c r="O241" s="96"/>
      <c r="P241" s="96"/>
      <c r="Q241" s="96"/>
      <c r="R241" s="96"/>
    </row>
    <row r="242" spans="1:18" x14ac:dyDescent="0.25">
      <c r="A242" s="96"/>
      <c r="B242" s="96"/>
      <c r="C242" s="96"/>
      <c r="D242" s="96"/>
      <c r="E242" s="96"/>
      <c r="F242" s="96"/>
      <c r="G242" s="96"/>
      <c r="H242" s="96"/>
      <c r="I242" s="96"/>
      <c r="J242" s="96"/>
      <c r="K242" s="96"/>
      <c r="L242" s="96"/>
      <c r="M242" s="96"/>
      <c r="N242" s="96"/>
      <c r="O242" s="96"/>
      <c r="P242" s="96"/>
      <c r="Q242" s="96"/>
      <c r="R242" s="96"/>
    </row>
    <row r="243" spans="1:18" x14ac:dyDescent="0.25">
      <c r="A243" s="96"/>
      <c r="B243" s="96"/>
      <c r="C243" s="96"/>
      <c r="D243" s="96"/>
      <c r="E243" s="96"/>
      <c r="F243" s="96"/>
      <c r="G243" s="96"/>
      <c r="H243" s="96"/>
      <c r="I243" s="96"/>
      <c r="J243" s="96"/>
      <c r="K243" s="96"/>
      <c r="L243" s="96"/>
      <c r="M243" s="96"/>
      <c r="N243" s="96"/>
      <c r="O243" s="96"/>
      <c r="P243" s="96"/>
      <c r="Q243" s="96"/>
      <c r="R243" s="96"/>
    </row>
    <row r="244" spans="1:18" x14ac:dyDescent="0.25">
      <c r="A244" s="96"/>
      <c r="B244" s="96"/>
      <c r="C244" s="96"/>
      <c r="D244" s="96"/>
      <c r="E244" s="96"/>
      <c r="F244" s="96"/>
      <c r="G244" s="96"/>
      <c r="H244" s="96"/>
      <c r="I244" s="96"/>
      <c r="J244" s="96"/>
      <c r="K244" s="96"/>
      <c r="L244" s="96"/>
      <c r="M244" s="96"/>
      <c r="N244" s="96"/>
      <c r="O244" s="96"/>
      <c r="P244" s="96"/>
      <c r="Q244" s="96"/>
      <c r="R244" s="96"/>
    </row>
    <row r="245" spans="1:18" x14ac:dyDescent="0.25">
      <c r="A245" s="96"/>
      <c r="B245" s="96"/>
      <c r="C245" s="96"/>
      <c r="D245" s="96"/>
      <c r="E245" s="96"/>
      <c r="F245" s="96"/>
      <c r="G245" s="96"/>
      <c r="H245" s="96"/>
      <c r="I245" s="96"/>
      <c r="J245" s="96"/>
      <c r="K245" s="96"/>
      <c r="L245" s="96"/>
      <c r="M245" s="96"/>
      <c r="N245" s="96"/>
      <c r="O245" s="96"/>
      <c r="P245" s="96"/>
      <c r="Q245" s="96"/>
      <c r="R245" s="96"/>
    </row>
    <row r="246" spans="1:18" x14ac:dyDescent="0.25">
      <c r="A246" s="96"/>
      <c r="B246" s="96"/>
      <c r="C246" s="96"/>
      <c r="D246" s="96"/>
      <c r="E246" s="96"/>
      <c r="F246" s="96"/>
      <c r="G246" s="96"/>
      <c r="H246" s="96"/>
      <c r="I246" s="96"/>
      <c r="J246" s="96"/>
      <c r="K246" s="96"/>
      <c r="L246" s="96"/>
      <c r="M246" s="96"/>
      <c r="N246" s="96"/>
      <c r="O246" s="96"/>
      <c r="P246" s="96"/>
      <c r="Q246" s="96"/>
      <c r="R246" s="96"/>
    </row>
    <row r="247" spans="1:18" x14ac:dyDescent="0.25">
      <c r="A247" s="96"/>
      <c r="B247" s="96"/>
      <c r="C247" s="96"/>
      <c r="D247" s="96"/>
      <c r="E247" s="96"/>
      <c r="F247" s="96"/>
      <c r="G247" s="96"/>
      <c r="H247" s="96"/>
      <c r="I247" s="96"/>
      <c r="J247" s="96"/>
      <c r="K247" s="96"/>
      <c r="L247" s="96"/>
      <c r="M247" s="96"/>
      <c r="N247" s="96"/>
      <c r="O247" s="96"/>
      <c r="P247" s="96"/>
      <c r="Q247" s="96"/>
      <c r="R247" s="96"/>
    </row>
  </sheetData>
  <mergeCells count="9">
    <mergeCell ref="A64:F65"/>
    <mergeCell ref="A1:N1"/>
    <mergeCell ref="A5:N5"/>
    <mergeCell ref="A6:F6"/>
    <mergeCell ref="A46:F46"/>
    <mergeCell ref="B2:F2"/>
    <mergeCell ref="B3:F3"/>
    <mergeCell ref="A10:F11"/>
    <mergeCell ref="A28:F28"/>
  </mergeCells>
  <dataValidations count="1">
    <dataValidation type="list" allowBlank="1" showInputMessage="1" showErrorMessage="1" sqref="B3:F3" xr:uid="{00000000-0002-0000-0000-000000000000}">
      <formula1>BusinessModels</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Gameplay!#REF!</xm:f>
          </x14:formula1>
          <xm:sqref>B39 B19 B29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sheetPr>
  <dimension ref="A1:Y55"/>
  <sheetViews>
    <sheetView zoomScale="85" zoomScaleNormal="85" workbookViewId="0">
      <selection sqref="A1:L1"/>
    </sheetView>
  </sheetViews>
  <sheetFormatPr defaultColWidth="9.140625" defaultRowHeight="11.25" x14ac:dyDescent="0.2"/>
  <cols>
    <col min="1" max="1" width="23" style="148" customWidth="1"/>
    <col min="2" max="2" width="19.5703125" style="148" customWidth="1"/>
    <col min="3" max="3" width="2.140625" style="148" customWidth="1"/>
    <col min="4" max="4" width="11.140625" style="148" customWidth="1"/>
    <col min="5" max="5" width="54.42578125" style="148" customWidth="1"/>
    <col min="6" max="6" width="1.42578125" style="148" customWidth="1"/>
    <col min="7" max="7" width="12.5703125" style="148" customWidth="1"/>
    <col min="8" max="8" width="55.5703125" style="148" customWidth="1"/>
    <col min="9" max="9" width="0.85546875" style="148" customWidth="1"/>
    <col min="10" max="11" width="9.140625" style="148"/>
    <col min="12" max="12" width="19.140625" style="148" customWidth="1"/>
    <col min="13" max="16384" width="9.140625" style="148"/>
  </cols>
  <sheetData>
    <row r="1" spans="1:25" ht="15" customHeight="1" x14ac:dyDescent="0.25">
      <c r="A1" s="230" t="str">
        <f>IF('Initial Setup'!B2="","",CONCATENATE('Initial Setup'!B2,"'s"," Metrics and Options"))</f>
        <v>[Insert Utility Name Here]'s Metrics and Options</v>
      </c>
      <c r="B1" s="230"/>
      <c r="C1" s="230"/>
      <c r="D1" s="230"/>
      <c r="E1" s="230"/>
      <c r="F1" s="230"/>
      <c r="G1" s="230"/>
      <c r="H1" s="230"/>
      <c r="I1" s="230"/>
      <c r="J1" s="230"/>
      <c r="K1" s="230"/>
      <c r="L1" s="230"/>
      <c r="M1" s="147"/>
      <c r="N1" s="147"/>
      <c r="O1" s="147"/>
      <c r="P1" s="147"/>
      <c r="Q1" s="147"/>
      <c r="R1" s="147"/>
      <c r="S1" s="147"/>
      <c r="T1" s="147"/>
      <c r="U1" s="147"/>
      <c r="V1" s="147"/>
      <c r="W1" s="147"/>
      <c r="X1" s="147"/>
      <c r="Y1" s="147"/>
    </row>
    <row r="2" spans="1:25" ht="15" customHeight="1" thickBot="1" x14ac:dyDescent="0.3">
      <c r="A2" s="230">
        <f>INDEX(Graphs!$A$3:$A$13,Current_Round+1,1)</f>
        <v>2015</v>
      </c>
      <c r="B2" s="230"/>
      <c r="C2" s="230"/>
      <c r="D2" s="230"/>
      <c r="E2" s="230"/>
      <c r="F2" s="230"/>
      <c r="G2" s="230"/>
      <c r="H2" s="230"/>
      <c r="I2" s="230"/>
      <c r="J2" s="230"/>
      <c r="K2" s="230"/>
      <c r="L2" s="230"/>
      <c r="M2" s="147"/>
      <c r="N2" s="147"/>
      <c r="O2" s="147"/>
      <c r="P2" s="147"/>
      <c r="Q2" s="147"/>
      <c r="R2" s="147"/>
      <c r="S2" s="147"/>
      <c r="T2" s="147"/>
      <c r="U2" s="147"/>
      <c r="V2" s="147"/>
      <c r="W2" s="147"/>
      <c r="X2" s="147"/>
      <c r="Y2" s="147"/>
    </row>
    <row r="3" spans="1:25" ht="15" customHeight="1" x14ac:dyDescent="0.2">
      <c r="A3" s="147"/>
      <c r="B3" s="147"/>
      <c r="C3" s="146"/>
      <c r="D3" s="203" t="s">
        <v>330</v>
      </c>
      <c r="E3" s="204"/>
      <c r="F3" s="146">
        <v>0</v>
      </c>
      <c r="G3" s="203" t="s">
        <v>371</v>
      </c>
      <c r="H3" s="204"/>
      <c r="I3" s="147"/>
      <c r="J3" s="223" t="s">
        <v>451</v>
      </c>
      <c r="K3" s="224"/>
      <c r="L3" s="225"/>
      <c r="M3" s="147"/>
      <c r="N3" s="147"/>
      <c r="O3" s="147"/>
      <c r="P3" s="147"/>
      <c r="Q3" s="147"/>
      <c r="R3" s="147"/>
      <c r="S3" s="147"/>
      <c r="T3" s="147"/>
      <c r="U3" s="147"/>
      <c r="V3" s="147"/>
      <c r="W3" s="147"/>
      <c r="X3" s="147"/>
      <c r="Y3" s="147"/>
    </row>
    <row r="4" spans="1:25" s="151" customFormat="1" ht="30" customHeight="1" thickBot="1" x14ac:dyDescent="0.25">
      <c r="A4" s="147"/>
      <c r="B4" s="147"/>
      <c r="C4" s="150"/>
      <c r="D4" s="205">
        <f>INDEX(Graphs!$C$3:$C$13,Current_Round+1,1)</f>
        <v>95.70191479695302</v>
      </c>
      <c r="E4" s="207"/>
      <c r="F4" s="150"/>
      <c r="G4" s="226">
        <f>INDEX(Graphs!$C$34:$C$44,Current_Round+1,1)</f>
        <v>0.54024054081148387</v>
      </c>
      <c r="H4" s="228">
        <v>0</v>
      </c>
      <c r="I4" s="150"/>
      <c r="J4" s="231" t="str">
        <f>CONCATENATE(IF(INDEX('Event Tracker'!B2:L8,1,MATCH(Current_Round,'Event Tracker'!B1:L1,0))=1,"[RPS]",""),IF(INDEX('Event Tracker'!B2:L8,2,MATCH(Current_Round,'Event Tracker'!B1:L1,0))=1,"[Decoupling]",""),IF(INDEX('Event Tracker'!B2:L8,3,MATCH(Current_Round,'Event Tracker'!B1:L1,0))=1,"[Increased Fixed Charges]",""),IF(INDEX('Event Tracker'!B2:L8,4,MATCH(Current_Round,'Event Tracker'!B1:L1,0))=1,"[Time of Use Pricing]",""),IF(INDEX('Event Tracker'!B2:L8,5,MATCH(Current_Round,'Event Tracker'!B1:L1,0))=1,"[PIMs]",""),IF(INDEX('Event Tracker'!B2:L8,6,MATCH(Current_Round,'Event Tracker'!B1:L1,0))=1,"[Widened Balancing Areas]",""),IF(INDEX('Event Tracker'!B2:L8,7,MATCH(Current_Round,'Event Tracker'!B1:L1,0))=1,"[Decoupling + Incentives]",""))</f>
        <v/>
      </c>
      <c r="K4" s="232"/>
      <c r="L4" s="233"/>
      <c r="M4" s="150"/>
      <c r="N4" s="150"/>
      <c r="O4" s="150"/>
      <c r="P4" s="150"/>
      <c r="Q4" s="150"/>
      <c r="R4" s="150"/>
      <c r="S4" s="150"/>
      <c r="T4" s="150"/>
      <c r="U4" s="150"/>
      <c r="V4" s="150"/>
      <c r="W4" s="150"/>
      <c r="X4" s="150"/>
      <c r="Y4" s="150"/>
    </row>
    <row r="5" spans="1:25" ht="15" customHeight="1" thickBot="1" x14ac:dyDescent="0.25">
      <c r="A5" s="147"/>
      <c r="B5" s="147"/>
      <c r="C5" s="147"/>
      <c r="D5" s="205"/>
      <c r="E5" s="207"/>
      <c r="F5" s="147"/>
      <c r="G5" s="226"/>
      <c r="H5" s="228"/>
      <c r="I5" s="147"/>
      <c r="J5" s="147"/>
      <c r="K5" s="147"/>
      <c r="L5" s="147"/>
      <c r="M5" s="147"/>
      <c r="N5" s="147"/>
      <c r="O5" s="147"/>
      <c r="P5" s="147"/>
      <c r="Q5" s="147"/>
      <c r="R5" s="147"/>
      <c r="S5" s="147"/>
      <c r="T5" s="147"/>
      <c r="U5" s="147"/>
      <c r="V5" s="147"/>
      <c r="W5" s="147"/>
      <c r="X5" s="147"/>
      <c r="Y5" s="147"/>
    </row>
    <row r="6" spans="1:25" ht="15" customHeight="1" x14ac:dyDescent="0.2">
      <c r="A6" s="147"/>
      <c r="B6" s="147"/>
      <c r="C6" s="147"/>
      <c r="D6" s="205"/>
      <c r="E6" s="207"/>
      <c r="F6" s="147"/>
      <c r="G6" s="226"/>
      <c r="H6" s="228"/>
      <c r="I6" s="147"/>
      <c r="J6" s="223" t="s">
        <v>452</v>
      </c>
      <c r="K6" s="224"/>
      <c r="L6" s="225"/>
      <c r="M6" s="147"/>
      <c r="N6" s="147"/>
      <c r="O6" s="147"/>
      <c r="P6" s="147"/>
      <c r="Q6" s="147"/>
      <c r="R6" s="147"/>
      <c r="S6" s="147"/>
      <c r="T6" s="147"/>
      <c r="U6" s="147"/>
      <c r="V6" s="147"/>
      <c r="W6" s="147"/>
      <c r="X6" s="147"/>
      <c r="Y6" s="147"/>
    </row>
    <row r="7" spans="1:25" ht="45" customHeight="1" thickBot="1" x14ac:dyDescent="0.25">
      <c r="A7" s="147"/>
      <c r="B7" s="147"/>
      <c r="C7" s="147"/>
      <c r="D7" s="205"/>
      <c r="E7" s="207"/>
      <c r="F7" s="147"/>
      <c r="G7" s="226"/>
      <c r="H7" s="228"/>
      <c r="I7" s="147"/>
      <c r="J7" s="200" t="str">
        <f>CONCATENATE("New Peak Capacity Needed to Meet Reserve Margin: ",ROUND(INDEX(Graphs!B97:L97,1,MATCH(Current_Round,Graphs!B96:L96,0)),0)," MW")</f>
        <v>New Peak Capacity Needed to Meet Reserve Margin: 0 MW</v>
      </c>
      <c r="K7" s="201"/>
      <c r="L7" s="202"/>
      <c r="M7" s="147"/>
      <c r="N7" s="147"/>
      <c r="O7" s="147"/>
      <c r="P7" s="147"/>
      <c r="Q7" s="147"/>
      <c r="R7" s="147"/>
      <c r="S7" s="147"/>
      <c r="T7" s="147"/>
      <c r="U7" s="147"/>
      <c r="V7" s="147"/>
      <c r="W7" s="147"/>
      <c r="X7" s="147"/>
      <c r="Y7" s="147"/>
    </row>
    <row r="8" spans="1:25" ht="15" customHeight="1" thickBot="1" x14ac:dyDescent="0.25">
      <c r="A8" s="147"/>
      <c r="B8" s="147"/>
      <c r="C8" s="147"/>
      <c r="D8" s="205"/>
      <c r="E8" s="207"/>
      <c r="F8" s="147"/>
      <c r="G8" s="226"/>
      <c r="H8" s="228"/>
      <c r="I8" s="147"/>
      <c r="J8" s="147"/>
      <c r="K8" s="147"/>
      <c r="L8" s="147"/>
      <c r="M8" s="147"/>
      <c r="N8" s="147"/>
      <c r="O8" s="147"/>
      <c r="P8" s="147"/>
      <c r="Q8" s="147"/>
      <c r="R8" s="147"/>
      <c r="S8" s="147"/>
      <c r="T8" s="147"/>
      <c r="U8" s="147"/>
      <c r="V8" s="147"/>
      <c r="W8" s="147"/>
      <c r="X8" s="147"/>
      <c r="Y8" s="147"/>
    </row>
    <row r="9" spans="1:25" ht="15" customHeight="1" x14ac:dyDescent="0.2">
      <c r="A9" s="147"/>
      <c r="B9" s="147"/>
      <c r="C9" s="147"/>
      <c r="D9" s="205"/>
      <c r="E9" s="207"/>
      <c r="F9" s="147"/>
      <c r="G9" s="226"/>
      <c r="H9" s="228"/>
      <c r="I9" s="147"/>
      <c r="J9" s="223" t="s">
        <v>457</v>
      </c>
      <c r="K9" s="224"/>
      <c r="L9" s="225"/>
      <c r="M9" s="147"/>
      <c r="N9" s="147"/>
      <c r="O9" s="147"/>
      <c r="P9" s="147"/>
      <c r="Q9" s="147"/>
      <c r="R9" s="147"/>
      <c r="S9" s="147"/>
      <c r="T9" s="147"/>
      <c r="U9" s="147"/>
      <c r="V9" s="147"/>
      <c r="W9" s="147"/>
      <c r="X9" s="147"/>
      <c r="Y9" s="147"/>
    </row>
    <row r="10" spans="1:25" ht="15" customHeight="1" x14ac:dyDescent="0.2">
      <c r="A10" s="147"/>
      <c r="B10" s="147"/>
      <c r="C10" s="149"/>
      <c r="D10" s="205"/>
      <c r="E10" s="207"/>
      <c r="F10" s="146"/>
      <c r="G10" s="226"/>
      <c r="H10" s="228"/>
      <c r="I10" s="147"/>
      <c r="J10" s="217" t="str">
        <f>BusinessModel</f>
        <v>Select</v>
      </c>
      <c r="K10" s="218"/>
      <c r="L10" s="219"/>
      <c r="M10" s="147"/>
      <c r="N10" s="147"/>
      <c r="O10" s="147"/>
      <c r="P10" s="147"/>
      <c r="Q10" s="147"/>
      <c r="R10" s="147"/>
      <c r="S10" s="147"/>
      <c r="T10" s="147"/>
      <c r="U10" s="147"/>
      <c r="V10" s="147"/>
      <c r="W10" s="147"/>
      <c r="X10" s="147"/>
      <c r="Y10" s="147"/>
    </row>
    <row r="11" spans="1:25" ht="15" customHeight="1" x14ac:dyDescent="0.2">
      <c r="A11" s="147"/>
      <c r="B11" s="147"/>
      <c r="C11" s="147"/>
      <c r="D11" s="205"/>
      <c r="E11" s="207"/>
      <c r="F11" s="147"/>
      <c r="G11" s="226"/>
      <c r="H11" s="228"/>
      <c r="I11" s="147"/>
      <c r="J11" s="217"/>
      <c r="K11" s="218"/>
      <c r="L11" s="219"/>
      <c r="M11" s="147"/>
      <c r="N11" s="147"/>
      <c r="O11" s="147"/>
      <c r="P11" s="147"/>
      <c r="Q11" s="147"/>
      <c r="R11" s="147"/>
      <c r="S11" s="147"/>
      <c r="T11" s="147"/>
      <c r="U11" s="147"/>
      <c r="V11" s="147"/>
      <c r="W11" s="147"/>
      <c r="X11" s="147"/>
      <c r="Y11" s="147"/>
    </row>
    <row r="12" spans="1:25" ht="15" customHeight="1" thickBot="1" x14ac:dyDescent="0.25">
      <c r="A12" s="147"/>
      <c r="B12" s="147"/>
      <c r="C12" s="147"/>
      <c r="D12" s="206"/>
      <c r="E12" s="208"/>
      <c r="F12" s="147"/>
      <c r="G12" s="227"/>
      <c r="H12" s="229"/>
      <c r="I12" s="147"/>
      <c r="J12" s="220"/>
      <c r="K12" s="221"/>
      <c r="L12" s="222"/>
      <c r="M12" s="147"/>
      <c r="N12" s="147"/>
      <c r="O12" s="147"/>
      <c r="P12" s="147"/>
      <c r="Q12" s="147"/>
      <c r="R12" s="147"/>
      <c r="S12" s="147"/>
      <c r="T12" s="147"/>
      <c r="U12" s="147"/>
      <c r="V12" s="147"/>
      <c r="W12" s="147"/>
      <c r="X12" s="147"/>
      <c r="Y12" s="147"/>
    </row>
    <row r="13" spans="1:25" ht="15" customHeight="1" thickBot="1" x14ac:dyDescent="0.3">
      <c r="A13" s="147"/>
      <c r="B13" s="147"/>
      <c r="C13" s="147"/>
      <c r="D13" s="96"/>
      <c r="E13" s="96"/>
      <c r="F13" s="147"/>
      <c r="I13" s="147"/>
      <c r="J13" s="147"/>
      <c r="K13" s="147"/>
      <c r="L13" s="147"/>
      <c r="M13" s="147"/>
      <c r="N13" s="147"/>
      <c r="O13" s="147"/>
      <c r="P13" s="147"/>
      <c r="Q13" s="147"/>
      <c r="R13" s="147"/>
      <c r="S13" s="147"/>
      <c r="T13" s="147"/>
      <c r="U13" s="147"/>
      <c r="V13" s="147"/>
      <c r="W13" s="147"/>
      <c r="X13" s="147"/>
      <c r="Y13" s="147"/>
    </row>
    <row r="14" spans="1:25" ht="15" customHeight="1" x14ac:dyDescent="0.2">
      <c r="A14" s="147"/>
      <c r="B14" s="147"/>
      <c r="C14" s="147"/>
      <c r="D14" s="203" t="s">
        <v>432</v>
      </c>
      <c r="E14" s="204"/>
      <c r="F14" s="147"/>
      <c r="G14" s="203" t="s">
        <v>135</v>
      </c>
      <c r="H14" s="204"/>
      <c r="I14" s="147"/>
      <c r="J14" s="223" t="s">
        <v>520</v>
      </c>
      <c r="K14" s="224"/>
      <c r="L14" s="225"/>
      <c r="M14" s="147"/>
      <c r="N14" s="147"/>
      <c r="O14" s="147"/>
      <c r="P14" s="147"/>
      <c r="Q14" s="147"/>
      <c r="R14" s="147"/>
      <c r="S14" s="147"/>
      <c r="T14" s="147"/>
      <c r="U14" s="147"/>
      <c r="V14" s="147"/>
      <c r="W14" s="147"/>
      <c r="X14" s="147"/>
      <c r="Y14" s="147"/>
    </row>
    <row r="15" spans="1:25" ht="15" customHeight="1" x14ac:dyDescent="0.25">
      <c r="A15" s="147"/>
      <c r="B15" s="147"/>
      <c r="C15" s="147"/>
      <c r="D15" s="214">
        <f>INDEX('Environmental Performance'!$C$3:$L$3,1,Current_Round)</f>
        <v>927.73737033998839</v>
      </c>
      <c r="E15" s="175"/>
      <c r="F15" s="147"/>
      <c r="G15" s="211">
        <f>INDEX(Reliability!C95:L95,1,Current_Round)</f>
        <v>287.35042409146655</v>
      </c>
      <c r="H15" s="212"/>
      <c r="I15" s="147"/>
      <c r="J15" s="172" t="str">
        <f>CONCATENATE("Renewables Generation: ",ROUND(INDEX(Dispatch!$B$232:$L$232,1,MATCH('Event Tracker'!$P$1,Dispatch!$B$230:$L$230,0))*100,1),"%")</f>
        <v>Renewables Generation: 1.7%</v>
      </c>
      <c r="K15" s="167"/>
      <c r="L15" s="168"/>
      <c r="M15" s="147"/>
      <c r="N15" s="147"/>
      <c r="O15" s="147"/>
      <c r="P15" s="147"/>
      <c r="Q15" s="147"/>
      <c r="R15" s="147"/>
      <c r="S15" s="147"/>
      <c r="T15" s="147"/>
      <c r="U15" s="147"/>
      <c r="V15" s="147"/>
      <c r="W15" s="147"/>
      <c r="X15" s="147"/>
      <c r="Y15" s="147"/>
    </row>
    <row r="16" spans="1:25" ht="15" customHeight="1" x14ac:dyDescent="0.25">
      <c r="A16" s="147"/>
      <c r="B16" s="147"/>
      <c r="C16" s="147"/>
      <c r="D16" s="214"/>
      <c r="E16" s="175"/>
      <c r="F16" s="147"/>
      <c r="G16" s="211"/>
      <c r="H16" s="212"/>
      <c r="I16" s="147"/>
      <c r="J16" s="172" t="str">
        <f>CONCATENATE("Renewables Requirement: ",ROUND(INDEX(Dispatch!B233:L233,1,MATCH(Current_Round,Dispatch!B230:L230,0))*100,1),"%")</f>
        <v>Renewables Requirement: 0%</v>
      </c>
      <c r="K16" s="169"/>
      <c r="L16" s="168"/>
      <c r="M16" s="147"/>
      <c r="N16" s="147"/>
      <c r="O16" s="147"/>
      <c r="P16" s="147"/>
      <c r="Q16" s="147"/>
      <c r="R16" s="147"/>
      <c r="S16" s="147"/>
      <c r="T16" s="147"/>
      <c r="U16" s="147"/>
      <c r="V16" s="147"/>
      <c r="W16" s="147"/>
      <c r="X16" s="147"/>
      <c r="Y16" s="147"/>
    </row>
    <row r="17" spans="1:25" ht="15" customHeight="1" x14ac:dyDescent="0.25">
      <c r="A17" s="147"/>
      <c r="B17" s="147"/>
      <c r="C17" s="147"/>
      <c r="D17" s="214"/>
      <c r="E17" s="175"/>
      <c r="F17" s="147"/>
      <c r="G17" s="211"/>
      <c r="H17" s="212"/>
      <c r="I17" s="147"/>
      <c r="J17" s="172" t="str">
        <f>CONCATENATE("Carbon Price This Year: $",ROUND(INDEX(Dispatch!$B$21:$L$21,1,MATCH('Event Tracker'!$P$1,Dispatch!$B$20:$L$20,0)), 2))</f>
        <v>Carbon Price This Year: $0</v>
      </c>
      <c r="K17" s="169"/>
      <c r="L17" s="168"/>
      <c r="M17" s="147"/>
      <c r="N17" s="147"/>
      <c r="O17" s="147"/>
      <c r="P17" s="147"/>
      <c r="Q17" s="147"/>
      <c r="R17" s="147"/>
      <c r="S17" s="147"/>
      <c r="T17" s="147"/>
      <c r="U17" s="147"/>
      <c r="V17" s="147"/>
      <c r="W17" s="147"/>
      <c r="X17" s="147"/>
      <c r="Y17" s="147"/>
    </row>
    <row r="18" spans="1:25" ht="15" customHeight="1" thickBot="1" x14ac:dyDescent="0.3">
      <c r="A18" s="147"/>
      <c r="B18" s="147"/>
      <c r="C18" s="147"/>
      <c r="D18" s="214"/>
      <c r="E18" s="175"/>
      <c r="F18" s="147"/>
      <c r="G18" s="211"/>
      <c r="H18" s="212"/>
      <c r="I18" s="147"/>
      <c r="J18" s="173" t="str">
        <f>CONCATENATE("Carbon Price Next Year: $",ROUND(INDEX(Dispatch!$B$21:$L$21,1,MATCH('Event Tracker'!$P$1,Dispatch!$B$20:$L$20,0)+1),2))</f>
        <v>Carbon Price Next Year: $0</v>
      </c>
      <c r="K18" s="170"/>
      <c r="L18" s="171"/>
      <c r="M18" s="147"/>
      <c r="N18" s="147"/>
      <c r="O18" s="147"/>
      <c r="P18" s="147"/>
      <c r="Q18" s="147"/>
      <c r="R18" s="147"/>
      <c r="S18" s="147"/>
      <c r="T18" s="147"/>
      <c r="U18" s="147"/>
      <c r="V18" s="147"/>
      <c r="W18" s="147"/>
      <c r="X18" s="147"/>
      <c r="Y18" s="147"/>
    </row>
    <row r="19" spans="1:25" ht="15" customHeight="1" thickBot="1" x14ac:dyDescent="0.25">
      <c r="A19" s="147"/>
      <c r="B19" s="147"/>
      <c r="C19" s="147"/>
      <c r="D19" s="214"/>
      <c r="E19" s="175"/>
      <c r="F19" s="147"/>
      <c r="G19" s="211"/>
      <c r="H19" s="212"/>
      <c r="I19" s="147"/>
      <c r="J19" s="147"/>
      <c r="K19" s="147"/>
      <c r="L19" s="147"/>
      <c r="M19" s="147"/>
      <c r="N19" s="147"/>
      <c r="O19" s="147"/>
      <c r="P19" s="147"/>
      <c r="Q19" s="147"/>
      <c r="R19" s="147"/>
      <c r="S19" s="147"/>
      <c r="T19" s="147"/>
      <c r="U19" s="147"/>
      <c r="V19" s="147"/>
      <c r="W19" s="147"/>
      <c r="X19" s="147"/>
      <c r="Y19" s="147"/>
    </row>
    <row r="20" spans="1:25" ht="15" customHeight="1" x14ac:dyDescent="0.2">
      <c r="A20" s="147"/>
      <c r="B20" s="147"/>
      <c r="C20" s="147"/>
      <c r="D20" s="214"/>
      <c r="E20" s="175"/>
      <c r="F20" s="147"/>
      <c r="G20" s="211"/>
      <c r="H20" s="212"/>
      <c r="I20" s="147"/>
      <c r="J20" s="223" t="s">
        <v>521</v>
      </c>
      <c r="K20" s="224"/>
      <c r="L20" s="225"/>
      <c r="M20" s="147"/>
      <c r="N20" s="147"/>
      <c r="O20" s="147"/>
      <c r="P20" s="147"/>
      <c r="Q20" s="147"/>
      <c r="R20" s="147"/>
      <c r="S20" s="147"/>
      <c r="T20" s="147"/>
      <c r="U20" s="147"/>
      <c r="V20" s="147"/>
      <c r="W20" s="147"/>
      <c r="X20" s="147"/>
      <c r="Y20" s="147"/>
    </row>
    <row r="21" spans="1:25" ht="45" customHeight="1" thickBot="1" x14ac:dyDescent="0.25">
      <c r="A21" s="147"/>
      <c r="B21" s="147"/>
      <c r="C21" s="147"/>
      <c r="D21" s="215" t="s">
        <v>522</v>
      </c>
      <c r="E21" s="175"/>
      <c r="F21" s="147"/>
      <c r="G21" s="209" t="s">
        <v>372</v>
      </c>
      <c r="H21" s="212"/>
      <c r="I21" s="147"/>
      <c r="J21" s="200" t="e">
        <f>IF('Game Properties'!$AD$2=1,"You must build more flexibility to support additional utility scale solar PV power",IF('Game Properties'!$AD$3=1,"You must build more flexibility to support additional wind power",IF('Game Properties'!$AD$4=1,"You must build more flexibility to support additional distributed solar PV power",IF('Game Properties'!$AD$5=1,"You have reached the limit that energy efficiency can contribute to total load",""))))</f>
        <v>#VALUE!</v>
      </c>
      <c r="K21" s="201"/>
      <c r="L21" s="202"/>
      <c r="M21" s="147"/>
      <c r="N21" s="147"/>
      <c r="O21" s="147"/>
      <c r="P21" s="147"/>
      <c r="Q21" s="147"/>
      <c r="R21" s="147"/>
      <c r="S21" s="147"/>
      <c r="T21" s="147"/>
      <c r="U21" s="147"/>
      <c r="V21" s="147"/>
      <c r="W21" s="147"/>
      <c r="X21" s="147"/>
      <c r="Y21" s="147"/>
    </row>
    <row r="22" spans="1:25" ht="15" customHeight="1" x14ac:dyDescent="0.2">
      <c r="A22" s="147"/>
      <c r="B22" s="147"/>
      <c r="C22" s="147"/>
      <c r="D22" s="215"/>
      <c r="E22" s="175"/>
      <c r="F22" s="147"/>
      <c r="G22" s="209"/>
      <c r="H22" s="212"/>
      <c r="I22" s="147"/>
      <c r="J22" s="147"/>
      <c r="K22" s="147"/>
      <c r="L22" s="147"/>
      <c r="M22" s="147"/>
      <c r="N22" s="147"/>
      <c r="O22" s="147"/>
      <c r="P22" s="147"/>
      <c r="Q22" s="147"/>
      <c r="R22" s="147"/>
      <c r="S22" s="147"/>
      <c r="T22" s="147"/>
      <c r="U22" s="147"/>
      <c r="V22" s="147"/>
      <c r="W22" s="147"/>
      <c r="X22" s="147"/>
      <c r="Y22" s="147"/>
    </row>
    <row r="23" spans="1:25" ht="15" customHeight="1" x14ac:dyDescent="0.2">
      <c r="A23" s="147"/>
      <c r="B23" s="147"/>
      <c r="C23" s="147"/>
      <c r="D23" s="215"/>
      <c r="E23" s="175"/>
      <c r="F23" s="147"/>
      <c r="G23" s="209"/>
      <c r="H23" s="212"/>
      <c r="I23" s="147"/>
      <c r="J23" s="147"/>
      <c r="K23" s="147"/>
      <c r="L23" s="147"/>
      <c r="M23" s="147"/>
      <c r="N23" s="147"/>
      <c r="O23" s="147"/>
      <c r="P23" s="147"/>
      <c r="Q23" s="147"/>
      <c r="R23" s="147"/>
      <c r="S23" s="147"/>
      <c r="T23" s="147"/>
      <c r="U23" s="147"/>
      <c r="V23" s="147"/>
      <c r="W23" s="147"/>
      <c r="X23" s="147"/>
      <c r="Y23" s="147"/>
    </row>
    <row r="24" spans="1:25" ht="15" customHeight="1" x14ac:dyDescent="0.2">
      <c r="A24" s="147"/>
      <c r="B24" s="147"/>
      <c r="C24" s="147"/>
      <c r="D24" s="215"/>
      <c r="E24" s="175"/>
      <c r="F24" s="147"/>
      <c r="G24" s="209"/>
      <c r="H24" s="212"/>
      <c r="I24" s="147"/>
      <c r="J24" s="147"/>
      <c r="K24" s="147"/>
      <c r="L24" s="147"/>
      <c r="M24" s="147"/>
      <c r="N24" s="147"/>
      <c r="O24" s="147"/>
      <c r="P24" s="147"/>
      <c r="Q24" s="147"/>
      <c r="R24" s="147"/>
      <c r="S24" s="147"/>
      <c r="T24" s="147"/>
      <c r="U24" s="147"/>
      <c r="V24" s="147"/>
      <c r="W24" s="147"/>
      <c r="X24" s="147"/>
      <c r="Y24" s="147"/>
    </row>
    <row r="25" spans="1:25" ht="15" customHeight="1" thickBot="1" x14ac:dyDescent="0.25">
      <c r="A25" s="147"/>
      <c r="B25" s="147"/>
      <c r="C25" s="147"/>
      <c r="D25" s="216"/>
      <c r="E25" s="176"/>
      <c r="F25" s="147"/>
      <c r="G25" s="210"/>
      <c r="H25" s="213"/>
      <c r="I25" s="147"/>
      <c r="J25" s="147"/>
      <c r="K25" s="147"/>
      <c r="L25" s="147"/>
      <c r="M25" s="147"/>
      <c r="N25" s="147"/>
      <c r="O25" s="147"/>
      <c r="P25" s="147"/>
      <c r="Q25" s="147"/>
      <c r="R25" s="147"/>
      <c r="S25" s="147"/>
      <c r="T25" s="147"/>
      <c r="U25" s="147"/>
      <c r="V25" s="147"/>
      <c r="W25" s="147"/>
      <c r="X25" s="147"/>
      <c r="Y25" s="147"/>
    </row>
    <row r="26" spans="1:25" ht="29.1" customHeight="1" x14ac:dyDescent="0.2">
      <c r="A26" s="147"/>
      <c r="B26" s="147"/>
      <c r="C26" s="147"/>
      <c r="D26" s="147"/>
      <c r="E26" s="147"/>
      <c r="F26" s="147"/>
      <c r="G26" s="147"/>
      <c r="H26" s="147"/>
      <c r="I26" s="147"/>
      <c r="J26" s="147"/>
      <c r="K26" s="147"/>
      <c r="L26" s="147"/>
      <c r="M26" s="147"/>
      <c r="N26" s="147"/>
      <c r="O26" s="147"/>
      <c r="P26" s="147"/>
      <c r="Q26" s="147"/>
      <c r="R26" s="147"/>
      <c r="S26" s="147"/>
      <c r="T26" s="147"/>
      <c r="U26" s="147"/>
      <c r="V26" s="147"/>
      <c r="W26" s="147"/>
      <c r="X26" s="147"/>
      <c r="Y26" s="147"/>
    </row>
    <row r="27" spans="1:25" ht="14.45" customHeight="1" x14ac:dyDescent="0.2">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row>
    <row r="28" spans="1:25" s="147" customFormat="1" ht="14.45" customHeight="1" x14ac:dyDescent="0.2"/>
    <row r="29" spans="1:25" s="147" customFormat="1" ht="14.45" customHeight="1" x14ac:dyDescent="0.2"/>
    <row r="30" spans="1:25" s="147" customFormat="1" ht="14.45" customHeight="1" x14ac:dyDescent="0.2"/>
    <row r="31" spans="1:25" s="147" customFormat="1" ht="14.45" customHeight="1" x14ac:dyDescent="0.2"/>
    <row r="32" spans="1:25" s="147" customFormat="1" ht="14.45" customHeight="1" x14ac:dyDescent="0.2"/>
    <row r="33" s="147" customFormat="1" ht="14.45" customHeight="1" x14ac:dyDescent="0.2"/>
    <row r="34" s="147" customFormat="1" ht="14.45" customHeight="1" x14ac:dyDescent="0.2"/>
    <row r="35" s="147" customFormat="1" ht="14.45" customHeight="1" x14ac:dyDescent="0.2"/>
    <row r="36" s="147" customFormat="1" ht="14.45" customHeight="1" x14ac:dyDescent="0.2"/>
    <row r="37" s="147" customFormat="1" ht="14.45" customHeight="1" x14ac:dyDescent="0.2"/>
    <row r="38" s="147" customFormat="1" ht="14.45" customHeight="1" x14ac:dyDescent="0.2"/>
    <row r="39" s="147" customFormat="1" ht="15" customHeight="1" x14ac:dyDescent="0.2"/>
    <row r="40" s="147" customFormat="1" x14ac:dyDescent="0.2"/>
    <row r="41" s="147" customFormat="1" x14ac:dyDescent="0.2"/>
    <row r="42" s="147" customFormat="1" x14ac:dyDescent="0.2"/>
    <row r="43" s="147" customFormat="1" x14ac:dyDescent="0.2"/>
    <row r="44" s="147" customFormat="1" x14ac:dyDescent="0.2"/>
    <row r="45" s="147" customFormat="1" x14ac:dyDescent="0.2"/>
    <row r="46" s="147" customFormat="1" x14ac:dyDescent="0.2"/>
    <row r="47" s="147" customFormat="1" x14ac:dyDescent="0.2"/>
    <row r="48" s="147" customFormat="1" x14ac:dyDescent="0.2"/>
    <row r="49" s="147" customFormat="1" x14ac:dyDescent="0.2"/>
    <row r="50" s="147" customFormat="1" x14ac:dyDescent="0.2"/>
    <row r="51" s="147" customFormat="1" x14ac:dyDescent="0.2"/>
    <row r="52" s="147" customFormat="1" x14ac:dyDescent="0.2"/>
    <row r="53" s="147" customFormat="1" x14ac:dyDescent="0.2"/>
    <row r="54" s="147" customFormat="1" x14ac:dyDescent="0.2"/>
    <row r="55" s="147" customFormat="1" x14ac:dyDescent="0.2"/>
  </sheetData>
  <mergeCells count="24">
    <mergeCell ref="J14:L14"/>
    <mergeCell ref="J9:L9"/>
    <mergeCell ref="A1:L1"/>
    <mergeCell ref="A2:L2"/>
    <mergeCell ref="J3:L3"/>
    <mergeCell ref="J4:L4"/>
    <mergeCell ref="D3:E3"/>
    <mergeCell ref="G3:H3"/>
    <mergeCell ref="J21:L21"/>
    <mergeCell ref="D14:E14"/>
    <mergeCell ref="D4:D12"/>
    <mergeCell ref="E4:E12"/>
    <mergeCell ref="G21:G25"/>
    <mergeCell ref="G15:G20"/>
    <mergeCell ref="H15:H25"/>
    <mergeCell ref="G14:H14"/>
    <mergeCell ref="D15:D20"/>
    <mergeCell ref="D21:D25"/>
    <mergeCell ref="J10:L12"/>
    <mergeCell ref="J20:L20"/>
    <mergeCell ref="J7:L7"/>
    <mergeCell ref="J6:L6"/>
    <mergeCell ref="G4:G12"/>
    <mergeCell ref="H4:H12"/>
  </mergeCells>
  <conditionalFormatting sqref="J15:L16">
    <cfRule type="expression" dxfId="6" priority="2">
      <formula>Renewables_Generation&lt;Renewables_Requirement</formula>
    </cfRule>
  </conditionalFormatting>
  <conditionalFormatting sqref="J21:L21">
    <cfRule type="expression" dxfId="5" priority="1">
      <formula>OR(UtilityPV_Limit=1,Wind_Limit=1,DistributedPV_Limit=1,EE_Limit=1)</formula>
    </cfRule>
  </conditionalFormatting>
  <conditionalFormatting sqref="J7">
    <cfRule type="expression" dxfId="4" priority="10">
      <formula>INDEX(Reserve_Margin_Error,1,Current_Round)&gt;0</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3" id="{0D67E445-6E47-4FEF-97D3-F1155301F97B}">
            <xm:f>'Game Properties'!$K$3="No"</xm:f>
            <x14:dxf>
              <font>
                <color theme="0"/>
              </font>
              <fill>
                <patternFill>
                  <bgColor theme="0"/>
                </patternFill>
              </fill>
              <border>
                <left/>
                <right/>
                <top/>
                <bottom/>
                <vertical/>
                <horizontal/>
              </border>
            </x14:dxf>
          </x14:cfRule>
          <xm:sqref>J3:L4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0" tint="-0.249977111117893"/>
  </sheetPr>
  <dimension ref="A1:P147"/>
  <sheetViews>
    <sheetView workbookViewId="0">
      <selection activeCell="A20" sqref="A20:B21"/>
    </sheetView>
  </sheetViews>
  <sheetFormatPr defaultRowHeight="15" x14ac:dyDescent="0.25"/>
  <cols>
    <col min="1" max="1" width="55.28515625" customWidth="1"/>
    <col min="15" max="15" width="14.5703125" bestFit="1" customWidth="1"/>
  </cols>
  <sheetData>
    <row r="1" spans="1:16" ht="15.75" thickBot="1" x14ac:dyDescent="0.3">
      <c r="A1" s="9" t="s">
        <v>197</v>
      </c>
      <c r="B1" s="9">
        <v>0</v>
      </c>
      <c r="C1" s="9">
        <v>1</v>
      </c>
      <c r="D1" s="9">
        <v>2</v>
      </c>
      <c r="E1" s="9">
        <v>3</v>
      </c>
      <c r="F1" s="9">
        <v>4</v>
      </c>
      <c r="G1" s="9">
        <v>5</v>
      </c>
      <c r="H1" s="9">
        <v>6</v>
      </c>
      <c r="I1" s="9">
        <v>7</v>
      </c>
      <c r="J1" s="9">
        <v>8</v>
      </c>
      <c r="K1" s="9">
        <v>9</v>
      </c>
      <c r="L1" s="9">
        <v>10</v>
      </c>
      <c r="O1" t="s">
        <v>264</v>
      </c>
      <c r="P1" s="100">
        <f t="array" ref="P1">IF(MAX(B17:L17)=0,0,MAX(IF(B17:L17=1,B16:L16))+1)</f>
        <v>0</v>
      </c>
    </row>
    <row r="2" spans="1:16" x14ac:dyDescent="0.25">
      <c r="A2" t="s">
        <v>3</v>
      </c>
      <c r="B2">
        <v>0</v>
      </c>
      <c r="C2">
        <f t="shared" ref="C2:L2" si="0">IF(AND(C52=1,B52=0),1,IF(Current_Round&gt;C$1,IF(B2=1,1,0),IF(B2=1,1,0)))</f>
        <v>0</v>
      </c>
      <c r="D2">
        <f t="shared" si="0"/>
        <v>0</v>
      </c>
      <c r="E2">
        <f t="shared" si="0"/>
        <v>0</v>
      </c>
      <c r="F2">
        <f t="shared" si="0"/>
        <v>0</v>
      </c>
      <c r="G2">
        <f t="shared" si="0"/>
        <v>0</v>
      </c>
      <c r="H2">
        <f t="shared" si="0"/>
        <v>0</v>
      </c>
      <c r="I2">
        <f t="shared" si="0"/>
        <v>0</v>
      </c>
      <c r="J2">
        <f t="shared" si="0"/>
        <v>0</v>
      </c>
      <c r="K2">
        <f t="shared" si="0"/>
        <v>0</v>
      </c>
      <c r="L2">
        <f t="shared" si="0"/>
        <v>0</v>
      </c>
    </row>
    <row r="3" spans="1:16" x14ac:dyDescent="0.25">
      <c r="A3" t="s">
        <v>2</v>
      </c>
      <c r="B3">
        <v>0</v>
      </c>
      <c r="C3">
        <f t="shared" ref="C3:L3" si="1">IF(AND(C53=1,B53=0),1,IF(Current_Round&gt;C$1,IF(B3=1,1,0),IF(B3=1,1,0)))</f>
        <v>0</v>
      </c>
      <c r="D3">
        <f t="shared" si="1"/>
        <v>0</v>
      </c>
      <c r="E3">
        <f t="shared" si="1"/>
        <v>0</v>
      </c>
      <c r="F3">
        <f t="shared" si="1"/>
        <v>0</v>
      </c>
      <c r="G3">
        <f t="shared" si="1"/>
        <v>0</v>
      </c>
      <c r="H3">
        <f t="shared" si="1"/>
        <v>0</v>
      </c>
      <c r="I3">
        <f t="shared" si="1"/>
        <v>0</v>
      </c>
      <c r="J3">
        <f t="shared" si="1"/>
        <v>0</v>
      </c>
      <c r="K3">
        <f t="shared" si="1"/>
        <v>0</v>
      </c>
      <c r="L3">
        <f t="shared" si="1"/>
        <v>0</v>
      </c>
    </row>
    <row r="4" spans="1:16" x14ac:dyDescent="0.25">
      <c r="A4" t="s">
        <v>240</v>
      </c>
      <c r="B4">
        <f>IF(AND(B54=1,A54=0),1,IF(Current_Round&gt;B$1,IF(A4=1,1,0),IF(A4=1,1,0)))</f>
        <v>0</v>
      </c>
      <c r="C4">
        <f t="shared" ref="C4:L4" si="2">IF(AND(C54=1,B54=0),1,IF(Current_Round&gt;C$1,IF(B4=1,1,0),IF(B4=1,1,0)))</f>
        <v>0</v>
      </c>
      <c r="D4">
        <f t="shared" si="2"/>
        <v>0</v>
      </c>
      <c r="E4">
        <f t="shared" si="2"/>
        <v>0</v>
      </c>
      <c r="F4">
        <f t="shared" si="2"/>
        <v>0</v>
      </c>
      <c r="G4">
        <f t="shared" si="2"/>
        <v>0</v>
      </c>
      <c r="H4">
        <f t="shared" si="2"/>
        <v>0</v>
      </c>
      <c r="I4">
        <f t="shared" si="2"/>
        <v>0</v>
      </c>
      <c r="J4">
        <f t="shared" si="2"/>
        <v>0</v>
      </c>
      <c r="K4">
        <f t="shared" si="2"/>
        <v>0</v>
      </c>
      <c r="L4">
        <f t="shared" si="2"/>
        <v>0</v>
      </c>
    </row>
    <row r="5" spans="1:16" x14ac:dyDescent="0.25">
      <c r="A5" t="s">
        <v>1</v>
      </c>
      <c r="B5">
        <f>IF(AND(B55=1,A55=0),1,IF(Current_Round&gt;B$1,IF(A5=1,1,0),IF(A5=1,1,0)))</f>
        <v>0</v>
      </c>
      <c r="C5">
        <f t="shared" ref="C5:L5" si="3">IF(AND(C55=1,B55=0),1,IF(Current_Round&gt;C$1,IF(B5=1,1,0),IF(B5=1,1,0)))</f>
        <v>0</v>
      </c>
      <c r="D5">
        <f t="shared" si="3"/>
        <v>0</v>
      </c>
      <c r="E5">
        <f t="shared" si="3"/>
        <v>0</v>
      </c>
      <c r="F5">
        <f t="shared" si="3"/>
        <v>0</v>
      </c>
      <c r="G5">
        <f t="shared" si="3"/>
        <v>0</v>
      </c>
      <c r="H5">
        <f t="shared" si="3"/>
        <v>0</v>
      </c>
      <c r="I5">
        <f t="shared" si="3"/>
        <v>0</v>
      </c>
      <c r="J5">
        <f t="shared" si="3"/>
        <v>0</v>
      </c>
      <c r="K5">
        <f t="shared" si="3"/>
        <v>0</v>
      </c>
      <c r="L5">
        <f t="shared" si="3"/>
        <v>0</v>
      </c>
    </row>
    <row r="6" spans="1:16" x14ac:dyDescent="0.25">
      <c r="A6" t="s">
        <v>239</v>
      </c>
      <c r="B6">
        <f>IF(AND(B56=1,A56=0),1,IF(Current_Round&gt;B$1,IF(A6=1,1,0),IF(A6=1,1,0)))</f>
        <v>0</v>
      </c>
      <c r="C6">
        <f t="shared" ref="C6:L6" si="4">IF(AND(C56=1,B56=0),1,IF(Current_Round&gt;C$1,IF(B6=1,1,0),IF(B6=1,1,0)))</f>
        <v>0</v>
      </c>
      <c r="D6">
        <f t="shared" si="4"/>
        <v>0</v>
      </c>
      <c r="E6">
        <f t="shared" si="4"/>
        <v>0</v>
      </c>
      <c r="F6">
        <f t="shared" si="4"/>
        <v>0</v>
      </c>
      <c r="G6">
        <f t="shared" si="4"/>
        <v>0</v>
      </c>
      <c r="H6">
        <f t="shared" si="4"/>
        <v>0</v>
      </c>
      <c r="I6">
        <f t="shared" si="4"/>
        <v>0</v>
      </c>
      <c r="J6">
        <f t="shared" si="4"/>
        <v>0</v>
      </c>
      <c r="K6">
        <f t="shared" si="4"/>
        <v>0</v>
      </c>
      <c r="L6">
        <f t="shared" si="4"/>
        <v>0</v>
      </c>
    </row>
    <row r="7" spans="1:16" x14ac:dyDescent="0.25">
      <c r="A7" t="s">
        <v>281</v>
      </c>
      <c r="B7">
        <f>IF(AND(B57=1,A57=0),1,IF(Current_Round&gt;B$1,IF(A7=1,1,0),IF(A7=1,1,0)))</f>
        <v>0</v>
      </c>
      <c r="C7">
        <f t="shared" ref="C7:L7" si="5">IF(AND(C57=1,B57=0),1,IF(Current_Round&gt;C$1,IF(B7=1,1,0),IF(B7=1,1,0)))</f>
        <v>0</v>
      </c>
      <c r="D7">
        <f t="shared" si="5"/>
        <v>0</v>
      </c>
      <c r="E7">
        <f t="shared" si="5"/>
        <v>0</v>
      </c>
      <c r="F7">
        <f t="shared" si="5"/>
        <v>0</v>
      </c>
      <c r="G7">
        <f t="shared" si="5"/>
        <v>0</v>
      </c>
      <c r="H7">
        <f t="shared" si="5"/>
        <v>0</v>
      </c>
      <c r="I7">
        <f t="shared" si="5"/>
        <v>0</v>
      </c>
      <c r="J7">
        <f t="shared" si="5"/>
        <v>0</v>
      </c>
      <c r="K7">
        <f t="shared" si="5"/>
        <v>0</v>
      </c>
      <c r="L7">
        <f t="shared" si="5"/>
        <v>0</v>
      </c>
    </row>
    <row r="8" spans="1:16" x14ac:dyDescent="0.25">
      <c r="A8" t="s">
        <v>441</v>
      </c>
      <c r="B8">
        <v>0</v>
      </c>
      <c r="C8">
        <f t="shared" ref="C8:L8" si="6">IF(AND(C58=1,B58=0),1,IF(Current_Round&gt;C$1,IF(B8=1,1,0),IF(B8=1,1,0)))</f>
        <v>0</v>
      </c>
      <c r="D8">
        <f t="shared" si="6"/>
        <v>0</v>
      </c>
      <c r="E8">
        <f t="shared" si="6"/>
        <v>0</v>
      </c>
      <c r="F8">
        <f t="shared" si="6"/>
        <v>0</v>
      </c>
      <c r="G8">
        <f t="shared" si="6"/>
        <v>0</v>
      </c>
      <c r="H8">
        <f t="shared" si="6"/>
        <v>0</v>
      </c>
      <c r="I8">
        <f t="shared" si="6"/>
        <v>0</v>
      </c>
      <c r="J8">
        <f t="shared" si="6"/>
        <v>0</v>
      </c>
      <c r="K8">
        <f t="shared" si="6"/>
        <v>0</v>
      </c>
      <c r="L8">
        <f t="shared" si="6"/>
        <v>0</v>
      </c>
    </row>
    <row r="9" spans="1:16" x14ac:dyDescent="0.25">
      <c r="A9" t="s">
        <v>550</v>
      </c>
      <c r="B9">
        <v>0</v>
      </c>
      <c r="C9">
        <f t="shared" ref="C9:L9" si="7">IF(AND(C59=1,B59=0),1,IF(Current_Round&gt;C$1,IF(B9=1,1,0),IF(B9=1,1,0)))</f>
        <v>0</v>
      </c>
      <c r="D9">
        <f t="shared" si="7"/>
        <v>0</v>
      </c>
      <c r="E9">
        <f t="shared" si="7"/>
        <v>0</v>
      </c>
      <c r="F9">
        <f t="shared" si="7"/>
        <v>0</v>
      </c>
      <c r="G9">
        <f t="shared" si="7"/>
        <v>0</v>
      </c>
      <c r="H9">
        <f t="shared" si="7"/>
        <v>0</v>
      </c>
      <c r="I9">
        <f t="shared" si="7"/>
        <v>0</v>
      </c>
      <c r="J9">
        <f t="shared" si="7"/>
        <v>0</v>
      </c>
      <c r="K9">
        <f t="shared" si="7"/>
        <v>0</v>
      </c>
      <c r="L9">
        <f t="shared" si="7"/>
        <v>0</v>
      </c>
    </row>
    <row r="11" spans="1:16" x14ac:dyDescent="0.25">
      <c r="A11" s="9" t="s">
        <v>198</v>
      </c>
      <c r="B11" s="9">
        <v>0</v>
      </c>
      <c r="C11" s="9">
        <v>1</v>
      </c>
      <c r="D11" s="9">
        <v>2</v>
      </c>
      <c r="E11" s="9">
        <v>3</v>
      </c>
      <c r="F11" s="9">
        <v>4</v>
      </c>
      <c r="G11" s="9">
        <v>5</v>
      </c>
      <c r="H11" s="9">
        <v>6</v>
      </c>
      <c r="I11" s="9">
        <v>7</v>
      </c>
      <c r="J11" s="9">
        <v>8</v>
      </c>
      <c r="K11" s="9">
        <v>9</v>
      </c>
      <c r="L11" s="9">
        <v>10</v>
      </c>
    </row>
    <row r="12" spans="1:16" x14ac:dyDescent="0.25">
      <c r="A12" t="s">
        <v>4</v>
      </c>
      <c r="B12">
        <f>B62</f>
        <v>0</v>
      </c>
      <c r="C12">
        <f t="shared" ref="C12:L12" si="8">C62</f>
        <v>0</v>
      </c>
      <c r="D12">
        <f t="shared" si="8"/>
        <v>0</v>
      </c>
      <c r="E12">
        <f t="shared" si="8"/>
        <v>0</v>
      </c>
      <c r="F12">
        <f t="shared" si="8"/>
        <v>0</v>
      </c>
      <c r="G12">
        <f t="shared" si="8"/>
        <v>0</v>
      </c>
      <c r="H12">
        <f t="shared" si="8"/>
        <v>0</v>
      </c>
      <c r="I12">
        <f t="shared" si="8"/>
        <v>0</v>
      </c>
      <c r="J12">
        <f t="shared" si="8"/>
        <v>0</v>
      </c>
      <c r="K12">
        <f t="shared" si="8"/>
        <v>0</v>
      </c>
      <c r="L12">
        <f t="shared" si="8"/>
        <v>0</v>
      </c>
    </row>
    <row r="13" spans="1:16" x14ac:dyDescent="0.25">
      <c r="A13" t="s">
        <v>6</v>
      </c>
      <c r="B13">
        <f t="shared" ref="B13:L13" si="9">B63</f>
        <v>0</v>
      </c>
      <c r="C13">
        <f t="shared" si="9"/>
        <v>0</v>
      </c>
      <c r="D13">
        <f t="shared" si="9"/>
        <v>0</v>
      </c>
      <c r="E13">
        <f t="shared" si="9"/>
        <v>0</v>
      </c>
      <c r="F13">
        <f t="shared" si="9"/>
        <v>0</v>
      </c>
      <c r="G13">
        <f t="shared" si="9"/>
        <v>0</v>
      </c>
      <c r="H13">
        <f t="shared" si="9"/>
        <v>0</v>
      </c>
      <c r="I13">
        <f t="shared" si="9"/>
        <v>0</v>
      </c>
      <c r="J13">
        <f t="shared" si="9"/>
        <v>0</v>
      </c>
      <c r="K13">
        <f t="shared" si="9"/>
        <v>0</v>
      </c>
      <c r="L13">
        <f t="shared" si="9"/>
        <v>0</v>
      </c>
    </row>
    <row r="14" spans="1:16" x14ac:dyDescent="0.25">
      <c r="A14" t="s">
        <v>5</v>
      </c>
      <c r="B14">
        <f>IF(A64=1,1,B64)</f>
        <v>0</v>
      </c>
      <c r="C14">
        <f t="shared" ref="C14:L14" si="10">IF(B14=1,1,C64)</f>
        <v>0</v>
      </c>
      <c r="D14">
        <f t="shared" si="10"/>
        <v>0</v>
      </c>
      <c r="E14">
        <f t="shared" si="10"/>
        <v>0</v>
      </c>
      <c r="F14">
        <f t="shared" si="10"/>
        <v>0</v>
      </c>
      <c r="G14">
        <f t="shared" si="10"/>
        <v>0</v>
      </c>
      <c r="H14">
        <f t="shared" si="10"/>
        <v>0</v>
      </c>
      <c r="I14">
        <f t="shared" si="10"/>
        <v>0</v>
      </c>
      <c r="J14">
        <f t="shared" si="10"/>
        <v>0</v>
      </c>
      <c r="K14">
        <f t="shared" si="10"/>
        <v>0</v>
      </c>
      <c r="L14">
        <f t="shared" si="10"/>
        <v>0</v>
      </c>
    </row>
    <row r="16" spans="1:16" x14ac:dyDescent="0.25">
      <c r="A16" s="9" t="s">
        <v>266</v>
      </c>
      <c r="B16" s="9">
        <v>0</v>
      </c>
      <c r="C16" s="9">
        <v>1</v>
      </c>
      <c r="D16" s="9">
        <v>2</v>
      </c>
      <c r="E16" s="9">
        <v>3</v>
      </c>
      <c r="F16" s="9">
        <v>4</v>
      </c>
      <c r="G16" s="9">
        <v>5</v>
      </c>
      <c r="H16" s="9">
        <v>6</v>
      </c>
      <c r="I16" s="9">
        <v>7</v>
      </c>
      <c r="J16" s="9">
        <v>8</v>
      </c>
      <c r="K16" s="9">
        <v>9</v>
      </c>
      <c r="L16" s="9">
        <v>10</v>
      </c>
    </row>
    <row r="17" spans="1:12" x14ac:dyDescent="0.25">
      <c r="B17">
        <v>0</v>
      </c>
      <c r="C17">
        <v>0</v>
      </c>
      <c r="D17">
        <v>0</v>
      </c>
      <c r="E17">
        <v>0</v>
      </c>
      <c r="F17">
        <v>0</v>
      </c>
      <c r="G17">
        <v>0</v>
      </c>
      <c r="H17">
        <v>0</v>
      </c>
      <c r="I17">
        <v>0</v>
      </c>
      <c r="J17">
        <v>0</v>
      </c>
      <c r="K17">
        <v>0</v>
      </c>
      <c r="L17">
        <v>0</v>
      </c>
    </row>
    <row r="19" spans="1:12" x14ac:dyDescent="0.25">
      <c r="A19" s="9" t="s">
        <v>395</v>
      </c>
      <c r="B19" s="9"/>
    </row>
    <row r="20" spans="1:12" x14ac:dyDescent="0.25">
      <c r="A20" t="s">
        <v>392</v>
      </c>
      <c r="B20">
        <f>IF('Initial Setup'!$B$3='Event Tracker'!$A$20,1,0)</f>
        <v>0</v>
      </c>
    </row>
    <row r="21" spans="1:12" x14ac:dyDescent="0.25">
      <c r="A21" t="s">
        <v>476</v>
      </c>
      <c r="B21">
        <f>IF('Initial Setup'!$B$3='Event Tracker'!$A$21,1,0)</f>
        <v>0</v>
      </c>
    </row>
    <row r="22" spans="1:12" x14ac:dyDescent="0.25">
      <c r="A22" t="s">
        <v>393</v>
      </c>
      <c r="B22">
        <f>IF('Initial Setup'!$B$3='Event Tracker'!$A$22,1,0)</f>
        <v>0</v>
      </c>
    </row>
    <row r="23" spans="1:12" x14ac:dyDescent="0.25">
      <c r="A23" t="s">
        <v>391</v>
      </c>
      <c r="B23">
        <f>IF('Initial Setup'!$B$3='Event Tracker'!$A$23,1,0)</f>
        <v>0</v>
      </c>
    </row>
    <row r="24" spans="1:12" x14ac:dyDescent="0.25">
      <c r="A24" t="s">
        <v>394</v>
      </c>
      <c r="B24">
        <f>IF('Initial Setup'!$B$3='Event Tracker'!$A$24,1,0)</f>
        <v>0</v>
      </c>
    </row>
    <row r="26" spans="1:12" x14ac:dyDescent="0.25">
      <c r="A26" s="129" t="s">
        <v>396</v>
      </c>
      <c r="B26" s="129"/>
    </row>
    <row r="27" spans="1:12" x14ac:dyDescent="0.25">
      <c r="A27" t="s">
        <v>397</v>
      </c>
      <c r="B27">
        <f>IF(OR(B20=1,B21=1),1,0)</f>
        <v>0</v>
      </c>
    </row>
    <row r="28" spans="1:12" x14ac:dyDescent="0.25">
      <c r="A28" t="s">
        <v>398</v>
      </c>
      <c r="B28">
        <f>IF(OR(B20=1,B21=1),1,0)</f>
        <v>0</v>
      </c>
    </row>
    <row r="29" spans="1:12" x14ac:dyDescent="0.25">
      <c r="A29" t="s">
        <v>399</v>
      </c>
      <c r="B29">
        <f>1</f>
        <v>1</v>
      </c>
    </row>
    <row r="31" spans="1:12" x14ac:dyDescent="0.25">
      <c r="A31" s="9" t="s">
        <v>428</v>
      </c>
      <c r="B31" s="9">
        <v>0</v>
      </c>
      <c r="C31" s="9">
        <v>1</v>
      </c>
      <c r="D31" s="9">
        <v>2</v>
      </c>
      <c r="E31" s="9">
        <v>3</v>
      </c>
      <c r="F31" s="9">
        <v>4</v>
      </c>
      <c r="G31" s="9">
        <v>5</v>
      </c>
      <c r="H31" s="9">
        <v>6</v>
      </c>
      <c r="I31" s="9">
        <v>7</v>
      </c>
      <c r="J31" s="9">
        <v>8</v>
      </c>
      <c r="K31" s="9">
        <v>9</v>
      </c>
      <c r="L31" s="9">
        <v>10</v>
      </c>
    </row>
    <row r="32" spans="1:12" x14ac:dyDescent="0.25">
      <c r="A32" t="s">
        <v>16</v>
      </c>
      <c r="B32" s="84">
        <v>0</v>
      </c>
      <c r="C32" s="84">
        <f t="shared" ref="C32:L32" si="11">IF(OR(BusinessModel="Vertically Integrated Cost of Service Model",BusinessModel="Vertically Integrated Performance Based Regulatory Model"),C77,0)+C106</f>
        <v>0</v>
      </c>
      <c r="D32" s="84">
        <f t="shared" si="11"/>
        <v>0</v>
      </c>
      <c r="E32" s="84">
        <f t="shared" si="11"/>
        <v>0</v>
      </c>
      <c r="F32" s="84">
        <f t="shared" si="11"/>
        <v>0</v>
      </c>
      <c r="G32" s="84">
        <f t="shared" si="11"/>
        <v>0</v>
      </c>
      <c r="H32" s="84">
        <f t="shared" si="11"/>
        <v>0</v>
      </c>
      <c r="I32" s="84">
        <f t="shared" si="11"/>
        <v>0</v>
      </c>
      <c r="J32" s="84">
        <f t="shared" si="11"/>
        <v>0</v>
      </c>
      <c r="K32" s="84">
        <f t="shared" si="11"/>
        <v>0</v>
      </c>
      <c r="L32" s="84">
        <f t="shared" si="11"/>
        <v>0</v>
      </c>
    </row>
    <row r="33" spans="1:12" x14ac:dyDescent="0.25">
      <c r="A33" t="s">
        <v>17</v>
      </c>
      <c r="B33" s="84">
        <v>0</v>
      </c>
      <c r="C33" s="84">
        <f t="shared" ref="C33:L33" si="12">IF(OR(BusinessModel="Vertically Integrated Cost of Service Model",BusinessModel="Vertically Integrated Performance Based Regulatory Model"),C78,0)+C107</f>
        <v>0</v>
      </c>
      <c r="D33" s="84">
        <f t="shared" si="12"/>
        <v>0</v>
      </c>
      <c r="E33" s="84">
        <f t="shared" si="12"/>
        <v>0</v>
      </c>
      <c r="F33" s="84">
        <f t="shared" si="12"/>
        <v>0</v>
      </c>
      <c r="G33" s="84">
        <f t="shared" si="12"/>
        <v>0</v>
      </c>
      <c r="H33" s="84">
        <f t="shared" si="12"/>
        <v>0</v>
      </c>
      <c r="I33" s="84">
        <f t="shared" si="12"/>
        <v>0</v>
      </c>
      <c r="J33" s="84">
        <f t="shared" si="12"/>
        <v>0</v>
      </c>
      <c r="K33" s="84">
        <f t="shared" si="12"/>
        <v>0</v>
      </c>
      <c r="L33" s="84">
        <f t="shared" si="12"/>
        <v>0</v>
      </c>
    </row>
    <row r="34" spans="1:12" x14ac:dyDescent="0.25">
      <c r="A34" t="s">
        <v>18</v>
      </c>
      <c r="B34" s="84">
        <v>0</v>
      </c>
      <c r="C34" s="84">
        <f t="shared" ref="C34:L34" si="13">IF(OR(BusinessModel="Vertically Integrated Cost of Service Model",BusinessModel="Vertically Integrated Performance Based Regulatory Model"),C79,0)+C108</f>
        <v>0</v>
      </c>
      <c r="D34" s="84">
        <f t="shared" si="13"/>
        <v>0</v>
      </c>
      <c r="E34" s="84">
        <f t="shared" si="13"/>
        <v>0</v>
      </c>
      <c r="F34" s="84">
        <f t="shared" si="13"/>
        <v>0</v>
      </c>
      <c r="G34" s="84">
        <f t="shared" si="13"/>
        <v>0</v>
      </c>
      <c r="H34" s="84">
        <f t="shared" si="13"/>
        <v>0</v>
      </c>
      <c r="I34" s="84">
        <f t="shared" si="13"/>
        <v>0</v>
      </c>
      <c r="J34" s="84">
        <f t="shared" si="13"/>
        <v>0</v>
      </c>
      <c r="K34" s="84">
        <f t="shared" si="13"/>
        <v>0</v>
      </c>
      <c r="L34" s="84">
        <f t="shared" si="13"/>
        <v>0</v>
      </c>
    </row>
    <row r="35" spans="1:12" x14ac:dyDescent="0.25">
      <c r="A35" t="s">
        <v>366</v>
      </c>
      <c r="B35" s="84">
        <v>0</v>
      </c>
      <c r="C35" s="84">
        <f t="shared" ref="C35:L35" si="14">IF(OR(BusinessModel="Vertically Integrated Cost of Service Model",BusinessModel="Vertically Integrated Performance Based Regulatory Model"),C80,0)+C109</f>
        <v>0</v>
      </c>
      <c r="D35" s="84">
        <f t="shared" si="14"/>
        <v>0</v>
      </c>
      <c r="E35" s="84">
        <f t="shared" si="14"/>
        <v>0</v>
      </c>
      <c r="F35" s="84">
        <f t="shared" si="14"/>
        <v>0</v>
      </c>
      <c r="G35" s="84">
        <f t="shared" si="14"/>
        <v>0</v>
      </c>
      <c r="H35" s="84">
        <f t="shared" si="14"/>
        <v>0</v>
      </c>
      <c r="I35" s="84">
        <f t="shared" si="14"/>
        <v>0</v>
      </c>
      <c r="J35" s="84">
        <f t="shared" si="14"/>
        <v>0</v>
      </c>
      <c r="K35" s="84">
        <f t="shared" si="14"/>
        <v>0</v>
      </c>
      <c r="L35" s="84">
        <f t="shared" si="14"/>
        <v>0</v>
      </c>
    </row>
    <row r="36" spans="1:12" x14ac:dyDescent="0.25">
      <c r="A36" t="s">
        <v>367</v>
      </c>
      <c r="B36" s="84">
        <v>0</v>
      </c>
      <c r="C36" s="84">
        <f t="shared" ref="C36:L36" si="15">IF(OR(BusinessModel="Vertically Integrated Cost of Service Model",BusinessModel="Vertically Integrated Performance Based Regulatory Model"),C81,0)+C110</f>
        <v>0</v>
      </c>
      <c r="D36" s="84">
        <f t="shared" si="15"/>
        <v>0</v>
      </c>
      <c r="E36" s="84">
        <f t="shared" si="15"/>
        <v>0</v>
      </c>
      <c r="F36" s="84">
        <f t="shared" si="15"/>
        <v>0</v>
      </c>
      <c r="G36" s="84">
        <f t="shared" si="15"/>
        <v>0</v>
      </c>
      <c r="H36" s="84">
        <f t="shared" si="15"/>
        <v>0</v>
      </c>
      <c r="I36" s="84">
        <f t="shared" si="15"/>
        <v>0</v>
      </c>
      <c r="J36" s="84">
        <f t="shared" si="15"/>
        <v>0</v>
      </c>
      <c r="K36" s="84">
        <f t="shared" si="15"/>
        <v>0</v>
      </c>
      <c r="L36" s="84">
        <f t="shared" si="15"/>
        <v>0</v>
      </c>
    </row>
    <row r="37" spans="1:12" x14ac:dyDescent="0.25">
      <c r="A37" t="s">
        <v>368</v>
      </c>
      <c r="B37" s="84">
        <v>0</v>
      </c>
      <c r="C37" s="84">
        <f t="shared" ref="C37:L37" si="16">IF(OR(BusinessModel="Vertically Integrated Cost of Service Model",BusinessModel="Vertically Integrated Performance Based Regulatory Model"),C82,0)+C111</f>
        <v>0</v>
      </c>
      <c r="D37" s="84">
        <f t="shared" si="16"/>
        <v>0</v>
      </c>
      <c r="E37" s="84">
        <f t="shared" si="16"/>
        <v>0</v>
      </c>
      <c r="F37" s="84">
        <f t="shared" si="16"/>
        <v>0</v>
      </c>
      <c r="G37" s="84">
        <f t="shared" si="16"/>
        <v>0</v>
      </c>
      <c r="H37" s="84">
        <f t="shared" si="16"/>
        <v>0</v>
      </c>
      <c r="I37" s="84">
        <f t="shared" si="16"/>
        <v>0</v>
      </c>
      <c r="J37" s="84">
        <f t="shared" si="16"/>
        <v>0</v>
      </c>
      <c r="K37" s="84">
        <f t="shared" si="16"/>
        <v>0</v>
      </c>
      <c r="L37" s="84">
        <f t="shared" si="16"/>
        <v>0</v>
      </c>
    </row>
    <row r="38" spans="1:12" x14ac:dyDescent="0.25">
      <c r="A38" t="s">
        <v>515</v>
      </c>
      <c r="B38" s="84">
        <v>0</v>
      </c>
      <c r="C38" s="84">
        <f t="shared" ref="C38:L38" si="17">IF(OR(BusinessModel="Vertically Integrated Cost of Service Model",BusinessModel="Vertically Integrated Performance Based Regulatory Model"),C83,0)+C112</f>
        <v>0</v>
      </c>
      <c r="D38" s="84">
        <f t="shared" si="17"/>
        <v>0</v>
      </c>
      <c r="E38" s="84">
        <f t="shared" si="17"/>
        <v>0</v>
      </c>
      <c r="F38" s="84">
        <f t="shared" si="17"/>
        <v>0</v>
      </c>
      <c r="G38" s="84">
        <f t="shared" si="17"/>
        <v>0</v>
      </c>
      <c r="H38" s="84">
        <f t="shared" si="17"/>
        <v>0</v>
      </c>
      <c r="I38" s="84">
        <f t="shared" si="17"/>
        <v>0</v>
      </c>
      <c r="J38" s="84">
        <f t="shared" si="17"/>
        <v>0</v>
      </c>
      <c r="K38" s="84">
        <f t="shared" si="17"/>
        <v>0</v>
      </c>
      <c r="L38" s="84">
        <f t="shared" si="17"/>
        <v>0</v>
      </c>
    </row>
    <row r="39" spans="1:12" x14ac:dyDescent="0.25">
      <c r="A39" t="s">
        <v>369</v>
      </c>
      <c r="B39" s="84">
        <v>0</v>
      </c>
      <c r="C39" s="84">
        <f t="shared" ref="C39:L39" si="18">IF(OR(BusinessModel="Vertically Integrated Cost of Service Model",BusinessModel="Vertically Integrated Performance Based Regulatory Model"),C84,0)+C113</f>
        <v>0</v>
      </c>
      <c r="D39" s="84">
        <f t="shared" si="18"/>
        <v>0</v>
      </c>
      <c r="E39" s="84">
        <f t="shared" si="18"/>
        <v>0</v>
      </c>
      <c r="F39" s="84">
        <f t="shared" si="18"/>
        <v>0</v>
      </c>
      <c r="G39" s="84">
        <f t="shared" si="18"/>
        <v>0</v>
      </c>
      <c r="H39" s="84">
        <f t="shared" si="18"/>
        <v>0</v>
      </c>
      <c r="I39" s="84">
        <f t="shared" si="18"/>
        <v>0</v>
      </c>
      <c r="J39" s="84">
        <f t="shared" si="18"/>
        <v>0</v>
      </c>
      <c r="K39" s="84">
        <f t="shared" si="18"/>
        <v>0</v>
      </c>
      <c r="L39" s="84">
        <f t="shared" si="18"/>
        <v>0</v>
      </c>
    </row>
    <row r="41" spans="1:12" x14ac:dyDescent="0.25">
      <c r="A41" s="9" t="s">
        <v>429</v>
      </c>
      <c r="B41" s="9">
        <v>0</v>
      </c>
      <c r="C41" s="9">
        <v>1</v>
      </c>
      <c r="D41" s="9">
        <v>2</v>
      </c>
      <c r="E41" s="9">
        <v>3</v>
      </c>
      <c r="F41" s="9">
        <v>4</v>
      </c>
      <c r="G41" s="9">
        <v>5</v>
      </c>
      <c r="H41" s="9">
        <v>6</v>
      </c>
      <c r="I41" s="9">
        <v>7</v>
      </c>
      <c r="J41" s="9">
        <v>8</v>
      </c>
      <c r="K41" s="9">
        <v>9</v>
      </c>
      <c r="L41" s="9">
        <v>10</v>
      </c>
    </row>
    <row r="42" spans="1:12" x14ac:dyDescent="0.25">
      <c r="A42" t="s">
        <v>16</v>
      </c>
      <c r="B42" s="84">
        <v>0</v>
      </c>
      <c r="C42">
        <f t="shared" ref="C42:L42" si="19">IF(OR(BusinessModel="Vertically Integrated Cost of Service Model",BusinessModel="Vertically Integrated Performance Based Regulatory Model"),0,C77*1000)</f>
        <v>0</v>
      </c>
      <c r="D42">
        <f t="shared" si="19"/>
        <v>0</v>
      </c>
      <c r="E42">
        <f t="shared" si="19"/>
        <v>0</v>
      </c>
      <c r="F42">
        <f t="shared" si="19"/>
        <v>0</v>
      </c>
      <c r="G42">
        <f t="shared" si="19"/>
        <v>0</v>
      </c>
      <c r="H42">
        <f t="shared" si="19"/>
        <v>0</v>
      </c>
      <c r="I42">
        <f t="shared" si="19"/>
        <v>0</v>
      </c>
      <c r="J42">
        <f t="shared" si="19"/>
        <v>0</v>
      </c>
      <c r="K42">
        <f t="shared" si="19"/>
        <v>0</v>
      </c>
      <c r="L42">
        <f t="shared" si="19"/>
        <v>0</v>
      </c>
    </row>
    <row r="43" spans="1:12" x14ac:dyDescent="0.25">
      <c r="A43" t="s">
        <v>17</v>
      </c>
      <c r="B43" s="84">
        <v>0</v>
      </c>
      <c r="C43">
        <f t="shared" ref="C43:L43" si="20">IF(OR(BusinessModel="Vertically Integrated Cost of Service Model",BusinessModel="Vertically Integrated Performance Based Regulatory Model"),0,C78*1000)</f>
        <v>0</v>
      </c>
      <c r="D43">
        <f t="shared" si="20"/>
        <v>0</v>
      </c>
      <c r="E43">
        <f t="shared" si="20"/>
        <v>0</v>
      </c>
      <c r="F43">
        <f t="shared" si="20"/>
        <v>0</v>
      </c>
      <c r="G43">
        <f t="shared" si="20"/>
        <v>0</v>
      </c>
      <c r="H43">
        <f t="shared" si="20"/>
        <v>0</v>
      </c>
      <c r="I43">
        <f t="shared" si="20"/>
        <v>0</v>
      </c>
      <c r="J43">
        <f t="shared" si="20"/>
        <v>0</v>
      </c>
      <c r="K43">
        <f t="shared" si="20"/>
        <v>0</v>
      </c>
      <c r="L43">
        <f t="shared" si="20"/>
        <v>0</v>
      </c>
    </row>
    <row r="44" spans="1:12" x14ac:dyDescent="0.25">
      <c r="A44" t="s">
        <v>18</v>
      </c>
      <c r="B44" s="84">
        <v>0</v>
      </c>
      <c r="C44">
        <f t="shared" ref="C44:L44" si="21">IF(OR(BusinessModel="Vertically Integrated Cost of Service Model",BusinessModel="Vertically Integrated Performance Based Regulatory Model"),0,C79*1000)</f>
        <v>0</v>
      </c>
      <c r="D44">
        <f t="shared" si="21"/>
        <v>0</v>
      </c>
      <c r="E44">
        <f t="shared" si="21"/>
        <v>0</v>
      </c>
      <c r="F44">
        <f t="shared" si="21"/>
        <v>0</v>
      </c>
      <c r="G44">
        <f t="shared" si="21"/>
        <v>0</v>
      </c>
      <c r="H44">
        <f t="shared" si="21"/>
        <v>0</v>
      </c>
      <c r="I44">
        <f t="shared" si="21"/>
        <v>0</v>
      </c>
      <c r="J44">
        <f t="shared" si="21"/>
        <v>0</v>
      </c>
      <c r="K44">
        <f t="shared" si="21"/>
        <v>0</v>
      </c>
      <c r="L44">
        <f t="shared" si="21"/>
        <v>0</v>
      </c>
    </row>
    <row r="45" spans="1:12" x14ac:dyDescent="0.25">
      <c r="A45" t="s">
        <v>366</v>
      </c>
      <c r="B45" s="84">
        <v>0</v>
      </c>
      <c r="C45">
        <f t="shared" ref="C45:L45" si="22">IF(OR(BusinessModel="Vertically Integrated Cost of Service Model",BusinessModel="Vertically Integrated Performance Based Regulatory Model"),0,C80*1000)</f>
        <v>0</v>
      </c>
      <c r="D45">
        <f t="shared" si="22"/>
        <v>0</v>
      </c>
      <c r="E45">
        <f t="shared" si="22"/>
        <v>0</v>
      </c>
      <c r="F45">
        <f t="shared" si="22"/>
        <v>0</v>
      </c>
      <c r="G45">
        <f t="shared" si="22"/>
        <v>0</v>
      </c>
      <c r="H45">
        <f t="shared" si="22"/>
        <v>0</v>
      </c>
      <c r="I45">
        <f t="shared" si="22"/>
        <v>0</v>
      </c>
      <c r="J45">
        <f t="shared" si="22"/>
        <v>0</v>
      </c>
      <c r="K45">
        <f t="shared" si="22"/>
        <v>0</v>
      </c>
      <c r="L45">
        <f t="shared" si="22"/>
        <v>0</v>
      </c>
    </row>
    <row r="46" spans="1:12" x14ac:dyDescent="0.25">
      <c r="A46" t="s">
        <v>367</v>
      </c>
      <c r="B46" s="84">
        <v>0</v>
      </c>
      <c r="C46">
        <f t="shared" ref="C46:L46" si="23">IF(OR(BusinessModel="Vertically Integrated Cost of Service Model",BusinessModel="Vertically Integrated Performance Based Regulatory Model"),0,C81*1000)</f>
        <v>0</v>
      </c>
      <c r="D46">
        <f t="shared" si="23"/>
        <v>0</v>
      </c>
      <c r="E46">
        <f t="shared" si="23"/>
        <v>0</v>
      </c>
      <c r="F46">
        <f t="shared" si="23"/>
        <v>0</v>
      </c>
      <c r="G46">
        <f t="shared" si="23"/>
        <v>0</v>
      </c>
      <c r="H46">
        <f t="shared" si="23"/>
        <v>0</v>
      </c>
      <c r="I46">
        <f t="shared" si="23"/>
        <v>0</v>
      </c>
      <c r="J46">
        <f t="shared" si="23"/>
        <v>0</v>
      </c>
      <c r="K46">
        <f t="shared" si="23"/>
        <v>0</v>
      </c>
      <c r="L46">
        <f t="shared" si="23"/>
        <v>0</v>
      </c>
    </row>
    <row r="47" spans="1:12" x14ac:dyDescent="0.25">
      <c r="A47" t="s">
        <v>368</v>
      </c>
      <c r="B47" s="84">
        <v>0</v>
      </c>
      <c r="C47">
        <f t="shared" ref="C47:L47" si="24">IF(OR(BusinessModel="Vertically Integrated Cost of Service Model",BusinessModel="Vertically Integrated Performance Based Regulatory Model"),0,C82*1000)</f>
        <v>0</v>
      </c>
      <c r="D47">
        <f t="shared" si="24"/>
        <v>0</v>
      </c>
      <c r="E47">
        <f t="shared" si="24"/>
        <v>0</v>
      </c>
      <c r="F47">
        <f t="shared" si="24"/>
        <v>0</v>
      </c>
      <c r="G47">
        <f t="shared" si="24"/>
        <v>0</v>
      </c>
      <c r="H47">
        <f t="shared" si="24"/>
        <v>0</v>
      </c>
      <c r="I47">
        <f t="shared" si="24"/>
        <v>0</v>
      </c>
      <c r="J47">
        <f t="shared" si="24"/>
        <v>0</v>
      </c>
      <c r="K47">
        <f t="shared" si="24"/>
        <v>0</v>
      </c>
      <c r="L47">
        <f t="shared" si="24"/>
        <v>0</v>
      </c>
    </row>
    <row r="48" spans="1:12" x14ac:dyDescent="0.25">
      <c r="A48" t="s">
        <v>515</v>
      </c>
      <c r="B48" s="84">
        <v>0</v>
      </c>
      <c r="C48">
        <f t="shared" ref="C48:L48" si="25">IF(OR(BusinessModel="Vertically Integrated Cost of Service Model",BusinessModel="Vertically Integrated Performance Based Regulatory Model"),0,C83*1000)</f>
        <v>0</v>
      </c>
      <c r="D48">
        <f t="shared" si="25"/>
        <v>0</v>
      </c>
      <c r="E48">
        <f t="shared" si="25"/>
        <v>0</v>
      </c>
      <c r="F48">
        <f t="shared" si="25"/>
        <v>0</v>
      </c>
      <c r="G48">
        <f t="shared" si="25"/>
        <v>0</v>
      </c>
      <c r="H48">
        <f t="shared" si="25"/>
        <v>0</v>
      </c>
      <c r="I48">
        <f t="shared" si="25"/>
        <v>0</v>
      </c>
      <c r="J48">
        <f t="shared" si="25"/>
        <v>0</v>
      </c>
      <c r="K48">
        <f t="shared" si="25"/>
        <v>0</v>
      </c>
      <c r="L48">
        <f t="shared" si="25"/>
        <v>0</v>
      </c>
    </row>
    <row r="49" spans="1:12" x14ac:dyDescent="0.25">
      <c r="A49" t="s">
        <v>369</v>
      </c>
      <c r="B49" s="84">
        <v>0</v>
      </c>
      <c r="C49">
        <f t="shared" ref="C49:L49" si="26">IF(OR(BusinessModel="Vertically Integrated Cost of Service Model",BusinessModel="Vertically Integrated Performance Based Regulatory Model"),0,C84*1000)</f>
        <v>0</v>
      </c>
      <c r="D49">
        <f t="shared" si="26"/>
        <v>0</v>
      </c>
      <c r="E49">
        <f t="shared" si="26"/>
        <v>0</v>
      </c>
      <c r="F49">
        <f t="shared" si="26"/>
        <v>0</v>
      </c>
      <c r="G49">
        <f t="shared" si="26"/>
        <v>0</v>
      </c>
      <c r="H49">
        <f t="shared" si="26"/>
        <v>0</v>
      </c>
      <c r="I49">
        <f t="shared" si="26"/>
        <v>0</v>
      </c>
      <c r="J49">
        <f t="shared" si="26"/>
        <v>0</v>
      </c>
      <c r="K49">
        <f t="shared" si="26"/>
        <v>0</v>
      </c>
      <c r="L49">
        <f t="shared" si="26"/>
        <v>0</v>
      </c>
    </row>
    <row r="51" spans="1:12" x14ac:dyDescent="0.25">
      <c r="A51" s="9" t="s">
        <v>443</v>
      </c>
      <c r="B51" s="9">
        <v>0</v>
      </c>
      <c r="C51" s="9">
        <v>1</v>
      </c>
      <c r="D51" s="9">
        <v>2</v>
      </c>
      <c r="E51" s="9">
        <v>3</v>
      </c>
      <c r="F51" s="9">
        <v>4</v>
      </c>
      <c r="G51" s="9">
        <v>5</v>
      </c>
      <c r="H51" s="9">
        <v>6</v>
      </c>
      <c r="I51" s="9">
        <v>7</v>
      </c>
      <c r="J51" s="9">
        <v>8</v>
      </c>
      <c r="K51" s="9">
        <v>9</v>
      </c>
      <c r="L51" s="9">
        <v>10</v>
      </c>
    </row>
    <row r="52" spans="1:12" x14ac:dyDescent="0.25">
      <c r="A52" t="s">
        <v>3</v>
      </c>
      <c r="B52">
        <v>0</v>
      </c>
      <c r="C52">
        <v>0</v>
      </c>
      <c r="D52">
        <v>0</v>
      </c>
      <c r="E52">
        <v>0</v>
      </c>
      <c r="F52">
        <v>0</v>
      </c>
      <c r="G52">
        <v>0</v>
      </c>
      <c r="H52">
        <v>0</v>
      </c>
      <c r="I52">
        <v>0</v>
      </c>
      <c r="J52">
        <v>0</v>
      </c>
      <c r="K52">
        <v>0</v>
      </c>
      <c r="L52">
        <v>0</v>
      </c>
    </row>
    <row r="53" spans="1:12" x14ac:dyDescent="0.25">
      <c r="A53" t="s">
        <v>2</v>
      </c>
      <c r="B53">
        <v>0</v>
      </c>
      <c r="C53">
        <v>0</v>
      </c>
      <c r="D53">
        <v>0</v>
      </c>
      <c r="E53">
        <v>0</v>
      </c>
      <c r="F53">
        <v>0</v>
      </c>
      <c r="G53">
        <v>0</v>
      </c>
      <c r="H53">
        <v>0</v>
      </c>
      <c r="I53">
        <v>0</v>
      </c>
      <c r="J53">
        <v>0</v>
      </c>
      <c r="K53">
        <v>0</v>
      </c>
      <c r="L53">
        <v>0</v>
      </c>
    </row>
    <row r="54" spans="1:12" x14ac:dyDescent="0.25">
      <c r="A54" t="s">
        <v>240</v>
      </c>
      <c r="B54">
        <v>0</v>
      </c>
      <c r="C54">
        <v>0</v>
      </c>
      <c r="D54">
        <v>0</v>
      </c>
      <c r="E54">
        <v>0</v>
      </c>
      <c r="F54">
        <v>0</v>
      </c>
      <c r="G54">
        <v>0</v>
      </c>
      <c r="H54">
        <v>0</v>
      </c>
      <c r="I54">
        <v>0</v>
      </c>
      <c r="J54">
        <v>0</v>
      </c>
      <c r="K54">
        <v>0</v>
      </c>
      <c r="L54">
        <v>0</v>
      </c>
    </row>
    <row r="55" spans="1:12" x14ac:dyDescent="0.25">
      <c r="A55" t="s">
        <v>1</v>
      </c>
      <c r="B55">
        <v>0</v>
      </c>
      <c r="C55">
        <v>0</v>
      </c>
      <c r="D55">
        <v>0</v>
      </c>
      <c r="E55">
        <v>0</v>
      </c>
      <c r="F55">
        <v>0</v>
      </c>
      <c r="G55">
        <v>0</v>
      </c>
      <c r="H55">
        <v>0</v>
      </c>
      <c r="I55">
        <v>0</v>
      </c>
      <c r="J55">
        <v>0</v>
      </c>
      <c r="K55">
        <v>0</v>
      </c>
      <c r="L55">
        <v>0</v>
      </c>
    </row>
    <row r="56" spans="1:12" x14ac:dyDescent="0.25">
      <c r="A56" t="s">
        <v>239</v>
      </c>
      <c r="B56">
        <v>0</v>
      </c>
      <c r="C56">
        <v>0</v>
      </c>
      <c r="D56">
        <v>0</v>
      </c>
      <c r="E56">
        <v>0</v>
      </c>
      <c r="F56">
        <v>0</v>
      </c>
      <c r="G56">
        <v>0</v>
      </c>
      <c r="H56">
        <v>0</v>
      </c>
      <c r="I56">
        <v>0</v>
      </c>
      <c r="J56">
        <v>0</v>
      </c>
      <c r="K56">
        <v>0</v>
      </c>
      <c r="L56">
        <v>0</v>
      </c>
    </row>
    <row r="57" spans="1:12" x14ac:dyDescent="0.25">
      <c r="A57" t="s">
        <v>281</v>
      </c>
      <c r="B57">
        <v>0</v>
      </c>
      <c r="C57">
        <v>0</v>
      </c>
      <c r="D57">
        <v>0</v>
      </c>
      <c r="E57">
        <v>0</v>
      </c>
      <c r="F57">
        <v>0</v>
      </c>
      <c r="G57">
        <v>0</v>
      </c>
      <c r="H57">
        <v>0</v>
      </c>
      <c r="I57">
        <v>0</v>
      </c>
      <c r="J57">
        <v>0</v>
      </c>
      <c r="K57">
        <v>0</v>
      </c>
      <c r="L57">
        <v>0</v>
      </c>
    </row>
    <row r="58" spans="1:12" x14ac:dyDescent="0.25">
      <c r="A58" t="s">
        <v>441</v>
      </c>
      <c r="B58">
        <v>0</v>
      </c>
      <c r="C58">
        <v>0</v>
      </c>
      <c r="D58">
        <v>0</v>
      </c>
      <c r="E58">
        <v>0</v>
      </c>
      <c r="F58">
        <v>0</v>
      </c>
      <c r="G58">
        <v>0</v>
      </c>
      <c r="H58">
        <v>0</v>
      </c>
      <c r="I58">
        <v>0</v>
      </c>
      <c r="J58">
        <v>0</v>
      </c>
      <c r="K58">
        <v>0</v>
      </c>
      <c r="L58">
        <v>0</v>
      </c>
    </row>
    <row r="59" spans="1:12" x14ac:dyDescent="0.25">
      <c r="A59" t="s">
        <v>550</v>
      </c>
      <c r="B59">
        <v>0</v>
      </c>
      <c r="C59">
        <v>0</v>
      </c>
      <c r="D59">
        <v>0</v>
      </c>
      <c r="E59">
        <v>0</v>
      </c>
      <c r="F59">
        <v>0</v>
      </c>
      <c r="G59">
        <v>0</v>
      </c>
      <c r="H59">
        <v>0</v>
      </c>
      <c r="I59">
        <v>0</v>
      </c>
      <c r="J59">
        <v>0</v>
      </c>
      <c r="K59">
        <v>0</v>
      </c>
      <c r="L59">
        <v>0</v>
      </c>
    </row>
    <row r="61" spans="1:12" x14ac:dyDescent="0.25">
      <c r="A61" s="9" t="s">
        <v>526</v>
      </c>
      <c r="B61" s="9">
        <v>0</v>
      </c>
      <c r="C61" s="9">
        <v>1</v>
      </c>
      <c r="D61" s="9">
        <v>2</v>
      </c>
      <c r="E61" s="9">
        <v>3</v>
      </c>
      <c r="F61" s="9">
        <v>4</v>
      </c>
      <c r="G61" s="9">
        <v>5</v>
      </c>
      <c r="H61" s="9">
        <v>6</v>
      </c>
      <c r="I61" s="9">
        <v>7</v>
      </c>
      <c r="J61" s="9">
        <v>8</v>
      </c>
      <c r="K61" s="9">
        <v>9</v>
      </c>
      <c r="L61" s="9">
        <v>10</v>
      </c>
    </row>
    <row r="62" spans="1:12" x14ac:dyDescent="0.25">
      <c r="A62" t="s">
        <v>4</v>
      </c>
      <c r="B62">
        <v>0</v>
      </c>
      <c r="C62">
        <v>0</v>
      </c>
      <c r="D62">
        <v>0</v>
      </c>
      <c r="E62">
        <v>0</v>
      </c>
      <c r="F62">
        <v>0</v>
      </c>
      <c r="G62">
        <v>0</v>
      </c>
      <c r="H62">
        <v>0</v>
      </c>
      <c r="I62">
        <v>0</v>
      </c>
      <c r="J62">
        <v>0</v>
      </c>
      <c r="K62">
        <v>0</v>
      </c>
      <c r="L62">
        <v>0</v>
      </c>
    </row>
    <row r="63" spans="1:12" x14ac:dyDescent="0.25">
      <c r="A63" t="s">
        <v>6</v>
      </c>
      <c r="B63">
        <v>0</v>
      </c>
      <c r="C63">
        <v>0</v>
      </c>
      <c r="D63">
        <v>0</v>
      </c>
      <c r="E63">
        <v>0</v>
      </c>
      <c r="F63">
        <v>0</v>
      </c>
      <c r="G63">
        <v>0</v>
      </c>
      <c r="H63">
        <v>0</v>
      </c>
      <c r="I63">
        <v>0</v>
      </c>
      <c r="J63">
        <v>0</v>
      </c>
      <c r="K63">
        <v>0</v>
      </c>
      <c r="L63">
        <v>0</v>
      </c>
    </row>
    <row r="64" spans="1:12" x14ac:dyDescent="0.25">
      <c r="A64" t="s">
        <v>5</v>
      </c>
      <c r="B64">
        <v>0</v>
      </c>
      <c r="C64">
        <v>0</v>
      </c>
      <c r="D64">
        <v>0</v>
      </c>
      <c r="E64">
        <v>0</v>
      </c>
      <c r="F64">
        <v>0</v>
      </c>
      <c r="G64">
        <v>0</v>
      </c>
      <c r="H64">
        <v>0</v>
      </c>
      <c r="I64">
        <v>0</v>
      </c>
      <c r="J64">
        <v>0</v>
      </c>
      <c r="K64">
        <v>0</v>
      </c>
      <c r="L64">
        <v>0</v>
      </c>
    </row>
    <row r="66" spans="1:12" x14ac:dyDescent="0.25">
      <c r="A66" s="9" t="s">
        <v>472</v>
      </c>
      <c r="B66" s="9">
        <v>0</v>
      </c>
      <c r="C66" s="9">
        <v>1</v>
      </c>
      <c r="D66" s="9">
        <v>2</v>
      </c>
      <c r="E66" s="9">
        <v>3</v>
      </c>
      <c r="F66" s="9">
        <v>4</v>
      </c>
      <c r="G66" s="9">
        <v>5</v>
      </c>
      <c r="H66" s="9">
        <v>6</v>
      </c>
      <c r="I66" s="9">
        <v>7</v>
      </c>
      <c r="J66" s="9">
        <v>8</v>
      </c>
      <c r="K66" s="9">
        <v>9</v>
      </c>
      <c r="L66" s="9">
        <v>10</v>
      </c>
    </row>
    <row r="67" spans="1:12" x14ac:dyDescent="0.25">
      <c r="A67" t="s">
        <v>7</v>
      </c>
      <c r="B67">
        <v>0</v>
      </c>
      <c r="C67">
        <v>0</v>
      </c>
      <c r="D67">
        <v>0</v>
      </c>
      <c r="E67">
        <v>0</v>
      </c>
      <c r="F67">
        <v>0</v>
      </c>
      <c r="G67">
        <v>0</v>
      </c>
      <c r="H67">
        <v>0</v>
      </c>
      <c r="I67">
        <v>0</v>
      </c>
      <c r="J67">
        <v>0</v>
      </c>
      <c r="K67">
        <v>0</v>
      </c>
      <c r="L67">
        <v>0</v>
      </c>
    </row>
    <row r="68" spans="1:12" x14ac:dyDescent="0.25">
      <c r="A68" t="s">
        <v>8</v>
      </c>
      <c r="B68">
        <v>0</v>
      </c>
      <c r="C68">
        <v>0</v>
      </c>
      <c r="D68">
        <v>0</v>
      </c>
      <c r="E68">
        <v>0</v>
      </c>
      <c r="F68">
        <v>0</v>
      </c>
      <c r="G68">
        <v>0</v>
      </c>
      <c r="H68">
        <v>0</v>
      </c>
      <c r="I68">
        <v>0</v>
      </c>
      <c r="J68">
        <v>0</v>
      </c>
      <c r="K68">
        <v>0</v>
      </c>
      <c r="L68">
        <v>0</v>
      </c>
    </row>
    <row r="69" spans="1:12" x14ac:dyDescent="0.25">
      <c r="A69" t="s">
        <v>13</v>
      </c>
      <c r="B69">
        <v>0</v>
      </c>
      <c r="C69">
        <v>0</v>
      </c>
      <c r="D69">
        <v>0</v>
      </c>
      <c r="E69">
        <v>0</v>
      </c>
      <c r="F69">
        <v>0</v>
      </c>
      <c r="G69">
        <v>0</v>
      </c>
      <c r="H69">
        <v>0</v>
      </c>
      <c r="I69">
        <v>0</v>
      </c>
      <c r="J69">
        <v>0</v>
      </c>
      <c r="K69">
        <v>0</v>
      </c>
      <c r="L69">
        <v>0</v>
      </c>
    </row>
    <row r="70" spans="1:12" x14ac:dyDescent="0.25">
      <c r="A70" t="s">
        <v>9</v>
      </c>
      <c r="B70">
        <v>0</v>
      </c>
      <c r="C70">
        <v>0</v>
      </c>
      <c r="D70">
        <v>0</v>
      </c>
      <c r="E70">
        <v>0</v>
      </c>
      <c r="F70">
        <v>0</v>
      </c>
      <c r="G70">
        <v>0</v>
      </c>
      <c r="H70">
        <v>0</v>
      </c>
      <c r="I70">
        <v>0</v>
      </c>
      <c r="J70">
        <v>0</v>
      </c>
      <c r="K70">
        <v>0</v>
      </c>
      <c r="L70">
        <v>0</v>
      </c>
    </row>
    <row r="71" spans="1:12" x14ac:dyDescent="0.25">
      <c r="A71" t="s">
        <v>10</v>
      </c>
      <c r="B71">
        <v>0</v>
      </c>
      <c r="C71">
        <v>0</v>
      </c>
      <c r="D71">
        <v>0</v>
      </c>
      <c r="E71">
        <v>0</v>
      </c>
      <c r="F71">
        <v>0</v>
      </c>
      <c r="G71">
        <v>0</v>
      </c>
      <c r="H71">
        <v>0</v>
      </c>
      <c r="I71">
        <v>0</v>
      </c>
      <c r="J71">
        <v>0</v>
      </c>
      <c r="K71">
        <v>0</v>
      </c>
      <c r="L71">
        <v>0</v>
      </c>
    </row>
    <row r="72" spans="1:12" x14ac:dyDescent="0.25">
      <c r="A72" t="s">
        <v>11</v>
      </c>
      <c r="B72">
        <v>0</v>
      </c>
      <c r="C72">
        <v>0</v>
      </c>
      <c r="D72">
        <v>0</v>
      </c>
      <c r="E72">
        <v>0</v>
      </c>
      <c r="F72">
        <v>0</v>
      </c>
      <c r="G72">
        <v>0</v>
      </c>
      <c r="H72">
        <v>0</v>
      </c>
      <c r="I72">
        <v>0</v>
      </c>
      <c r="J72">
        <v>0</v>
      </c>
      <c r="K72">
        <v>0</v>
      </c>
      <c r="L72">
        <v>0</v>
      </c>
    </row>
    <row r="73" spans="1:12" x14ac:dyDescent="0.25">
      <c r="A73" t="s">
        <v>515</v>
      </c>
      <c r="B73">
        <v>0</v>
      </c>
      <c r="C73">
        <v>0</v>
      </c>
      <c r="D73">
        <v>0</v>
      </c>
      <c r="E73">
        <v>0</v>
      </c>
      <c r="F73">
        <v>0</v>
      </c>
      <c r="G73">
        <v>0</v>
      </c>
      <c r="H73">
        <v>0</v>
      </c>
      <c r="I73">
        <v>0</v>
      </c>
      <c r="J73">
        <v>0</v>
      </c>
      <c r="K73">
        <v>0</v>
      </c>
      <c r="L73">
        <v>0</v>
      </c>
    </row>
    <row r="74" spans="1:12" x14ac:dyDescent="0.25">
      <c r="A74" t="s">
        <v>369</v>
      </c>
      <c r="B74">
        <v>0</v>
      </c>
      <c r="C74">
        <v>0</v>
      </c>
      <c r="D74">
        <v>0</v>
      </c>
      <c r="E74">
        <v>0</v>
      </c>
      <c r="F74">
        <v>0</v>
      </c>
      <c r="G74">
        <v>0</v>
      </c>
      <c r="H74">
        <v>0</v>
      </c>
      <c r="I74">
        <v>0</v>
      </c>
      <c r="J74">
        <v>0</v>
      </c>
      <c r="K74">
        <v>0</v>
      </c>
      <c r="L74">
        <v>0</v>
      </c>
    </row>
    <row r="76" spans="1:12" x14ac:dyDescent="0.25">
      <c r="A76" s="9" t="s">
        <v>483</v>
      </c>
      <c r="B76" s="9">
        <v>0</v>
      </c>
      <c r="C76" s="9">
        <v>1</v>
      </c>
      <c r="D76" s="9">
        <v>2</v>
      </c>
      <c r="E76" s="9">
        <v>3</v>
      </c>
      <c r="F76" s="9">
        <v>4</v>
      </c>
      <c r="G76" s="9">
        <v>5</v>
      </c>
      <c r="H76" s="9">
        <v>6</v>
      </c>
      <c r="I76" s="9">
        <v>7</v>
      </c>
      <c r="J76" s="9">
        <v>8</v>
      </c>
      <c r="K76" s="9">
        <v>9</v>
      </c>
      <c r="L76" s="9">
        <v>10</v>
      </c>
    </row>
    <row r="77" spans="1:12" x14ac:dyDescent="0.25">
      <c r="A77" t="s">
        <v>7</v>
      </c>
      <c r="B77" s="84">
        <v>0</v>
      </c>
      <c r="C77" s="84">
        <v>0</v>
      </c>
      <c r="D77" s="84">
        <v>0</v>
      </c>
      <c r="E77">
        <v>0</v>
      </c>
      <c r="F77">
        <v>0</v>
      </c>
      <c r="G77">
        <v>0</v>
      </c>
      <c r="H77">
        <v>0</v>
      </c>
      <c r="I77">
        <v>0</v>
      </c>
      <c r="J77">
        <v>0</v>
      </c>
      <c r="K77">
        <v>0</v>
      </c>
      <c r="L77">
        <v>0</v>
      </c>
    </row>
    <row r="78" spans="1:12" x14ac:dyDescent="0.25">
      <c r="A78" t="s">
        <v>8</v>
      </c>
      <c r="B78">
        <v>0</v>
      </c>
      <c r="C78" s="84">
        <v>0</v>
      </c>
      <c r="D78" s="84">
        <v>0</v>
      </c>
      <c r="E78" s="84">
        <v>0</v>
      </c>
      <c r="F78">
        <v>0</v>
      </c>
      <c r="G78" s="84">
        <v>0</v>
      </c>
      <c r="H78">
        <v>0</v>
      </c>
      <c r="I78">
        <v>0</v>
      </c>
      <c r="J78">
        <v>0</v>
      </c>
      <c r="K78">
        <v>0</v>
      </c>
      <c r="L78">
        <v>0</v>
      </c>
    </row>
    <row r="79" spans="1:12" x14ac:dyDescent="0.25">
      <c r="A79" t="s">
        <v>13</v>
      </c>
      <c r="B79">
        <v>0</v>
      </c>
      <c r="C79" s="84">
        <v>0</v>
      </c>
      <c r="D79">
        <v>0</v>
      </c>
      <c r="E79">
        <v>0</v>
      </c>
      <c r="F79">
        <v>0</v>
      </c>
      <c r="G79">
        <v>0</v>
      </c>
      <c r="H79">
        <v>0</v>
      </c>
      <c r="I79">
        <v>0</v>
      </c>
      <c r="J79">
        <v>0</v>
      </c>
      <c r="K79">
        <v>0</v>
      </c>
      <c r="L79">
        <v>0</v>
      </c>
    </row>
    <row r="80" spans="1:12" x14ac:dyDescent="0.25">
      <c r="A80" t="s">
        <v>9</v>
      </c>
      <c r="B80">
        <v>0</v>
      </c>
      <c r="C80" s="84">
        <v>0</v>
      </c>
      <c r="D80" s="84">
        <v>0</v>
      </c>
      <c r="E80">
        <v>0</v>
      </c>
      <c r="F80" s="84">
        <v>0</v>
      </c>
      <c r="G80" s="84">
        <v>0</v>
      </c>
      <c r="H80">
        <v>0</v>
      </c>
      <c r="I80">
        <v>0</v>
      </c>
      <c r="J80">
        <v>0</v>
      </c>
      <c r="K80">
        <v>0</v>
      </c>
      <c r="L80">
        <v>0</v>
      </c>
    </row>
    <row r="81" spans="1:12" x14ac:dyDescent="0.25">
      <c r="A81" t="s">
        <v>10</v>
      </c>
      <c r="B81">
        <v>0</v>
      </c>
      <c r="C81" s="84">
        <v>0</v>
      </c>
      <c r="D81" s="84">
        <v>0</v>
      </c>
      <c r="E81" s="84">
        <v>0</v>
      </c>
      <c r="F81" s="84">
        <v>0</v>
      </c>
      <c r="G81" s="84">
        <v>0</v>
      </c>
      <c r="H81">
        <v>0</v>
      </c>
      <c r="I81">
        <v>0</v>
      </c>
      <c r="J81">
        <v>0</v>
      </c>
      <c r="K81">
        <v>0</v>
      </c>
      <c r="L81">
        <v>0</v>
      </c>
    </row>
    <row r="82" spans="1:12" x14ac:dyDescent="0.25">
      <c r="A82" t="s">
        <v>11</v>
      </c>
      <c r="B82">
        <v>0</v>
      </c>
      <c r="C82">
        <v>0</v>
      </c>
      <c r="D82">
        <v>0</v>
      </c>
      <c r="E82">
        <v>0</v>
      </c>
      <c r="F82">
        <v>0</v>
      </c>
      <c r="G82">
        <v>0</v>
      </c>
      <c r="H82">
        <v>0</v>
      </c>
      <c r="I82">
        <v>0</v>
      </c>
      <c r="J82">
        <v>0</v>
      </c>
      <c r="K82">
        <v>0</v>
      </c>
      <c r="L82">
        <v>0</v>
      </c>
    </row>
    <row r="83" spans="1:12" x14ac:dyDescent="0.25">
      <c r="A83" t="s">
        <v>515</v>
      </c>
      <c r="B83">
        <v>0</v>
      </c>
      <c r="C83" s="84">
        <v>0</v>
      </c>
      <c r="D83" s="84">
        <v>0</v>
      </c>
      <c r="E83" s="84">
        <v>0</v>
      </c>
      <c r="F83" s="84">
        <v>0</v>
      </c>
      <c r="G83">
        <v>0</v>
      </c>
      <c r="H83">
        <v>0</v>
      </c>
      <c r="I83">
        <v>0</v>
      </c>
      <c r="J83">
        <v>0</v>
      </c>
      <c r="K83">
        <v>0</v>
      </c>
      <c r="L83">
        <v>0</v>
      </c>
    </row>
    <row r="84" spans="1:12" x14ac:dyDescent="0.25">
      <c r="A84" t="s">
        <v>369</v>
      </c>
      <c r="B84">
        <v>0</v>
      </c>
      <c r="C84">
        <v>0</v>
      </c>
      <c r="D84">
        <v>0</v>
      </c>
      <c r="E84" s="84">
        <v>0</v>
      </c>
      <c r="F84" s="84">
        <v>0</v>
      </c>
      <c r="G84" s="84">
        <v>0</v>
      </c>
      <c r="H84">
        <v>0</v>
      </c>
      <c r="I84">
        <v>0</v>
      </c>
      <c r="J84">
        <v>0</v>
      </c>
      <c r="K84">
        <v>0</v>
      </c>
      <c r="L84">
        <v>0</v>
      </c>
    </row>
    <row r="86" spans="1:12" x14ac:dyDescent="0.25">
      <c r="A86" s="9" t="s">
        <v>488</v>
      </c>
      <c r="B86" s="9">
        <v>0</v>
      </c>
      <c r="C86" s="9">
        <v>1</v>
      </c>
      <c r="D86" s="9">
        <v>2</v>
      </c>
      <c r="E86" s="9">
        <v>3</v>
      </c>
      <c r="F86" s="9">
        <v>4</v>
      </c>
      <c r="G86" s="9">
        <v>5</v>
      </c>
      <c r="H86" s="9">
        <v>6</v>
      </c>
      <c r="I86" s="9">
        <v>7</v>
      </c>
      <c r="J86" s="9">
        <v>8</v>
      </c>
      <c r="K86" s="9">
        <v>9</v>
      </c>
      <c r="L86" s="9">
        <v>10</v>
      </c>
    </row>
    <row r="87" spans="1:12" x14ac:dyDescent="0.25">
      <c r="A87" t="s">
        <v>7</v>
      </c>
      <c r="B87">
        <v>0</v>
      </c>
      <c r="C87">
        <f>IF(OR('Event Tracker'!$B$20=1,'Event Tracker'!$B$21=1),0,C77/8760/'Game Assumptions'!$G55*1000)</f>
        <v>0</v>
      </c>
      <c r="D87">
        <f>IF(OR('Event Tracker'!$B$20=1,'Event Tracker'!$B$21=1),0,D77/8760/'Game Assumptions'!$G55*1000)</f>
        <v>0</v>
      </c>
      <c r="E87">
        <f>IF(OR('Event Tracker'!$B$20=1,'Event Tracker'!$B$21=1),0,E77/8760/'Game Assumptions'!$G55*1000)</f>
        <v>0</v>
      </c>
      <c r="F87">
        <f>IF(OR('Event Tracker'!$B$20=1,'Event Tracker'!$B$21=1),0,F77/8760/'Game Assumptions'!$G55*1000)</f>
        <v>0</v>
      </c>
      <c r="G87">
        <f>IF(OR('Event Tracker'!$B$20=1,'Event Tracker'!$B$21=1),0,G77/8760/'Game Assumptions'!$G55*1000)</f>
        <v>0</v>
      </c>
      <c r="H87">
        <f>IF(OR('Event Tracker'!$B$20=1,'Event Tracker'!$B$21=1),0,H77/8760/'Game Assumptions'!$G55*1000)</f>
        <v>0</v>
      </c>
      <c r="I87">
        <f>IF(OR('Event Tracker'!$B$20=1,'Event Tracker'!$B$21=1),0,I77/8760/'Game Assumptions'!$G55*1000)</f>
        <v>0</v>
      </c>
      <c r="J87">
        <f>IF(OR('Event Tracker'!$B$20=1,'Event Tracker'!$B$21=1),0,J77/8760/'Game Assumptions'!$G55*1000)</f>
        <v>0</v>
      </c>
      <c r="K87">
        <f>IF(OR('Event Tracker'!$B$20=1,'Event Tracker'!$B$21=1),0,K77/8760/'Game Assumptions'!$G55*1000)</f>
        <v>0</v>
      </c>
      <c r="L87">
        <f>IF(OR('Event Tracker'!$B$20=1,'Event Tracker'!$B$21=1),0,L77/8760/'Game Assumptions'!$G55*1000)</f>
        <v>0</v>
      </c>
    </row>
    <row r="88" spans="1:12" x14ac:dyDescent="0.25">
      <c r="A88" t="s">
        <v>8</v>
      </c>
      <c r="B88">
        <v>0</v>
      </c>
      <c r="C88">
        <f>IF(OR('Event Tracker'!$B$20=1,'Event Tracker'!$B$21=1),0,C78/8760/'Game Assumptions'!$G56*1000)</f>
        <v>0</v>
      </c>
      <c r="D88">
        <f>IF(OR('Event Tracker'!$B$20=1,'Event Tracker'!$B$21=1),0,D78/8760/'Game Assumptions'!$G56*1000)</f>
        <v>0</v>
      </c>
      <c r="E88">
        <f>IF(OR('Event Tracker'!$B$20=1,'Event Tracker'!$B$21=1),0,E78/8760/'Game Assumptions'!$G56*1000)</f>
        <v>0</v>
      </c>
      <c r="F88">
        <f>IF(OR('Event Tracker'!$B$20=1,'Event Tracker'!$B$21=1),0,F78/8760/'Game Assumptions'!$G56*1000)</f>
        <v>0</v>
      </c>
      <c r="G88">
        <f>IF(OR('Event Tracker'!$B$20=1,'Event Tracker'!$B$21=1),0,G78/8760/'Game Assumptions'!$G56*1000)</f>
        <v>0</v>
      </c>
      <c r="H88">
        <f>IF(OR('Event Tracker'!$B$20=1,'Event Tracker'!$B$21=1),0,H78/8760/'Game Assumptions'!$G56*1000)</f>
        <v>0</v>
      </c>
      <c r="I88">
        <f>IF(OR('Event Tracker'!$B$20=1,'Event Tracker'!$B$21=1),0,I78/8760/'Game Assumptions'!$G56*1000)</f>
        <v>0</v>
      </c>
      <c r="J88">
        <f>IF(OR('Event Tracker'!$B$20=1,'Event Tracker'!$B$21=1),0,J78/8760/'Game Assumptions'!$G56*1000)</f>
        <v>0</v>
      </c>
      <c r="K88">
        <f>IF(OR('Event Tracker'!$B$20=1,'Event Tracker'!$B$21=1),0,K78/8760/'Game Assumptions'!$G56*1000)</f>
        <v>0</v>
      </c>
      <c r="L88">
        <f>IF(OR('Event Tracker'!$B$20=1,'Event Tracker'!$B$21=1),0,L78/8760/'Game Assumptions'!$G56*1000)</f>
        <v>0</v>
      </c>
    </row>
    <row r="89" spans="1:12" x14ac:dyDescent="0.25">
      <c r="A89" t="s">
        <v>13</v>
      </c>
      <c r="B89">
        <f>IF(OR('Event Tracker'!$B$20=1,'Event Tracker'!$B$21=1),0,B79/8760/'Game Assumptions'!$G57*1000)</f>
        <v>0</v>
      </c>
      <c r="C89">
        <f>IF(OR('Event Tracker'!$B$20=1,'Event Tracker'!$B$21=1),0,C79/8760/'Game Assumptions'!$G57*1000)</f>
        <v>0</v>
      </c>
      <c r="D89">
        <f>IF(OR('Event Tracker'!$B$20=1,'Event Tracker'!$B$21=1),0,D79/8760/'Game Assumptions'!$G57*1000)</f>
        <v>0</v>
      </c>
      <c r="E89">
        <f>IF(OR('Event Tracker'!$B$20=1,'Event Tracker'!$B$21=1),0,E79/8760/'Game Assumptions'!$G57*1000)</f>
        <v>0</v>
      </c>
      <c r="F89">
        <f>IF(OR('Event Tracker'!$B$20=1,'Event Tracker'!$B$21=1),0,F79/8760/'Game Assumptions'!$G57*1000)</f>
        <v>0</v>
      </c>
      <c r="G89">
        <f>IF(OR('Event Tracker'!$B$20=1,'Event Tracker'!$B$21=1),0,G79/8760/'Game Assumptions'!$G57*1000)</f>
        <v>0</v>
      </c>
      <c r="H89">
        <f>IF(OR('Event Tracker'!$B$20=1,'Event Tracker'!$B$21=1),0,H79/8760/'Game Assumptions'!$G57*1000)</f>
        <v>0</v>
      </c>
      <c r="I89">
        <f>IF(OR('Event Tracker'!$B$20=1,'Event Tracker'!$B$21=1),0,I79/8760/'Game Assumptions'!$G57*1000)</f>
        <v>0</v>
      </c>
      <c r="J89">
        <f>IF(OR('Event Tracker'!$B$20=1,'Event Tracker'!$B$21=1),0,J79/8760/'Game Assumptions'!$G57*1000)</f>
        <v>0</v>
      </c>
      <c r="K89">
        <f>IF(OR('Event Tracker'!$B$20=1,'Event Tracker'!$B$21=1),0,K79/8760/'Game Assumptions'!$G57*1000)</f>
        <v>0</v>
      </c>
      <c r="L89">
        <f>IF(OR('Event Tracker'!$B$20=1,'Event Tracker'!$B$21=1),0,L79/8760/'Game Assumptions'!$G57*1000)</f>
        <v>0</v>
      </c>
    </row>
    <row r="90" spans="1:12" x14ac:dyDescent="0.25">
      <c r="A90" t="s">
        <v>9</v>
      </c>
      <c r="B90">
        <f>IF(OR('Event Tracker'!$B$20=1,'Event Tracker'!$B$21=1),0,B80/8760/'Game Assumptions'!$G58*1000)</f>
        <v>0</v>
      </c>
      <c r="C90">
        <f>IF(OR('Event Tracker'!$B$20=1,'Event Tracker'!$B$21=1),0,C80/8760/'Game Assumptions'!$G58*1000)</f>
        <v>0</v>
      </c>
      <c r="D90">
        <f>IF(OR('Event Tracker'!$B$20=1,'Event Tracker'!$B$21=1),0,D80/8760/'Game Assumptions'!$G58*1000)</f>
        <v>0</v>
      </c>
      <c r="E90">
        <f>IF(OR('Event Tracker'!$B$20=1,'Event Tracker'!$B$21=1),0,E80/8760/'Game Assumptions'!$G58*1000)</f>
        <v>0</v>
      </c>
      <c r="F90">
        <f>IF(OR('Event Tracker'!$B$20=1,'Event Tracker'!$B$21=1),0,F80/8760/'Game Assumptions'!$G58*1000)</f>
        <v>0</v>
      </c>
      <c r="G90">
        <f>IF(OR('Event Tracker'!$B$20=1,'Event Tracker'!$B$21=1),0,G80/8760/'Game Assumptions'!$G58*1000)</f>
        <v>0</v>
      </c>
      <c r="H90">
        <f>IF(OR('Event Tracker'!$B$20=1,'Event Tracker'!$B$21=1),0,H80/8760/'Game Assumptions'!$G58*1000)</f>
        <v>0</v>
      </c>
      <c r="I90">
        <f>IF(OR('Event Tracker'!$B$20=1,'Event Tracker'!$B$21=1),0,I80/8760/'Game Assumptions'!$G58*1000)</f>
        <v>0</v>
      </c>
      <c r="J90">
        <f>IF(OR('Event Tracker'!$B$20=1,'Event Tracker'!$B$21=1),0,J80/8760/'Game Assumptions'!$G58*1000)</f>
        <v>0</v>
      </c>
      <c r="K90">
        <f>IF(OR('Event Tracker'!$B$20=1,'Event Tracker'!$B$21=1),0,K80/8760/'Game Assumptions'!$G58*1000)</f>
        <v>0</v>
      </c>
      <c r="L90">
        <f>IF(OR('Event Tracker'!$B$20=1,'Event Tracker'!$B$21=1),0,L80/8760/'Game Assumptions'!$G58*1000)</f>
        <v>0</v>
      </c>
    </row>
    <row r="91" spans="1:12" x14ac:dyDescent="0.25">
      <c r="A91" t="s">
        <v>10</v>
      </c>
      <c r="B91">
        <f>IF(OR('Event Tracker'!$B$20=1,'Event Tracker'!$B$21=1),0,B81/8760/'Game Assumptions'!$G59*1000)</f>
        <v>0</v>
      </c>
      <c r="C91">
        <f>IF(OR('Event Tracker'!$B$20=1,'Event Tracker'!$B$21=1),0,C81/8760/'Game Assumptions'!$G59*1000)</f>
        <v>0</v>
      </c>
      <c r="D91">
        <f>IF(OR('Event Tracker'!$B$20=1,'Event Tracker'!$B$21=1),0,D81/8760/'Game Assumptions'!$G59*1000)</f>
        <v>0</v>
      </c>
      <c r="E91">
        <f>IF(OR('Event Tracker'!$B$20=1,'Event Tracker'!$B$21=1),0,E81/8760/'Game Assumptions'!$G59*1000)</f>
        <v>0</v>
      </c>
      <c r="F91">
        <f>IF(OR('Event Tracker'!$B$20=1,'Event Tracker'!$B$21=1),0,F81/8760/'Game Assumptions'!$G59*1000)</f>
        <v>0</v>
      </c>
      <c r="G91">
        <f>IF(OR('Event Tracker'!$B$20=1,'Event Tracker'!$B$21=1),0,G81/8760/'Game Assumptions'!$G59*1000)</f>
        <v>0</v>
      </c>
      <c r="H91">
        <f>IF(OR('Event Tracker'!$B$20=1,'Event Tracker'!$B$21=1),0,H81/8760/'Game Assumptions'!$G59*1000)</f>
        <v>0</v>
      </c>
      <c r="I91">
        <f>IF(OR('Event Tracker'!$B$20=1,'Event Tracker'!$B$21=1),0,I81/8760/'Game Assumptions'!$G59*1000)</f>
        <v>0</v>
      </c>
      <c r="J91">
        <f>IF(OR('Event Tracker'!$B$20=1,'Event Tracker'!$B$21=1),0,J81/8760/'Game Assumptions'!$G59*1000)</f>
        <v>0</v>
      </c>
      <c r="K91">
        <f>IF(OR('Event Tracker'!$B$20=1,'Event Tracker'!$B$21=1),0,K81/8760/'Game Assumptions'!$G59*1000)</f>
        <v>0</v>
      </c>
      <c r="L91">
        <f>IF(OR('Event Tracker'!$B$20=1,'Event Tracker'!$B$21=1),0,L81/8760/'Game Assumptions'!$G59*1000)</f>
        <v>0</v>
      </c>
    </row>
    <row r="92" spans="1:12" x14ac:dyDescent="0.25">
      <c r="A92" t="s">
        <v>11</v>
      </c>
      <c r="B92">
        <f>IF(OR('Event Tracker'!$B$20=1,'Event Tracker'!$B$21=1),0,B82/8760/'Game Assumptions'!$G60*1000)</f>
        <v>0</v>
      </c>
      <c r="C92">
        <f>IF(OR('Event Tracker'!$B$20=1,'Event Tracker'!$B$21=1),0,C82/8760/'Game Assumptions'!$G60*1000)</f>
        <v>0</v>
      </c>
      <c r="D92">
        <f>IF(OR('Event Tracker'!$B$20=1,'Event Tracker'!$B$21=1),0,D82/8760/'Game Assumptions'!$G60*1000)</f>
        <v>0</v>
      </c>
      <c r="E92">
        <f>IF(OR('Event Tracker'!$B$20=1,'Event Tracker'!$B$21=1),0,E82/8760/'Game Assumptions'!$G60*1000)</f>
        <v>0</v>
      </c>
      <c r="F92">
        <f>IF(OR('Event Tracker'!$B$20=1,'Event Tracker'!$B$21=1),0,F82/8760/'Game Assumptions'!$G60*1000)</f>
        <v>0</v>
      </c>
      <c r="G92">
        <f>IF(OR('Event Tracker'!$B$20=1,'Event Tracker'!$B$21=1),0,G82/8760/'Game Assumptions'!$G60*1000)</f>
        <v>0</v>
      </c>
      <c r="H92">
        <f>IF(OR('Event Tracker'!$B$20=1,'Event Tracker'!$B$21=1),0,H82/8760/'Game Assumptions'!$G60*1000)</f>
        <v>0</v>
      </c>
      <c r="I92">
        <f>IF(OR('Event Tracker'!$B$20=1,'Event Tracker'!$B$21=1),0,I82/8760/'Game Assumptions'!$G60*1000)</f>
        <v>0</v>
      </c>
      <c r="J92">
        <f>IF(OR('Event Tracker'!$B$20=1,'Event Tracker'!$B$21=1),0,J82/8760/'Game Assumptions'!$G60*1000)</f>
        <v>0</v>
      </c>
      <c r="K92">
        <f>IF(OR('Event Tracker'!$B$20=1,'Event Tracker'!$B$21=1),0,K82/8760/'Game Assumptions'!$G60*1000)</f>
        <v>0</v>
      </c>
      <c r="L92">
        <f>IF(OR('Event Tracker'!$B$20=1,'Event Tracker'!$B$21=1),0,L82/8760/'Game Assumptions'!$G60*1000)</f>
        <v>0</v>
      </c>
    </row>
    <row r="93" spans="1:12" x14ac:dyDescent="0.25">
      <c r="A93" t="s">
        <v>515</v>
      </c>
      <c r="B93">
        <f>IF(OR('Event Tracker'!$B$20=1,'Event Tracker'!$B$21=1),0,B83/8760/'Game Assumptions'!$G61*1000)</f>
        <v>0</v>
      </c>
      <c r="C93">
        <f>IF(OR('Event Tracker'!$B$20=1,'Event Tracker'!$B$21=1),0,C83/8760/'Game Assumptions'!$G61*1000)</f>
        <v>0</v>
      </c>
      <c r="D93">
        <f>IF(OR('Event Tracker'!$B$20=1,'Event Tracker'!$B$21=1),0,D83/8760/'Game Assumptions'!$G61*1000)</f>
        <v>0</v>
      </c>
      <c r="E93">
        <f>IF(OR('Event Tracker'!$B$20=1,'Event Tracker'!$B$21=1),0,E83/8760/'Game Assumptions'!$G61*1000)</f>
        <v>0</v>
      </c>
      <c r="F93">
        <f>IF(OR('Event Tracker'!$B$20=1,'Event Tracker'!$B$21=1),0,F83/8760/'Game Assumptions'!$G61*1000)</f>
        <v>0</v>
      </c>
      <c r="G93">
        <f>IF(OR('Event Tracker'!$B$20=1,'Event Tracker'!$B$21=1),0,G83/8760/'Game Assumptions'!$G61*1000)</f>
        <v>0</v>
      </c>
      <c r="H93">
        <f>IF(OR('Event Tracker'!$B$20=1,'Event Tracker'!$B$21=1),0,H83/8760/'Game Assumptions'!$G61*1000)</f>
        <v>0</v>
      </c>
      <c r="I93">
        <f>IF(OR('Event Tracker'!$B$20=1,'Event Tracker'!$B$21=1),0,I83/8760/'Game Assumptions'!$G61*1000)</f>
        <v>0</v>
      </c>
      <c r="J93">
        <f>IF(OR('Event Tracker'!$B$20=1,'Event Tracker'!$B$21=1),0,J83/8760/'Game Assumptions'!$G61*1000)</f>
        <v>0</v>
      </c>
      <c r="K93">
        <f>IF(OR('Event Tracker'!$B$20=1,'Event Tracker'!$B$21=1),0,K83/8760/'Game Assumptions'!$G61*1000)</f>
        <v>0</v>
      </c>
      <c r="L93">
        <f>IF(OR('Event Tracker'!$B$20=1,'Event Tracker'!$B$21=1),0,L83/8760/'Game Assumptions'!$G61*1000)</f>
        <v>0</v>
      </c>
    </row>
    <row r="94" spans="1:12" x14ac:dyDescent="0.25">
      <c r="A94" t="s">
        <v>369</v>
      </c>
      <c r="B94">
        <f>IF(OR('Event Tracker'!$B$20=1,'Event Tracker'!$B$21=1),0,B84/8760/'Game Assumptions'!$G62*1000)</f>
        <v>0</v>
      </c>
      <c r="C94">
        <f>IF(OR('Event Tracker'!$B$20=1,'Event Tracker'!$B$21=1),0,C84/8760/'Game Assumptions'!$G62*1000)</f>
        <v>0</v>
      </c>
      <c r="D94">
        <f>IF(OR('Event Tracker'!$B$20=1,'Event Tracker'!$B$21=1),0,D84/8760/'Game Assumptions'!$G62*1000)</f>
        <v>0</v>
      </c>
      <c r="E94">
        <f>IF(OR('Event Tracker'!$B$20=1,'Event Tracker'!$B$21=1),0,E84/8760/'Game Assumptions'!$G62*1000)</f>
        <v>0</v>
      </c>
      <c r="F94">
        <f>IF(OR('Event Tracker'!$B$20=1,'Event Tracker'!$B$21=1),0,F84/8760/'Game Assumptions'!$G62*1000)</f>
        <v>0</v>
      </c>
      <c r="G94">
        <f>IF(OR('Event Tracker'!$B$20=1,'Event Tracker'!$B$21=1),0,G84/8760/'Game Assumptions'!$G62*1000)</f>
        <v>0</v>
      </c>
      <c r="H94">
        <f>IF(OR('Event Tracker'!$B$20=1,'Event Tracker'!$B$21=1),0,H84/8760/'Game Assumptions'!$G62*1000)</f>
        <v>0</v>
      </c>
      <c r="I94">
        <f>IF(OR('Event Tracker'!$B$20=1,'Event Tracker'!$B$21=1),0,I84/8760/'Game Assumptions'!$G62*1000)</f>
        <v>0</v>
      </c>
      <c r="J94">
        <f>IF(OR('Event Tracker'!$B$20=1,'Event Tracker'!$B$21=1),0,J84/8760/'Game Assumptions'!$G62*1000)</f>
        <v>0</v>
      </c>
      <c r="K94">
        <f>IF(OR('Event Tracker'!$B$20=1,'Event Tracker'!$B$21=1),0,K84/8760/'Game Assumptions'!$G62*1000)</f>
        <v>0</v>
      </c>
      <c r="L94">
        <f>IF(OR('Event Tracker'!$B$20=1,'Event Tracker'!$B$21=1),0,L84/8760/'Game Assumptions'!$G62*1000)</f>
        <v>0</v>
      </c>
    </row>
    <row r="96" spans="1:12" x14ac:dyDescent="0.25">
      <c r="A96" s="9" t="s">
        <v>492</v>
      </c>
      <c r="B96" s="9">
        <v>0</v>
      </c>
      <c r="C96" s="9">
        <v>1</v>
      </c>
      <c r="D96" s="9">
        <v>2</v>
      </c>
      <c r="E96" s="9">
        <v>3</v>
      </c>
      <c r="F96" s="9">
        <v>4</v>
      </c>
      <c r="G96" s="9">
        <v>5</v>
      </c>
      <c r="H96" s="9">
        <v>6</v>
      </c>
      <c r="I96" s="9">
        <v>7</v>
      </c>
      <c r="J96" s="9">
        <v>8</v>
      </c>
      <c r="K96" s="9">
        <v>9</v>
      </c>
      <c r="L96" s="9">
        <v>10</v>
      </c>
    </row>
    <row r="97" spans="1:12" x14ac:dyDescent="0.25">
      <c r="A97" t="s">
        <v>170</v>
      </c>
      <c r="B97">
        <v>0</v>
      </c>
      <c r="C97">
        <v>0</v>
      </c>
      <c r="D97">
        <v>0</v>
      </c>
      <c r="E97">
        <v>0</v>
      </c>
      <c r="F97">
        <v>0</v>
      </c>
      <c r="G97">
        <v>0</v>
      </c>
      <c r="H97">
        <v>0</v>
      </c>
      <c r="I97">
        <v>0</v>
      </c>
      <c r="J97">
        <v>0</v>
      </c>
      <c r="K97">
        <v>0</v>
      </c>
      <c r="L97">
        <v>0</v>
      </c>
    </row>
    <row r="98" spans="1:12" x14ac:dyDescent="0.25">
      <c r="A98" t="s">
        <v>149</v>
      </c>
      <c r="B98">
        <v>0</v>
      </c>
      <c r="C98">
        <v>0</v>
      </c>
      <c r="D98">
        <v>0</v>
      </c>
      <c r="E98">
        <v>0</v>
      </c>
      <c r="F98">
        <v>0</v>
      </c>
      <c r="G98">
        <v>0</v>
      </c>
      <c r="H98">
        <v>0</v>
      </c>
      <c r="I98">
        <v>0</v>
      </c>
      <c r="J98">
        <v>0</v>
      </c>
      <c r="K98">
        <v>0</v>
      </c>
      <c r="L98">
        <v>0</v>
      </c>
    </row>
    <row r="99" spans="1:12" x14ac:dyDescent="0.25">
      <c r="A99" t="s">
        <v>148</v>
      </c>
      <c r="B99">
        <v>0</v>
      </c>
      <c r="C99">
        <v>0</v>
      </c>
      <c r="D99">
        <v>0</v>
      </c>
      <c r="E99">
        <v>0</v>
      </c>
      <c r="F99">
        <v>0</v>
      </c>
      <c r="G99">
        <v>0</v>
      </c>
      <c r="H99">
        <v>0</v>
      </c>
      <c r="I99">
        <v>0</v>
      </c>
      <c r="J99">
        <v>0</v>
      </c>
      <c r="K99">
        <v>0</v>
      </c>
      <c r="L99">
        <v>0</v>
      </c>
    </row>
    <row r="100" spans="1:12" x14ac:dyDescent="0.25">
      <c r="A100" t="s">
        <v>36</v>
      </c>
      <c r="B100">
        <v>0</v>
      </c>
      <c r="C100" s="84">
        <v>0</v>
      </c>
      <c r="D100" s="84">
        <v>0</v>
      </c>
      <c r="E100" s="84">
        <v>0</v>
      </c>
      <c r="F100" s="84">
        <v>0</v>
      </c>
      <c r="G100" s="84">
        <v>0</v>
      </c>
      <c r="H100">
        <v>0</v>
      </c>
      <c r="I100">
        <v>0</v>
      </c>
      <c r="J100">
        <v>0</v>
      </c>
      <c r="K100">
        <v>0</v>
      </c>
      <c r="L100">
        <v>0</v>
      </c>
    </row>
    <row r="101" spans="1:12" x14ac:dyDescent="0.25">
      <c r="A101" t="s">
        <v>354</v>
      </c>
      <c r="B101">
        <v>0</v>
      </c>
      <c r="C101" s="84">
        <v>0</v>
      </c>
      <c r="D101" s="84">
        <v>0</v>
      </c>
      <c r="E101">
        <v>0</v>
      </c>
      <c r="F101" s="84">
        <v>0</v>
      </c>
      <c r="G101">
        <v>0</v>
      </c>
      <c r="H101">
        <v>0</v>
      </c>
      <c r="I101">
        <v>0</v>
      </c>
      <c r="J101">
        <v>0</v>
      </c>
      <c r="K101">
        <v>0</v>
      </c>
      <c r="L101">
        <v>0</v>
      </c>
    </row>
    <row r="102" spans="1:12" x14ac:dyDescent="0.25">
      <c r="A102" t="s">
        <v>363</v>
      </c>
      <c r="B102">
        <v>0</v>
      </c>
      <c r="C102" s="84">
        <v>0</v>
      </c>
      <c r="D102" s="84">
        <v>0</v>
      </c>
      <c r="E102" s="84">
        <v>0</v>
      </c>
      <c r="F102" s="84">
        <v>0</v>
      </c>
      <c r="G102">
        <v>0</v>
      </c>
      <c r="H102">
        <v>0</v>
      </c>
      <c r="I102">
        <v>0</v>
      </c>
      <c r="J102">
        <v>0</v>
      </c>
      <c r="K102">
        <v>0</v>
      </c>
      <c r="L102">
        <v>0</v>
      </c>
    </row>
    <row r="104" spans="1:12" x14ac:dyDescent="0.25">
      <c r="A104" s="9" t="s">
        <v>533</v>
      </c>
      <c r="B104" s="9">
        <v>0</v>
      </c>
      <c r="C104" s="9">
        <v>1</v>
      </c>
      <c r="D104" s="9">
        <v>2</v>
      </c>
      <c r="E104" s="9">
        <v>3</v>
      </c>
      <c r="F104" s="9">
        <v>4</v>
      </c>
      <c r="G104" s="9">
        <v>5</v>
      </c>
      <c r="H104" s="9">
        <v>6</v>
      </c>
      <c r="I104" s="9">
        <v>7</v>
      </c>
      <c r="J104" s="9">
        <v>8</v>
      </c>
      <c r="K104" s="9">
        <v>9</v>
      </c>
      <c r="L104" s="9">
        <v>10</v>
      </c>
    </row>
    <row r="105" spans="1:12" x14ac:dyDescent="0.25">
      <c r="A105" s="126" t="s">
        <v>382</v>
      </c>
      <c r="B105" s="126"/>
      <c r="C105" s="126"/>
      <c r="D105" s="126"/>
      <c r="E105" s="126"/>
      <c r="F105" s="126"/>
      <c r="G105" s="126"/>
      <c r="H105" s="126"/>
      <c r="I105" s="126"/>
      <c r="J105" s="126"/>
      <c r="K105" s="126"/>
      <c r="L105" s="126"/>
    </row>
    <row r="106" spans="1:12" x14ac:dyDescent="0.25">
      <c r="A106" t="s">
        <v>7</v>
      </c>
      <c r="B106">
        <v>0</v>
      </c>
      <c r="C106">
        <v>0</v>
      </c>
      <c r="D106">
        <v>0</v>
      </c>
      <c r="E106">
        <v>0</v>
      </c>
      <c r="F106">
        <v>0</v>
      </c>
      <c r="G106">
        <v>0</v>
      </c>
      <c r="H106">
        <v>0</v>
      </c>
      <c r="I106">
        <v>0</v>
      </c>
      <c r="J106">
        <v>0</v>
      </c>
      <c r="K106">
        <v>0</v>
      </c>
      <c r="L106">
        <v>0</v>
      </c>
    </row>
    <row r="107" spans="1:12" x14ac:dyDescent="0.25">
      <c r="A107" t="s">
        <v>8</v>
      </c>
      <c r="B107">
        <v>0</v>
      </c>
      <c r="C107">
        <v>0</v>
      </c>
      <c r="D107">
        <v>0</v>
      </c>
      <c r="E107">
        <v>0</v>
      </c>
      <c r="F107">
        <v>0</v>
      </c>
      <c r="G107">
        <v>0</v>
      </c>
      <c r="H107">
        <v>0</v>
      </c>
      <c r="I107">
        <v>0</v>
      </c>
      <c r="J107">
        <v>0</v>
      </c>
      <c r="K107">
        <v>0</v>
      </c>
      <c r="L107">
        <v>0</v>
      </c>
    </row>
    <row r="108" spans="1:12" x14ac:dyDescent="0.25">
      <c r="A108" t="s">
        <v>13</v>
      </c>
      <c r="B108">
        <v>0</v>
      </c>
      <c r="C108">
        <v>0</v>
      </c>
      <c r="D108">
        <v>0</v>
      </c>
      <c r="E108">
        <v>0</v>
      </c>
      <c r="F108">
        <v>0</v>
      </c>
      <c r="G108">
        <v>0</v>
      </c>
      <c r="H108">
        <v>0</v>
      </c>
      <c r="I108">
        <v>0</v>
      </c>
      <c r="J108">
        <v>0</v>
      </c>
      <c r="K108">
        <v>0</v>
      </c>
      <c r="L108">
        <v>0</v>
      </c>
    </row>
    <row r="109" spans="1:12" x14ac:dyDescent="0.25">
      <c r="A109" t="s">
        <v>9</v>
      </c>
      <c r="B109">
        <v>0</v>
      </c>
      <c r="C109">
        <v>0</v>
      </c>
      <c r="D109">
        <v>0</v>
      </c>
      <c r="E109">
        <v>0</v>
      </c>
      <c r="F109">
        <v>0</v>
      </c>
      <c r="G109">
        <v>0</v>
      </c>
      <c r="H109">
        <v>0</v>
      </c>
      <c r="I109">
        <v>0</v>
      </c>
      <c r="J109">
        <v>0</v>
      </c>
      <c r="K109">
        <v>0</v>
      </c>
      <c r="L109">
        <v>0</v>
      </c>
    </row>
    <row r="110" spans="1:12" x14ac:dyDescent="0.25">
      <c r="A110" t="s">
        <v>10</v>
      </c>
      <c r="B110">
        <v>0</v>
      </c>
      <c r="C110">
        <v>0</v>
      </c>
      <c r="D110">
        <v>0</v>
      </c>
      <c r="E110">
        <v>0</v>
      </c>
      <c r="F110">
        <v>0</v>
      </c>
      <c r="G110">
        <v>0</v>
      </c>
      <c r="H110">
        <v>0</v>
      </c>
      <c r="I110">
        <v>0</v>
      </c>
      <c r="J110">
        <v>0</v>
      </c>
      <c r="K110">
        <v>0</v>
      </c>
      <c r="L110">
        <v>0</v>
      </c>
    </row>
    <row r="111" spans="1:12" x14ac:dyDescent="0.25">
      <c r="A111" t="s">
        <v>515</v>
      </c>
      <c r="B111">
        <v>0</v>
      </c>
      <c r="C111">
        <v>0</v>
      </c>
      <c r="D111">
        <v>0</v>
      </c>
      <c r="E111">
        <v>0</v>
      </c>
      <c r="F111">
        <v>0</v>
      </c>
      <c r="G111">
        <v>0</v>
      </c>
      <c r="H111">
        <v>0</v>
      </c>
      <c r="I111">
        <v>0</v>
      </c>
      <c r="J111">
        <v>0</v>
      </c>
      <c r="K111">
        <v>0</v>
      </c>
      <c r="L111">
        <v>0</v>
      </c>
    </row>
    <row r="112" spans="1:12" x14ac:dyDescent="0.25">
      <c r="A112" t="s">
        <v>369</v>
      </c>
      <c r="B112">
        <v>0</v>
      </c>
      <c r="C112">
        <v>0</v>
      </c>
      <c r="D112">
        <v>0</v>
      </c>
      <c r="E112">
        <v>0</v>
      </c>
      <c r="F112">
        <v>0</v>
      </c>
      <c r="G112">
        <v>0</v>
      </c>
      <c r="H112">
        <v>0</v>
      </c>
      <c r="I112">
        <v>0</v>
      </c>
      <c r="J112">
        <v>0</v>
      </c>
      <c r="K112">
        <v>0</v>
      </c>
      <c r="L112">
        <v>0</v>
      </c>
    </row>
    <row r="113" spans="1:12" x14ac:dyDescent="0.25">
      <c r="A113" t="s">
        <v>170</v>
      </c>
      <c r="B113">
        <v>0</v>
      </c>
      <c r="C113">
        <v>0</v>
      </c>
      <c r="D113">
        <v>0</v>
      </c>
      <c r="E113">
        <v>0</v>
      </c>
      <c r="F113">
        <v>0</v>
      </c>
      <c r="G113">
        <v>0</v>
      </c>
      <c r="H113">
        <v>0</v>
      </c>
      <c r="I113">
        <v>0</v>
      </c>
      <c r="J113">
        <v>0</v>
      </c>
      <c r="K113">
        <v>0</v>
      </c>
      <c r="L113">
        <v>0</v>
      </c>
    </row>
    <row r="114" spans="1:12" x14ac:dyDescent="0.25">
      <c r="A114" t="s">
        <v>149</v>
      </c>
      <c r="B114">
        <v>0</v>
      </c>
      <c r="C114">
        <v>0</v>
      </c>
      <c r="D114">
        <v>0</v>
      </c>
      <c r="E114">
        <v>0</v>
      </c>
      <c r="F114">
        <v>0</v>
      </c>
      <c r="G114">
        <v>0</v>
      </c>
      <c r="H114">
        <v>0</v>
      </c>
      <c r="I114">
        <v>0</v>
      </c>
      <c r="J114">
        <v>0</v>
      </c>
      <c r="K114">
        <v>0</v>
      </c>
      <c r="L114">
        <v>0</v>
      </c>
    </row>
    <row r="115" spans="1:12" x14ac:dyDescent="0.25">
      <c r="A115" t="s">
        <v>148</v>
      </c>
      <c r="B115">
        <v>0</v>
      </c>
      <c r="C115">
        <v>0</v>
      </c>
      <c r="D115">
        <v>0</v>
      </c>
      <c r="E115">
        <v>0</v>
      </c>
      <c r="F115">
        <v>0</v>
      </c>
      <c r="G115">
        <v>0</v>
      </c>
      <c r="H115">
        <v>0</v>
      </c>
      <c r="I115">
        <v>0</v>
      </c>
      <c r="J115">
        <v>0</v>
      </c>
      <c r="K115">
        <v>0</v>
      </c>
      <c r="L115">
        <v>0</v>
      </c>
    </row>
    <row r="116" spans="1:12" x14ac:dyDescent="0.25">
      <c r="A116" t="s">
        <v>36</v>
      </c>
      <c r="B116">
        <v>0</v>
      </c>
      <c r="C116">
        <v>0</v>
      </c>
      <c r="D116">
        <v>0</v>
      </c>
      <c r="E116">
        <v>0</v>
      </c>
      <c r="F116">
        <v>0</v>
      </c>
      <c r="G116">
        <v>0</v>
      </c>
      <c r="H116">
        <v>0</v>
      </c>
      <c r="I116">
        <v>0</v>
      </c>
      <c r="J116">
        <v>0</v>
      </c>
      <c r="K116">
        <v>0</v>
      </c>
      <c r="L116">
        <v>0</v>
      </c>
    </row>
    <row r="117" spans="1:12" x14ac:dyDescent="0.25">
      <c r="A117" t="s">
        <v>364</v>
      </c>
      <c r="B117">
        <v>0</v>
      </c>
      <c r="C117">
        <v>0</v>
      </c>
      <c r="D117">
        <v>0</v>
      </c>
      <c r="E117">
        <v>0</v>
      </c>
      <c r="F117">
        <v>0</v>
      </c>
      <c r="G117">
        <v>0</v>
      </c>
      <c r="H117">
        <v>0</v>
      </c>
      <c r="I117">
        <v>0</v>
      </c>
      <c r="J117">
        <v>0</v>
      </c>
      <c r="K117">
        <v>0</v>
      </c>
      <c r="L117">
        <v>0</v>
      </c>
    </row>
    <row r="118" spans="1:12" x14ac:dyDescent="0.25">
      <c r="A118" t="s">
        <v>383</v>
      </c>
      <c r="B118">
        <v>0</v>
      </c>
      <c r="C118">
        <v>0</v>
      </c>
      <c r="D118">
        <v>0</v>
      </c>
      <c r="E118">
        <v>0</v>
      </c>
      <c r="F118">
        <v>0</v>
      </c>
      <c r="G118">
        <v>0</v>
      </c>
      <c r="H118">
        <v>0</v>
      </c>
      <c r="I118">
        <v>0</v>
      </c>
      <c r="J118">
        <v>0</v>
      </c>
      <c r="K118">
        <v>0</v>
      </c>
      <c r="L118">
        <v>0</v>
      </c>
    </row>
    <row r="120" spans="1:12" x14ac:dyDescent="0.25">
      <c r="A120" s="126" t="s">
        <v>381</v>
      </c>
      <c r="B120" s="126"/>
      <c r="C120" s="126"/>
      <c r="D120" s="126"/>
      <c r="E120" s="126"/>
      <c r="F120" s="126"/>
      <c r="G120" s="126"/>
      <c r="H120" s="126"/>
      <c r="I120" s="126"/>
      <c r="J120" s="126"/>
      <c r="K120" s="126"/>
      <c r="L120" s="126"/>
    </row>
    <row r="121" spans="1:12" x14ac:dyDescent="0.25">
      <c r="A121" t="s">
        <v>7</v>
      </c>
      <c r="B121">
        <v>0</v>
      </c>
      <c r="C121">
        <v>0</v>
      </c>
      <c r="D121">
        <v>0</v>
      </c>
      <c r="E121">
        <v>0</v>
      </c>
      <c r="F121">
        <v>0</v>
      </c>
      <c r="G121">
        <v>0</v>
      </c>
      <c r="H121">
        <v>0</v>
      </c>
      <c r="I121">
        <v>0</v>
      </c>
      <c r="J121">
        <v>0</v>
      </c>
      <c r="K121">
        <v>0</v>
      </c>
      <c r="L121">
        <v>0</v>
      </c>
    </row>
    <row r="122" spans="1:12" x14ac:dyDescent="0.25">
      <c r="A122" t="s">
        <v>8</v>
      </c>
      <c r="B122">
        <v>0</v>
      </c>
      <c r="C122">
        <v>0</v>
      </c>
      <c r="D122">
        <v>0</v>
      </c>
      <c r="E122">
        <v>0</v>
      </c>
      <c r="F122">
        <v>0</v>
      </c>
      <c r="G122">
        <v>0</v>
      </c>
      <c r="H122">
        <v>0</v>
      </c>
      <c r="I122">
        <v>0</v>
      </c>
      <c r="J122">
        <v>0</v>
      </c>
      <c r="K122">
        <v>0</v>
      </c>
      <c r="L122">
        <v>0</v>
      </c>
    </row>
    <row r="123" spans="1:12" x14ac:dyDescent="0.25">
      <c r="A123" t="s">
        <v>13</v>
      </c>
      <c r="B123">
        <v>0</v>
      </c>
      <c r="C123">
        <v>0</v>
      </c>
      <c r="D123">
        <v>0</v>
      </c>
      <c r="E123">
        <v>0</v>
      </c>
      <c r="F123">
        <v>0</v>
      </c>
      <c r="G123">
        <v>0</v>
      </c>
      <c r="H123">
        <v>0</v>
      </c>
      <c r="I123">
        <v>0</v>
      </c>
      <c r="J123">
        <v>0</v>
      </c>
      <c r="K123">
        <v>0</v>
      </c>
      <c r="L123">
        <v>0</v>
      </c>
    </row>
    <row r="124" spans="1:12" x14ac:dyDescent="0.25">
      <c r="A124" t="s">
        <v>9</v>
      </c>
      <c r="B124">
        <v>0</v>
      </c>
      <c r="C124">
        <v>0</v>
      </c>
      <c r="D124">
        <v>0</v>
      </c>
      <c r="E124">
        <v>0</v>
      </c>
      <c r="F124">
        <v>0</v>
      </c>
      <c r="G124">
        <v>0</v>
      </c>
      <c r="H124">
        <v>0</v>
      </c>
      <c r="I124">
        <v>0</v>
      </c>
      <c r="J124">
        <v>0</v>
      </c>
      <c r="K124">
        <v>0</v>
      </c>
      <c r="L124">
        <v>0</v>
      </c>
    </row>
    <row r="125" spans="1:12" x14ac:dyDescent="0.25">
      <c r="A125" t="s">
        <v>10</v>
      </c>
      <c r="B125">
        <v>0</v>
      </c>
      <c r="C125">
        <v>0</v>
      </c>
      <c r="D125">
        <v>0</v>
      </c>
      <c r="E125">
        <v>0</v>
      </c>
      <c r="F125">
        <v>0</v>
      </c>
      <c r="G125">
        <v>0</v>
      </c>
      <c r="H125">
        <v>0</v>
      </c>
      <c r="I125">
        <v>0</v>
      </c>
      <c r="J125">
        <v>0</v>
      </c>
      <c r="K125">
        <v>0</v>
      </c>
      <c r="L125">
        <v>0</v>
      </c>
    </row>
    <row r="126" spans="1:12" x14ac:dyDescent="0.25">
      <c r="A126" t="s">
        <v>515</v>
      </c>
      <c r="B126">
        <v>0</v>
      </c>
      <c r="C126">
        <v>0</v>
      </c>
      <c r="D126">
        <v>0</v>
      </c>
      <c r="E126">
        <v>0</v>
      </c>
      <c r="F126">
        <v>0</v>
      </c>
      <c r="G126">
        <v>0</v>
      </c>
      <c r="H126">
        <v>0</v>
      </c>
      <c r="I126">
        <v>0</v>
      </c>
      <c r="J126">
        <v>0</v>
      </c>
      <c r="K126">
        <v>0</v>
      </c>
      <c r="L126">
        <v>0</v>
      </c>
    </row>
    <row r="127" spans="1:12" x14ac:dyDescent="0.25">
      <c r="A127" t="s">
        <v>369</v>
      </c>
      <c r="B127">
        <v>0</v>
      </c>
      <c r="C127">
        <v>0</v>
      </c>
      <c r="D127">
        <v>0</v>
      </c>
      <c r="E127">
        <v>0</v>
      </c>
      <c r="F127">
        <v>0</v>
      </c>
      <c r="G127">
        <v>0</v>
      </c>
      <c r="H127">
        <v>0</v>
      </c>
      <c r="I127">
        <v>0</v>
      </c>
      <c r="J127">
        <v>0</v>
      </c>
      <c r="K127">
        <v>0</v>
      </c>
      <c r="L127">
        <v>0</v>
      </c>
    </row>
    <row r="128" spans="1:12" x14ac:dyDescent="0.25">
      <c r="A128" t="s">
        <v>170</v>
      </c>
      <c r="B128">
        <v>0</v>
      </c>
      <c r="C128">
        <v>0</v>
      </c>
      <c r="D128">
        <v>0</v>
      </c>
      <c r="E128">
        <v>0</v>
      </c>
      <c r="F128">
        <v>0</v>
      </c>
      <c r="G128">
        <v>0</v>
      </c>
      <c r="H128">
        <v>0</v>
      </c>
      <c r="I128">
        <v>0</v>
      </c>
      <c r="J128">
        <v>0</v>
      </c>
      <c r="K128">
        <v>0</v>
      </c>
      <c r="L128">
        <v>0</v>
      </c>
    </row>
    <row r="129" spans="1:12" x14ac:dyDescent="0.25">
      <c r="A129" t="s">
        <v>149</v>
      </c>
      <c r="B129">
        <v>0</v>
      </c>
      <c r="C129">
        <v>0</v>
      </c>
      <c r="D129">
        <v>0</v>
      </c>
      <c r="E129">
        <v>0</v>
      </c>
      <c r="F129">
        <v>0</v>
      </c>
      <c r="G129">
        <v>0</v>
      </c>
      <c r="H129">
        <v>0</v>
      </c>
      <c r="I129">
        <v>0</v>
      </c>
      <c r="J129">
        <v>0</v>
      </c>
      <c r="K129">
        <v>0</v>
      </c>
      <c r="L129">
        <v>0</v>
      </c>
    </row>
    <row r="130" spans="1:12" x14ac:dyDescent="0.25">
      <c r="A130" t="s">
        <v>148</v>
      </c>
      <c r="B130">
        <v>0</v>
      </c>
      <c r="C130">
        <v>0</v>
      </c>
      <c r="D130">
        <v>0</v>
      </c>
      <c r="E130">
        <v>0</v>
      </c>
      <c r="F130">
        <v>0</v>
      </c>
      <c r="G130">
        <v>0</v>
      </c>
      <c r="H130">
        <v>0</v>
      </c>
      <c r="I130">
        <v>0</v>
      </c>
      <c r="J130">
        <v>0</v>
      </c>
      <c r="K130">
        <v>0</v>
      </c>
      <c r="L130">
        <v>0</v>
      </c>
    </row>
    <row r="131" spans="1:12" x14ac:dyDescent="0.25">
      <c r="A131" t="s">
        <v>36</v>
      </c>
      <c r="B131">
        <v>0</v>
      </c>
      <c r="C131">
        <v>0</v>
      </c>
      <c r="D131">
        <v>0</v>
      </c>
      <c r="E131">
        <v>0</v>
      </c>
      <c r="F131">
        <v>0</v>
      </c>
      <c r="G131">
        <v>0</v>
      </c>
      <c r="H131">
        <v>0</v>
      </c>
      <c r="I131">
        <v>0</v>
      </c>
      <c r="J131">
        <v>0</v>
      </c>
      <c r="K131">
        <v>0</v>
      </c>
      <c r="L131">
        <v>0</v>
      </c>
    </row>
    <row r="132" spans="1:12" x14ac:dyDescent="0.25">
      <c r="A132" t="s">
        <v>364</v>
      </c>
      <c r="B132">
        <v>0</v>
      </c>
      <c r="C132">
        <v>0</v>
      </c>
      <c r="D132">
        <v>0</v>
      </c>
      <c r="E132">
        <v>0</v>
      </c>
      <c r="F132">
        <v>0</v>
      </c>
      <c r="G132">
        <v>0</v>
      </c>
      <c r="H132">
        <v>0</v>
      </c>
      <c r="I132">
        <v>0</v>
      </c>
      <c r="J132">
        <v>0</v>
      </c>
      <c r="K132">
        <v>0</v>
      </c>
      <c r="L132">
        <v>0</v>
      </c>
    </row>
    <row r="133" spans="1:12" x14ac:dyDescent="0.25">
      <c r="A133" t="s">
        <v>383</v>
      </c>
      <c r="B133">
        <v>0</v>
      </c>
      <c r="C133">
        <v>0</v>
      </c>
      <c r="D133">
        <v>0</v>
      </c>
      <c r="E133">
        <v>0</v>
      </c>
      <c r="F133">
        <v>0</v>
      </c>
      <c r="G133">
        <v>0</v>
      </c>
      <c r="H133">
        <v>0</v>
      </c>
      <c r="I133">
        <v>0</v>
      </c>
      <c r="J133">
        <v>0</v>
      </c>
      <c r="K133">
        <v>0</v>
      </c>
      <c r="L133">
        <v>0</v>
      </c>
    </row>
    <row r="135" spans="1:12" x14ac:dyDescent="0.25">
      <c r="A135" s="126" t="s">
        <v>384</v>
      </c>
      <c r="B135" s="126"/>
      <c r="C135" s="126"/>
      <c r="D135" s="126"/>
      <c r="E135" s="126"/>
      <c r="F135" s="126"/>
      <c r="G135" s="126"/>
      <c r="H135" s="126"/>
      <c r="I135" s="126"/>
      <c r="J135" s="126"/>
      <c r="K135" s="126"/>
      <c r="L135" s="126"/>
    </row>
    <row r="136" spans="1:12" x14ac:dyDescent="0.25">
      <c r="A136" t="s">
        <v>7</v>
      </c>
      <c r="B136">
        <v>0</v>
      </c>
      <c r="C136">
        <v>0</v>
      </c>
      <c r="D136">
        <v>0</v>
      </c>
      <c r="E136">
        <v>0</v>
      </c>
      <c r="F136">
        <v>0</v>
      </c>
      <c r="G136">
        <v>0</v>
      </c>
      <c r="H136">
        <v>0</v>
      </c>
      <c r="I136">
        <v>0</v>
      </c>
      <c r="J136">
        <v>0</v>
      </c>
      <c r="K136">
        <v>0</v>
      </c>
      <c r="L136">
        <v>0</v>
      </c>
    </row>
    <row r="137" spans="1:12" x14ac:dyDescent="0.25">
      <c r="A137" t="s">
        <v>8</v>
      </c>
      <c r="B137">
        <v>0</v>
      </c>
      <c r="C137">
        <v>0</v>
      </c>
      <c r="D137">
        <v>0</v>
      </c>
      <c r="E137">
        <v>0</v>
      </c>
      <c r="F137">
        <v>0</v>
      </c>
      <c r="G137">
        <v>0</v>
      </c>
      <c r="H137">
        <v>0</v>
      </c>
      <c r="I137">
        <v>0</v>
      </c>
      <c r="J137">
        <v>0</v>
      </c>
      <c r="K137">
        <v>0</v>
      </c>
      <c r="L137">
        <v>0</v>
      </c>
    </row>
    <row r="138" spans="1:12" x14ac:dyDescent="0.25">
      <c r="A138" t="s">
        <v>13</v>
      </c>
      <c r="B138">
        <v>0</v>
      </c>
      <c r="C138">
        <v>0</v>
      </c>
      <c r="D138">
        <v>0</v>
      </c>
      <c r="E138">
        <v>0</v>
      </c>
      <c r="F138">
        <v>0</v>
      </c>
      <c r="G138">
        <v>0</v>
      </c>
      <c r="H138">
        <v>0</v>
      </c>
      <c r="I138">
        <v>0</v>
      </c>
      <c r="J138">
        <v>0</v>
      </c>
      <c r="K138">
        <v>0</v>
      </c>
      <c r="L138">
        <v>0</v>
      </c>
    </row>
    <row r="139" spans="1:12" x14ac:dyDescent="0.25">
      <c r="A139" t="s">
        <v>9</v>
      </c>
      <c r="B139">
        <v>0</v>
      </c>
      <c r="C139">
        <v>0</v>
      </c>
      <c r="D139">
        <v>0</v>
      </c>
      <c r="E139">
        <v>0</v>
      </c>
      <c r="F139">
        <v>0</v>
      </c>
      <c r="G139">
        <v>0</v>
      </c>
      <c r="H139">
        <v>0</v>
      </c>
      <c r="I139">
        <v>0</v>
      </c>
      <c r="J139">
        <v>0</v>
      </c>
      <c r="K139">
        <v>0</v>
      </c>
      <c r="L139">
        <v>0</v>
      </c>
    </row>
    <row r="140" spans="1:12" x14ac:dyDescent="0.25">
      <c r="A140" t="s">
        <v>10</v>
      </c>
      <c r="B140">
        <v>0</v>
      </c>
      <c r="C140">
        <v>0</v>
      </c>
      <c r="D140">
        <v>0</v>
      </c>
      <c r="E140">
        <v>0</v>
      </c>
      <c r="F140">
        <v>0</v>
      </c>
      <c r="G140">
        <v>0</v>
      </c>
      <c r="H140">
        <v>0</v>
      </c>
      <c r="I140">
        <v>0</v>
      </c>
      <c r="J140">
        <v>0</v>
      </c>
      <c r="K140">
        <v>0</v>
      </c>
      <c r="L140">
        <v>0</v>
      </c>
    </row>
    <row r="141" spans="1:12" x14ac:dyDescent="0.25">
      <c r="A141" t="s">
        <v>11</v>
      </c>
      <c r="B141">
        <v>0</v>
      </c>
      <c r="C141">
        <v>0</v>
      </c>
      <c r="D141">
        <v>0</v>
      </c>
      <c r="E141">
        <v>0</v>
      </c>
      <c r="F141">
        <v>0</v>
      </c>
      <c r="G141">
        <v>0</v>
      </c>
      <c r="H141">
        <v>0</v>
      </c>
      <c r="I141">
        <v>0</v>
      </c>
      <c r="J141">
        <v>0</v>
      </c>
      <c r="K141">
        <v>0</v>
      </c>
      <c r="L141">
        <v>0</v>
      </c>
    </row>
    <row r="142" spans="1:12" x14ac:dyDescent="0.25">
      <c r="A142" t="s">
        <v>515</v>
      </c>
      <c r="B142">
        <v>0</v>
      </c>
      <c r="C142">
        <v>0</v>
      </c>
      <c r="D142">
        <v>0</v>
      </c>
      <c r="E142">
        <v>0</v>
      </c>
      <c r="F142">
        <v>0</v>
      </c>
      <c r="G142">
        <v>0</v>
      </c>
      <c r="H142">
        <v>0</v>
      </c>
      <c r="I142">
        <v>0</v>
      </c>
      <c r="J142">
        <v>0</v>
      </c>
      <c r="K142">
        <v>0</v>
      </c>
      <c r="L142">
        <v>0</v>
      </c>
    </row>
    <row r="143" spans="1:12" x14ac:dyDescent="0.25">
      <c r="A143" t="s">
        <v>369</v>
      </c>
      <c r="B143">
        <v>0</v>
      </c>
      <c r="C143">
        <v>0</v>
      </c>
      <c r="D143">
        <v>0</v>
      </c>
      <c r="E143">
        <v>0</v>
      </c>
      <c r="F143">
        <v>0</v>
      </c>
      <c r="G143">
        <v>0</v>
      </c>
      <c r="H143">
        <v>0</v>
      </c>
      <c r="I143">
        <v>0</v>
      </c>
      <c r="J143">
        <v>0</v>
      </c>
      <c r="K143">
        <v>0</v>
      </c>
      <c r="L143">
        <v>0</v>
      </c>
    </row>
    <row r="145" spans="1:12" x14ac:dyDescent="0.25">
      <c r="A145" s="126" t="s">
        <v>74</v>
      </c>
      <c r="B145" s="126"/>
      <c r="C145" s="126"/>
      <c r="D145" s="126"/>
      <c r="E145" s="126"/>
      <c r="F145" s="126"/>
      <c r="G145" s="126"/>
      <c r="H145" s="126"/>
      <c r="I145" s="126"/>
      <c r="J145" s="126"/>
      <c r="K145" s="126"/>
      <c r="L145" s="126"/>
    </row>
    <row r="146" spans="1:12" x14ac:dyDescent="0.25">
      <c r="A146" t="s">
        <v>385</v>
      </c>
      <c r="B146">
        <v>0</v>
      </c>
      <c r="C146">
        <v>0</v>
      </c>
      <c r="D146">
        <v>0</v>
      </c>
      <c r="E146">
        <v>0</v>
      </c>
      <c r="F146">
        <v>0</v>
      </c>
      <c r="G146">
        <v>0</v>
      </c>
      <c r="H146">
        <v>0</v>
      </c>
      <c r="I146">
        <v>0</v>
      </c>
      <c r="J146">
        <v>0</v>
      </c>
      <c r="K146">
        <v>0</v>
      </c>
      <c r="L146">
        <v>0</v>
      </c>
    </row>
    <row r="147" spans="1:12" x14ac:dyDescent="0.25">
      <c r="A147" t="s">
        <v>386</v>
      </c>
      <c r="B147">
        <v>0</v>
      </c>
      <c r="C147">
        <v>0</v>
      </c>
      <c r="D147">
        <v>0</v>
      </c>
      <c r="E147">
        <v>0</v>
      </c>
      <c r="F147">
        <v>0</v>
      </c>
      <c r="G147">
        <v>0</v>
      </c>
      <c r="H147">
        <v>0</v>
      </c>
      <c r="I147">
        <v>0</v>
      </c>
      <c r="J147">
        <v>0</v>
      </c>
      <c r="K147">
        <v>0</v>
      </c>
      <c r="L147">
        <v>0</v>
      </c>
    </row>
  </sheetData>
  <conditionalFormatting sqref="P1">
    <cfRule type="expression" dxfId="2" priority="1">
      <formula>$B$5="Not yet."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39997558519241921"/>
  </sheetPr>
  <dimension ref="A1:M43"/>
  <sheetViews>
    <sheetView workbookViewId="0">
      <selection activeCell="E42" sqref="E42"/>
    </sheetView>
  </sheetViews>
  <sheetFormatPr defaultRowHeight="15" x14ac:dyDescent="0.25"/>
  <cols>
    <col min="1" max="1" width="50.7109375" bestFit="1" customWidth="1"/>
    <col min="2" max="2" width="10.28515625" customWidth="1"/>
    <col min="4" max="4" width="25.5703125" bestFit="1" customWidth="1"/>
  </cols>
  <sheetData>
    <row r="1" spans="1:13" ht="15.75" thickBot="1" x14ac:dyDescent="0.3">
      <c r="A1" s="9" t="s">
        <v>74</v>
      </c>
      <c r="B1" s="9"/>
      <c r="D1" s="100" t="s">
        <v>73</v>
      </c>
      <c r="E1" s="100">
        <f>Current_Round</f>
        <v>0</v>
      </c>
    </row>
    <row r="2" spans="1:13" ht="15" customHeight="1" x14ac:dyDescent="0.25">
      <c r="A2" t="s">
        <v>385</v>
      </c>
      <c r="B2" s="69">
        <v>0</v>
      </c>
      <c r="H2" s="181"/>
      <c r="I2" s="181"/>
      <c r="J2" s="181"/>
      <c r="K2" s="181"/>
      <c r="L2" s="181"/>
      <c r="M2" s="181"/>
    </row>
    <row r="3" spans="1:13" ht="14.45" customHeight="1" x14ac:dyDescent="0.25">
      <c r="A3" t="s">
        <v>386</v>
      </c>
      <c r="B3" s="182">
        <v>0</v>
      </c>
      <c r="H3" s="181"/>
      <c r="I3" s="181"/>
      <c r="J3" s="181"/>
      <c r="K3" s="181"/>
      <c r="L3" s="181"/>
      <c r="M3" s="181"/>
    </row>
    <row r="4" spans="1:13" ht="14.45" customHeight="1" x14ac:dyDescent="0.25">
      <c r="H4" s="181"/>
      <c r="I4" s="181"/>
      <c r="J4" s="181"/>
      <c r="K4" s="181"/>
      <c r="L4" s="181"/>
      <c r="M4" s="181"/>
    </row>
    <row r="5" spans="1:13" ht="14.45" customHeight="1" x14ac:dyDescent="0.25">
      <c r="A5" s="9" t="s">
        <v>380</v>
      </c>
      <c r="B5" s="9"/>
      <c r="H5" s="181"/>
      <c r="I5" s="181"/>
      <c r="J5" s="181"/>
      <c r="K5" s="181"/>
      <c r="L5" s="181"/>
      <c r="M5" s="181"/>
    </row>
    <row r="6" spans="1:13" ht="14.45" customHeight="1" x14ac:dyDescent="0.25">
      <c r="A6" s="126" t="s">
        <v>382</v>
      </c>
      <c r="B6" s="21"/>
      <c r="H6" s="181"/>
      <c r="I6" s="181"/>
      <c r="J6" s="181"/>
      <c r="K6" s="181"/>
      <c r="L6" s="181"/>
      <c r="M6" s="181"/>
    </row>
    <row r="7" spans="1:13" ht="14.45" customHeight="1" x14ac:dyDescent="0.25">
      <c r="A7" t="s">
        <v>7</v>
      </c>
      <c r="B7">
        <v>0</v>
      </c>
      <c r="H7" s="181"/>
      <c r="I7" s="181"/>
      <c r="J7" s="181"/>
      <c r="K7" s="181"/>
      <c r="L7" s="181"/>
      <c r="M7" s="181"/>
    </row>
    <row r="8" spans="1:13" x14ac:dyDescent="0.25">
      <c r="A8" t="s">
        <v>8</v>
      </c>
      <c r="B8">
        <v>0</v>
      </c>
      <c r="H8" s="181"/>
      <c r="I8" s="181"/>
      <c r="J8" s="181"/>
      <c r="K8" s="181"/>
      <c r="L8" s="181"/>
      <c r="M8" s="181"/>
    </row>
    <row r="9" spans="1:13" x14ac:dyDescent="0.25">
      <c r="A9" t="s">
        <v>13</v>
      </c>
      <c r="B9">
        <v>0</v>
      </c>
    </row>
    <row r="10" spans="1:13" x14ac:dyDescent="0.25">
      <c r="A10" t="s">
        <v>9</v>
      </c>
      <c r="B10">
        <v>0</v>
      </c>
    </row>
    <row r="11" spans="1:13" x14ac:dyDescent="0.25">
      <c r="A11" t="s">
        <v>10</v>
      </c>
      <c r="B11">
        <v>0</v>
      </c>
    </row>
    <row r="12" spans="1:13" x14ac:dyDescent="0.25">
      <c r="A12" t="s">
        <v>534</v>
      </c>
      <c r="B12">
        <v>0</v>
      </c>
    </row>
    <row r="13" spans="1:13" x14ac:dyDescent="0.25">
      <c r="A13" t="s">
        <v>369</v>
      </c>
      <c r="B13">
        <v>0</v>
      </c>
    </row>
    <row r="14" spans="1:13" x14ac:dyDescent="0.25">
      <c r="A14" t="s">
        <v>170</v>
      </c>
      <c r="B14">
        <v>0</v>
      </c>
    </row>
    <row r="15" spans="1:13" x14ac:dyDescent="0.25">
      <c r="A15" t="s">
        <v>149</v>
      </c>
      <c r="B15">
        <v>0</v>
      </c>
    </row>
    <row r="16" spans="1:13" x14ac:dyDescent="0.25">
      <c r="A16" t="s">
        <v>148</v>
      </c>
      <c r="B16">
        <v>0</v>
      </c>
    </row>
    <row r="17" spans="1:2" x14ac:dyDescent="0.25">
      <c r="A17" t="s">
        <v>36</v>
      </c>
      <c r="B17">
        <v>0</v>
      </c>
    </row>
    <row r="18" spans="1:2" x14ac:dyDescent="0.25">
      <c r="A18" t="s">
        <v>364</v>
      </c>
      <c r="B18">
        <v>0</v>
      </c>
    </row>
    <row r="19" spans="1:2" x14ac:dyDescent="0.25">
      <c r="A19" t="s">
        <v>383</v>
      </c>
      <c r="B19">
        <v>0</v>
      </c>
    </row>
    <row r="21" spans="1:2" x14ac:dyDescent="0.25">
      <c r="A21" s="126" t="s">
        <v>381</v>
      </c>
      <c r="B21" s="21"/>
    </row>
    <row r="22" spans="1:2" x14ac:dyDescent="0.25">
      <c r="A22" t="s">
        <v>7</v>
      </c>
      <c r="B22">
        <v>0</v>
      </c>
    </row>
    <row r="23" spans="1:2" x14ac:dyDescent="0.25">
      <c r="A23" t="s">
        <v>8</v>
      </c>
      <c r="B23">
        <v>0</v>
      </c>
    </row>
    <row r="24" spans="1:2" x14ac:dyDescent="0.25">
      <c r="A24" t="s">
        <v>13</v>
      </c>
      <c r="B24">
        <v>0</v>
      </c>
    </row>
    <row r="25" spans="1:2" x14ac:dyDescent="0.25">
      <c r="A25" t="s">
        <v>9</v>
      </c>
      <c r="B25">
        <v>0</v>
      </c>
    </row>
    <row r="26" spans="1:2" x14ac:dyDescent="0.25">
      <c r="A26" t="s">
        <v>10</v>
      </c>
      <c r="B26">
        <v>0</v>
      </c>
    </row>
    <row r="27" spans="1:2" x14ac:dyDescent="0.25">
      <c r="A27" t="s">
        <v>534</v>
      </c>
      <c r="B27">
        <v>0</v>
      </c>
    </row>
    <row r="28" spans="1:2" x14ac:dyDescent="0.25">
      <c r="A28" t="s">
        <v>369</v>
      </c>
      <c r="B28">
        <v>0</v>
      </c>
    </row>
    <row r="29" spans="1:2" x14ac:dyDescent="0.25">
      <c r="A29" t="s">
        <v>170</v>
      </c>
      <c r="B29">
        <v>0</v>
      </c>
    </row>
    <row r="30" spans="1:2" x14ac:dyDescent="0.25">
      <c r="A30" t="s">
        <v>149</v>
      </c>
      <c r="B30">
        <v>0</v>
      </c>
    </row>
    <row r="31" spans="1:2" x14ac:dyDescent="0.25">
      <c r="A31" t="s">
        <v>148</v>
      </c>
      <c r="B31">
        <v>0</v>
      </c>
    </row>
    <row r="32" spans="1:2" x14ac:dyDescent="0.25">
      <c r="A32" t="s">
        <v>36</v>
      </c>
      <c r="B32">
        <v>0</v>
      </c>
    </row>
    <row r="33" spans="1:2" x14ac:dyDescent="0.25">
      <c r="A33" t="s">
        <v>364</v>
      </c>
      <c r="B33">
        <v>0</v>
      </c>
    </row>
    <row r="34" spans="1:2" x14ac:dyDescent="0.25">
      <c r="A34" t="s">
        <v>383</v>
      </c>
      <c r="B34">
        <v>0</v>
      </c>
    </row>
    <row r="36" spans="1:2" x14ac:dyDescent="0.25">
      <c r="A36" s="126" t="s">
        <v>384</v>
      </c>
      <c r="B36" s="126"/>
    </row>
    <row r="37" spans="1:2" x14ac:dyDescent="0.25">
      <c r="A37" t="s">
        <v>7</v>
      </c>
      <c r="B37">
        <v>0</v>
      </c>
    </row>
    <row r="38" spans="1:2" x14ac:dyDescent="0.25">
      <c r="A38" t="s">
        <v>8</v>
      </c>
      <c r="B38">
        <v>0</v>
      </c>
    </row>
    <row r="39" spans="1:2" x14ac:dyDescent="0.25">
      <c r="A39" t="s">
        <v>13</v>
      </c>
      <c r="B39">
        <v>0</v>
      </c>
    </row>
    <row r="40" spans="1:2" x14ac:dyDescent="0.25">
      <c r="A40" t="s">
        <v>9</v>
      </c>
      <c r="B40">
        <v>0</v>
      </c>
    </row>
    <row r="41" spans="1:2" x14ac:dyDescent="0.25">
      <c r="A41" t="s">
        <v>10</v>
      </c>
      <c r="B41">
        <v>0</v>
      </c>
    </row>
    <row r="42" spans="1:2" x14ac:dyDescent="0.25">
      <c r="A42" t="s">
        <v>534</v>
      </c>
      <c r="B42">
        <v>0</v>
      </c>
    </row>
    <row r="43" spans="1:2" x14ac:dyDescent="0.25">
      <c r="A43" t="s">
        <v>369</v>
      </c>
      <c r="B43">
        <v>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theme="0" tint="-0.249977111117893"/>
  </sheetPr>
  <dimension ref="A1:AH199"/>
  <sheetViews>
    <sheetView tabSelected="1" topLeftCell="P1" zoomScale="85" zoomScaleNormal="85" workbookViewId="0">
      <selection activeCell="AH1" sqref="AH1"/>
    </sheetView>
  </sheetViews>
  <sheetFormatPr defaultRowHeight="15" x14ac:dyDescent="0.25"/>
  <cols>
    <col min="1" max="1" width="57.5703125" bestFit="1" customWidth="1"/>
    <col min="2" max="2" width="25.42578125" customWidth="1"/>
    <col min="3" max="3" width="17.5703125" customWidth="1"/>
    <col min="4" max="4" width="30" customWidth="1"/>
    <col min="5" max="5" width="14" bestFit="1" customWidth="1"/>
    <col min="6" max="6" width="13.42578125" bestFit="1" customWidth="1"/>
    <col min="7" max="7" width="20.28515625" bestFit="1" customWidth="1"/>
    <col min="8" max="8" width="50.42578125" bestFit="1" customWidth="1"/>
    <col min="9" max="9" width="12.7109375" customWidth="1"/>
    <col min="10" max="10" width="23.85546875" bestFit="1" customWidth="1"/>
    <col min="12" max="12" width="50.85546875" customWidth="1"/>
    <col min="14" max="14" width="13.5703125" customWidth="1"/>
    <col min="15" max="15" width="20.42578125" bestFit="1" customWidth="1"/>
    <col min="16" max="16" width="16.85546875" bestFit="1" customWidth="1"/>
    <col min="17" max="17" width="14.42578125" bestFit="1" customWidth="1"/>
    <col min="18" max="18" width="14.85546875" bestFit="1" customWidth="1"/>
    <col min="19" max="19" width="15.28515625" bestFit="1" customWidth="1"/>
    <col min="20" max="20" width="18.140625" bestFit="1" customWidth="1"/>
    <col min="21" max="21" width="23.140625" bestFit="1" customWidth="1"/>
    <col min="22" max="22" width="26.28515625" bestFit="1" customWidth="1"/>
    <col min="28" max="28" width="48.42578125" bestFit="1" customWidth="1"/>
    <col min="29" max="29" width="21.140625" customWidth="1"/>
    <col min="31" max="31" width="21.5703125" bestFit="1" customWidth="1"/>
  </cols>
  <sheetData>
    <row r="1" spans="1:34" x14ac:dyDescent="0.25">
      <c r="A1" s="138" t="s">
        <v>34</v>
      </c>
      <c r="B1" s="136" t="s">
        <v>0</v>
      </c>
      <c r="C1" s="136" t="s">
        <v>33</v>
      </c>
      <c r="D1" s="136" t="s">
        <v>510</v>
      </c>
      <c r="E1" s="138" t="s">
        <v>73</v>
      </c>
      <c r="F1" s="136" t="s">
        <v>257</v>
      </c>
      <c r="G1" s="138" t="s">
        <v>436</v>
      </c>
      <c r="H1" s="236" t="s">
        <v>433</v>
      </c>
      <c r="I1" s="236"/>
      <c r="J1" s="234" t="s">
        <v>446</v>
      </c>
      <c r="K1" s="235"/>
      <c r="L1" s="235" t="s">
        <v>486</v>
      </c>
      <c r="M1" s="237"/>
      <c r="N1" s="158" t="s">
        <v>477</v>
      </c>
      <c r="O1" s="158" t="s">
        <v>478</v>
      </c>
      <c r="P1" s="158" t="s">
        <v>479</v>
      </c>
      <c r="Q1" s="158" t="s">
        <v>481</v>
      </c>
      <c r="R1" s="158" t="s">
        <v>480</v>
      </c>
      <c r="S1" s="158" t="s">
        <v>482</v>
      </c>
      <c r="T1" s="158" t="s">
        <v>516</v>
      </c>
      <c r="U1" s="158" t="s">
        <v>484</v>
      </c>
      <c r="V1" s="158" t="s">
        <v>489</v>
      </c>
      <c r="W1" s="163" t="s">
        <v>170</v>
      </c>
      <c r="X1" s="136" t="s">
        <v>149</v>
      </c>
      <c r="Y1" s="136" t="s">
        <v>148</v>
      </c>
      <c r="Z1" s="136" t="s">
        <v>36</v>
      </c>
      <c r="AA1" s="136" t="s">
        <v>354</v>
      </c>
      <c r="AB1" s="162" t="s">
        <v>363</v>
      </c>
      <c r="AC1" s="234" t="s">
        <v>519</v>
      </c>
      <c r="AD1" s="235"/>
      <c r="AE1" s="158" t="s">
        <v>530</v>
      </c>
      <c r="AH1" s="1" t="s">
        <v>563</v>
      </c>
    </row>
    <row r="2" spans="1:34" x14ac:dyDescent="0.25">
      <c r="A2" s="139" t="s">
        <v>265</v>
      </c>
      <c r="B2" s="137" t="s">
        <v>268</v>
      </c>
      <c r="C2" s="137" t="s">
        <v>268</v>
      </c>
      <c r="D2" s="137" t="s">
        <v>514</v>
      </c>
      <c r="E2" s="145">
        <f>'Event Tracker'!P1</f>
        <v>0</v>
      </c>
      <c r="F2" s="137" t="s">
        <v>258</v>
      </c>
      <c r="G2" s="139" t="s">
        <v>387</v>
      </c>
      <c r="H2" s="137" t="s">
        <v>434</v>
      </c>
      <c r="I2" s="137" t="s">
        <v>435</v>
      </c>
      <c r="J2" s="142" t="s">
        <v>33</v>
      </c>
      <c r="K2" s="157" t="s">
        <v>387</v>
      </c>
      <c r="L2" s="235" t="s">
        <v>487</v>
      </c>
      <c r="M2" s="237"/>
      <c r="N2" s="160">
        <v>0</v>
      </c>
      <c r="O2" s="160">
        <v>0</v>
      </c>
      <c r="P2" s="160">
        <v>0</v>
      </c>
      <c r="Q2" s="160">
        <v>0</v>
      </c>
      <c r="R2" s="160">
        <v>0</v>
      </c>
      <c r="S2" s="160">
        <v>0</v>
      </c>
      <c r="T2" s="160">
        <v>0</v>
      </c>
      <c r="U2" s="160">
        <v>0</v>
      </c>
      <c r="V2" s="137" t="str">
        <f>IF(OR('Event Tracker'!B20=1,'Event Tracker'!B21=1),"Build New Capacity","Contract for Generation")</f>
        <v>Contract for Generation</v>
      </c>
      <c r="W2" s="164">
        <v>0</v>
      </c>
      <c r="X2" s="164">
        <v>0</v>
      </c>
      <c r="Y2" s="164">
        <v>0</v>
      </c>
      <c r="Z2" s="164">
        <v>0</v>
      </c>
      <c r="AA2" s="164">
        <v>0</v>
      </c>
      <c r="AB2" s="164">
        <v>0</v>
      </c>
      <c r="AC2" s="137" t="s">
        <v>518</v>
      </c>
      <c r="AD2" s="139" t="e">
        <f>IF(INDEX(Reliability!$C$54:$L$54,1,Current_Round)&lt;INDEX('Resource Mix and Demand'!$C$25:$L$25,1,Current_Round),1,0)</f>
        <v>#VALUE!</v>
      </c>
      <c r="AE2" s="177">
        <v>2017</v>
      </c>
    </row>
    <row r="3" spans="1:34" x14ac:dyDescent="0.25">
      <c r="A3" s="139" t="s">
        <v>392</v>
      </c>
      <c r="B3" s="137" t="s">
        <v>2</v>
      </c>
      <c r="C3" s="137" t="s">
        <v>6</v>
      </c>
      <c r="D3" s="137" t="s">
        <v>511</v>
      </c>
      <c r="F3" s="137" t="s">
        <v>37</v>
      </c>
      <c r="G3" s="139" t="s">
        <v>388</v>
      </c>
      <c r="H3" s="137" t="s">
        <v>16</v>
      </c>
      <c r="I3" s="156">
        <f>INDEX('Resource Mix and Demand'!$B$22:$L$33,MATCH(H3,'Resource Mix and Demand'!$A$22:$A$33,0),Current_Round)*IF(OR(BusinessModel=$A$3,BusinessModel=$A$4),1,8760/1000*INDEX('Game Assumptions'!$G$55:$G$62,MATCH(H3,'Game Assumptions'!$F$55:$F$62,0),1))*4</f>
        <v>42047.999999999993</v>
      </c>
      <c r="J3" s="142" t="s">
        <v>447</v>
      </c>
      <c r="K3" s="157" t="s">
        <v>387</v>
      </c>
      <c r="L3" s="142" t="s">
        <v>16</v>
      </c>
      <c r="M3" s="159">
        <v>500</v>
      </c>
      <c r="N3" s="161">
        <f>IF(OR('Event Tracker'!$B$20=1,'Event Tracker'!$B$21=1,),IF(OR(N2&gt;=MaxCoal,N2=""),"",IF(AND(N2&lt;MaxCoal,N2+$M$3&lt;MaxCoal),N2+$M$3,MaxCoal)),IF(OR(N2&gt;=MaxCoal,N2=""),"",IF(AND(N2&lt;MaxCoal,N2+$M$12&lt;MaxCoal),N2+$M$12,MaxCoal)))</f>
        <v>5000</v>
      </c>
      <c r="O3" s="161">
        <f>IF(OR('Event Tracker'!$B$20=1,'Event Tracker'!$B$21=1,),IF(OR(O2&gt;=MaxNatGas,O2=""),"",IF(AND(O2&lt;MaxNatGas,O2+$M$4&lt;MaxNatGas),O2+$M$4,MaxNatGas)),IF(OR(O2&gt;=MaxNatGas,O2=""),"",IF(AND(O2&lt;MaxNatGas,O2+$M$13&lt;MaxNatGas),O2+$M$13,MaxNatGas)))</f>
        <v>5000</v>
      </c>
      <c r="P3" s="161">
        <f>IF(OR('Event Tracker'!$B$20=1,'Event Tracker'!$B$21=1,),IF(OR(P2&gt;=MaxNuclear,P2=""),"",IF(AND(P2&lt;MaxNuclear,P2+$M$5&lt;MaxNuclear),P2+$M$5,MaxNuclear)),IF(OR(P2&gt;=MaxNuclear,P2=""),"",IF(AND(P2&lt;MaxNuclear,P2+$M$14&lt;MaxNuclear),P2+$M$14,MaxNuclear)))</f>
        <v>5000</v>
      </c>
      <c r="Q3" s="161">
        <f>IF(OR('Event Tracker'!$B$20=1,'Event Tracker'!$B$21=1,),IF(OR(Q2&gt;=MaxSolar,Q2=""),"",IF(AND(Q2&lt;MaxSolar,Q2+$M$6&lt;MaxSolar),Q2+$M$6,MaxSolar)),IF(OR(Q2&gt;=MaxSolar,Q2=""),"",IF(AND(Q2&lt;MaxSolar,Q2+$M$15&lt;MaxSolar),Q2+$M$15,MaxSolar)))</f>
        <v>300</v>
      </c>
      <c r="R3" s="161">
        <f>IF(OR('Event Tracker'!$B$20=1,'Event Tracker'!$B$21=1,),IF(OR(R2&gt;=MaxWind,R2=""),"",IF(AND(R2&lt;MaxWind,R2+$M$7&lt;MaxWind),R2+$M$7,MaxWind)),IF(OR(R2&gt;=MaxWind,R2=""),"",IF(AND(R2&lt;MaxWind,R2+$M$16&lt;MaxWind),R2+$M$16,MaxWind)))</f>
        <v>300</v>
      </c>
      <c r="S3" s="161">
        <f>IF(OR('Event Tracker'!$B$20=1,'Event Tracker'!$B$21=1,),IF(OR(S2&gt;=MaxHydro,S2=""),"",IF(AND(S2&lt;MaxHydro,S2+$M$8&lt;MaxHydro),S2+$M$8,MaxHydro)),IF(OR(S2&gt;=MaxHydro,S2=""),"",IF(AND(S2&lt;MaxHydro,S2+$M$17&lt;MaxHydro),S2+$M$17,MaxHydro)))</f>
        <v>300</v>
      </c>
      <c r="T3" s="161">
        <f>IF(OR('Event Tracker'!$B$20=1,'Event Tracker'!$B$21=1,),IF(OR(T2&gt;=MaxEE,T2=""),"",IF(AND(T2&lt;MaxEE,T2+$M$9&lt;MaxEE),T2+$M$9,MaxEE)),IF(OR(T2&gt;=MaxEE,T2=""),"",IF(AND(T2&lt;MaxEE,T2+$M$18&lt;MaxEE),T2+$M$18,MaxEE)))</f>
        <v>300</v>
      </c>
      <c r="U3" s="161">
        <f>IF(OR('Event Tracker'!$B$20=1,'Event Tracker'!$B$21=1,),IF(OR(U2&gt;=MaxSolarDistributed,U2=""),"",IF(AND(U2&lt;MaxSolarDistributed,U2+$M$10&lt;MaxSolarDistributed),U2+$M$10,MaxSolarDistributed)),IF(OR(U2&gt;=MaxSolarDistributed,U2=""),"",IF(AND(U2&lt;MaxSolarDistributed,U2+$M$19&lt;MaxSolarDistributed),U2+$M$19,MaxSolarDistributed)))</f>
        <v>50</v>
      </c>
      <c r="W3" s="165">
        <f t="shared" ref="W3:W42" si="0">IF(OR(W2&gt;=MaxCT,W2=""),"",IF(AND(W2&lt;MaxCT,W2+$M$21&lt;MaxCT),W2+$M$21,MaxCT))</f>
        <v>50</v>
      </c>
      <c r="X3" s="165">
        <f t="shared" ref="X3:X42" si="1">IF(OR(X2&gt;=MaxBatteries,X2=""),"",IF(AND(X2&lt;MaxBatteries,X2+$M$22&lt;MaxBatteries),X2+$M$22,MaxBatteries))</f>
        <v>5</v>
      </c>
      <c r="Y3" s="165">
        <f t="shared" ref="Y3:Y42" si="2">IF(OR(Y2&gt;=MaxPumpedHydro,Y2=""),"",IF(AND(Y2&lt;MaxPumpedHydro,Y2+$M$23&lt;MaxPumpedHydro),Y2+$M$23,MaxPumpedHydro))</f>
        <v>50</v>
      </c>
      <c r="Z3" s="165">
        <f t="shared" ref="Z3:Z42" si="3">IF(OR(Z2&gt;=MaxDR,Z2=""),"",IF(AND(Z2&lt;MaxDR,Z2+$M$24&lt;MaxDR),Z2+$M$24,MaxDR))</f>
        <v>50</v>
      </c>
      <c r="AA3" s="165">
        <f t="shared" ref="AA3:AA42" si="4">IF(OR(AA2&gt;=MaxTransmission,AA2=""),"",IF(AND(AA2&lt;MaxTransmission,AA2+$M$25&lt;MaxTransmission),AA2+$M$25,MaxTransmission))</f>
        <v>500</v>
      </c>
      <c r="AB3" s="165">
        <f t="shared" ref="AB3:AB42" si="5">IF(OR(AB2&gt;=MaxDistribution,AB2=""),"",IF(AND(AB2&lt;MaxDistribution,AB2+$M$26&lt;MaxDistribution),AB2+$M$26,MaxDistribution))</f>
        <v>500</v>
      </c>
      <c r="AC3" s="137" t="s">
        <v>367</v>
      </c>
      <c r="AD3" s="139" t="e">
        <f>IF(INDEX(Reliability!$C$54:$L$54,1,Current_Round)&lt;INDEX('Resource Mix and Demand'!$C$26:$L$26,1,Current_Round),1,0)</f>
        <v>#VALUE!</v>
      </c>
      <c r="AE3" s="178">
        <v>2019</v>
      </c>
    </row>
    <row r="4" spans="1:34" x14ac:dyDescent="0.25">
      <c r="A4" s="139" t="s">
        <v>476</v>
      </c>
      <c r="B4" s="137" t="s">
        <v>239</v>
      </c>
      <c r="C4" s="137" t="s">
        <v>5</v>
      </c>
      <c r="D4" s="137" t="str">
        <f>IF(E2&gt;=5,D3,D2)</f>
        <v>Advance to Next Planning Cycle</v>
      </c>
      <c r="F4" s="137" t="s">
        <v>69</v>
      </c>
      <c r="H4" s="137" t="s">
        <v>17</v>
      </c>
      <c r="I4" s="156">
        <f>INDEX('Resource Mix and Demand'!$B$22:$L$33,MATCH(H4,'Resource Mix and Demand'!$A$22:$A$33,0),Current_Round)*IF(OR(BusinessModel=$A$3,BusinessModel=$A$4),1,8760/1000*INDEX('Game Assumptions'!$G$55:$G$62,MATCH(H4,'Game Assumptions'!$F$55:$F$62,0),1))*4</f>
        <v>205962.44871033516</v>
      </c>
      <c r="L4" s="137" t="s">
        <v>17</v>
      </c>
      <c r="M4" s="137">
        <v>500</v>
      </c>
      <c r="N4" s="161">
        <f>IF(OR('Event Tracker'!$B$20=1,'Event Tracker'!$B$21=1,),IF(OR(N3&gt;=MaxCoal,N3=""),"",IF(AND(N3&lt;MaxCoal,N3+$M$3&lt;MaxCoal),N3+$M$3,MaxCoal)),IF(OR(N3&gt;=MaxCoal,N3=""),"",IF(AND(N3&lt;MaxCoal,N3+$M$12&lt;MaxCoal),N3+$M$12,MaxCoal)))</f>
        <v>10000</v>
      </c>
      <c r="O4" s="161">
        <f>IF(OR('Event Tracker'!$B$20=1,'Event Tracker'!$B$21=1,),IF(OR(O3&gt;=MaxNatGas,O3=""),"",IF(AND(O3&lt;MaxNatGas,O3+$M$4&lt;MaxNatGas),O3+$M$4,MaxNatGas)),IF(OR(O3&gt;=MaxNatGas,O3=""),"",IF(AND(O3&lt;MaxNatGas,O3+$M$13&lt;MaxNatGas),O3+$M$13,MaxNatGas)))</f>
        <v>10000</v>
      </c>
      <c r="P4" s="161">
        <f>IF(OR('Event Tracker'!$B$20=1,'Event Tracker'!$B$21=1,),IF(OR(P3&gt;=MaxNuclear,P3=""),"",IF(AND(P3&lt;MaxNuclear,P3+$M$5&lt;MaxNuclear),P3+$M$5,MaxNuclear)),IF(OR(P3&gt;=MaxNuclear,P3=""),"",IF(AND(P3&lt;MaxNuclear,P3+$M$14&lt;MaxNuclear),P3+$M$14,MaxNuclear)))</f>
        <v>10000</v>
      </c>
      <c r="Q4" s="161">
        <f>IF(OR('Event Tracker'!$B$20=1,'Event Tracker'!$B$21=1,),IF(OR(Q3&gt;=MaxSolar,Q3=""),"",IF(AND(Q3&lt;MaxSolar,Q3+$M$6&lt;MaxSolar),Q3+$M$6,MaxSolar)),IF(OR(Q3&gt;=MaxSolar,Q3=""),"",IF(AND(Q3&lt;MaxSolar,Q3+$M$15&lt;MaxSolar),Q3+$M$15,MaxSolar)))</f>
        <v>600</v>
      </c>
      <c r="R4" s="161">
        <f>IF(OR('Event Tracker'!$B$20=1,'Event Tracker'!$B$21=1,),IF(OR(R3&gt;=MaxWind,R3=""),"",IF(AND(R3&lt;MaxWind,R3+$M$7&lt;MaxWind),R3+$M$7,MaxWind)),IF(OR(R3&gt;=MaxWind,R3=""),"",IF(AND(R3&lt;MaxWind,R3+$M$16&lt;MaxWind),R3+$M$16,MaxWind)))</f>
        <v>600</v>
      </c>
      <c r="S4" s="161">
        <f>IF(OR('Event Tracker'!$B$20=1,'Event Tracker'!$B$21=1,),IF(OR(S3&gt;=MaxHydro,S3=""),"",IF(AND(S3&lt;MaxHydro,S3+$M$8&lt;MaxHydro),S3+$M$8,MaxHydro)),IF(OR(S3&gt;=MaxHydro,S3=""),"",IF(AND(S3&lt;MaxHydro,S3+$M$17&lt;MaxHydro),S3+$M$17,MaxHydro)))</f>
        <v>600</v>
      </c>
      <c r="T4" s="161">
        <f>IF(OR('Event Tracker'!$B$20=1,'Event Tracker'!$B$21=1,),IF(OR(T3&gt;=MaxEE,T3=""),"",IF(AND(T3&lt;MaxEE,T3+$M$9&lt;MaxEE),T3+$M$9,MaxEE)),IF(OR(T3&gt;=MaxEE,T3=""),"",IF(AND(T3&lt;MaxEE,T3+$M$18&lt;MaxEE),T3+$M$18,MaxEE)))</f>
        <v>600</v>
      </c>
      <c r="U4" s="161">
        <f>IF(OR('Event Tracker'!$B$20=1,'Event Tracker'!$B$21=1,),IF(OR(U3&gt;=MaxSolarDistributed,U3=""),"",IF(AND(U3&lt;MaxSolarDistributed,U3+$M$10&lt;MaxSolarDistributed),U3+$M$10,MaxSolarDistributed)),IF(OR(U3&gt;=MaxSolarDistributed,U3=""),"",IF(AND(U3&lt;MaxSolarDistributed,U3+$M$19&lt;MaxSolarDistributed),U3+$M$19,MaxSolarDistributed)))</f>
        <v>100</v>
      </c>
      <c r="W4" s="165">
        <f t="shared" si="0"/>
        <v>100</v>
      </c>
      <c r="X4" s="165">
        <f t="shared" si="1"/>
        <v>10</v>
      </c>
      <c r="Y4" s="165">
        <f t="shared" si="2"/>
        <v>100</v>
      </c>
      <c r="Z4" s="165">
        <f t="shared" si="3"/>
        <v>100</v>
      </c>
      <c r="AA4" s="165">
        <f t="shared" si="4"/>
        <v>1000</v>
      </c>
      <c r="AB4" s="165">
        <f t="shared" si="5"/>
        <v>1000</v>
      </c>
      <c r="AC4" s="137" t="s">
        <v>369</v>
      </c>
      <c r="AD4" s="139" t="e">
        <f>IF(INDEX(Reliability!$C$55:$L$55,1,Current_Round)&lt;INDEX('Resource Mix and Demand'!$C$27:$L$27,1,Current_Round),1,0)</f>
        <v>#VALUE!</v>
      </c>
      <c r="AE4" s="178">
        <v>2021</v>
      </c>
    </row>
    <row r="5" spans="1:34" x14ac:dyDescent="0.25">
      <c r="A5" s="139" t="s">
        <v>393</v>
      </c>
      <c r="B5" s="137" t="s">
        <v>240</v>
      </c>
      <c r="C5" s="137" t="s">
        <v>4</v>
      </c>
      <c r="F5" s="137" t="s">
        <v>70</v>
      </c>
      <c r="H5" s="137" t="s">
        <v>18</v>
      </c>
      <c r="I5" s="156">
        <f>INDEX('Resource Mix and Demand'!$B$22:$L$33,MATCH(H5,'Resource Mix and Demand'!$A$22:$A$33,0),Current_Round)*IF(OR(BusinessModel=$A$3,BusinessModel=$A$4),1,8760/1000*INDEX('Game Assumptions'!$G$55:$G$62,MATCH(H5,'Game Assumptions'!$F$55:$F$62,0),1))*4</f>
        <v>31536</v>
      </c>
      <c r="L5" s="137" t="s">
        <v>18</v>
      </c>
      <c r="M5" s="137">
        <v>500</v>
      </c>
      <c r="N5" s="161">
        <f>IF(OR('Event Tracker'!$B$20=1,'Event Tracker'!$B$21=1,),IF(OR(N4&gt;=MaxCoal,N4=""),"",IF(AND(N4&lt;MaxCoal,N4+$M$3&lt;MaxCoal),N4+$M$3,MaxCoal)),IF(OR(N4&gt;=MaxCoal,N4=""),"",IF(AND(N4&lt;MaxCoal,N4+$M$12&lt;MaxCoal),N4+$M$12,MaxCoal)))</f>
        <v>15000</v>
      </c>
      <c r="O5" s="161">
        <f>IF(OR('Event Tracker'!$B$20=1,'Event Tracker'!$B$21=1,),IF(OR(O4&gt;=MaxNatGas,O4=""),"",IF(AND(O4&lt;MaxNatGas,O4+$M$4&lt;MaxNatGas),O4+$M$4,MaxNatGas)),IF(OR(O4&gt;=MaxNatGas,O4=""),"",IF(AND(O4&lt;MaxNatGas,O4+$M$13&lt;MaxNatGas),O4+$M$13,MaxNatGas)))</f>
        <v>15000</v>
      </c>
      <c r="P5" s="161">
        <f>IF(OR('Event Tracker'!$B$20=1,'Event Tracker'!$B$21=1,),IF(OR(P4&gt;=MaxNuclear,P4=""),"",IF(AND(P4&lt;MaxNuclear,P4+$M$5&lt;MaxNuclear),P4+$M$5,MaxNuclear)),IF(OR(P4&gt;=MaxNuclear,P4=""),"",IF(AND(P4&lt;MaxNuclear,P4+$M$14&lt;MaxNuclear),P4+$M$14,MaxNuclear)))</f>
        <v>15000</v>
      </c>
      <c r="Q5" s="161">
        <f>IF(OR('Event Tracker'!$B$20=1,'Event Tracker'!$B$21=1,),IF(OR(Q4&gt;=MaxSolar,Q4=""),"",IF(AND(Q4&lt;MaxSolar,Q4+$M$6&lt;MaxSolar),Q4+$M$6,MaxSolar)),IF(OR(Q4&gt;=MaxSolar,Q4=""),"",IF(AND(Q4&lt;MaxSolar,Q4+$M$15&lt;MaxSolar),Q4+$M$15,MaxSolar)))</f>
        <v>900</v>
      </c>
      <c r="R5" s="161">
        <f>IF(OR('Event Tracker'!$B$20=1,'Event Tracker'!$B$21=1,),IF(OR(R4&gt;=MaxWind,R4=""),"",IF(AND(R4&lt;MaxWind,R4+$M$7&lt;MaxWind),R4+$M$7,MaxWind)),IF(OR(R4&gt;=MaxWind,R4=""),"",IF(AND(R4&lt;MaxWind,R4+$M$16&lt;MaxWind),R4+$M$16,MaxWind)))</f>
        <v>900</v>
      </c>
      <c r="S5" s="161">
        <f>IF(OR('Event Tracker'!$B$20=1,'Event Tracker'!$B$21=1,),IF(OR(S4&gt;=MaxHydro,S4=""),"",IF(AND(S4&lt;MaxHydro,S4+$M$8&lt;MaxHydro),S4+$M$8,MaxHydro)),IF(OR(S4&gt;=MaxHydro,S4=""),"",IF(AND(S4&lt;MaxHydro,S4+$M$17&lt;MaxHydro),S4+$M$17,MaxHydro)))</f>
        <v>900</v>
      </c>
      <c r="T5" s="161">
        <f>IF(OR('Event Tracker'!$B$20=1,'Event Tracker'!$B$21=1,),IF(OR(T4&gt;=MaxEE,T4=""),"",IF(AND(T4&lt;MaxEE,T4+$M$9&lt;MaxEE),T4+$M$9,MaxEE)),IF(OR(T4&gt;=MaxEE,T4=""),"",IF(AND(T4&lt;MaxEE,T4+$M$18&lt;MaxEE),T4+$M$18,MaxEE)))</f>
        <v>900</v>
      </c>
      <c r="U5" s="161">
        <f>IF(OR('Event Tracker'!$B$20=1,'Event Tracker'!$B$21=1,),IF(OR(U4&gt;=MaxSolarDistributed,U4=""),"",IF(AND(U4&lt;MaxSolarDistributed,U4+$M$10&lt;MaxSolarDistributed),U4+$M$10,MaxSolarDistributed)),IF(OR(U4&gt;=MaxSolarDistributed,U4=""),"",IF(AND(U4&lt;MaxSolarDistributed,U4+$M$19&lt;MaxSolarDistributed),U4+$M$19,MaxSolarDistributed)))</f>
        <v>150</v>
      </c>
      <c r="W5" s="165">
        <f t="shared" si="0"/>
        <v>150</v>
      </c>
      <c r="X5" s="165">
        <f t="shared" si="1"/>
        <v>15</v>
      </c>
      <c r="Y5" s="165">
        <f t="shared" si="2"/>
        <v>150</v>
      </c>
      <c r="Z5" s="165">
        <f t="shared" si="3"/>
        <v>150</v>
      </c>
      <c r="AA5" s="165">
        <f t="shared" si="4"/>
        <v>1500</v>
      </c>
      <c r="AB5" s="165">
        <f t="shared" si="5"/>
        <v>1500</v>
      </c>
      <c r="AC5" s="137" t="s">
        <v>515</v>
      </c>
      <c r="AD5" s="139" t="e">
        <f>IF(INDEX('Resource Mix and Demand'!$C$57:$L$57,1,Current_Round)&lt;INDEX('Resource Mix and Demand'!$C$42:$L$42,1,Current_Round),1,0)</f>
        <v>#VALUE!</v>
      </c>
      <c r="AE5" s="178">
        <v>2023</v>
      </c>
    </row>
    <row r="6" spans="1:34" x14ac:dyDescent="0.25">
      <c r="A6" s="137" t="s">
        <v>391</v>
      </c>
      <c r="B6" s="137" t="s">
        <v>3</v>
      </c>
      <c r="C6" s="137" t="s">
        <v>339</v>
      </c>
      <c r="F6" s="137" t="s">
        <v>71</v>
      </c>
      <c r="H6" s="137" t="s">
        <v>366</v>
      </c>
      <c r="I6" s="156">
        <f>INDEX('Resource Mix and Demand'!$B$22:$L$33,MATCH(H6,'Resource Mix and Demand'!$A$22:$A$33,0),Current_Round)*IF(OR(BusinessModel=$A$3,BusinessModel=$A$4),1,8760/1000*INDEX('Game Assumptions'!$G$55:$G$62,MATCH(H6,'Game Assumptions'!$F$55:$F$62,0),1))*4</f>
        <v>9620.843481319831</v>
      </c>
      <c r="L6" s="137" t="s">
        <v>366</v>
      </c>
      <c r="M6" s="137">
        <v>100</v>
      </c>
      <c r="N6" s="161">
        <f>IF(OR('Event Tracker'!$B$20=1,'Event Tracker'!$B$21=1,),IF(OR(N5&gt;=MaxCoal,N5=""),"",IF(AND(N5&lt;MaxCoal,N5+$M$3&lt;MaxCoal),N5+$M$3,MaxCoal)),IF(OR(N5&gt;=MaxCoal,N5=""),"",IF(AND(N5&lt;MaxCoal,N5+$M$12&lt;MaxCoal),N5+$M$12,MaxCoal)))</f>
        <v>20000</v>
      </c>
      <c r="O6" s="161">
        <f>IF(OR('Event Tracker'!$B$20=1,'Event Tracker'!$B$21=1,),IF(OR(O5&gt;=MaxNatGas,O5=""),"",IF(AND(O5&lt;MaxNatGas,O5+$M$4&lt;MaxNatGas),O5+$M$4,MaxNatGas)),IF(OR(O5&gt;=MaxNatGas,O5=""),"",IF(AND(O5&lt;MaxNatGas,O5+$M$13&lt;MaxNatGas),O5+$M$13,MaxNatGas)))</f>
        <v>20000</v>
      </c>
      <c r="P6" s="161">
        <f>IF(OR('Event Tracker'!$B$20=1,'Event Tracker'!$B$21=1,),IF(OR(P5&gt;=MaxNuclear,P5=""),"",IF(AND(P5&lt;MaxNuclear,P5+$M$5&lt;MaxNuclear),P5+$M$5,MaxNuclear)),IF(OR(P5&gt;=MaxNuclear,P5=""),"",IF(AND(P5&lt;MaxNuclear,P5+$M$14&lt;MaxNuclear),P5+$M$14,MaxNuclear)))</f>
        <v>20000</v>
      </c>
      <c r="Q6" s="161">
        <f>IF(OR('Event Tracker'!$B$20=1,'Event Tracker'!$B$21=1,),IF(OR(Q5&gt;=MaxSolar,Q5=""),"",IF(AND(Q5&lt;MaxSolar,Q5+$M$6&lt;MaxSolar),Q5+$M$6,MaxSolar)),IF(OR(Q5&gt;=MaxSolar,Q5=""),"",IF(AND(Q5&lt;MaxSolar,Q5+$M$15&lt;MaxSolar),Q5+$M$15,MaxSolar)))</f>
        <v>1200</v>
      </c>
      <c r="R6" s="161">
        <f>IF(OR('Event Tracker'!$B$20=1,'Event Tracker'!$B$21=1,),IF(OR(R5&gt;=MaxWind,R5=""),"",IF(AND(R5&lt;MaxWind,R5+$M$7&lt;MaxWind),R5+$M$7,MaxWind)),IF(OR(R5&gt;=MaxWind,R5=""),"",IF(AND(R5&lt;MaxWind,R5+$M$16&lt;MaxWind),R5+$M$16,MaxWind)))</f>
        <v>1200</v>
      </c>
      <c r="S6" s="161">
        <f>IF(OR('Event Tracker'!$B$20=1,'Event Tracker'!$B$21=1,),IF(OR(S5&gt;=MaxHydro,S5=""),"",IF(AND(S5&lt;MaxHydro,S5+$M$8&lt;MaxHydro),S5+$M$8,MaxHydro)),IF(OR(S5&gt;=MaxHydro,S5=""),"",IF(AND(S5&lt;MaxHydro,S5+$M$17&lt;MaxHydro),S5+$M$17,MaxHydro)))</f>
        <v>1200</v>
      </c>
      <c r="T6" s="161">
        <f>IF(OR('Event Tracker'!$B$20=1,'Event Tracker'!$B$21=1,),IF(OR(T5&gt;=MaxEE,T5=""),"",IF(AND(T5&lt;MaxEE,T5+$M$9&lt;MaxEE),T5+$M$9,MaxEE)),IF(OR(T5&gt;=MaxEE,T5=""),"",IF(AND(T5&lt;MaxEE,T5+$M$18&lt;MaxEE),T5+$M$18,MaxEE)))</f>
        <v>1200</v>
      </c>
      <c r="U6" s="161">
        <f>IF(OR('Event Tracker'!$B$20=1,'Event Tracker'!$B$21=1,),IF(OR(U5&gt;=MaxSolarDistributed,U5=""),"",IF(AND(U5&lt;MaxSolarDistributed,U5+$M$10&lt;MaxSolarDistributed),U5+$M$10,MaxSolarDistributed)),IF(OR(U5&gt;=MaxSolarDistributed,U5=""),"",IF(AND(U5&lt;MaxSolarDistributed,U5+$M$19&lt;MaxSolarDistributed),U5+$M$19,MaxSolarDistributed)))</f>
        <v>200</v>
      </c>
      <c r="W6" s="165">
        <f t="shared" si="0"/>
        <v>200</v>
      </c>
      <c r="X6" s="165">
        <f t="shared" si="1"/>
        <v>20</v>
      </c>
      <c r="Y6" s="165">
        <f t="shared" si="2"/>
        <v>200</v>
      </c>
      <c r="Z6" s="165">
        <f t="shared" si="3"/>
        <v>200</v>
      </c>
      <c r="AA6" s="165">
        <f t="shared" si="4"/>
        <v>2000</v>
      </c>
      <c r="AB6" s="165">
        <f t="shared" si="5"/>
        <v>2000</v>
      </c>
      <c r="AE6" s="178">
        <v>2025</v>
      </c>
    </row>
    <row r="7" spans="1:34" x14ac:dyDescent="0.25">
      <c r="B7" s="137" t="s">
        <v>1</v>
      </c>
      <c r="F7" s="137" t="s">
        <v>72</v>
      </c>
      <c r="H7" s="137" t="s">
        <v>367</v>
      </c>
      <c r="I7" s="156">
        <f>INDEX('Resource Mix and Demand'!$B$22:$L$33,MATCH(H7,'Resource Mix and Demand'!$A$22:$A$33,0),Current_Round)*IF(OR(BusinessModel=$A$3,BusinessModel=$A$4),1,8760/1000*INDEX('Game Assumptions'!$G$55:$G$62,MATCH(H7,'Game Assumptions'!$F$55:$F$62,0),1))*4</f>
        <v>11545.012177583796</v>
      </c>
      <c r="L7" s="137" t="s">
        <v>367</v>
      </c>
      <c r="M7" s="137">
        <v>100</v>
      </c>
      <c r="N7" s="161">
        <f>IF(OR('Event Tracker'!$B$20=1,'Event Tracker'!$B$21=1,),IF(OR(N6&gt;=MaxCoal,N6=""),"",IF(AND(N6&lt;MaxCoal,N6+$M$3&lt;MaxCoal),N6+$M$3,MaxCoal)),IF(OR(N6&gt;=MaxCoal,N6=""),"",IF(AND(N6&lt;MaxCoal,N6+$M$12&lt;MaxCoal),N6+$M$12,MaxCoal)))</f>
        <v>25000</v>
      </c>
      <c r="O7" s="161">
        <f>IF(OR('Event Tracker'!$B$20=1,'Event Tracker'!$B$21=1,),IF(OR(O6&gt;=MaxNatGas,O6=""),"",IF(AND(O6&lt;MaxNatGas,O6+$M$4&lt;MaxNatGas),O6+$M$4,MaxNatGas)),IF(OR(O6&gt;=MaxNatGas,O6=""),"",IF(AND(O6&lt;MaxNatGas,O6+$M$13&lt;MaxNatGas),O6+$M$13,MaxNatGas)))</f>
        <v>25000</v>
      </c>
      <c r="P7" s="161">
        <f>IF(OR('Event Tracker'!$B$20=1,'Event Tracker'!$B$21=1,),IF(OR(P6&gt;=MaxNuclear,P6=""),"",IF(AND(P6&lt;MaxNuclear,P6+$M$5&lt;MaxNuclear),P6+$M$5,MaxNuclear)),IF(OR(P6&gt;=MaxNuclear,P6=""),"",IF(AND(P6&lt;MaxNuclear,P6+$M$14&lt;MaxNuclear),P6+$M$14,MaxNuclear)))</f>
        <v>25000</v>
      </c>
      <c r="Q7" s="161">
        <f>IF(OR('Event Tracker'!$B$20=1,'Event Tracker'!$B$21=1,),IF(OR(Q6&gt;=MaxSolar,Q6=""),"",IF(AND(Q6&lt;MaxSolar,Q6+$M$6&lt;MaxSolar),Q6+$M$6,MaxSolar)),IF(OR(Q6&gt;=MaxSolar,Q6=""),"",IF(AND(Q6&lt;MaxSolar,Q6+$M$15&lt;MaxSolar),Q6+$M$15,MaxSolar)))</f>
        <v>1500</v>
      </c>
      <c r="R7" s="161">
        <f>IF(OR('Event Tracker'!$B$20=1,'Event Tracker'!$B$21=1,),IF(OR(R6&gt;=MaxWind,R6=""),"",IF(AND(R6&lt;MaxWind,R6+$M$7&lt;MaxWind),R6+$M$7,MaxWind)),IF(OR(R6&gt;=MaxWind,R6=""),"",IF(AND(R6&lt;MaxWind,R6+$M$16&lt;MaxWind),R6+$M$16,MaxWind)))</f>
        <v>1500</v>
      </c>
      <c r="S7" s="161">
        <f>IF(OR('Event Tracker'!$B$20=1,'Event Tracker'!$B$21=1,),IF(OR(S6&gt;=MaxHydro,S6=""),"",IF(AND(S6&lt;MaxHydro,S6+$M$8&lt;MaxHydro),S6+$M$8,MaxHydro)),IF(OR(S6&gt;=MaxHydro,S6=""),"",IF(AND(S6&lt;MaxHydro,S6+$M$17&lt;MaxHydro),S6+$M$17,MaxHydro)))</f>
        <v>1500</v>
      </c>
      <c r="T7" s="161">
        <f>IF(OR('Event Tracker'!$B$20=1,'Event Tracker'!$B$21=1,),IF(OR(T6&gt;=MaxEE,T6=""),"",IF(AND(T6&lt;MaxEE,T6+$M$9&lt;MaxEE),T6+$M$9,MaxEE)),IF(OR(T6&gt;=MaxEE,T6=""),"",IF(AND(T6&lt;MaxEE,T6+$M$18&lt;MaxEE),T6+$M$18,MaxEE)))</f>
        <v>1500</v>
      </c>
      <c r="U7" s="161">
        <f>IF(OR('Event Tracker'!$B$20=1,'Event Tracker'!$B$21=1,),IF(OR(U6&gt;=MaxSolarDistributed,U6=""),"",IF(AND(U6&lt;MaxSolarDistributed,U6+$M$10&lt;MaxSolarDistributed),U6+$M$10,MaxSolarDistributed)),IF(OR(U6&gt;=MaxSolarDistributed,U6=""),"",IF(AND(U6&lt;MaxSolarDistributed,U6+$M$19&lt;MaxSolarDistributed),U6+$M$19,MaxSolarDistributed)))</f>
        <v>250</v>
      </c>
      <c r="W7" s="165">
        <f t="shared" si="0"/>
        <v>250</v>
      </c>
      <c r="X7" s="165">
        <f t="shared" si="1"/>
        <v>25</v>
      </c>
      <c r="Y7" s="165">
        <f t="shared" si="2"/>
        <v>250</v>
      </c>
      <c r="Z7" s="165" t="str">
        <f t="shared" si="3"/>
        <v/>
      </c>
      <c r="AA7" s="165">
        <f t="shared" si="4"/>
        <v>2500</v>
      </c>
      <c r="AB7" s="165">
        <f t="shared" si="5"/>
        <v>2500</v>
      </c>
    </row>
    <row r="8" spans="1:34" x14ac:dyDescent="0.25">
      <c r="B8" s="137" t="s">
        <v>281</v>
      </c>
      <c r="F8" s="137" t="s">
        <v>259</v>
      </c>
      <c r="H8" s="137" t="s">
        <v>368</v>
      </c>
      <c r="I8" s="156">
        <f>INDEX('Resource Mix and Demand'!$B$22:$L$33,MATCH(H8,'Resource Mix and Demand'!$A$22:$A$33,0),Current_Round)*IF(OR(BusinessModel=$A$3,BusinessModel=$A$4),1,8760/1000*INDEX('Game Assumptions'!$G$55:$G$62,MATCH(H8,'Game Assumptions'!$F$55:$F$62,0),1))*4</f>
        <v>4204.7999999999993</v>
      </c>
      <c r="L8" s="137" t="s">
        <v>368</v>
      </c>
      <c r="M8" s="137">
        <v>100</v>
      </c>
      <c r="N8" s="161">
        <f>IF(OR('Event Tracker'!$B$20=1,'Event Tracker'!$B$21=1,),IF(OR(N7&gt;=MaxCoal,N7=""),"",IF(AND(N7&lt;MaxCoal,N7+$M$3&lt;MaxCoal),N7+$M$3,MaxCoal)),IF(OR(N7&gt;=MaxCoal,N7=""),"",IF(AND(N7&lt;MaxCoal,N7+$M$12&lt;MaxCoal),N7+$M$12,MaxCoal)))</f>
        <v>30000</v>
      </c>
      <c r="O8" s="161">
        <f>IF(OR('Event Tracker'!$B$20=1,'Event Tracker'!$B$21=1,),IF(OR(O7&gt;=MaxNatGas,O7=""),"",IF(AND(O7&lt;MaxNatGas,O7+$M$4&lt;MaxNatGas),O7+$M$4,MaxNatGas)),IF(OR(O7&gt;=MaxNatGas,O7=""),"",IF(AND(O7&lt;MaxNatGas,O7+$M$13&lt;MaxNatGas),O7+$M$13,MaxNatGas)))</f>
        <v>30000</v>
      </c>
      <c r="P8" s="161">
        <f>IF(OR('Event Tracker'!$B$20=1,'Event Tracker'!$B$21=1,),IF(OR(P7&gt;=MaxNuclear,P7=""),"",IF(AND(P7&lt;MaxNuclear,P7+$M$5&lt;MaxNuclear),P7+$M$5,MaxNuclear)),IF(OR(P7&gt;=MaxNuclear,P7=""),"",IF(AND(P7&lt;MaxNuclear,P7+$M$14&lt;MaxNuclear),P7+$M$14,MaxNuclear)))</f>
        <v>30000</v>
      </c>
      <c r="Q8" s="161">
        <f>IF(OR('Event Tracker'!$B$20=1,'Event Tracker'!$B$21=1,),IF(OR(Q7&gt;=MaxSolar,Q7=""),"",IF(AND(Q7&lt;MaxSolar,Q7+$M$6&lt;MaxSolar),Q7+$M$6,MaxSolar)),IF(OR(Q7&gt;=MaxSolar,Q7=""),"",IF(AND(Q7&lt;MaxSolar,Q7+$M$15&lt;MaxSolar),Q7+$M$15,MaxSolar)))</f>
        <v>1800</v>
      </c>
      <c r="R8" s="161">
        <f>IF(OR('Event Tracker'!$B$20=1,'Event Tracker'!$B$21=1,),IF(OR(R7&gt;=MaxWind,R7=""),"",IF(AND(R7&lt;MaxWind,R7+$M$7&lt;MaxWind),R7+$M$7,MaxWind)),IF(OR(R7&gt;=MaxWind,R7=""),"",IF(AND(R7&lt;MaxWind,R7+$M$16&lt;MaxWind),R7+$M$16,MaxWind)))</f>
        <v>1800</v>
      </c>
      <c r="S8" s="161">
        <f>IF(OR('Event Tracker'!$B$20=1,'Event Tracker'!$B$21=1,),IF(OR(S7&gt;=MaxHydro,S7=""),"",IF(AND(S7&lt;MaxHydro,S7+$M$8&lt;MaxHydro),S7+$M$8,MaxHydro)),IF(OR(S7&gt;=MaxHydro,S7=""),"",IF(AND(S7&lt;MaxHydro,S7+$M$17&lt;MaxHydro),S7+$M$17,MaxHydro)))</f>
        <v>1800</v>
      </c>
      <c r="T8" s="161">
        <f>IF(OR('Event Tracker'!$B$20=1,'Event Tracker'!$B$21=1,),IF(OR(T7&gt;=MaxEE,T7=""),"",IF(AND(T7&lt;MaxEE,T7+$M$9&lt;MaxEE),T7+$M$9,MaxEE)),IF(OR(T7&gt;=MaxEE,T7=""),"",IF(AND(T7&lt;MaxEE,T7+$M$18&lt;MaxEE),T7+$M$18,MaxEE)))</f>
        <v>1800</v>
      </c>
      <c r="U8" s="161">
        <f>IF(OR('Event Tracker'!$B$20=1,'Event Tracker'!$B$21=1,),IF(OR(U7&gt;=MaxSolarDistributed,U7=""),"",IF(AND(U7&lt;MaxSolarDistributed,U7+$M$10&lt;MaxSolarDistributed),U7+$M$10,MaxSolarDistributed)),IF(OR(U7&gt;=MaxSolarDistributed,U7=""),"",IF(AND(U7&lt;MaxSolarDistributed,U7+$M$19&lt;MaxSolarDistributed),U7+$M$19,MaxSolarDistributed)))</f>
        <v>300</v>
      </c>
      <c r="W8" s="165">
        <f t="shared" si="0"/>
        <v>300</v>
      </c>
      <c r="X8" s="165">
        <f t="shared" si="1"/>
        <v>30</v>
      </c>
      <c r="Y8" s="165">
        <f t="shared" si="2"/>
        <v>300</v>
      </c>
      <c r="Z8" s="165" t="str">
        <f t="shared" si="3"/>
        <v/>
      </c>
      <c r="AA8" s="165">
        <f t="shared" si="4"/>
        <v>3000</v>
      </c>
      <c r="AB8" s="165">
        <f t="shared" si="5"/>
        <v>3000</v>
      </c>
    </row>
    <row r="9" spans="1:34" x14ac:dyDescent="0.25">
      <c r="B9" s="137" t="s">
        <v>441</v>
      </c>
      <c r="F9" s="137" t="s">
        <v>260</v>
      </c>
      <c r="H9" s="137" t="s">
        <v>12</v>
      </c>
      <c r="I9" s="156">
        <f>INDEX('Resource Mix and Demand'!$B$22:$L$33,MATCH(H9,'Resource Mix and Demand'!$A$22:$A$33,0),Current_Round)*IF(OR(BusinessModel=$A$3,BusinessModel=$A$4),1,8760/1000*INDEX('Game Assumptions'!$G$55:$G$62,MATCH(H9,'Game Assumptions'!$F$55:$F$62,0),1))*4</f>
        <v>44615.373925279324</v>
      </c>
      <c r="L9" s="137" t="s">
        <v>515</v>
      </c>
      <c r="M9" s="137">
        <v>100</v>
      </c>
      <c r="N9" s="161">
        <f>IF(OR('Event Tracker'!$B$20=1,'Event Tracker'!$B$21=1,),IF(OR(N8&gt;=MaxCoal,N8=""),"",IF(AND(N8&lt;MaxCoal,N8+$M$3&lt;MaxCoal),N8+$M$3,MaxCoal)),IF(OR(N8&gt;=MaxCoal,N8=""),"",IF(AND(N8&lt;MaxCoal,N8+$M$12&lt;MaxCoal),N8+$M$12,MaxCoal)))</f>
        <v>35000</v>
      </c>
      <c r="O9" s="161">
        <f>IF(OR('Event Tracker'!$B$20=1,'Event Tracker'!$B$21=1,),IF(OR(O8&gt;=MaxNatGas,O8=""),"",IF(AND(O8&lt;MaxNatGas,O8+$M$4&lt;MaxNatGas),O8+$M$4,MaxNatGas)),IF(OR(O8&gt;=MaxNatGas,O8=""),"",IF(AND(O8&lt;MaxNatGas,O8+$M$13&lt;MaxNatGas),O8+$M$13,MaxNatGas)))</f>
        <v>35000</v>
      </c>
      <c r="P9" s="161">
        <f>IF(OR('Event Tracker'!$B$20=1,'Event Tracker'!$B$21=1,),IF(OR(P8&gt;=MaxNuclear,P8=""),"",IF(AND(P8&lt;MaxNuclear,P8+$M$5&lt;MaxNuclear),P8+$M$5,MaxNuclear)),IF(OR(P8&gt;=MaxNuclear,P8=""),"",IF(AND(P8&lt;MaxNuclear,P8+$M$14&lt;MaxNuclear),P8+$M$14,MaxNuclear)))</f>
        <v>31536</v>
      </c>
      <c r="Q9" s="161">
        <f>IF(OR('Event Tracker'!$B$20=1,'Event Tracker'!$B$21=1,),IF(OR(Q8&gt;=MaxSolar,Q8=""),"",IF(AND(Q8&lt;MaxSolar,Q8+$M$6&lt;MaxSolar),Q8+$M$6,MaxSolar)),IF(OR(Q8&gt;=MaxSolar,Q8=""),"",IF(AND(Q8&lt;MaxSolar,Q8+$M$15&lt;MaxSolar),Q8+$M$15,MaxSolar)))</f>
        <v>2100</v>
      </c>
      <c r="R9" s="161">
        <f>IF(OR('Event Tracker'!$B$20=1,'Event Tracker'!$B$21=1,),IF(OR(R8&gt;=MaxWind,R8=""),"",IF(AND(R8&lt;MaxWind,R8+$M$7&lt;MaxWind),R8+$M$7,MaxWind)),IF(OR(R8&gt;=MaxWind,R8=""),"",IF(AND(R8&lt;MaxWind,R8+$M$16&lt;MaxWind),R8+$M$16,MaxWind)))</f>
        <v>2100</v>
      </c>
      <c r="S9" s="161">
        <f>IF(OR('Event Tracker'!$B$20=1,'Event Tracker'!$B$21=1,),IF(OR(S8&gt;=MaxHydro,S8=""),"",IF(AND(S8&lt;MaxHydro,S8+$M$8&lt;MaxHydro),S8+$M$8,MaxHydro)),IF(OR(S8&gt;=MaxHydro,S8=""),"",IF(AND(S8&lt;MaxHydro,S8+$M$17&lt;MaxHydro),S8+$M$17,MaxHydro)))</f>
        <v>2100</v>
      </c>
      <c r="T9" s="161">
        <f>IF(OR('Event Tracker'!$B$20=1,'Event Tracker'!$B$21=1,),IF(OR(T8&gt;=MaxEE,T8=""),"",IF(AND(T8&lt;MaxEE,T8+$M$9&lt;MaxEE),T8+$M$9,MaxEE)),IF(OR(T8&gt;=MaxEE,T8=""),"",IF(AND(T8&lt;MaxEE,T8+$M$18&lt;MaxEE),T8+$M$18,MaxEE)))</f>
        <v>2100</v>
      </c>
      <c r="U9" s="161">
        <f>IF(OR('Event Tracker'!$B$20=1,'Event Tracker'!$B$21=1,),IF(OR(U8&gt;=MaxSolarDistributed,U8=""),"",IF(AND(U8&lt;MaxSolarDistributed,U8+$M$10&lt;MaxSolarDistributed),U8+$M$10,MaxSolarDistributed)),IF(OR(U8&gt;=MaxSolarDistributed,U8=""),"",IF(AND(U8&lt;MaxSolarDistributed,U8+$M$19&lt;MaxSolarDistributed),U8+$M$19,MaxSolarDistributed)))</f>
        <v>350</v>
      </c>
      <c r="W9" s="165">
        <f t="shared" si="0"/>
        <v>350</v>
      </c>
      <c r="X9" s="165">
        <f t="shared" si="1"/>
        <v>35</v>
      </c>
      <c r="Y9" s="165">
        <f t="shared" si="2"/>
        <v>350</v>
      </c>
      <c r="Z9" s="165" t="str">
        <f t="shared" si="3"/>
        <v/>
      </c>
      <c r="AA9" s="165">
        <f t="shared" si="4"/>
        <v>3500</v>
      </c>
      <c r="AB9" s="165">
        <f t="shared" si="5"/>
        <v>3500</v>
      </c>
    </row>
    <row r="10" spans="1:34" x14ac:dyDescent="0.25">
      <c r="B10" s="142" t="s">
        <v>550</v>
      </c>
      <c r="F10" s="137" t="s">
        <v>261</v>
      </c>
      <c r="H10" s="137" t="s">
        <v>369</v>
      </c>
      <c r="I10" s="156">
        <f>INDEX('Resource Mix and Demand'!$B$22:$L$33,MATCH(H10,'Resource Mix and Demand'!$A$22:$A$33,0),Current_Round)*IF(OR(BusinessModel=$A$3,BusinessModel=$A$4),1,8760/1000*INDEX('Game Assumptions'!$G$55:$G$62,MATCH(H10,'Game Assumptions'!$F$55:$F$62,0),1))*4</f>
        <v>8920.0434813198299</v>
      </c>
      <c r="L10" s="137" t="s">
        <v>369</v>
      </c>
      <c r="M10" s="137">
        <v>25</v>
      </c>
      <c r="N10" s="161">
        <f>IF(OR('Event Tracker'!$B$20=1,'Event Tracker'!$B$21=1,),IF(OR(N9&gt;=MaxCoal,N9=""),"",IF(AND(N9&lt;MaxCoal,N9+$M$3&lt;MaxCoal),N9+$M$3,MaxCoal)),IF(OR(N9&gt;=MaxCoal,N9=""),"",IF(AND(N9&lt;MaxCoal,N9+$M$12&lt;MaxCoal),N9+$M$12,MaxCoal)))</f>
        <v>40000</v>
      </c>
      <c r="O10" s="161">
        <f>IF(OR('Event Tracker'!$B$20=1,'Event Tracker'!$B$21=1,),IF(OR(O9&gt;=MaxNatGas,O9=""),"",IF(AND(O9&lt;MaxNatGas,O9+$M$4&lt;MaxNatGas),O9+$M$4,MaxNatGas)),IF(OR(O9&gt;=MaxNatGas,O9=""),"",IF(AND(O9&lt;MaxNatGas,O9+$M$13&lt;MaxNatGas),O9+$M$13,MaxNatGas)))</f>
        <v>40000</v>
      </c>
      <c r="P10" s="161" t="str">
        <f>IF(OR('Event Tracker'!$B$20=1,'Event Tracker'!$B$21=1,),IF(OR(P9&gt;=MaxNuclear,P9=""),"",IF(AND(P9&lt;MaxNuclear,P9+$M$5&lt;MaxNuclear),P9+$M$5,MaxNuclear)),IF(OR(P9&gt;=MaxNuclear,P9=""),"",IF(AND(P9&lt;MaxNuclear,P9+$M$14&lt;MaxNuclear),P9+$M$14,MaxNuclear)))</f>
        <v/>
      </c>
      <c r="Q10" s="161">
        <f>IF(OR('Event Tracker'!$B$20=1,'Event Tracker'!$B$21=1,),IF(OR(Q9&gt;=MaxSolar,Q9=""),"",IF(AND(Q9&lt;MaxSolar,Q9+$M$6&lt;MaxSolar),Q9+$M$6,MaxSolar)),IF(OR(Q9&gt;=MaxSolar,Q9=""),"",IF(AND(Q9&lt;MaxSolar,Q9+$M$15&lt;MaxSolar),Q9+$M$15,MaxSolar)))</f>
        <v>2400</v>
      </c>
      <c r="R10" s="161">
        <f>IF(OR('Event Tracker'!$B$20=1,'Event Tracker'!$B$21=1,),IF(OR(R9&gt;=MaxWind,R9=""),"",IF(AND(R9&lt;MaxWind,R9+$M$7&lt;MaxWind),R9+$M$7,MaxWind)),IF(OR(R9&gt;=MaxWind,R9=""),"",IF(AND(R9&lt;MaxWind,R9+$M$16&lt;MaxWind),R9+$M$16,MaxWind)))</f>
        <v>2400</v>
      </c>
      <c r="S10" s="161">
        <f>IF(OR('Event Tracker'!$B$20=1,'Event Tracker'!$B$21=1,),IF(OR(S9&gt;=MaxHydro,S9=""),"",IF(AND(S9&lt;MaxHydro,S9+$M$8&lt;MaxHydro),S9+$M$8,MaxHydro)),IF(OR(S9&gt;=MaxHydro,S9=""),"",IF(AND(S9&lt;MaxHydro,S9+$M$17&lt;MaxHydro),S9+$M$17,MaxHydro)))</f>
        <v>2400</v>
      </c>
      <c r="T10" s="161">
        <f>IF(OR('Event Tracker'!$B$20=1,'Event Tracker'!$B$21=1,),IF(OR(T9&gt;=MaxEE,T9=""),"",IF(AND(T9&lt;MaxEE,T9+$M$9&lt;MaxEE),T9+$M$9,MaxEE)),IF(OR(T9&gt;=MaxEE,T9=""),"",IF(AND(T9&lt;MaxEE,T9+$M$18&lt;MaxEE),T9+$M$18,MaxEE)))</f>
        <v>2400</v>
      </c>
      <c r="U10" s="161">
        <f>IF(OR('Event Tracker'!$B$20=1,'Event Tracker'!$B$21=1,),IF(OR(U9&gt;=MaxSolarDistributed,U9=""),"",IF(AND(U9&lt;MaxSolarDistributed,U9+$M$10&lt;MaxSolarDistributed),U9+$M$10,MaxSolarDistributed)),IF(OR(U9&gt;=MaxSolarDistributed,U9=""),"",IF(AND(U9&lt;MaxSolarDistributed,U9+$M$19&lt;MaxSolarDistributed),U9+$M$19,MaxSolarDistributed)))</f>
        <v>400</v>
      </c>
      <c r="W10" s="165">
        <f t="shared" si="0"/>
        <v>400</v>
      </c>
      <c r="X10" s="165">
        <f t="shared" si="1"/>
        <v>40</v>
      </c>
      <c r="Y10" s="165">
        <f t="shared" si="2"/>
        <v>400</v>
      </c>
      <c r="Z10" s="165" t="str">
        <f t="shared" si="3"/>
        <v/>
      </c>
      <c r="AA10" s="165">
        <f t="shared" si="4"/>
        <v>4000</v>
      </c>
      <c r="AB10" s="165">
        <f t="shared" si="5"/>
        <v>4000</v>
      </c>
    </row>
    <row r="11" spans="1:34" x14ac:dyDescent="0.25">
      <c r="B11" s="190" t="s">
        <v>340</v>
      </c>
      <c r="F11" s="137" t="s">
        <v>262</v>
      </c>
      <c r="H11" s="137" t="s">
        <v>170</v>
      </c>
      <c r="I11" s="141">
        <f>(INDEX(Reliability!$B$19:$L$25,MATCH('Game Properties'!H11,Reliability!$A$19:$A$25,0),Current_Round))*4</f>
        <v>1200</v>
      </c>
      <c r="L11" s="235" t="s">
        <v>397</v>
      </c>
      <c r="M11" s="237"/>
      <c r="N11" s="161">
        <f>IF(OR('Event Tracker'!$B$20=1,'Event Tracker'!$B$21=1,),IF(OR(N10&gt;=MaxCoal,N10=""),"",IF(AND(N10&lt;MaxCoal,N10+$M$3&lt;MaxCoal),N10+$M$3,MaxCoal)),IF(OR(N10&gt;=MaxCoal,N10=""),"",IF(AND(N10&lt;MaxCoal,N10+$M$12&lt;MaxCoal),N10+$M$12,MaxCoal)))</f>
        <v>42047.999999999993</v>
      </c>
      <c r="O11" s="161">
        <f>IF(OR('Event Tracker'!$B$20=1,'Event Tracker'!$B$21=1,),IF(OR(O10&gt;=MaxNatGas,O10=""),"",IF(AND(O10&lt;MaxNatGas,O10+$M$4&lt;MaxNatGas),O10+$M$4,MaxNatGas)),IF(OR(O10&gt;=MaxNatGas,O10=""),"",IF(AND(O10&lt;MaxNatGas,O10+$M$13&lt;MaxNatGas),O10+$M$13,MaxNatGas)))</f>
        <v>45000</v>
      </c>
      <c r="P11" s="161" t="str">
        <f>IF(OR('Event Tracker'!$B$20=1,'Event Tracker'!$B$21=1,),IF(OR(P10&gt;=MaxNuclear,P10=""),"",IF(AND(P10&lt;MaxNuclear,P10+$M$5&lt;MaxNuclear),P10+$M$5,MaxNuclear)),IF(OR(P10&gt;=MaxNuclear,P10=""),"",IF(AND(P10&lt;MaxNuclear,P10+$M$14&lt;MaxNuclear),P10+$M$14,MaxNuclear)))</f>
        <v/>
      </c>
      <c r="Q11" s="161">
        <f>IF(OR('Event Tracker'!$B$20=1,'Event Tracker'!$B$21=1,),IF(OR(Q10&gt;=MaxSolar,Q10=""),"",IF(AND(Q10&lt;MaxSolar,Q10+$M$6&lt;MaxSolar),Q10+$M$6,MaxSolar)),IF(OR(Q10&gt;=MaxSolar,Q10=""),"",IF(AND(Q10&lt;MaxSolar,Q10+$M$15&lt;MaxSolar),Q10+$M$15,MaxSolar)))</f>
        <v>2700</v>
      </c>
      <c r="R11" s="161">
        <f>IF(OR('Event Tracker'!$B$20=1,'Event Tracker'!$B$21=1,),IF(OR(R10&gt;=MaxWind,R10=""),"",IF(AND(R10&lt;MaxWind,R10+$M$7&lt;MaxWind),R10+$M$7,MaxWind)),IF(OR(R10&gt;=MaxWind,R10=""),"",IF(AND(R10&lt;MaxWind,R10+$M$16&lt;MaxWind),R10+$M$16,MaxWind)))</f>
        <v>2700</v>
      </c>
      <c r="S11" s="161">
        <f>IF(OR('Event Tracker'!$B$20=1,'Event Tracker'!$B$21=1,),IF(OR(S10&gt;=MaxHydro,S10=""),"",IF(AND(S10&lt;MaxHydro,S10+$M$8&lt;MaxHydro),S10+$M$8,MaxHydro)),IF(OR(S10&gt;=MaxHydro,S10=""),"",IF(AND(S10&lt;MaxHydro,S10+$M$17&lt;MaxHydro),S10+$M$17,MaxHydro)))</f>
        <v>2700</v>
      </c>
      <c r="T11" s="161">
        <f>IF(OR('Event Tracker'!$B$20=1,'Event Tracker'!$B$21=1,),IF(OR(T10&gt;=MaxEE,T10=""),"",IF(AND(T10&lt;MaxEE,T10+$M$9&lt;MaxEE),T10+$M$9,MaxEE)),IF(OR(T10&gt;=MaxEE,T10=""),"",IF(AND(T10&lt;MaxEE,T10+$M$18&lt;MaxEE),T10+$M$18,MaxEE)))</f>
        <v>2700</v>
      </c>
      <c r="U11" s="161">
        <f>IF(OR('Event Tracker'!$B$20=1,'Event Tracker'!$B$21=1,),IF(OR(U10&gt;=MaxSolarDistributed,U10=""),"",IF(AND(U10&lt;MaxSolarDistributed,U10+$M$10&lt;MaxSolarDistributed),U10+$M$10,MaxSolarDistributed)),IF(OR(U10&gt;=MaxSolarDistributed,U10=""),"",IF(AND(U10&lt;MaxSolarDistributed,U10+$M$19&lt;MaxSolarDistributed),U10+$M$19,MaxSolarDistributed)))</f>
        <v>450</v>
      </c>
      <c r="W11" s="165">
        <f t="shared" si="0"/>
        <v>450</v>
      </c>
      <c r="X11" s="165" t="str">
        <f t="shared" si="1"/>
        <v/>
      </c>
      <c r="Y11" s="165">
        <f t="shared" si="2"/>
        <v>450</v>
      </c>
      <c r="Z11" s="165" t="str">
        <f t="shared" si="3"/>
        <v/>
      </c>
      <c r="AA11" s="165">
        <f t="shared" si="4"/>
        <v>4500</v>
      </c>
      <c r="AB11" s="165">
        <f t="shared" si="5"/>
        <v>4500</v>
      </c>
    </row>
    <row r="12" spans="1:34" x14ac:dyDescent="0.25">
      <c r="F12" s="137" t="s">
        <v>263</v>
      </c>
      <c r="H12" s="137" t="s">
        <v>149</v>
      </c>
      <c r="I12" s="141">
        <f>(INDEX(Reliability!$B$19:$L$25,MATCH('Game Properties'!H12,Reliability!$A$19:$A$25,0),Current_Round))*4</f>
        <v>40</v>
      </c>
      <c r="L12" s="137" t="s">
        <v>16</v>
      </c>
      <c r="M12" s="137">
        <v>5000</v>
      </c>
      <c r="N12" s="161" t="str">
        <f>IF(OR('Event Tracker'!$B$20=1,'Event Tracker'!$B$21=1,),IF(OR(N11&gt;=MaxCoal,N11=""),"",IF(AND(N11&lt;MaxCoal,N11+$M$3&lt;MaxCoal),N11+$M$3,MaxCoal)),IF(OR(N11&gt;=MaxCoal,N11=""),"",IF(AND(N11&lt;MaxCoal,N11+$M$12&lt;MaxCoal),N11+$M$12,MaxCoal)))</f>
        <v/>
      </c>
      <c r="O12" s="161">
        <f>IF(OR('Event Tracker'!$B$20=1,'Event Tracker'!$B$21=1,),IF(OR(O11&gt;=MaxNatGas,O11=""),"",IF(AND(O11&lt;MaxNatGas,O11+$M$4&lt;MaxNatGas),O11+$M$4,MaxNatGas)),IF(OR(O11&gt;=MaxNatGas,O11=""),"",IF(AND(O11&lt;MaxNatGas,O11+$M$13&lt;MaxNatGas),O11+$M$13,MaxNatGas)))</f>
        <v>50000</v>
      </c>
      <c r="P12" s="161" t="str">
        <f>IF(OR('Event Tracker'!$B$20=1,'Event Tracker'!$B$21=1,),IF(OR(P11&gt;=MaxNuclear,P11=""),"",IF(AND(P11&lt;MaxNuclear,P11+$M$5&lt;MaxNuclear),P11+$M$5,MaxNuclear)),IF(OR(P11&gt;=MaxNuclear,P11=""),"",IF(AND(P11&lt;MaxNuclear,P11+$M$14&lt;MaxNuclear),P11+$M$14,MaxNuclear)))</f>
        <v/>
      </c>
      <c r="Q12" s="161">
        <f>IF(OR('Event Tracker'!$B$20=1,'Event Tracker'!$B$21=1,),IF(OR(Q11&gt;=MaxSolar,Q11=""),"",IF(AND(Q11&lt;MaxSolar,Q11+$M$6&lt;MaxSolar),Q11+$M$6,MaxSolar)),IF(OR(Q11&gt;=MaxSolar,Q11=""),"",IF(AND(Q11&lt;MaxSolar,Q11+$M$15&lt;MaxSolar),Q11+$M$15,MaxSolar)))</f>
        <v>3000</v>
      </c>
      <c r="R12" s="161">
        <f>IF(OR('Event Tracker'!$B$20=1,'Event Tracker'!$B$21=1,),IF(OR(R11&gt;=MaxWind,R11=""),"",IF(AND(R11&lt;MaxWind,R11+$M$7&lt;MaxWind),R11+$M$7,MaxWind)),IF(OR(R11&gt;=MaxWind,R11=""),"",IF(AND(R11&lt;MaxWind,R11+$M$16&lt;MaxWind),R11+$M$16,MaxWind)))</f>
        <v>3000</v>
      </c>
      <c r="S12" s="161">
        <f>IF(OR('Event Tracker'!$B$20=1,'Event Tracker'!$B$21=1,),IF(OR(S11&gt;=MaxHydro,S11=""),"",IF(AND(S11&lt;MaxHydro,S11+$M$8&lt;MaxHydro),S11+$M$8,MaxHydro)),IF(OR(S11&gt;=MaxHydro,S11=""),"",IF(AND(S11&lt;MaxHydro,S11+$M$17&lt;MaxHydro),S11+$M$17,MaxHydro)))</f>
        <v>3000</v>
      </c>
      <c r="T12" s="161">
        <f>IF(OR('Event Tracker'!$B$20=1,'Event Tracker'!$B$21=1,),IF(OR(T11&gt;=MaxEE,T11=""),"",IF(AND(T11&lt;MaxEE,T11+$M$9&lt;MaxEE),T11+$M$9,MaxEE)),IF(OR(T11&gt;=MaxEE,T11=""),"",IF(AND(T11&lt;MaxEE,T11+$M$18&lt;MaxEE),T11+$M$18,MaxEE)))</f>
        <v>3000</v>
      </c>
      <c r="U12" s="161">
        <f>IF(OR('Event Tracker'!$B$20=1,'Event Tracker'!$B$21=1,),IF(OR(U11&gt;=MaxSolarDistributed,U11=""),"",IF(AND(U11&lt;MaxSolarDistributed,U11+$M$10&lt;MaxSolarDistributed),U11+$M$10,MaxSolarDistributed)),IF(OR(U11&gt;=MaxSolarDistributed,U11=""),"",IF(AND(U11&lt;MaxSolarDistributed,U11+$M$19&lt;MaxSolarDistributed),U11+$M$19,MaxSolarDistributed)))</f>
        <v>500</v>
      </c>
      <c r="W12" s="165">
        <f t="shared" si="0"/>
        <v>500</v>
      </c>
      <c r="X12" s="165" t="str">
        <f t="shared" si="1"/>
        <v/>
      </c>
      <c r="Y12" s="165">
        <f t="shared" si="2"/>
        <v>500</v>
      </c>
      <c r="Z12" s="165" t="str">
        <f t="shared" si="3"/>
        <v/>
      </c>
      <c r="AA12" s="165">
        <f t="shared" si="4"/>
        <v>5000</v>
      </c>
      <c r="AB12" s="165">
        <f t="shared" si="5"/>
        <v>5000</v>
      </c>
    </row>
    <row r="13" spans="1:34" x14ac:dyDescent="0.25">
      <c r="F13" s="137" t="s">
        <v>265</v>
      </c>
      <c r="H13" s="137" t="s">
        <v>148</v>
      </c>
      <c r="I13" s="141">
        <f>(INDEX(Reliability!$B$19:$L$25,MATCH('Game Properties'!H13,Reliability!$A$19:$A$25,0),Current_Round))*4</f>
        <v>800</v>
      </c>
      <c r="L13" s="137" t="s">
        <v>17</v>
      </c>
      <c r="M13" s="137">
        <v>5000</v>
      </c>
      <c r="N13" s="161" t="str">
        <f>IF(OR('Event Tracker'!$B$20=1,'Event Tracker'!$B$21=1,),IF(OR(N12&gt;=MaxCoal,N12=""),"",IF(AND(N12&lt;MaxCoal,N12+$M$3&lt;MaxCoal),N12+$M$3,MaxCoal)),IF(OR(N12&gt;=MaxCoal,N12=""),"",IF(AND(N12&lt;MaxCoal,N12+$M$12&lt;MaxCoal),N12+$M$12,MaxCoal)))</f>
        <v/>
      </c>
      <c r="O13" s="161">
        <f>IF(OR('Event Tracker'!$B$20=1,'Event Tracker'!$B$21=1,),IF(OR(O12&gt;=MaxNatGas,O12=""),"",IF(AND(O12&lt;MaxNatGas,O12+$M$4&lt;MaxNatGas),O12+$M$4,MaxNatGas)),IF(OR(O12&gt;=MaxNatGas,O12=""),"",IF(AND(O12&lt;MaxNatGas,O12+$M$13&lt;MaxNatGas),O12+$M$13,MaxNatGas)))</f>
        <v>55000</v>
      </c>
      <c r="P13" s="161" t="str">
        <f>IF(OR('Event Tracker'!$B$20=1,'Event Tracker'!$B$21=1,),IF(OR(P12&gt;=MaxNuclear,P12=""),"",IF(AND(P12&lt;MaxNuclear,P12+$M$5&lt;MaxNuclear),P12+$M$5,MaxNuclear)),IF(OR(P12&gt;=MaxNuclear,P12=""),"",IF(AND(P12&lt;MaxNuclear,P12+$M$14&lt;MaxNuclear),P12+$M$14,MaxNuclear)))</f>
        <v/>
      </c>
      <c r="Q13" s="161">
        <f>IF(OR('Event Tracker'!$B$20=1,'Event Tracker'!$B$21=1,),IF(OR(Q12&gt;=MaxSolar,Q12=""),"",IF(AND(Q12&lt;MaxSolar,Q12+$M$6&lt;MaxSolar),Q12+$M$6,MaxSolar)),IF(OR(Q12&gt;=MaxSolar,Q12=""),"",IF(AND(Q12&lt;MaxSolar,Q12+$M$15&lt;MaxSolar),Q12+$M$15,MaxSolar)))</f>
        <v>3300</v>
      </c>
      <c r="R13" s="161">
        <f>IF(OR('Event Tracker'!$B$20=1,'Event Tracker'!$B$21=1,),IF(OR(R12&gt;=MaxWind,R12=""),"",IF(AND(R12&lt;MaxWind,R12+$M$7&lt;MaxWind),R12+$M$7,MaxWind)),IF(OR(R12&gt;=MaxWind,R12=""),"",IF(AND(R12&lt;MaxWind,R12+$M$16&lt;MaxWind),R12+$M$16,MaxWind)))</f>
        <v>3300</v>
      </c>
      <c r="S13" s="161">
        <f>IF(OR('Event Tracker'!$B$20=1,'Event Tracker'!$B$21=1,),IF(OR(S12&gt;=MaxHydro,S12=""),"",IF(AND(S12&lt;MaxHydro,S12+$M$8&lt;MaxHydro),S12+$M$8,MaxHydro)),IF(OR(S12&gt;=MaxHydro,S12=""),"",IF(AND(S12&lt;MaxHydro,S12+$M$17&lt;MaxHydro),S12+$M$17,MaxHydro)))</f>
        <v>3300</v>
      </c>
      <c r="T13" s="161">
        <f>IF(OR('Event Tracker'!$B$20=1,'Event Tracker'!$B$21=1,),IF(OR(T12&gt;=MaxEE,T12=""),"",IF(AND(T12&lt;MaxEE,T12+$M$9&lt;MaxEE),T12+$M$9,MaxEE)),IF(OR(T12&gt;=MaxEE,T12=""),"",IF(AND(T12&lt;MaxEE,T12+$M$18&lt;MaxEE),T12+$M$18,MaxEE)))</f>
        <v>3300</v>
      </c>
      <c r="U13" s="161">
        <f>IF(OR('Event Tracker'!$B$20=1,'Event Tracker'!$B$21=1,),IF(OR(U12&gt;=MaxSolarDistributed,U12=""),"",IF(AND(U12&lt;MaxSolarDistributed,U12+$M$10&lt;MaxSolarDistributed),U12+$M$10,MaxSolarDistributed)),IF(OR(U12&gt;=MaxSolarDistributed,U12=""),"",IF(AND(U12&lt;MaxSolarDistributed,U12+$M$19&lt;MaxSolarDistributed),U12+$M$19,MaxSolarDistributed)))</f>
        <v>550</v>
      </c>
      <c r="W13" s="165">
        <f t="shared" si="0"/>
        <v>550</v>
      </c>
      <c r="X13" s="165" t="str">
        <f t="shared" si="1"/>
        <v/>
      </c>
      <c r="Y13" s="165">
        <f t="shared" si="2"/>
        <v>550</v>
      </c>
      <c r="Z13" s="165" t="str">
        <f t="shared" si="3"/>
        <v/>
      </c>
      <c r="AA13" s="165">
        <f t="shared" si="4"/>
        <v>5500</v>
      </c>
      <c r="AB13" s="165">
        <f t="shared" si="5"/>
        <v>5500</v>
      </c>
    </row>
    <row r="14" spans="1:34" x14ac:dyDescent="0.25">
      <c r="H14" s="137" t="s">
        <v>36</v>
      </c>
      <c r="I14" s="141">
        <f>MIN((INDEX(Reliability!$B$19:$L$25,MATCH('Game Properties'!H14,Reliability!$A$19:$A$25,0),Current_Round))*2,MAX(INDEX(Reliability!$B$62:$L$62,1,Current_Round+1)*'Game Assumptions'!B193-INDEX(Reliability!$B$22:$L$22,1,Current_Round),0))</f>
        <v>200</v>
      </c>
      <c r="L14" s="137" t="s">
        <v>18</v>
      </c>
      <c r="M14" s="137">
        <v>5000</v>
      </c>
      <c r="N14" s="161" t="str">
        <f>IF(OR('Event Tracker'!$B$20=1,'Event Tracker'!$B$21=1,),IF(OR(N13&gt;=MaxCoal,N13=""),"",IF(AND(N13&lt;MaxCoal,N13+$M$3&lt;MaxCoal),N13+$M$3,MaxCoal)),IF(OR(N13&gt;=MaxCoal,N13=""),"",IF(AND(N13&lt;MaxCoal,N13+$M$12&lt;MaxCoal),N13+$M$12,MaxCoal)))</f>
        <v/>
      </c>
      <c r="O14" s="161">
        <f>IF(OR('Event Tracker'!$B$20=1,'Event Tracker'!$B$21=1,),IF(OR(O13&gt;=MaxNatGas,O13=""),"",IF(AND(O13&lt;MaxNatGas,O13+$M$4&lt;MaxNatGas),O13+$M$4,MaxNatGas)),IF(OR(O13&gt;=MaxNatGas,O13=""),"",IF(AND(O13&lt;MaxNatGas,O13+$M$13&lt;MaxNatGas),O13+$M$13,MaxNatGas)))</f>
        <v>60000</v>
      </c>
      <c r="P14" s="161" t="str">
        <f>IF(OR('Event Tracker'!$B$20=1,'Event Tracker'!$B$21=1,),IF(OR(P13&gt;=MaxNuclear,P13=""),"",IF(AND(P13&lt;MaxNuclear,P13+$M$5&lt;MaxNuclear),P13+$M$5,MaxNuclear)),IF(OR(P13&gt;=MaxNuclear,P13=""),"",IF(AND(P13&lt;MaxNuclear,P13+$M$14&lt;MaxNuclear),P13+$M$14,MaxNuclear)))</f>
        <v/>
      </c>
      <c r="Q14" s="161">
        <f>IF(OR('Event Tracker'!$B$20=1,'Event Tracker'!$B$21=1,),IF(OR(Q13&gt;=MaxSolar,Q13=""),"",IF(AND(Q13&lt;MaxSolar,Q13+$M$6&lt;MaxSolar),Q13+$M$6,MaxSolar)),IF(OR(Q13&gt;=MaxSolar,Q13=""),"",IF(AND(Q13&lt;MaxSolar,Q13+$M$15&lt;MaxSolar),Q13+$M$15,MaxSolar)))</f>
        <v>3600</v>
      </c>
      <c r="R14" s="161">
        <f>IF(OR('Event Tracker'!$B$20=1,'Event Tracker'!$B$21=1,),IF(OR(R13&gt;=MaxWind,R13=""),"",IF(AND(R13&lt;MaxWind,R13+$M$7&lt;MaxWind),R13+$M$7,MaxWind)),IF(OR(R13&gt;=MaxWind,R13=""),"",IF(AND(R13&lt;MaxWind,R13+$M$16&lt;MaxWind),R13+$M$16,MaxWind)))</f>
        <v>3600</v>
      </c>
      <c r="S14" s="161">
        <f>IF(OR('Event Tracker'!$B$20=1,'Event Tracker'!$B$21=1,),IF(OR(S13&gt;=MaxHydro,S13=""),"",IF(AND(S13&lt;MaxHydro,S13+$M$8&lt;MaxHydro),S13+$M$8,MaxHydro)),IF(OR(S13&gt;=MaxHydro,S13=""),"",IF(AND(S13&lt;MaxHydro,S13+$M$17&lt;MaxHydro),S13+$M$17,MaxHydro)))</f>
        <v>3600</v>
      </c>
      <c r="T14" s="161">
        <f>IF(OR('Event Tracker'!$B$20=1,'Event Tracker'!$B$21=1,),IF(OR(T13&gt;=MaxEE,T13=""),"",IF(AND(T13&lt;MaxEE,T13+$M$9&lt;MaxEE),T13+$M$9,MaxEE)),IF(OR(T13&gt;=MaxEE,T13=""),"",IF(AND(T13&lt;MaxEE,T13+$M$18&lt;MaxEE),T13+$M$18,MaxEE)))</f>
        <v>3600</v>
      </c>
      <c r="U14" s="161">
        <f>IF(OR('Event Tracker'!$B$20=1,'Event Tracker'!$B$21=1,),IF(OR(U13&gt;=MaxSolarDistributed,U13=""),"",IF(AND(U13&lt;MaxSolarDistributed,U13+$M$10&lt;MaxSolarDistributed),U13+$M$10,MaxSolarDistributed)),IF(OR(U13&gt;=MaxSolarDistributed,U13=""),"",IF(AND(U13&lt;MaxSolarDistributed,U13+$M$19&lt;MaxSolarDistributed),U13+$M$19,MaxSolarDistributed)))</f>
        <v>600</v>
      </c>
      <c r="W14" s="165">
        <f t="shared" si="0"/>
        <v>600</v>
      </c>
      <c r="X14" s="165" t="str">
        <f t="shared" si="1"/>
        <v/>
      </c>
      <c r="Y14" s="165">
        <f t="shared" si="2"/>
        <v>600</v>
      </c>
      <c r="Z14" s="165" t="str">
        <f t="shared" si="3"/>
        <v/>
      </c>
      <c r="AA14" s="165">
        <f t="shared" si="4"/>
        <v>6000</v>
      </c>
      <c r="AB14" s="165">
        <f t="shared" si="5"/>
        <v>6000</v>
      </c>
    </row>
    <row r="15" spans="1:34" x14ac:dyDescent="0.25">
      <c r="H15" s="137" t="s">
        <v>354</v>
      </c>
      <c r="I15" s="141">
        <f>(INDEX(Reliability!$B$41:$L$41,1,Current_Round))*2</f>
        <v>10000</v>
      </c>
      <c r="L15" s="137" t="s">
        <v>366</v>
      </c>
      <c r="M15" s="137">
        <v>300</v>
      </c>
      <c r="N15" s="161" t="str">
        <f>IF(OR('Event Tracker'!$B$20=1,'Event Tracker'!$B$21=1,),IF(OR(N14&gt;=MaxCoal,N14=""),"",IF(AND(N14&lt;MaxCoal,N14+$M$3&lt;MaxCoal),N14+$M$3,MaxCoal)),IF(OR(N14&gt;=MaxCoal,N14=""),"",IF(AND(N14&lt;MaxCoal,N14+$M$12&lt;MaxCoal),N14+$M$12,MaxCoal)))</f>
        <v/>
      </c>
      <c r="O15" s="161">
        <f>IF(OR('Event Tracker'!$B$20=1,'Event Tracker'!$B$21=1,),IF(OR(O14&gt;=MaxNatGas,O14=""),"",IF(AND(O14&lt;MaxNatGas,O14+$M$4&lt;MaxNatGas),O14+$M$4,MaxNatGas)),IF(OR(O14&gt;=MaxNatGas,O14=""),"",IF(AND(O14&lt;MaxNatGas,O14+$M$13&lt;MaxNatGas),O14+$M$13,MaxNatGas)))</f>
        <v>65000</v>
      </c>
      <c r="P15" s="161" t="str">
        <f>IF(OR('Event Tracker'!$B$20=1,'Event Tracker'!$B$21=1,),IF(OR(P14&gt;=MaxNuclear,P14=""),"",IF(AND(P14&lt;MaxNuclear,P14+$M$5&lt;MaxNuclear),P14+$M$5,MaxNuclear)),IF(OR(P14&gt;=MaxNuclear,P14=""),"",IF(AND(P14&lt;MaxNuclear,P14+$M$14&lt;MaxNuclear),P14+$M$14,MaxNuclear)))</f>
        <v/>
      </c>
      <c r="Q15" s="161">
        <f>IF(OR('Event Tracker'!$B$20=1,'Event Tracker'!$B$21=1,),IF(OR(Q14&gt;=MaxSolar,Q14=""),"",IF(AND(Q14&lt;MaxSolar,Q14+$M$6&lt;MaxSolar),Q14+$M$6,MaxSolar)),IF(OR(Q14&gt;=MaxSolar,Q14=""),"",IF(AND(Q14&lt;MaxSolar,Q14+$M$15&lt;MaxSolar),Q14+$M$15,MaxSolar)))</f>
        <v>3900</v>
      </c>
      <c r="R15" s="161">
        <f>IF(OR('Event Tracker'!$B$20=1,'Event Tracker'!$B$21=1,),IF(OR(R14&gt;=MaxWind,R14=""),"",IF(AND(R14&lt;MaxWind,R14+$M$7&lt;MaxWind),R14+$M$7,MaxWind)),IF(OR(R14&gt;=MaxWind,R14=""),"",IF(AND(R14&lt;MaxWind,R14+$M$16&lt;MaxWind),R14+$M$16,MaxWind)))</f>
        <v>3900</v>
      </c>
      <c r="S15" s="161">
        <f>IF(OR('Event Tracker'!$B$20=1,'Event Tracker'!$B$21=1,),IF(OR(S14&gt;=MaxHydro,S14=""),"",IF(AND(S14&lt;MaxHydro,S14+$M$8&lt;MaxHydro),S14+$M$8,MaxHydro)),IF(OR(S14&gt;=MaxHydro,S14=""),"",IF(AND(S14&lt;MaxHydro,S14+$M$17&lt;MaxHydro),S14+$M$17,MaxHydro)))</f>
        <v>3900</v>
      </c>
      <c r="T15" s="161">
        <f>IF(OR('Event Tracker'!$B$20=1,'Event Tracker'!$B$21=1,),IF(OR(T14&gt;=MaxEE,T14=""),"",IF(AND(T14&lt;MaxEE,T14+$M$9&lt;MaxEE),T14+$M$9,MaxEE)),IF(OR(T14&gt;=MaxEE,T14=""),"",IF(AND(T14&lt;MaxEE,T14+$M$18&lt;MaxEE),T14+$M$18,MaxEE)))</f>
        <v>3900</v>
      </c>
      <c r="U15" s="161">
        <f>IF(OR('Event Tracker'!$B$20=1,'Event Tracker'!$B$21=1,),IF(OR(U14&gt;=MaxSolarDistributed,U14=""),"",IF(AND(U14&lt;MaxSolarDistributed,U14+$M$10&lt;MaxSolarDistributed),U14+$M$10,MaxSolarDistributed)),IF(OR(U14&gt;=MaxSolarDistributed,U14=""),"",IF(AND(U14&lt;MaxSolarDistributed,U14+$M$19&lt;MaxSolarDistributed),U14+$M$19,MaxSolarDistributed)))</f>
        <v>650</v>
      </c>
      <c r="W15" s="165">
        <f t="shared" si="0"/>
        <v>650</v>
      </c>
      <c r="X15" s="165" t="str">
        <f t="shared" si="1"/>
        <v/>
      </c>
      <c r="Y15" s="165">
        <f t="shared" si="2"/>
        <v>650</v>
      </c>
      <c r="Z15" s="165" t="str">
        <f t="shared" si="3"/>
        <v/>
      </c>
      <c r="AA15" s="165">
        <f t="shared" si="4"/>
        <v>6500</v>
      </c>
      <c r="AB15" s="165">
        <f t="shared" si="5"/>
        <v>6500</v>
      </c>
    </row>
    <row r="16" spans="1:34" x14ac:dyDescent="0.25">
      <c r="H16" s="140" t="s">
        <v>363</v>
      </c>
      <c r="I16" s="141">
        <f>(INDEX(Reliability!$B$41:$L$41,1,Current_Round))*2</f>
        <v>10000</v>
      </c>
      <c r="L16" s="137" t="s">
        <v>367</v>
      </c>
      <c r="M16" s="137">
        <v>300</v>
      </c>
      <c r="N16" s="161" t="str">
        <f>IF(OR('Event Tracker'!$B$20=1,'Event Tracker'!$B$21=1,),IF(OR(N15&gt;=MaxCoal,N15=""),"",IF(AND(N15&lt;MaxCoal,N15+$M$3&lt;MaxCoal),N15+$M$3,MaxCoal)),IF(OR(N15&gt;=MaxCoal,N15=""),"",IF(AND(N15&lt;MaxCoal,N15+$M$12&lt;MaxCoal),N15+$M$12,MaxCoal)))</f>
        <v/>
      </c>
      <c r="O16" s="161">
        <f>IF(OR('Event Tracker'!$B$20=1,'Event Tracker'!$B$21=1,),IF(OR(O15&gt;=MaxNatGas,O15=""),"",IF(AND(O15&lt;MaxNatGas,O15+$M$4&lt;MaxNatGas),O15+$M$4,MaxNatGas)),IF(OR(O15&gt;=MaxNatGas,O15=""),"",IF(AND(O15&lt;MaxNatGas,O15+$M$13&lt;MaxNatGas),O15+$M$13,MaxNatGas)))</f>
        <v>70000</v>
      </c>
      <c r="P16" s="161" t="str">
        <f>IF(OR('Event Tracker'!$B$20=1,'Event Tracker'!$B$21=1,),IF(OR(P15&gt;=MaxNuclear,P15=""),"",IF(AND(P15&lt;MaxNuclear,P15+$M$5&lt;MaxNuclear),P15+$M$5,MaxNuclear)),IF(OR(P15&gt;=MaxNuclear,P15=""),"",IF(AND(P15&lt;MaxNuclear,P15+$M$14&lt;MaxNuclear),P15+$M$14,MaxNuclear)))</f>
        <v/>
      </c>
      <c r="Q16" s="161">
        <f>IF(OR('Event Tracker'!$B$20=1,'Event Tracker'!$B$21=1,),IF(OR(Q15&gt;=MaxSolar,Q15=""),"",IF(AND(Q15&lt;MaxSolar,Q15+$M$6&lt;MaxSolar),Q15+$M$6,MaxSolar)),IF(OR(Q15&gt;=MaxSolar,Q15=""),"",IF(AND(Q15&lt;MaxSolar,Q15+$M$15&lt;MaxSolar),Q15+$M$15,MaxSolar)))</f>
        <v>4200</v>
      </c>
      <c r="R16" s="161">
        <f>IF(OR('Event Tracker'!$B$20=1,'Event Tracker'!$B$21=1,),IF(OR(R15&gt;=MaxWind,R15=""),"",IF(AND(R15&lt;MaxWind,R15+$M$7&lt;MaxWind),R15+$M$7,MaxWind)),IF(OR(R15&gt;=MaxWind,R15=""),"",IF(AND(R15&lt;MaxWind,R15+$M$16&lt;MaxWind),R15+$M$16,MaxWind)))</f>
        <v>4200</v>
      </c>
      <c r="S16" s="161">
        <f>IF(OR('Event Tracker'!$B$20=1,'Event Tracker'!$B$21=1,),IF(OR(S15&gt;=MaxHydro,S15=""),"",IF(AND(S15&lt;MaxHydro,S15+$M$8&lt;MaxHydro),S15+$M$8,MaxHydro)),IF(OR(S15&gt;=MaxHydro,S15=""),"",IF(AND(S15&lt;MaxHydro,S15+$M$17&lt;MaxHydro),S15+$M$17,MaxHydro)))</f>
        <v>4200</v>
      </c>
      <c r="T16" s="161">
        <f>IF(OR('Event Tracker'!$B$20=1,'Event Tracker'!$B$21=1,),IF(OR(T15&gt;=MaxEE,T15=""),"",IF(AND(T15&lt;MaxEE,T15+$M$9&lt;MaxEE),T15+$M$9,MaxEE)),IF(OR(T15&gt;=MaxEE,T15=""),"",IF(AND(T15&lt;MaxEE,T15+$M$18&lt;MaxEE),T15+$M$18,MaxEE)))</f>
        <v>4200</v>
      </c>
      <c r="U16" s="161">
        <f>IF(OR('Event Tracker'!$B$20=1,'Event Tracker'!$B$21=1,),IF(OR(U15&gt;=MaxSolarDistributed,U15=""),"",IF(AND(U15&lt;MaxSolarDistributed,U15+$M$10&lt;MaxSolarDistributed),U15+$M$10,MaxSolarDistributed)),IF(OR(U15&gt;=MaxSolarDistributed,U15=""),"",IF(AND(U15&lt;MaxSolarDistributed,U15+$M$19&lt;MaxSolarDistributed),U15+$M$19,MaxSolarDistributed)))</f>
        <v>700</v>
      </c>
      <c r="W16" s="165">
        <f t="shared" si="0"/>
        <v>700</v>
      </c>
      <c r="X16" s="165" t="str">
        <f t="shared" si="1"/>
        <v/>
      </c>
      <c r="Y16" s="165">
        <f t="shared" si="2"/>
        <v>700</v>
      </c>
      <c r="Z16" s="165" t="str">
        <f t="shared" si="3"/>
        <v/>
      </c>
      <c r="AA16" s="165">
        <f t="shared" si="4"/>
        <v>7000</v>
      </c>
      <c r="AB16" s="165">
        <f t="shared" si="5"/>
        <v>7000</v>
      </c>
    </row>
    <row r="17" spans="12:28" x14ac:dyDescent="0.25">
      <c r="L17" s="137" t="s">
        <v>368</v>
      </c>
      <c r="M17" s="137">
        <v>300</v>
      </c>
      <c r="N17" s="161" t="str">
        <f>IF(OR('Event Tracker'!$B$20=1,'Event Tracker'!$B$21=1,),IF(OR(N16&gt;=MaxCoal,N16=""),"",IF(AND(N16&lt;MaxCoal,N16+$M$3&lt;MaxCoal),N16+$M$3,MaxCoal)),IF(OR(N16&gt;=MaxCoal,N16=""),"",IF(AND(N16&lt;MaxCoal,N16+$M$12&lt;MaxCoal),N16+$M$12,MaxCoal)))</f>
        <v/>
      </c>
      <c r="O17" s="161">
        <f>IF(OR('Event Tracker'!$B$20=1,'Event Tracker'!$B$21=1,),IF(OR(O16&gt;=MaxNatGas,O16=""),"",IF(AND(O16&lt;MaxNatGas,O16+$M$4&lt;MaxNatGas),O16+$M$4,MaxNatGas)),IF(OR(O16&gt;=MaxNatGas,O16=""),"",IF(AND(O16&lt;MaxNatGas,O16+$M$13&lt;MaxNatGas),O16+$M$13,MaxNatGas)))</f>
        <v>75000</v>
      </c>
      <c r="P17" s="161" t="str">
        <f>IF(OR('Event Tracker'!$B$20=1,'Event Tracker'!$B$21=1,),IF(OR(P16&gt;=MaxNuclear,P16=""),"",IF(AND(P16&lt;MaxNuclear,P16+$M$5&lt;MaxNuclear),P16+$M$5,MaxNuclear)),IF(OR(P16&gt;=MaxNuclear,P16=""),"",IF(AND(P16&lt;MaxNuclear,P16+$M$14&lt;MaxNuclear),P16+$M$14,MaxNuclear)))</f>
        <v/>
      </c>
      <c r="Q17" s="161">
        <f>IF(OR('Event Tracker'!$B$20=1,'Event Tracker'!$B$21=1,),IF(OR(Q16&gt;=MaxSolar,Q16=""),"",IF(AND(Q16&lt;MaxSolar,Q16+$M$6&lt;MaxSolar),Q16+$M$6,MaxSolar)),IF(OR(Q16&gt;=MaxSolar,Q16=""),"",IF(AND(Q16&lt;MaxSolar,Q16+$M$15&lt;MaxSolar),Q16+$M$15,MaxSolar)))</f>
        <v>4500</v>
      </c>
      <c r="R17" s="161">
        <f>IF(OR('Event Tracker'!$B$20=1,'Event Tracker'!$B$21=1,),IF(OR(R16&gt;=MaxWind,R16=""),"",IF(AND(R16&lt;MaxWind,R16+$M$7&lt;MaxWind),R16+$M$7,MaxWind)),IF(OR(R16&gt;=MaxWind,R16=""),"",IF(AND(R16&lt;MaxWind,R16+$M$16&lt;MaxWind),R16+$M$16,MaxWind)))</f>
        <v>4500</v>
      </c>
      <c r="S17" s="161">
        <f>IF(OR('Event Tracker'!$B$20=1,'Event Tracker'!$B$21=1,),IF(OR(S16&gt;=MaxHydro,S16=""),"",IF(AND(S16&lt;MaxHydro,S16+$M$8&lt;MaxHydro),S16+$M$8,MaxHydro)),IF(OR(S16&gt;=MaxHydro,S16=""),"",IF(AND(S16&lt;MaxHydro,S16+$M$17&lt;MaxHydro),S16+$M$17,MaxHydro)))</f>
        <v>4204.7999999999993</v>
      </c>
      <c r="T17" s="161">
        <f>IF(OR('Event Tracker'!$B$20=1,'Event Tracker'!$B$21=1,),IF(OR(T16&gt;=MaxEE,T16=""),"",IF(AND(T16&lt;MaxEE,T16+$M$9&lt;MaxEE),T16+$M$9,MaxEE)),IF(OR(T16&gt;=MaxEE,T16=""),"",IF(AND(T16&lt;MaxEE,T16+$M$18&lt;MaxEE),T16+$M$18,MaxEE)))</f>
        <v>4500</v>
      </c>
      <c r="U17" s="161">
        <f>IF(OR('Event Tracker'!$B$20=1,'Event Tracker'!$B$21=1,),IF(OR(U16&gt;=MaxSolarDistributed,U16=""),"",IF(AND(U16&lt;MaxSolarDistributed,U16+$M$10&lt;MaxSolarDistributed),U16+$M$10,MaxSolarDistributed)),IF(OR(U16&gt;=MaxSolarDistributed,U16=""),"",IF(AND(U16&lt;MaxSolarDistributed,U16+$M$19&lt;MaxSolarDistributed),U16+$M$19,MaxSolarDistributed)))</f>
        <v>750</v>
      </c>
      <c r="W17" s="165">
        <f t="shared" si="0"/>
        <v>750</v>
      </c>
      <c r="X17" s="165" t="str">
        <f t="shared" si="1"/>
        <v/>
      </c>
      <c r="Y17" s="165">
        <f t="shared" si="2"/>
        <v>750</v>
      </c>
      <c r="Z17" s="165" t="str">
        <f t="shared" si="3"/>
        <v/>
      </c>
      <c r="AA17" s="165">
        <f t="shared" si="4"/>
        <v>7500</v>
      </c>
      <c r="AB17" s="165">
        <f t="shared" si="5"/>
        <v>7500</v>
      </c>
    </row>
    <row r="18" spans="12:28" x14ac:dyDescent="0.25">
      <c r="L18" s="137" t="s">
        <v>515</v>
      </c>
      <c r="M18" s="137">
        <v>300</v>
      </c>
      <c r="N18" s="161" t="str">
        <f>IF(OR('Event Tracker'!$B$20=1,'Event Tracker'!$B$21=1,),IF(OR(N17&gt;=MaxCoal,N17=""),"",IF(AND(N17&lt;MaxCoal,N17+$M$3&lt;MaxCoal),N17+$M$3,MaxCoal)),IF(OR(N17&gt;=MaxCoal,N17=""),"",IF(AND(N17&lt;MaxCoal,N17+$M$12&lt;MaxCoal),N17+$M$12,MaxCoal)))</f>
        <v/>
      </c>
      <c r="O18" s="161">
        <f>IF(OR('Event Tracker'!$B$20=1,'Event Tracker'!$B$21=1,),IF(OR(O17&gt;=MaxNatGas,O17=""),"",IF(AND(O17&lt;MaxNatGas,O17+$M$4&lt;MaxNatGas),O17+$M$4,MaxNatGas)),IF(OR(O17&gt;=MaxNatGas,O17=""),"",IF(AND(O17&lt;MaxNatGas,O17+$M$13&lt;MaxNatGas),O17+$M$13,MaxNatGas)))</f>
        <v>80000</v>
      </c>
      <c r="P18" s="161" t="str">
        <f>IF(OR('Event Tracker'!$B$20=1,'Event Tracker'!$B$21=1,),IF(OR(P17&gt;=MaxNuclear,P17=""),"",IF(AND(P17&lt;MaxNuclear,P17+$M$5&lt;MaxNuclear),P17+$M$5,MaxNuclear)),IF(OR(P17&gt;=MaxNuclear,P17=""),"",IF(AND(P17&lt;MaxNuclear,P17+$M$14&lt;MaxNuclear),P17+$M$14,MaxNuclear)))</f>
        <v/>
      </c>
      <c r="Q18" s="161">
        <f>IF(OR('Event Tracker'!$B$20=1,'Event Tracker'!$B$21=1,),IF(OR(Q17&gt;=MaxSolar,Q17=""),"",IF(AND(Q17&lt;MaxSolar,Q17+$M$6&lt;MaxSolar),Q17+$M$6,MaxSolar)),IF(OR(Q17&gt;=MaxSolar,Q17=""),"",IF(AND(Q17&lt;MaxSolar,Q17+$M$15&lt;MaxSolar),Q17+$M$15,MaxSolar)))</f>
        <v>4800</v>
      </c>
      <c r="R18" s="161">
        <f>IF(OR('Event Tracker'!$B$20=1,'Event Tracker'!$B$21=1,),IF(OR(R17&gt;=MaxWind,R17=""),"",IF(AND(R17&lt;MaxWind,R17+$M$7&lt;MaxWind),R17+$M$7,MaxWind)),IF(OR(R17&gt;=MaxWind,R17=""),"",IF(AND(R17&lt;MaxWind,R17+$M$16&lt;MaxWind),R17+$M$16,MaxWind)))</f>
        <v>4800</v>
      </c>
      <c r="S18" s="161" t="str">
        <f>IF(OR('Event Tracker'!$B$20=1,'Event Tracker'!$B$21=1,),IF(OR(S17&gt;=MaxHydro,S17=""),"",IF(AND(S17&lt;MaxHydro,S17+$M$8&lt;MaxHydro),S17+$M$8,MaxHydro)),IF(OR(S17&gt;=MaxHydro,S17=""),"",IF(AND(S17&lt;MaxHydro,S17+$M$17&lt;MaxHydro),S17+$M$17,MaxHydro)))</f>
        <v/>
      </c>
      <c r="T18" s="161">
        <f>IF(OR('Event Tracker'!$B$20=1,'Event Tracker'!$B$21=1,),IF(OR(T17&gt;=MaxEE,T17=""),"",IF(AND(T17&lt;MaxEE,T17+$M$9&lt;MaxEE),T17+$M$9,MaxEE)),IF(OR(T17&gt;=MaxEE,T17=""),"",IF(AND(T17&lt;MaxEE,T17+$M$18&lt;MaxEE),T17+$M$18,MaxEE)))</f>
        <v>4800</v>
      </c>
      <c r="U18" s="161">
        <f>IF(OR('Event Tracker'!$B$20=1,'Event Tracker'!$B$21=1,),IF(OR(U17&gt;=MaxSolarDistributed,U17=""),"",IF(AND(U17&lt;MaxSolarDistributed,U17+$M$10&lt;MaxSolarDistributed),U17+$M$10,MaxSolarDistributed)),IF(OR(U17&gt;=MaxSolarDistributed,U17=""),"",IF(AND(U17&lt;MaxSolarDistributed,U17+$M$19&lt;MaxSolarDistributed),U17+$M$19,MaxSolarDistributed)))</f>
        <v>800</v>
      </c>
      <c r="W18" s="165">
        <f t="shared" si="0"/>
        <v>800</v>
      </c>
      <c r="X18" s="165" t="str">
        <f t="shared" si="1"/>
        <v/>
      </c>
      <c r="Y18" s="165">
        <f t="shared" si="2"/>
        <v>800</v>
      </c>
      <c r="Z18" s="165" t="str">
        <f t="shared" si="3"/>
        <v/>
      </c>
      <c r="AA18" s="165">
        <f t="shared" si="4"/>
        <v>8000</v>
      </c>
      <c r="AB18" s="165">
        <f t="shared" si="5"/>
        <v>8000</v>
      </c>
    </row>
    <row r="19" spans="12:28" x14ac:dyDescent="0.25">
      <c r="L19" s="137" t="s">
        <v>369</v>
      </c>
      <c r="M19" s="137">
        <v>50</v>
      </c>
      <c r="N19" s="161" t="str">
        <f>IF(OR('Event Tracker'!$B$20=1,'Event Tracker'!$B$21=1,),IF(OR(N18&gt;=MaxCoal,N18=""),"",IF(AND(N18&lt;MaxCoal,N18+$M$3&lt;MaxCoal),N18+$M$3,MaxCoal)),IF(OR(N18&gt;=MaxCoal,N18=""),"",IF(AND(N18&lt;MaxCoal,N18+$M$12&lt;MaxCoal),N18+$M$12,MaxCoal)))</f>
        <v/>
      </c>
      <c r="O19" s="161">
        <f>IF(OR('Event Tracker'!$B$20=1,'Event Tracker'!$B$21=1,),IF(OR(O18&gt;=MaxNatGas,O18=""),"",IF(AND(O18&lt;MaxNatGas,O18+$M$4&lt;MaxNatGas),O18+$M$4,MaxNatGas)),IF(OR(O18&gt;=MaxNatGas,O18=""),"",IF(AND(O18&lt;MaxNatGas,O18+$M$13&lt;MaxNatGas),O18+$M$13,MaxNatGas)))</f>
        <v>85000</v>
      </c>
      <c r="P19" s="161" t="str">
        <f>IF(OR('Event Tracker'!$B$20=1,'Event Tracker'!$B$21=1,),IF(OR(P18&gt;=MaxNuclear,P18=""),"",IF(AND(P18&lt;MaxNuclear,P18+$M$5&lt;MaxNuclear),P18+$M$5,MaxNuclear)),IF(OR(P18&gt;=MaxNuclear,P18=""),"",IF(AND(P18&lt;MaxNuclear,P18+$M$14&lt;MaxNuclear),P18+$M$14,MaxNuclear)))</f>
        <v/>
      </c>
      <c r="Q19" s="161">
        <f>IF(OR('Event Tracker'!$B$20=1,'Event Tracker'!$B$21=1,),IF(OR(Q18&gt;=MaxSolar,Q18=""),"",IF(AND(Q18&lt;MaxSolar,Q18+$M$6&lt;MaxSolar),Q18+$M$6,MaxSolar)),IF(OR(Q18&gt;=MaxSolar,Q18=""),"",IF(AND(Q18&lt;MaxSolar,Q18+$M$15&lt;MaxSolar),Q18+$M$15,MaxSolar)))</f>
        <v>5100</v>
      </c>
      <c r="R19" s="161">
        <f>IF(OR('Event Tracker'!$B$20=1,'Event Tracker'!$B$21=1,),IF(OR(R18&gt;=MaxWind,R18=""),"",IF(AND(R18&lt;MaxWind,R18+$M$7&lt;MaxWind),R18+$M$7,MaxWind)),IF(OR(R18&gt;=MaxWind,R18=""),"",IF(AND(R18&lt;MaxWind,R18+$M$16&lt;MaxWind),R18+$M$16,MaxWind)))</f>
        <v>5100</v>
      </c>
      <c r="S19" s="161" t="str">
        <f>IF(OR('Event Tracker'!$B$20=1,'Event Tracker'!$B$21=1,),IF(OR(S18&gt;=MaxHydro,S18=""),"",IF(AND(S18&lt;MaxHydro,S18+$M$8&lt;MaxHydro),S18+$M$8,MaxHydro)),IF(OR(S18&gt;=MaxHydro,S18=""),"",IF(AND(S18&lt;MaxHydro,S18+$M$17&lt;MaxHydro),S18+$M$17,MaxHydro)))</f>
        <v/>
      </c>
      <c r="T19" s="161">
        <f>IF(OR('Event Tracker'!$B$20=1,'Event Tracker'!$B$21=1,),IF(OR(T18&gt;=MaxEE,T18=""),"",IF(AND(T18&lt;MaxEE,T18+$M$9&lt;MaxEE),T18+$M$9,MaxEE)),IF(OR(T18&gt;=MaxEE,T18=""),"",IF(AND(T18&lt;MaxEE,T18+$M$18&lt;MaxEE),T18+$M$18,MaxEE)))</f>
        <v>5100</v>
      </c>
      <c r="U19" s="161">
        <f>IF(OR('Event Tracker'!$B$20=1,'Event Tracker'!$B$21=1,),IF(OR(U18&gt;=MaxSolarDistributed,U18=""),"",IF(AND(U18&lt;MaxSolarDistributed,U18+$M$10&lt;MaxSolarDistributed),U18+$M$10,MaxSolarDistributed)),IF(OR(U18&gt;=MaxSolarDistributed,U18=""),"",IF(AND(U18&lt;MaxSolarDistributed,U18+$M$19&lt;MaxSolarDistributed),U18+$M$19,MaxSolarDistributed)))</f>
        <v>850</v>
      </c>
      <c r="W19" s="165">
        <f t="shared" si="0"/>
        <v>850</v>
      </c>
      <c r="X19" s="165" t="str">
        <f t="shared" si="1"/>
        <v/>
      </c>
      <c r="Y19" s="165" t="str">
        <f t="shared" si="2"/>
        <v/>
      </c>
      <c r="Z19" s="165" t="str">
        <f t="shared" si="3"/>
        <v/>
      </c>
      <c r="AA19" s="165">
        <f t="shared" si="4"/>
        <v>8500</v>
      </c>
      <c r="AB19" s="165">
        <f t="shared" si="5"/>
        <v>8500</v>
      </c>
    </row>
    <row r="20" spans="12:28" x14ac:dyDescent="0.25">
      <c r="L20" s="234" t="s">
        <v>490</v>
      </c>
      <c r="M20" s="234"/>
      <c r="N20" s="161" t="str">
        <f>IF(OR('Event Tracker'!$B$20=1,'Event Tracker'!$B$21=1,),IF(OR(N19&gt;=MaxCoal,N19=""),"",IF(AND(N19&lt;MaxCoal,N19+$M$3&lt;MaxCoal),N19+$M$3,MaxCoal)),IF(OR(N19&gt;=MaxCoal,N19=""),"",IF(AND(N19&lt;MaxCoal,N19+$M$12&lt;MaxCoal),N19+$M$12,MaxCoal)))</f>
        <v/>
      </c>
      <c r="O20" s="161">
        <f>IF(OR('Event Tracker'!$B$20=1,'Event Tracker'!$B$21=1,),IF(OR(O19&gt;=MaxNatGas,O19=""),"",IF(AND(O19&lt;MaxNatGas,O19+$M$4&lt;MaxNatGas),O19+$M$4,MaxNatGas)),IF(OR(O19&gt;=MaxNatGas,O19=""),"",IF(AND(O19&lt;MaxNatGas,O19+$M$13&lt;MaxNatGas),O19+$M$13,MaxNatGas)))</f>
        <v>90000</v>
      </c>
      <c r="P20" s="161" t="str">
        <f>IF(OR('Event Tracker'!$B$20=1,'Event Tracker'!$B$21=1,),IF(OR(P19&gt;=MaxNuclear,P19=""),"",IF(AND(P19&lt;MaxNuclear,P19+$M$5&lt;MaxNuclear),P19+$M$5,MaxNuclear)),IF(OR(P19&gt;=MaxNuclear,P19=""),"",IF(AND(P19&lt;MaxNuclear,P19+$M$14&lt;MaxNuclear),P19+$M$14,MaxNuclear)))</f>
        <v/>
      </c>
      <c r="Q20" s="161">
        <f>IF(OR('Event Tracker'!$B$20=1,'Event Tracker'!$B$21=1,),IF(OR(Q19&gt;=MaxSolar,Q19=""),"",IF(AND(Q19&lt;MaxSolar,Q19+$M$6&lt;MaxSolar),Q19+$M$6,MaxSolar)),IF(OR(Q19&gt;=MaxSolar,Q19=""),"",IF(AND(Q19&lt;MaxSolar,Q19+$M$15&lt;MaxSolar),Q19+$M$15,MaxSolar)))</f>
        <v>5400</v>
      </c>
      <c r="R20" s="161">
        <f>IF(OR('Event Tracker'!$B$20=1,'Event Tracker'!$B$21=1,),IF(OR(R19&gt;=MaxWind,R19=""),"",IF(AND(R19&lt;MaxWind,R19+$M$7&lt;MaxWind),R19+$M$7,MaxWind)),IF(OR(R19&gt;=MaxWind,R19=""),"",IF(AND(R19&lt;MaxWind,R19+$M$16&lt;MaxWind),R19+$M$16,MaxWind)))</f>
        <v>5400</v>
      </c>
      <c r="S20" s="161" t="str">
        <f>IF(OR('Event Tracker'!$B$20=1,'Event Tracker'!$B$21=1,),IF(OR(S19&gt;=MaxHydro,S19=""),"",IF(AND(S19&lt;MaxHydro,S19+$M$8&lt;MaxHydro),S19+$M$8,MaxHydro)),IF(OR(S19&gt;=MaxHydro,S19=""),"",IF(AND(S19&lt;MaxHydro,S19+$M$17&lt;MaxHydro),S19+$M$17,MaxHydro)))</f>
        <v/>
      </c>
      <c r="T20" s="161">
        <f>IF(OR('Event Tracker'!$B$20=1,'Event Tracker'!$B$21=1,),IF(OR(T19&gt;=MaxEE,T19=""),"",IF(AND(T19&lt;MaxEE,T19+$M$9&lt;MaxEE),T19+$M$9,MaxEE)),IF(OR(T19&gt;=MaxEE,T19=""),"",IF(AND(T19&lt;MaxEE,T19+$M$18&lt;MaxEE),T19+$M$18,MaxEE)))</f>
        <v>5400</v>
      </c>
      <c r="U20" s="161">
        <f>IF(OR('Event Tracker'!$B$20=1,'Event Tracker'!$B$21=1,),IF(OR(U19&gt;=MaxSolarDistributed,U19=""),"",IF(AND(U19&lt;MaxSolarDistributed,U19+$M$10&lt;MaxSolarDistributed),U19+$M$10,MaxSolarDistributed)),IF(OR(U19&gt;=MaxSolarDistributed,U19=""),"",IF(AND(U19&lt;MaxSolarDistributed,U19+$M$19&lt;MaxSolarDistributed),U19+$M$19,MaxSolarDistributed)))</f>
        <v>900</v>
      </c>
      <c r="W20" s="165">
        <f t="shared" si="0"/>
        <v>900</v>
      </c>
      <c r="X20" s="165" t="str">
        <f t="shared" si="1"/>
        <v/>
      </c>
      <c r="Y20" s="165" t="str">
        <f t="shared" si="2"/>
        <v/>
      </c>
      <c r="Z20" s="165" t="str">
        <f t="shared" si="3"/>
        <v/>
      </c>
      <c r="AA20" s="165">
        <f t="shared" si="4"/>
        <v>9000</v>
      </c>
      <c r="AB20" s="165">
        <f t="shared" si="5"/>
        <v>9000</v>
      </c>
    </row>
    <row r="21" spans="12:28" x14ac:dyDescent="0.25">
      <c r="L21" s="137" t="s">
        <v>170</v>
      </c>
      <c r="M21" s="142">
        <v>50</v>
      </c>
      <c r="N21" s="161" t="str">
        <f>IF(OR('Event Tracker'!$B$20=1,'Event Tracker'!$B$21=1,),IF(OR(N20&gt;=MaxCoal,N20=""),"",IF(AND(N20&lt;MaxCoal,N20+$M$3&lt;MaxCoal),N20+$M$3,MaxCoal)),IF(OR(N20&gt;=MaxCoal,N20=""),"",IF(AND(N20&lt;MaxCoal,N20+$M$12&lt;MaxCoal),N20+$M$12,MaxCoal)))</f>
        <v/>
      </c>
      <c r="O21" s="161">
        <f>IF(OR('Event Tracker'!$B$20=1,'Event Tracker'!$B$21=1,),IF(OR(O20&gt;=MaxNatGas,O20=""),"",IF(AND(O20&lt;MaxNatGas,O20+$M$4&lt;MaxNatGas),O20+$M$4,MaxNatGas)),IF(OR(O20&gt;=MaxNatGas,O20=""),"",IF(AND(O20&lt;MaxNatGas,O20+$M$13&lt;MaxNatGas),O20+$M$13,MaxNatGas)))</f>
        <v>95000</v>
      </c>
      <c r="P21" s="161" t="str">
        <f>IF(OR('Event Tracker'!$B$20=1,'Event Tracker'!$B$21=1,),IF(OR(P20&gt;=MaxNuclear,P20=""),"",IF(AND(P20&lt;MaxNuclear,P20+$M$5&lt;MaxNuclear),P20+$M$5,MaxNuclear)),IF(OR(P20&gt;=MaxNuclear,P20=""),"",IF(AND(P20&lt;MaxNuclear,P20+$M$14&lt;MaxNuclear),P20+$M$14,MaxNuclear)))</f>
        <v/>
      </c>
      <c r="Q21" s="161">
        <f>IF(OR('Event Tracker'!$B$20=1,'Event Tracker'!$B$21=1,),IF(OR(Q20&gt;=MaxSolar,Q20=""),"",IF(AND(Q20&lt;MaxSolar,Q20+$M$6&lt;MaxSolar),Q20+$M$6,MaxSolar)),IF(OR(Q20&gt;=MaxSolar,Q20=""),"",IF(AND(Q20&lt;MaxSolar,Q20+$M$15&lt;MaxSolar),Q20+$M$15,MaxSolar)))</f>
        <v>5700</v>
      </c>
      <c r="R21" s="161">
        <f>IF(OR('Event Tracker'!$B$20=1,'Event Tracker'!$B$21=1,),IF(OR(R20&gt;=MaxWind,R20=""),"",IF(AND(R20&lt;MaxWind,R20+$M$7&lt;MaxWind),R20+$M$7,MaxWind)),IF(OR(R20&gt;=MaxWind,R20=""),"",IF(AND(R20&lt;MaxWind,R20+$M$16&lt;MaxWind),R20+$M$16,MaxWind)))</f>
        <v>5700</v>
      </c>
      <c r="S21" s="161" t="str">
        <f>IF(OR('Event Tracker'!$B$20=1,'Event Tracker'!$B$21=1,),IF(OR(S20&gt;=MaxHydro,S20=""),"",IF(AND(S20&lt;MaxHydro,S20+$M$8&lt;MaxHydro),S20+$M$8,MaxHydro)),IF(OR(S20&gt;=MaxHydro,S20=""),"",IF(AND(S20&lt;MaxHydro,S20+$M$17&lt;MaxHydro),S20+$M$17,MaxHydro)))</f>
        <v/>
      </c>
      <c r="T21" s="161">
        <f>IF(OR('Event Tracker'!$B$20=1,'Event Tracker'!$B$21=1,),IF(OR(T20&gt;=MaxEE,T20=""),"",IF(AND(T20&lt;MaxEE,T20+$M$9&lt;MaxEE),T20+$M$9,MaxEE)),IF(OR(T20&gt;=MaxEE,T20=""),"",IF(AND(T20&lt;MaxEE,T20+$M$18&lt;MaxEE),T20+$M$18,MaxEE)))</f>
        <v>5700</v>
      </c>
      <c r="U21" s="161">
        <f>IF(OR('Event Tracker'!$B$20=1,'Event Tracker'!$B$21=1,),IF(OR(U20&gt;=MaxSolarDistributed,U20=""),"",IF(AND(U20&lt;MaxSolarDistributed,U20+$M$10&lt;MaxSolarDistributed),U20+$M$10,MaxSolarDistributed)),IF(OR(U20&gt;=MaxSolarDistributed,U20=""),"",IF(AND(U20&lt;MaxSolarDistributed,U20+$M$19&lt;MaxSolarDistributed),U20+$M$19,MaxSolarDistributed)))</f>
        <v>950</v>
      </c>
      <c r="W21" s="165">
        <f t="shared" si="0"/>
        <v>950</v>
      </c>
      <c r="X21" s="165" t="str">
        <f t="shared" si="1"/>
        <v/>
      </c>
      <c r="Y21" s="165" t="str">
        <f t="shared" si="2"/>
        <v/>
      </c>
      <c r="Z21" s="165" t="str">
        <f t="shared" si="3"/>
        <v/>
      </c>
      <c r="AA21" s="165">
        <f t="shared" si="4"/>
        <v>9500</v>
      </c>
      <c r="AB21" s="165">
        <f t="shared" si="5"/>
        <v>9500</v>
      </c>
    </row>
    <row r="22" spans="12:28" x14ac:dyDescent="0.25">
      <c r="L22" s="137" t="s">
        <v>149</v>
      </c>
      <c r="M22" s="142">
        <v>5</v>
      </c>
      <c r="N22" s="161" t="str">
        <f>IF(OR('Event Tracker'!$B$20=1,'Event Tracker'!$B$21=1,),IF(OR(N21&gt;=MaxCoal,N21=""),"",IF(AND(N21&lt;MaxCoal,N21+$M$3&lt;MaxCoal),N21+$M$3,MaxCoal)),IF(OR(N21&gt;=MaxCoal,N21=""),"",IF(AND(N21&lt;MaxCoal,N21+$M$12&lt;MaxCoal),N21+$M$12,MaxCoal)))</f>
        <v/>
      </c>
      <c r="O22" s="161">
        <f>IF(OR('Event Tracker'!$B$20=1,'Event Tracker'!$B$21=1,),IF(OR(O21&gt;=MaxNatGas,O21=""),"",IF(AND(O21&lt;MaxNatGas,O21+$M$4&lt;MaxNatGas),O21+$M$4,MaxNatGas)),IF(OR(O21&gt;=MaxNatGas,O21=""),"",IF(AND(O21&lt;MaxNatGas,O21+$M$13&lt;MaxNatGas),O21+$M$13,MaxNatGas)))</f>
        <v>100000</v>
      </c>
      <c r="P22" s="161" t="str">
        <f>IF(OR('Event Tracker'!$B$20=1,'Event Tracker'!$B$21=1,),IF(OR(P21&gt;=MaxNuclear,P21=""),"",IF(AND(P21&lt;MaxNuclear,P21+$M$5&lt;MaxNuclear),P21+$M$5,MaxNuclear)),IF(OR(P21&gt;=MaxNuclear,P21=""),"",IF(AND(P21&lt;MaxNuclear,P21+$M$14&lt;MaxNuclear),P21+$M$14,MaxNuclear)))</f>
        <v/>
      </c>
      <c r="Q22" s="161">
        <f>IF(OR('Event Tracker'!$B$20=1,'Event Tracker'!$B$21=1,),IF(OR(Q21&gt;=MaxSolar,Q21=""),"",IF(AND(Q21&lt;MaxSolar,Q21+$M$6&lt;MaxSolar),Q21+$M$6,MaxSolar)),IF(OR(Q21&gt;=MaxSolar,Q21=""),"",IF(AND(Q21&lt;MaxSolar,Q21+$M$15&lt;MaxSolar),Q21+$M$15,MaxSolar)))</f>
        <v>6000</v>
      </c>
      <c r="R22" s="161">
        <f>IF(OR('Event Tracker'!$B$20=1,'Event Tracker'!$B$21=1,),IF(OR(R21&gt;=MaxWind,R21=""),"",IF(AND(R21&lt;MaxWind,R21+$M$7&lt;MaxWind),R21+$M$7,MaxWind)),IF(OR(R21&gt;=MaxWind,R21=""),"",IF(AND(R21&lt;MaxWind,R21+$M$16&lt;MaxWind),R21+$M$16,MaxWind)))</f>
        <v>6000</v>
      </c>
      <c r="S22" s="161" t="str">
        <f>IF(OR('Event Tracker'!$B$20=1,'Event Tracker'!$B$21=1,),IF(OR(S21&gt;=MaxHydro,S21=""),"",IF(AND(S21&lt;MaxHydro,S21+$M$8&lt;MaxHydro),S21+$M$8,MaxHydro)),IF(OR(S21&gt;=MaxHydro,S21=""),"",IF(AND(S21&lt;MaxHydro,S21+$M$17&lt;MaxHydro),S21+$M$17,MaxHydro)))</f>
        <v/>
      </c>
      <c r="T22" s="161">
        <f>IF(OR('Event Tracker'!$B$20=1,'Event Tracker'!$B$21=1,),IF(OR(T21&gt;=MaxEE,T21=""),"",IF(AND(T21&lt;MaxEE,T21+$M$9&lt;MaxEE),T21+$M$9,MaxEE)),IF(OR(T21&gt;=MaxEE,T21=""),"",IF(AND(T21&lt;MaxEE,T21+$M$18&lt;MaxEE),T21+$M$18,MaxEE)))</f>
        <v>6000</v>
      </c>
      <c r="U22" s="161">
        <f>IF(OR('Event Tracker'!$B$20=1,'Event Tracker'!$B$21=1,),IF(OR(U21&gt;=MaxSolarDistributed,U21=""),"",IF(AND(U21&lt;MaxSolarDistributed,U21+$M$10&lt;MaxSolarDistributed),U21+$M$10,MaxSolarDistributed)),IF(OR(U21&gt;=MaxSolarDistributed,U21=""),"",IF(AND(U21&lt;MaxSolarDistributed,U21+$M$19&lt;MaxSolarDistributed),U21+$M$19,MaxSolarDistributed)))</f>
        <v>1000</v>
      </c>
      <c r="W22" s="165">
        <f t="shared" si="0"/>
        <v>1000</v>
      </c>
      <c r="X22" s="165" t="str">
        <f t="shared" si="1"/>
        <v/>
      </c>
      <c r="Y22" s="165" t="str">
        <f t="shared" si="2"/>
        <v/>
      </c>
      <c r="Z22" s="165" t="str">
        <f t="shared" si="3"/>
        <v/>
      </c>
      <c r="AA22" s="165">
        <f t="shared" si="4"/>
        <v>10000</v>
      </c>
      <c r="AB22" s="165">
        <f t="shared" si="5"/>
        <v>10000</v>
      </c>
    </row>
    <row r="23" spans="12:28" x14ac:dyDescent="0.25">
      <c r="L23" s="137" t="s">
        <v>148</v>
      </c>
      <c r="M23" s="142">
        <v>50</v>
      </c>
      <c r="N23" s="161" t="str">
        <f>IF(OR('Event Tracker'!$B$20=1,'Event Tracker'!$B$21=1,),IF(OR(N22&gt;=MaxCoal,N22=""),"",IF(AND(N22&lt;MaxCoal,N22+$M$3&lt;MaxCoal),N22+$M$3,MaxCoal)),IF(OR(N22&gt;=MaxCoal,N22=""),"",IF(AND(N22&lt;MaxCoal,N22+$M$12&lt;MaxCoal),N22+$M$12,MaxCoal)))</f>
        <v/>
      </c>
      <c r="O23" s="161">
        <f>IF(OR('Event Tracker'!$B$20=1,'Event Tracker'!$B$21=1,),IF(OR(O22&gt;=MaxNatGas,O22=""),"",IF(AND(O22&lt;MaxNatGas,O22+$M$4&lt;MaxNatGas),O22+$M$4,MaxNatGas)),IF(OR(O22&gt;=MaxNatGas,O22=""),"",IF(AND(O22&lt;MaxNatGas,O22+$M$13&lt;MaxNatGas),O22+$M$13,MaxNatGas)))</f>
        <v>105000</v>
      </c>
      <c r="P23" s="161" t="str">
        <f>IF(OR('Event Tracker'!$B$20=1,'Event Tracker'!$B$21=1,),IF(OR(P22&gt;=MaxNuclear,P22=""),"",IF(AND(P22&lt;MaxNuclear,P22+$M$5&lt;MaxNuclear),P22+$M$5,MaxNuclear)),IF(OR(P22&gt;=MaxNuclear,P22=""),"",IF(AND(P22&lt;MaxNuclear,P22+$M$14&lt;MaxNuclear),P22+$M$14,MaxNuclear)))</f>
        <v/>
      </c>
      <c r="Q23" s="161">
        <f>IF(OR('Event Tracker'!$B$20=1,'Event Tracker'!$B$21=1,),IF(OR(Q22&gt;=MaxSolar,Q22=""),"",IF(AND(Q22&lt;MaxSolar,Q22+$M$6&lt;MaxSolar),Q22+$M$6,MaxSolar)),IF(OR(Q22&gt;=MaxSolar,Q22=""),"",IF(AND(Q22&lt;MaxSolar,Q22+$M$15&lt;MaxSolar),Q22+$M$15,MaxSolar)))</f>
        <v>6300</v>
      </c>
      <c r="R23" s="161">
        <f>IF(OR('Event Tracker'!$B$20=1,'Event Tracker'!$B$21=1,),IF(OR(R22&gt;=MaxWind,R22=""),"",IF(AND(R22&lt;MaxWind,R22+$M$7&lt;MaxWind),R22+$M$7,MaxWind)),IF(OR(R22&gt;=MaxWind,R22=""),"",IF(AND(R22&lt;MaxWind,R22+$M$16&lt;MaxWind),R22+$M$16,MaxWind)))</f>
        <v>6300</v>
      </c>
      <c r="S23" s="161" t="str">
        <f>IF(OR('Event Tracker'!$B$20=1,'Event Tracker'!$B$21=1,),IF(OR(S22&gt;=MaxHydro,S22=""),"",IF(AND(S22&lt;MaxHydro,S22+$M$8&lt;MaxHydro),S22+$M$8,MaxHydro)),IF(OR(S22&gt;=MaxHydro,S22=""),"",IF(AND(S22&lt;MaxHydro,S22+$M$17&lt;MaxHydro),S22+$M$17,MaxHydro)))</f>
        <v/>
      </c>
      <c r="T23" s="161">
        <f>IF(OR('Event Tracker'!$B$20=1,'Event Tracker'!$B$21=1,),IF(OR(T22&gt;=MaxEE,T22=""),"",IF(AND(T22&lt;MaxEE,T22+$M$9&lt;MaxEE),T22+$M$9,MaxEE)),IF(OR(T22&gt;=MaxEE,T22=""),"",IF(AND(T22&lt;MaxEE,T22+$M$18&lt;MaxEE),T22+$M$18,MaxEE)))</f>
        <v>6300</v>
      </c>
      <c r="U23" s="161">
        <f>IF(OR('Event Tracker'!$B$20=1,'Event Tracker'!$B$21=1,),IF(OR(U22&gt;=MaxSolarDistributed,U22=""),"",IF(AND(U22&lt;MaxSolarDistributed,U22+$M$10&lt;MaxSolarDistributed),U22+$M$10,MaxSolarDistributed)),IF(OR(U22&gt;=MaxSolarDistributed,U22=""),"",IF(AND(U22&lt;MaxSolarDistributed,U22+$M$19&lt;MaxSolarDistributed),U22+$M$19,MaxSolarDistributed)))</f>
        <v>1050</v>
      </c>
      <c r="W23" s="165">
        <f t="shared" si="0"/>
        <v>1050</v>
      </c>
      <c r="X23" s="165" t="str">
        <f t="shared" si="1"/>
        <v/>
      </c>
      <c r="Y23" s="165" t="str">
        <f t="shared" si="2"/>
        <v/>
      </c>
      <c r="Z23" s="165" t="str">
        <f t="shared" si="3"/>
        <v/>
      </c>
      <c r="AA23" s="165" t="str">
        <f t="shared" si="4"/>
        <v/>
      </c>
      <c r="AB23" s="165" t="str">
        <f t="shared" si="5"/>
        <v/>
      </c>
    </row>
    <row r="24" spans="12:28" x14ac:dyDescent="0.25">
      <c r="L24" s="137" t="s">
        <v>36</v>
      </c>
      <c r="M24" s="142">
        <v>50</v>
      </c>
      <c r="N24" s="161" t="str">
        <f>IF(OR('Event Tracker'!$B$20=1,'Event Tracker'!$B$21=1,),IF(OR(N23&gt;=MaxCoal,N23=""),"",IF(AND(N23&lt;MaxCoal,N23+$M$3&lt;MaxCoal),N23+$M$3,MaxCoal)),IF(OR(N23&gt;=MaxCoal,N23=""),"",IF(AND(N23&lt;MaxCoal,N23+$M$12&lt;MaxCoal),N23+$M$12,MaxCoal)))</f>
        <v/>
      </c>
      <c r="O24" s="161">
        <f>IF(OR('Event Tracker'!$B$20=1,'Event Tracker'!$B$21=1,),IF(OR(O23&gt;=MaxNatGas,O23=""),"",IF(AND(O23&lt;MaxNatGas,O23+$M$4&lt;MaxNatGas),O23+$M$4,MaxNatGas)),IF(OR(O23&gt;=MaxNatGas,O23=""),"",IF(AND(O23&lt;MaxNatGas,O23+$M$13&lt;MaxNatGas),O23+$M$13,MaxNatGas)))</f>
        <v>110000</v>
      </c>
      <c r="P24" s="161" t="str">
        <f>IF(OR('Event Tracker'!$B$20=1,'Event Tracker'!$B$21=1,),IF(OR(P23&gt;=MaxNuclear,P23=""),"",IF(AND(P23&lt;MaxNuclear,P23+$M$5&lt;MaxNuclear),P23+$M$5,MaxNuclear)),IF(OR(P23&gt;=MaxNuclear,P23=""),"",IF(AND(P23&lt;MaxNuclear,P23+$M$14&lt;MaxNuclear),P23+$M$14,MaxNuclear)))</f>
        <v/>
      </c>
      <c r="Q24" s="161">
        <f>IF(OR('Event Tracker'!$B$20=1,'Event Tracker'!$B$21=1,),IF(OR(Q23&gt;=MaxSolar,Q23=""),"",IF(AND(Q23&lt;MaxSolar,Q23+$M$6&lt;MaxSolar),Q23+$M$6,MaxSolar)),IF(OR(Q23&gt;=MaxSolar,Q23=""),"",IF(AND(Q23&lt;MaxSolar,Q23+$M$15&lt;MaxSolar),Q23+$M$15,MaxSolar)))</f>
        <v>6600</v>
      </c>
      <c r="R24" s="161">
        <f>IF(OR('Event Tracker'!$B$20=1,'Event Tracker'!$B$21=1,),IF(OR(R23&gt;=MaxWind,R23=""),"",IF(AND(R23&lt;MaxWind,R23+$M$7&lt;MaxWind),R23+$M$7,MaxWind)),IF(OR(R23&gt;=MaxWind,R23=""),"",IF(AND(R23&lt;MaxWind,R23+$M$16&lt;MaxWind),R23+$M$16,MaxWind)))</f>
        <v>6600</v>
      </c>
      <c r="S24" s="161" t="str">
        <f>IF(OR('Event Tracker'!$B$20=1,'Event Tracker'!$B$21=1,),IF(OR(S23&gt;=MaxHydro,S23=""),"",IF(AND(S23&lt;MaxHydro,S23+$M$8&lt;MaxHydro),S23+$M$8,MaxHydro)),IF(OR(S23&gt;=MaxHydro,S23=""),"",IF(AND(S23&lt;MaxHydro,S23+$M$17&lt;MaxHydro),S23+$M$17,MaxHydro)))</f>
        <v/>
      </c>
      <c r="T24" s="161">
        <f>IF(OR('Event Tracker'!$B$20=1,'Event Tracker'!$B$21=1,),IF(OR(T23&gt;=MaxEE,T23=""),"",IF(AND(T23&lt;MaxEE,T23+$M$9&lt;MaxEE),T23+$M$9,MaxEE)),IF(OR(T23&gt;=MaxEE,T23=""),"",IF(AND(T23&lt;MaxEE,T23+$M$18&lt;MaxEE),T23+$M$18,MaxEE)))</f>
        <v>6600</v>
      </c>
      <c r="U24" s="161">
        <f>IF(OR('Event Tracker'!$B$20=1,'Event Tracker'!$B$21=1,),IF(OR(U23&gt;=MaxSolarDistributed,U23=""),"",IF(AND(U23&lt;MaxSolarDistributed,U23+$M$10&lt;MaxSolarDistributed),U23+$M$10,MaxSolarDistributed)),IF(OR(U23&gt;=MaxSolarDistributed,U23=""),"",IF(AND(U23&lt;MaxSolarDistributed,U23+$M$19&lt;MaxSolarDistributed),U23+$M$19,MaxSolarDistributed)))</f>
        <v>1100</v>
      </c>
      <c r="W24" s="165">
        <f t="shared" si="0"/>
        <v>1100</v>
      </c>
      <c r="X24" s="165" t="str">
        <f t="shared" si="1"/>
        <v/>
      </c>
      <c r="Y24" s="165" t="str">
        <f t="shared" si="2"/>
        <v/>
      </c>
      <c r="Z24" s="165" t="str">
        <f t="shared" si="3"/>
        <v/>
      </c>
      <c r="AA24" s="165" t="str">
        <f t="shared" si="4"/>
        <v/>
      </c>
      <c r="AB24" s="165" t="str">
        <f t="shared" si="5"/>
        <v/>
      </c>
    </row>
    <row r="25" spans="12:28" x14ac:dyDescent="0.25">
      <c r="L25" s="137" t="s">
        <v>354</v>
      </c>
      <c r="M25" s="142">
        <v>500</v>
      </c>
      <c r="N25" s="161" t="str">
        <f>IF(OR('Event Tracker'!$B$20=1,'Event Tracker'!$B$21=1,),IF(OR(N24&gt;=MaxCoal,N24=""),"",IF(AND(N24&lt;MaxCoal,N24+$M$3&lt;MaxCoal),N24+$M$3,MaxCoal)),IF(OR(N24&gt;=MaxCoal,N24=""),"",IF(AND(N24&lt;MaxCoal,N24+$M$12&lt;MaxCoal),N24+$M$12,MaxCoal)))</f>
        <v/>
      </c>
      <c r="O25" s="161">
        <f>IF(OR('Event Tracker'!$B$20=1,'Event Tracker'!$B$21=1,),IF(OR(O24&gt;=MaxNatGas,O24=""),"",IF(AND(O24&lt;MaxNatGas,O24+$M$4&lt;MaxNatGas),O24+$M$4,MaxNatGas)),IF(OR(O24&gt;=MaxNatGas,O24=""),"",IF(AND(O24&lt;MaxNatGas,O24+$M$13&lt;MaxNatGas),O24+$M$13,MaxNatGas)))</f>
        <v>115000</v>
      </c>
      <c r="P25" s="161" t="str">
        <f>IF(OR('Event Tracker'!$B$20=1,'Event Tracker'!$B$21=1,),IF(OR(P24&gt;=MaxNuclear,P24=""),"",IF(AND(P24&lt;MaxNuclear,P24+$M$5&lt;MaxNuclear),P24+$M$5,MaxNuclear)),IF(OR(P24&gt;=MaxNuclear,P24=""),"",IF(AND(P24&lt;MaxNuclear,P24+$M$14&lt;MaxNuclear),P24+$M$14,MaxNuclear)))</f>
        <v/>
      </c>
      <c r="Q25" s="161">
        <f>IF(OR('Event Tracker'!$B$20=1,'Event Tracker'!$B$21=1,),IF(OR(Q24&gt;=MaxSolar,Q24=""),"",IF(AND(Q24&lt;MaxSolar,Q24+$M$6&lt;MaxSolar),Q24+$M$6,MaxSolar)),IF(OR(Q24&gt;=MaxSolar,Q24=""),"",IF(AND(Q24&lt;MaxSolar,Q24+$M$15&lt;MaxSolar),Q24+$M$15,MaxSolar)))</f>
        <v>6900</v>
      </c>
      <c r="R25" s="161">
        <f>IF(OR('Event Tracker'!$B$20=1,'Event Tracker'!$B$21=1,),IF(OR(R24&gt;=MaxWind,R24=""),"",IF(AND(R24&lt;MaxWind,R24+$M$7&lt;MaxWind),R24+$M$7,MaxWind)),IF(OR(R24&gt;=MaxWind,R24=""),"",IF(AND(R24&lt;MaxWind,R24+$M$16&lt;MaxWind),R24+$M$16,MaxWind)))</f>
        <v>6900</v>
      </c>
      <c r="S25" s="161" t="str">
        <f>IF(OR('Event Tracker'!$B$20=1,'Event Tracker'!$B$21=1,),IF(OR(S24&gt;=MaxHydro,S24=""),"",IF(AND(S24&lt;MaxHydro,S24+$M$8&lt;MaxHydro),S24+$M$8,MaxHydro)),IF(OR(S24&gt;=MaxHydro,S24=""),"",IF(AND(S24&lt;MaxHydro,S24+$M$17&lt;MaxHydro),S24+$M$17,MaxHydro)))</f>
        <v/>
      </c>
      <c r="T25" s="161">
        <f>IF(OR('Event Tracker'!$B$20=1,'Event Tracker'!$B$21=1,),IF(OR(T24&gt;=MaxEE,T24=""),"",IF(AND(T24&lt;MaxEE,T24+$M$9&lt;MaxEE),T24+$M$9,MaxEE)),IF(OR(T24&gt;=MaxEE,T24=""),"",IF(AND(T24&lt;MaxEE,T24+$M$18&lt;MaxEE),T24+$M$18,MaxEE)))</f>
        <v>6900</v>
      </c>
      <c r="U25" s="161">
        <f>IF(OR('Event Tracker'!$B$20=1,'Event Tracker'!$B$21=1,),IF(OR(U24&gt;=MaxSolarDistributed,U24=""),"",IF(AND(U24&lt;MaxSolarDistributed,U24+$M$10&lt;MaxSolarDistributed),U24+$M$10,MaxSolarDistributed)),IF(OR(U24&gt;=MaxSolarDistributed,U24=""),"",IF(AND(U24&lt;MaxSolarDistributed,U24+$M$19&lt;MaxSolarDistributed),U24+$M$19,MaxSolarDistributed)))</f>
        <v>1150</v>
      </c>
      <c r="W25" s="165">
        <f t="shared" si="0"/>
        <v>1150</v>
      </c>
      <c r="X25" s="165" t="str">
        <f t="shared" si="1"/>
        <v/>
      </c>
      <c r="Y25" s="165" t="str">
        <f t="shared" si="2"/>
        <v/>
      </c>
      <c r="Z25" s="165" t="str">
        <f t="shared" si="3"/>
        <v/>
      </c>
      <c r="AA25" s="165" t="str">
        <f t="shared" si="4"/>
        <v/>
      </c>
      <c r="AB25" s="165" t="str">
        <f t="shared" si="5"/>
        <v/>
      </c>
    </row>
    <row r="26" spans="12:28" x14ac:dyDescent="0.25">
      <c r="L26" s="140" t="s">
        <v>363</v>
      </c>
      <c r="M26" s="142">
        <v>500</v>
      </c>
      <c r="N26" s="161" t="str">
        <f>IF(OR('Event Tracker'!$B$20=1,'Event Tracker'!$B$21=1,),IF(OR(N25&gt;=MaxCoal,N25=""),"",IF(AND(N25&lt;MaxCoal,N25+$M$3&lt;MaxCoal),N25+$M$3,MaxCoal)),IF(OR(N25&gt;=MaxCoal,N25=""),"",IF(AND(N25&lt;MaxCoal,N25+$M$12&lt;MaxCoal),N25+$M$12,MaxCoal)))</f>
        <v/>
      </c>
      <c r="O26" s="161">
        <f>IF(OR('Event Tracker'!$B$20=1,'Event Tracker'!$B$21=1,),IF(OR(O25&gt;=MaxNatGas,O25=""),"",IF(AND(O25&lt;MaxNatGas,O25+$M$4&lt;MaxNatGas),O25+$M$4,MaxNatGas)),IF(OR(O25&gt;=MaxNatGas,O25=""),"",IF(AND(O25&lt;MaxNatGas,O25+$M$13&lt;MaxNatGas),O25+$M$13,MaxNatGas)))</f>
        <v>120000</v>
      </c>
      <c r="P26" s="161" t="str">
        <f>IF(OR('Event Tracker'!$B$20=1,'Event Tracker'!$B$21=1,),IF(OR(P25&gt;=MaxNuclear,P25=""),"",IF(AND(P25&lt;MaxNuclear,P25+$M$5&lt;MaxNuclear),P25+$M$5,MaxNuclear)),IF(OR(P25&gt;=MaxNuclear,P25=""),"",IF(AND(P25&lt;MaxNuclear,P25+$M$14&lt;MaxNuclear),P25+$M$14,MaxNuclear)))</f>
        <v/>
      </c>
      <c r="Q26" s="161">
        <f>IF(OR('Event Tracker'!$B$20=1,'Event Tracker'!$B$21=1,),IF(OR(Q25&gt;=MaxSolar,Q25=""),"",IF(AND(Q25&lt;MaxSolar,Q25+$M$6&lt;MaxSolar),Q25+$M$6,MaxSolar)),IF(OR(Q25&gt;=MaxSolar,Q25=""),"",IF(AND(Q25&lt;MaxSolar,Q25+$M$15&lt;MaxSolar),Q25+$M$15,MaxSolar)))</f>
        <v>7200</v>
      </c>
      <c r="R26" s="161">
        <f>IF(OR('Event Tracker'!$B$20=1,'Event Tracker'!$B$21=1,),IF(OR(R25&gt;=MaxWind,R25=""),"",IF(AND(R25&lt;MaxWind,R25+$M$7&lt;MaxWind),R25+$M$7,MaxWind)),IF(OR(R25&gt;=MaxWind,R25=""),"",IF(AND(R25&lt;MaxWind,R25+$M$16&lt;MaxWind),R25+$M$16,MaxWind)))</f>
        <v>7200</v>
      </c>
      <c r="S26" s="161" t="str">
        <f>IF(OR('Event Tracker'!$B$20=1,'Event Tracker'!$B$21=1,),IF(OR(S25&gt;=MaxHydro,S25=""),"",IF(AND(S25&lt;MaxHydro,S25+$M$8&lt;MaxHydro),S25+$M$8,MaxHydro)),IF(OR(S25&gt;=MaxHydro,S25=""),"",IF(AND(S25&lt;MaxHydro,S25+$M$17&lt;MaxHydro),S25+$M$17,MaxHydro)))</f>
        <v/>
      </c>
      <c r="T26" s="161">
        <f>IF(OR('Event Tracker'!$B$20=1,'Event Tracker'!$B$21=1,),IF(OR(T25&gt;=MaxEE,T25=""),"",IF(AND(T25&lt;MaxEE,T25+$M$9&lt;MaxEE),T25+$M$9,MaxEE)),IF(OR(T25&gt;=MaxEE,T25=""),"",IF(AND(T25&lt;MaxEE,T25+$M$18&lt;MaxEE),T25+$M$18,MaxEE)))</f>
        <v>7200</v>
      </c>
      <c r="U26" s="161">
        <f>IF(OR('Event Tracker'!$B$20=1,'Event Tracker'!$B$21=1,),IF(OR(U25&gt;=MaxSolarDistributed,U25=""),"",IF(AND(U25&lt;MaxSolarDistributed,U25+$M$10&lt;MaxSolarDistributed),U25+$M$10,MaxSolarDistributed)),IF(OR(U25&gt;=MaxSolarDistributed,U25=""),"",IF(AND(U25&lt;MaxSolarDistributed,U25+$M$19&lt;MaxSolarDistributed),U25+$M$19,MaxSolarDistributed)))</f>
        <v>1200</v>
      </c>
      <c r="W26" s="165">
        <f t="shared" si="0"/>
        <v>1200</v>
      </c>
      <c r="X26" s="165" t="str">
        <f t="shared" si="1"/>
        <v/>
      </c>
      <c r="Y26" s="165" t="str">
        <f t="shared" si="2"/>
        <v/>
      </c>
      <c r="Z26" s="165" t="str">
        <f t="shared" si="3"/>
        <v/>
      </c>
      <c r="AA26" s="165" t="str">
        <f t="shared" si="4"/>
        <v/>
      </c>
      <c r="AB26" s="165" t="str">
        <f t="shared" si="5"/>
        <v/>
      </c>
    </row>
    <row r="27" spans="12:28" x14ac:dyDescent="0.25">
      <c r="N27" s="161" t="str">
        <f>IF(OR('Event Tracker'!$B$20=1,'Event Tracker'!$B$21=1,),IF(OR(N26&gt;=MaxCoal,N26=""),"",IF(AND(N26&lt;MaxCoal,N26+$M$3&lt;MaxCoal),N26+$M$3,MaxCoal)),IF(OR(N26&gt;=MaxCoal,N26=""),"",IF(AND(N26&lt;MaxCoal,N26+$M$12&lt;MaxCoal),N26+$M$12,MaxCoal)))</f>
        <v/>
      </c>
      <c r="O27" s="161">
        <f>IF(OR('Event Tracker'!$B$20=1,'Event Tracker'!$B$21=1,),IF(OR(O26&gt;=MaxNatGas,O26=""),"",IF(AND(O26&lt;MaxNatGas,O26+$M$4&lt;MaxNatGas),O26+$M$4,MaxNatGas)),IF(OR(O26&gt;=MaxNatGas,O26=""),"",IF(AND(O26&lt;MaxNatGas,O26+$M$13&lt;MaxNatGas),O26+$M$13,MaxNatGas)))</f>
        <v>125000</v>
      </c>
      <c r="P27" s="161" t="str">
        <f>IF(OR('Event Tracker'!$B$20=1,'Event Tracker'!$B$21=1,),IF(OR(P26&gt;=MaxNuclear,P26=""),"",IF(AND(P26&lt;MaxNuclear,P26+$M$5&lt;MaxNuclear),P26+$M$5,MaxNuclear)),IF(OR(P26&gt;=MaxNuclear,P26=""),"",IF(AND(P26&lt;MaxNuclear,P26+$M$14&lt;MaxNuclear),P26+$M$14,MaxNuclear)))</f>
        <v/>
      </c>
      <c r="Q27" s="161">
        <f>IF(OR('Event Tracker'!$B$20=1,'Event Tracker'!$B$21=1,),IF(OR(Q26&gt;=MaxSolar,Q26=""),"",IF(AND(Q26&lt;MaxSolar,Q26+$M$6&lt;MaxSolar),Q26+$M$6,MaxSolar)),IF(OR(Q26&gt;=MaxSolar,Q26=""),"",IF(AND(Q26&lt;MaxSolar,Q26+$M$15&lt;MaxSolar),Q26+$M$15,MaxSolar)))</f>
        <v>7500</v>
      </c>
      <c r="R27" s="161">
        <f>IF(OR('Event Tracker'!$B$20=1,'Event Tracker'!$B$21=1,),IF(OR(R26&gt;=MaxWind,R26=""),"",IF(AND(R26&lt;MaxWind,R26+$M$7&lt;MaxWind),R26+$M$7,MaxWind)),IF(OR(R26&gt;=MaxWind,R26=""),"",IF(AND(R26&lt;MaxWind,R26+$M$16&lt;MaxWind),R26+$M$16,MaxWind)))</f>
        <v>7500</v>
      </c>
      <c r="S27" s="161" t="str">
        <f>IF(OR('Event Tracker'!$B$20=1,'Event Tracker'!$B$21=1,),IF(OR(S26&gt;=MaxHydro,S26=""),"",IF(AND(S26&lt;MaxHydro,S26+$M$8&lt;MaxHydro),S26+$M$8,MaxHydro)),IF(OR(S26&gt;=MaxHydro,S26=""),"",IF(AND(S26&lt;MaxHydro,S26+$M$17&lt;MaxHydro),S26+$M$17,MaxHydro)))</f>
        <v/>
      </c>
      <c r="T27" s="161">
        <f>IF(OR('Event Tracker'!$B$20=1,'Event Tracker'!$B$21=1,),IF(OR(T26&gt;=MaxEE,T26=""),"",IF(AND(T26&lt;MaxEE,T26+$M$9&lt;MaxEE),T26+$M$9,MaxEE)),IF(OR(T26&gt;=MaxEE,T26=""),"",IF(AND(T26&lt;MaxEE,T26+$M$18&lt;MaxEE),T26+$M$18,MaxEE)))</f>
        <v>7500</v>
      </c>
      <c r="U27" s="161">
        <f>IF(OR('Event Tracker'!$B$20=1,'Event Tracker'!$B$21=1,),IF(OR(U26&gt;=MaxSolarDistributed,U26=""),"",IF(AND(U26&lt;MaxSolarDistributed,U26+$M$10&lt;MaxSolarDistributed),U26+$M$10,MaxSolarDistributed)),IF(OR(U26&gt;=MaxSolarDistributed,U26=""),"",IF(AND(U26&lt;MaxSolarDistributed,U26+$M$19&lt;MaxSolarDistributed),U26+$M$19,MaxSolarDistributed)))</f>
        <v>1250</v>
      </c>
      <c r="W27" s="165" t="str">
        <f t="shared" si="0"/>
        <v/>
      </c>
      <c r="X27" s="165" t="str">
        <f t="shared" si="1"/>
        <v/>
      </c>
      <c r="Y27" s="165" t="str">
        <f t="shared" si="2"/>
        <v/>
      </c>
      <c r="Z27" s="165" t="str">
        <f t="shared" si="3"/>
        <v/>
      </c>
      <c r="AA27" s="165" t="str">
        <f t="shared" si="4"/>
        <v/>
      </c>
      <c r="AB27" s="165" t="str">
        <f t="shared" si="5"/>
        <v/>
      </c>
    </row>
    <row r="28" spans="12:28" x14ac:dyDescent="0.25">
      <c r="N28" s="161" t="str">
        <f>IF(OR('Event Tracker'!$B$20=1,'Event Tracker'!$B$21=1,),IF(OR(N27&gt;=MaxCoal,N27=""),"",IF(AND(N27&lt;MaxCoal,N27+$M$3&lt;MaxCoal),N27+$M$3,MaxCoal)),IF(OR(N27&gt;=MaxCoal,N27=""),"",IF(AND(N27&lt;MaxCoal,N27+$M$12&lt;MaxCoal),N27+$M$12,MaxCoal)))</f>
        <v/>
      </c>
      <c r="O28" s="161">
        <f>IF(OR('Event Tracker'!$B$20=1,'Event Tracker'!$B$21=1,),IF(OR(O27&gt;=MaxNatGas,O27=""),"",IF(AND(O27&lt;MaxNatGas,O27+$M$4&lt;MaxNatGas),O27+$M$4,MaxNatGas)),IF(OR(O27&gt;=MaxNatGas,O27=""),"",IF(AND(O27&lt;MaxNatGas,O27+$M$13&lt;MaxNatGas),O27+$M$13,MaxNatGas)))</f>
        <v>130000</v>
      </c>
      <c r="P28" s="161" t="str">
        <f>IF(OR('Event Tracker'!$B$20=1,'Event Tracker'!$B$21=1,),IF(OR(P27&gt;=MaxNuclear,P27=""),"",IF(AND(P27&lt;MaxNuclear,P27+$M$5&lt;MaxNuclear),P27+$M$5,MaxNuclear)),IF(OR(P27&gt;=MaxNuclear,P27=""),"",IF(AND(P27&lt;MaxNuclear,P27+$M$14&lt;MaxNuclear),P27+$M$14,MaxNuclear)))</f>
        <v/>
      </c>
      <c r="Q28" s="161">
        <f>IF(OR('Event Tracker'!$B$20=1,'Event Tracker'!$B$21=1,),IF(OR(Q27&gt;=MaxSolar,Q27=""),"",IF(AND(Q27&lt;MaxSolar,Q27+$M$6&lt;MaxSolar),Q27+$M$6,MaxSolar)),IF(OR(Q27&gt;=MaxSolar,Q27=""),"",IF(AND(Q27&lt;MaxSolar,Q27+$M$15&lt;MaxSolar),Q27+$M$15,MaxSolar)))</f>
        <v>7800</v>
      </c>
      <c r="R28" s="161">
        <f>IF(OR('Event Tracker'!$B$20=1,'Event Tracker'!$B$21=1,),IF(OR(R27&gt;=MaxWind,R27=""),"",IF(AND(R27&lt;MaxWind,R27+$M$7&lt;MaxWind),R27+$M$7,MaxWind)),IF(OR(R27&gt;=MaxWind,R27=""),"",IF(AND(R27&lt;MaxWind,R27+$M$16&lt;MaxWind),R27+$M$16,MaxWind)))</f>
        <v>7800</v>
      </c>
      <c r="S28" s="161" t="str">
        <f>IF(OR('Event Tracker'!$B$20=1,'Event Tracker'!$B$21=1,),IF(OR(S27&gt;=MaxHydro,S27=""),"",IF(AND(S27&lt;MaxHydro,S27+$M$8&lt;MaxHydro),S27+$M$8,MaxHydro)),IF(OR(S27&gt;=MaxHydro,S27=""),"",IF(AND(S27&lt;MaxHydro,S27+$M$17&lt;MaxHydro),S27+$M$17,MaxHydro)))</f>
        <v/>
      </c>
      <c r="T28" s="161">
        <f>IF(OR('Event Tracker'!$B$20=1,'Event Tracker'!$B$21=1,),IF(OR(T27&gt;=MaxEE,T27=""),"",IF(AND(T27&lt;MaxEE,T27+$M$9&lt;MaxEE),T27+$M$9,MaxEE)),IF(OR(T27&gt;=MaxEE,T27=""),"",IF(AND(T27&lt;MaxEE,T27+$M$18&lt;MaxEE),T27+$M$18,MaxEE)))</f>
        <v>7800</v>
      </c>
      <c r="U28" s="161">
        <f>IF(OR('Event Tracker'!$B$20=1,'Event Tracker'!$B$21=1,),IF(OR(U27&gt;=MaxSolarDistributed,U27=""),"",IF(AND(U27&lt;MaxSolarDistributed,U27+$M$10&lt;MaxSolarDistributed),U27+$M$10,MaxSolarDistributed)),IF(OR(U27&gt;=MaxSolarDistributed,U27=""),"",IF(AND(U27&lt;MaxSolarDistributed,U27+$M$19&lt;MaxSolarDistributed),U27+$M$19,MaxSolarDistributed)))</f>
        <v>1300</v>
      </c>
      <c r="W28" s="165" t="str">
        <f t="shared" si="0"/>
        <v/>
      </c>
      <c r="X28" s="165" t="str">
        <f t="shared" si="1"/>
        <v/>
      </c>
      <c r="Y28" s="165" t="str">
        <f t="shared" si="2"/>
        <v/>
      </c>
      <c r="Z28" s="165" t="str">
        <f t="shared" si="3"/>
        <v/>
      </c>
      <c r="AA28" s="165" t="str">
        <f t="shared" si="4"/>
        <v/>
      </c>
      <c r="AB28" s="165" t="str">
        <f t="shared" si="5"/>
        <v/>
      </c>
    </row>
    <row r="29" spans="12:28" x14ac:dyDescent="0.25">
      <c r="N29" s="161" t="str">
        <f>IF(OR('Event Tracker'!$B$20=1,'Event Tracker'!$B$21=1,),IF(OR(N28&gt;=MaxCoal,N28=""),"",IF(AND(N28&lt;MaxCoal,N28+$M$3&lt;MaxCoal),N28+$M$3,MaxCoal)),IF(OR(N28&gt;=MaxCoal,N28=""),"",IF(AND(N28&lt;MaxCoal,N28+$M$12&lt;MaxCoal),N28+$M$12,MaxCoal)))</f>
        <v/>
      </c>
      <c r="O29" s="161">
        <f>IF(OR('Event Tracker'!$B$20=1,'Event Tracker'!$B$21=1,),IF(OR(O28&gt;=MaxNatGas,O28=""),"",IF(AND(O28&lt;MaxNatGas,O28+$M$4&lt;MaxNatGas),O28+$M$4,MaxNatGas)),IF(OR(O28&gt;=MaxNatGas,O28=""),"",IF(AND(O28&lt;MaxNatGas,O28+$M$13&lt;MaxNatGas),O28+$M$13,MaxNatGas)))</f>
        <v>135000</v>
      </c>
      <c r="P29" s="161" t="str">
        <f>IF(OR('Event Tracker'!$B$20=1,'Event Tracker'!$B$21=1,),IF(OR(P28&gt;=MaxNuclear,P28=""),"",IF(AND(P28&lt;MaxNuclear,P28+$M$5&lt;MaxNuclear),P28+$M$5,MaxNuclear)),IF(OR(P28&gt;=MaxNuclear,P28=""),"",IF(AND(P28&lt;MaxNuclear,P28+$M$14&lt;MaxNuclear),P28+$M$14,MaxNuclear)))</f>
        <v/>
      </c>
      <c r="Q29" s="161">
        <f>IF(OR('Event Tracker'!$B$20=1,'Event Tracker'!$B$21=1,),IF(OR(Q28&gt;=MaxSolar,Q28=""),"",IF(AND(Q28&lt;MaxSolar,Q28+$M$6&lt;MaxSolar),Q28+$M$6,MaxSolar)),IF(OR(Q28&gt;=MaxSolar,Q28=""),"",IF(AND(Q28&lt;MaxSolar,Q28+$M$15&lt;MaxSolar),Q28+$M$15,MaxSolar)))</f>
        <v>8100</v>
      </c>
      <c r="R29" s="161">
        <f>IF(OR('Event Tracker'!$B$20=1,'Event Tracker'!$B$21=1,),IF(OR(R28&gt;=MaxWind,R28=""),"",IF(AND(R28&lt;MaxWind,R28+$M$7&lt;MaxWind),R28+$M$7,MaxWind)),IF(OR(R28&gt;=MaxWind,R28=""),"",IF(AND(R28&lt;MaxWind,R28+$M$16&lt;MaxWind),R28+$M$16,MaxWind)))</f>
        <v>8100</v>
      </c>
      <c r="S29" s="161" t="str">
        <f>IF(OR('Event Tracker'!$B$20=1,'Event Tracker'!$B$21=1,),IF(OR(S28&gt;=MaxHydro,S28=""),"",IF(AND(S28&lt;MaxHydro,S28+$M$8&lt;MaxHydro),S28+$M$8,MaxHydro)),IF(OR(S28&gt;=MaxHydro,S28=""),"",IF(AND(S28&lt;MaxHydro,S28+$M$17&lt;MaxHydro),S28+$M$17,MaxHydro)))</f>
        <v/>
      </c>
      <c r="T29" s="161">
        <f>IF(OR('Event Tracker'!$B$20=1,'Event Tracker'!$B$21=1,),IF(OR(T28&gt;=MaxEE,T28=""),"",IF(AND(T28&lt;MaxEE,T28+$M$9&lt;MaxEE),T28+$M$9,MaxEE)),IF(OR(T28&gt;=MaxEE,T28=""),"",IF(AND(T28&lt;MaxEE,T28+$M$18&lt;MaxEE),T28+$M$18,MaxEE)))</f>
        <v>8100</v>
      </c>
      <c r="U29" s="161">
        <f>IF(OR('Event Tracker'!$B$20=1,'Event Tracker'!$B$21=1,),IF(OR(U28&gt;=MaxSolarDistributed,U28=""),"",IF(AND(U28&lt;MaxSolarDistributed,U28+$M$10&lt;MaxSolarDistributed),U28+$M$10,MaxSolarDistributed)),IF(OR(U28&gt;=MaxSolarDistributed,U28=""),"",IF(AND(U28&lt;MaxSolarDistributed,U28+$M$19&lt;MaxSolarDistributed),U28+$M$19,MaxSolarDistributed)))</f>
        <v>1350</v>
      </c>
      <c r="W29" s="165" t="str">
        <f t="shared" si="0"/>
        <v/>
      </c>
      <c r="X29" s="165" t="str">
        <f t="shared" si="1"/>
        <v/>
      </c>
      <c r="Y29" s="165" t="str">
        <f t="shared" si="2"/>
        <v/>
      </c>
      <c r="Z29" s="165" t="str">
        <f t="shared" si="3"/>
        <v/>
      </c>
      <c r="AA29" s="165" t="str">
        <f t="shared" si="4"/>
        <v/>
      </c>
      <c r="AB29" s="165" t="str">
        <f t="shared" si="5"/>
        <v/>
      </c>
    </row>
    <row r="30" spans="12:28" x14ac:dyDescent="0.25">
      <c r="N30" s="161" t="str">
        <f>IF(OR('Event Tracker'!$B$20=1,'Event Tracker'!$B$21=1,),IF(OR(N29&gt;=MaxCoal,N29=""),"",IF(AND(N29&lt;MaxCoal,N29+$M$3&lt;MaxCoal),N29+$M$3,MaxCoal)),IF(OR(N29&gt;=MaxCoal,N29=""),"",IF(AND(N29&lt;MaxCoal,N29+$M$12&lt;MaxCoal),N29+$M$12,MaxCoal)))</f>
        <v/>
      </c>
      <c r="O30" s="161">
        <f>IF(OR('Event Tracker'!$B$20=1,'Event Tracker'!$B$21=1,),IF(OR(O29&gt;=MaxNatGas,O29=""),"",IF(AND(O29&lt;MaxNatGas,O29+$M$4&lt;MaxNatGas),O29+$M$4,MaxNatGas)),IF(OR(O29&gt;=MaxNatGas,O29=""),"",IF(AND(O29&lt;MaxNatGas,O29+$M$13&lt;MaxNatGas),O29+$M$13,MaxNatGas)))</f>
        <v>140000</v>
      </c>
      <c r="P30" s="161" t="str">
        <f>IF(OR('Event Tracker'!$B$20=1,'Event Tracker'!$B$21=1,),IF(OR(P29&gt;=MaxNuclear,P29=""),"",IF(AND(P29&lt;MaxNuclear,P29+$M$5&lt;MaxNuclear),P29+$M$5,MaxNuclear)),IF(OR(P29&gt;=MaxNuclear,P29=""),"",IF(AND(P29&lt;MaxNuclear,P29+$M$14&lt;MaxNuclear),P29+$M$14,MaxNuclear)))</f>
        <v/>
      </c>
      <c r="Q30" s="161">
        <f>IF(OR('Event Tracker'!$B$20=1,'Event Tracker'!$B$21=1,),IF(OR(Q29&gt;=MaxSolar,Q29=""),"",IF(AND(Q29&lt;MaxSolar,Q29+$M$6&lt;MaxSolar),Q29+$M$6,MaxSolar)),IF(OR(Q29&gt;=MaxSolar,Q29=""),"",IF(AND(Q29&lt;MaxSolar,Q29+$M$15&lt;MaxSolar),Q29+$M$15,MaxSolar)))</f>
        <v>8400</v>
      </c>
      <c r="R30" s="161">
        <f>IF(OR('Event Tracker'!$B$20=1,'Event Tracker'!$B$21=1,),IF(OR(R29&gt;=MaxWind,R29=""),"",IF(AND(R29&lt;MaxWind,R29+$M$7&lt;MaxWind),R29+$M$7,MaxWind)),IF(OR(R29&gt;=MaxWind,R29=""),"",IF(AND(R29&lt;MaxWind,R29+$M$16&lt;MaxWind),R29+$M$16,MaxWind)))</f>
        <v>8400</v>
      </c>
      <c r="S30" s="161" t="str">
        <f>IF(OR('Event Tracker'!$B$20=1,'Event Tracker'!$B$21=1,),IF(OR(S29&gt;=MaxHydro,S29=""),"",IF(AND(S29&lt;MaxHydro,S29+$M$8&lt;MaxHydro),S29+$M$8,MaxHydro)),IF(OR(S29&gt;=MaxHydro,S29=""),"",IF(AND(S29&lt;MaxHydro,S29+$M$17&lt;MaxHydro),S29+$M$17,MaxHydro)))</f>
        <v/>
      </c>
      <c r="T30" s="161">
        <f>IF(OR('Event Tracker'!$B$20=1,'Event Tracker'!$B$21=1,),IF(OR(T29&gt;=MaxEE,T29=""),"",IF(AND(T29&lt;MaxEE,T29+$M$9&lt;MaxEE),T29+$M$9,MaxEE)),IF(OR(T29&gt;=MaxEE,T29=""),"",IF(AND(T29&lt;MaxEE,T29+$M$18&lt;MaxEE),T29+$M$18,MaxEE)))</f>
        <v>8400</v>
      </c>
      <c r="U30" s="161">
        <f>IF(OR('Event Tracker'!$B$20=1,'Event Tracker'!$B$21=1,),IF(OR(U29&gt;=MaxSolarDistributed,U29=""),"",IF(AND(U29&lt;MaxSolarDistributed,U29+$M$10&lt;MaxSolarDistributed),U29+$M$10,MaxSolarDistributed)),IF(OR(U29&gt;=MaxSolarDistributed,U29=""),"",IF(AND(U29&lt;MaxSolarDistributed,U29+$M$19&lt;MaxSolarDistributed),U29+$M$19,MaxSolarDistributed)))</f>
        <v>1400</v>
      </c>
      <c r="W30" s="165" t="str">
        <f t="shared" si="0"/>
        <v/>
      </c>
      <c r="X30" s="165" t="str">
        <f t="shared" si="1"/>
        <v/>
      </c>
      <c r="Y30" s="165" t="str">
        <f t="shared" si="2"/>
        <v/>
      </c>
      <c r="Z30" s="165" t="str">
        <f t="shared" si="3"/>
        <v/>
      </c>
      <c r="AA30" s="165" t="str">
        <f t="shared" si="4"/>
        <v/>
      </c>
      <c r="AB30" s="165" t="str">
        <f t="shared" si="5"/>
        <v/>
      </c>
    </row>
    <row r="31" spans="12:28" x14ac:dyDescent="0.25">
      <c r="N31" s="161" t="str">
        <f>IF(OR('Event Tracker'!$B$20=1,'Event Tracker'!$B$21=1,),IF(OR(N30&gt;=MaxCoal,N30=""),"",IF(AND(N30&lt;MaxCoal,N30+$M$3&lt;MaxCoal),N30+$M$3,MaxCoal)),IF(OR(N30&gt;=MaxCoal,N30=""),"",IF(AND(N30&lt;MaxCoal,N30+$M$12&lt;MaxCoal),N30+$M$12,MaxCoal)))</f>
        <v/>
      </c>
      <c r="O31" s="161">
        <f>IF(OR('Event Tracker'!$B$20=1,'Event Tracker'!$B$21=1,),IF(OR(O30&gt;=MaxNatGas,O30=""),"",IF(AND(O30&lt;MaxNatGas,O30+$M$4&lt;MaxNatGas),O30+$M$4,MaxNatGas)),IF(OR(O30&gt;=MaxNatGas,O30=""),"",IF(AND(O30&lt;MaxNatGas,O30+$M$13&lt;MaxNatGas),O30+$M$13,MaxNatGas)))</f>
        <v>145000</v>
      </c>
      <c r="P31" s="161" t="str">
        <f>IF(OR('Event Tracker'!$B$20=1,'Event Tracker'!$B$21=1,),IF(OR(P30&gt;=MaxNuclear,P30=""),"",IF(AND(P30&lt;MaxNuclear,P30+$M$5&lt;MaxNuclear),P30+$M$5,MaxNuclear)),IF(OR(P30&gt;=MaxNuclear,P30=""),"",IF(AND(P30&lt;MaxNuclear,P30+$M$14&lt;MaxNuclear),P30+$M$14,MaxNuclear)))</f>
        <v/>
      </c>
      <c r="Q31" s="161">
        <f>IF(OR('Event Tracker'!$B$20=1,'Event Tracker'!$B$21=1,),IF(OR(Q30&gt;=MaxSolar,Q30=""),"",IF(AND(Q30&lt;MaxSolar,Q30+$M$6&lt;MaxSolar),Q30+$M$6,MaxSolar)),IF(OR(Q30&gt;=MaxSolar,Q30=""),"",IF(AND(Q30&lt;MaxSolar,Q30+$M$15&lt;MaxSolar),Q30+$M$15,MaxSolar)))</f>
        <v>8700</v>
      </c>
      <c r="R31" s="161">
        <f>IF(OR('Event Tracker'!$B$20=1,'Event Tracker'!$B$21=1,),IF(OR(R30&gt;=MaxWind,R30=""),"",IF(AND(R30&lt;MaxWind,R30+$M$7&lt;MaxWind),R30+$M$7,MaxWind)),IF(OR(R30&gt;=MaxWind,R30=""),"",IF(AND(R30&lt;MaxWind,R30+$M$16&lt;MaxWind),R30+$M$16,MaxWind)))</f>
        <v>8700</v>
      </c>
      <c r="S31" s="161" t="str">
        <f>IF(OR('Event Tracker'!$B$20=1,'Event Tracker'!$B$21=1,),IF(OR(S30&gt;=MaxHydro,S30=""),"",IF(AND(S30&lt;MaxHydro,S30+$M$8&lt;MaxHydro),S30+$M$8,MaxHydro)),IF(OR(S30&gt;=MaxHydro,S30=""),"",IF(AND(S30&lt;MaxHydro,S30+$M$17&lt;MaxHydro),S30+$M$17,MaxHydro)))</f>
        <v/>
      </c>
      <c r="T31" s="161">
        <f>IF(OR('Event Tracker'!$B$20=1,'Event Tracker'!$B$21=1,),IF(OR(T30&gt;=MaxEE,T30=""),"",IF(AND(T30&lt;MaxEE,T30+$M$9&lt;MaxEE),T30+$M$9,MaxEE)),IF(OR(T30&gt;=MaxEE,T30=""),"",IF(AND(T30&lt;MaxEE,T30+$M$18&lt;MaxEE),T30+$M$18,MaxEE)))</f>
        <v>8700</v>
      </c>
      <c r="U31" s="161">
        <f>IF(OR('Event Tracker'!$B$20=1,'Event Tracker'!$B$21=1,),IF(OR(U30&gt;=MaxSolarDistributed,U30=""),"",IF(AND(U30&lt;MaxSolarDistributed,U30+$M$10&lt;MaxSolarDistributed),U30+$M$10,MaxSolarDistributed)),IF(OR(U30&gt;=MaxSolarDistributed,U30=""),"",IF(AND(U30&lt;MaxSolarDistributed,U30+$M$19&lt;MaxSolarDistributed),U30+$M$19,MaxSolarDistributed)))</f>
        <v>1450</v>
      </c>
      <c r="W31" s="165" t="str">
        <f t="shared" si="0"/>
        <v/>
      </c>
      <c r="X31" s="165" t="str">
        <f t="shared" si="1"/>
        <v/>
      </c>
      <c r="Y31" s="165" t="str">
        <f t="shared" si="2"/>
        <v/>
      </c>
      <c r="Z31" s="165" t="str">
        <f t="shared" si="3"/>
        <v/>
      </c>
      <c r="AA31" s="165" t="str">
        <f t="shared" si="4"/>
        <v/>
      </c>
      <c r="AB31" s="165" t="str">
        <f t="shared" si="5"/>
        <v/>
      </c>
    </row>
    <row r="32" spans="12:28" x14ac:dyDescent="0.25">
      <c r="N32" s="161" t="str">
        <f>IF(OR('Event Tracker'!$B$20=1,'Event Tracker'!$B$21=1,),IF(OR(N31&gt;=MaxCoal,N31=""),"",IF(AND(N31&lt;MaxCoal,N31+$M$3&lt;MaxCoal),N31+$M$3,MaxCoal)),IF(OR(N31&gt;=MaxCoal,N31=""),"",IF(AND(N31&lt;MaxCoal,N31+$M$12&lt;MaxCoal),N31+$M$12,MaxCoal)))</f>
        <v/>
      </c>
      <c r="O32" s="161">
        <f>IF(OR('Event Tracker'!$B$20=1,'Event Tracker'!$B$21=1,),IF(OR(O31&gt;=MaxNatGas,O31=""),"",IF(AND(O31&lt;MaxNatGas,O31+$M$4&lt;MaxNatGas),O31+$M$4,MaxNatGas)),IF(OR(O31&gt;=MaxNatGas,O31=""),"",IF(AND(O31&lt;MaxNatGas,O31+$M$13&lt;MaxNatGas),O31+$M$13,MaxNatGas)))</f>
        <v>150000</v>
      </c>
      <c r="P32" s="161" t="str">
        <f>IF(OR('Event Tracker'!$B$20=1,'Event Tracker'!$B$21=1,),IF(OR(P31&gt;=MaxNuclear,P31=""),"",IF(AND(P31&lt;MaxNuclear,P31+$M$5&lt;MaxNuclear),P31+$M$5,MaxNuclear)),IF(OR(P31&gt;=MaxNuclear,P31=""),"",IF(AND(P31&lt;MaxNuclear,P31+$M$14&lt;MaxNuclear),P31+$M$14,MaxNuclear)))</f>
        <v/>
      </c>
      <c r="Q32" s="161">
        <f>IF(OR('Event Tracker'!$B$20=1,'Event Tracker'!$B$21=1,),IF(OR(Q31&gt;=MaxSolar,Q31=""),"",IF(AND(Q31&lt;MaxSolar,Q31+$M$6&lt;MaxSolar),Q31+$M$6,MaxSolar)),IF(OR(Q31&gt;=MaxSolar,Q31=""),"",IF(AND(Q31&lt;MaxSolar,Q31+$M$15&lt;MaxSolar),Q31+$M$15,MaxSolar)))</f>
        <v>9000</v>
      </c>
      <c r="R32" s="161">
        <f>IF(OR('Event Tracker'!$B$20=1,'Event Tracker'!$B$21=1,),IF(OR(R31&gt;=MaxWind,R31=""),"",IF(AND(R31&lt;MaxWind,R31+$M$7&lt;MaxWind),R31+$M$7,MaxWind)),IF(OR(R31&gt;=MaxWind,R31=""),"",IF(AND(R31&lt;MaxWind,R31+$M$16&lt;MaxWind),R31+$M$16,MaxWind)))</f>
        <v>9000</v>
      </c>
      <c r="S32" s="161" t="str">
        <f>IF(OR('Event Tracker'!$B$20=1,'Event Tracker'!$B$21=1,),IF(OR(S31&gt;=MaxHydro,S31=""),"",IF(AND(S31&lt;MaxHydro,S31+$M$8&lt;MaxHydro),S31+$M$8,MaxHydro)),IF(OR(S31&gt;=MaxHydro,S31=""),"",IF(AND(S31&lt;MaxHydro,S31+$M$17&lt;MaxHydro),S31+$M$17,MaxHydro)))</f>
        <v/>
      </c>
      <c r="T32" s="161">
        <f>IF(OR('Event Tracker'!$B$20=1,'Event Tracker'!$B$21=1,),IF(OR(T31&gt;=MaxEE,T31=""),"",IF(AND(T31&lt;MaxEE,T31+$M$9&lt;MaxEE),T31+$M$9,MaxEE)),IF(OR(T31&gt;=MaxEE,T31=""),"",IF(AND(T31&lt;MaxEE,T31+$M$18&lt;MaxEE),T31+$M$18,MaxEE)))</f>
        <v>9000</v>
      </c>
      <c r="U32" s="161">
        <f>IF(OR('Event Tracker'!$B$20=1,'Event Tracker'!$B$21=1,),IF(OR(U31&gt;=MaxSolarDistributed,U31=""),"",IF(AND(U31&lt;MaxSolarDistributed,U31+$M$10&lt;MaxSolarDistributed),U31+$M$10,MaxSolarDistributed)),IF(OR(U31&gt;=MaxSolarDistributed,U31=""),"",IF(AND(U31&lt;MaxSolarDistributed,U31+$M$19&lt;MaxSolarDistributed),U31+$M$19,MaxSolarDistributed)))</f>
        <v>1500</v>
      </c>
      <c r="W32" s="165" t="str">
        <f t="shared" si="0"/>
        <v/>
      </c>
      <c r="X32" s="165" t="str">
        <f t="shared" si="1"/>
        <v/>
      </c>
      <c r="Y32" s="165" t="str">
        <f t="shared" si="2"/>
        <v/>
      </c>
      <c r="Z32" s="165" t="str">
        <f t="shared" si="3"/>
        <v/>
      </c>
      <c r="AA32" s="165" t="str">
        <f t="shared" si="4"/>
        <v/>
      </c>
      <c r="AB32" s="165" t="str">
        <f t="shared" si="5"/>
        <v/>
      </c>
    </row>
    <row r="33" spans="14:28" x14ac:dyDescent="0.25">
      <c r="N33" s="161" t="str">
        <f>IF(OR('Event Tracker'!$B$20=1,'Event Tracker'!$B$21=1,),IF(OR(N32&gt;=MaxCoal,N32=""),"",IF(AND(N32&lt;MaxCoal,N32+$M$3&lt;MaxCoal),N32+$M$3,MaxCoal)),IF(OR(N32&gt;=MaxCoal,N32=""),"",IF(AND(N32&lt;MaxCoal,N32+$M$12&lt;MaxCoal),N32+$M$12,MaxCoal)))</f>
        <v/>
      </c>
      <c r="O33" s="161">
        <f>IF(OR('Event Tracker'!$B$20=1,'Event Tracker'!$B$21=1,),IF(OR(O32&gt;=MaxNatGas,O32=""),"",IF(AND(O32&lt;MaxNatGas,O32+$M$4&lt;MaxNatGas),O32+$M$4,MaxNatGas)),IF(OR(O32&gt;=MaxNatGas,O32=""),"",IF(AND(O32&lt;MaxNatGas,O32+$M$13&lt;MaxNatGas),O32+$M$13,MaxNatGas)))</f>
        <v>155000</v>
      </c>
      <c r="P33" s="161" t="str">
        <f>IF(OR('Event Tracker'!$B$20=1,'Event Tracker'!$B$21=1,),IF(OR(P32&gt;=MaxNuclear,P32=""),"",IF(AND(P32&lt;MaxNuclear,P32+$M$5&lt;MaxNuclear),P32+$M$5,MaxNuclear)),IF(OR(P32&gt;=MaxNuclear,P32=""),"",IF(AND(P32&lt;MaxNuclear,P32+$M$14&lt;MaxNuclear),P32+$M$14,MaxNuclear)))</f>
        <v/>
      </c>
      <c r="Q33" s="161">
        <f>IF(OR('Event Tracker'!$B$20=1,'Event Tracker'!$B$21=1,),IF(OR(Q32&gt;=MaxSolar,Q32=""),"",IF(AND(Q32&lt;MaxSolar,Q32+$M$6&lt;MaxSolar),Q32+$M$6,MaxSolar)),IF(OR(Q32&gt;=MaxSolar,Q32=""),"",IF(AND(Q32&lt;MaxSolar,Q32+$M$15&lt;MaxSolar),Q32+$M$15,MaxSolar)))</f>
        <v>9300</v>
      </c>
      <c r="R33" s="161">
        <f>IF(OR('Event Tracker'!$B$20=1,'Event Tracker'!$B$21=1,),IF(OR(R32&gt;=MaxWind,R32=""),"",IF(AND(R32&lt;MaxWind,R32+$M$7&lt;MaxWind),R32+$M$7,MaxWind)),IF(OR(R32&gt;=MaxWind,R32=""),"",IF(AND(R32&lt;MaxWind,R32+$M$16&lt;MaxWind),R32+$M$16,MaxWind)))</f>
        <v>9300</v>
      </c>
      <c r="S33" s="161" t="str">
        <f>IF(OR('Event Tracker'!$B$20=1,'Event Tracker'!$B$21=1,),IF(OR(S32&gt;=MaxHydro,S32=""),"",IF(AND(S32&lt;MaxHydro,S32+$M$8&lt;MaxHydro),S32+$M$8,MaxHydro)),IF(OR(S32&gt;=MaxHydro,S32=""),"",IF(AND(S32&lt;MaxHydro,S32+$M$17&lt;MaxHydro),S32+$M$17,MaxHydro)))</f>
        <v/>
      </c>
      <c r="T33" s="161">
        <f>IF(OR('Event Tracker'!$B$20=1,'Event Tracker'!$B$21=1,),IF(OR(T32&gt;=MaxEE,T32=""),"",IF(AND(T32&lt;MaxEE,T32+$M$9&lt;MaxEE),T32+$M$9,MaxEE)),IF(OR(T32&gt;=MaxEE,T32=""),"",IF(AND(T32&lt;MaxEE,T32+$M$18&lt;MaxEE),T32+$M$18,MaxEE)))</f>
        <v>9300</v>
      </c>
      <c r="U33" s="161">
        <f>IF(OR('Event Tracker'!$B$20=1,'Event Tracker'!$B$21=1,),IF(OR(U32&gt;=MaxSolarDistributed,U32=""),"",IF(AND(U32&lt;MaxSolarDistributed,U32+$M$10&lt;MaxSolarDistributed),U32+$M$10,MaxSolarDistributed)),IF(OR(U32&gt;=MaxSolarDistributed,U32=""),"",IF(AND(U32&lt;MaxSolarDistributed,U32+$M$19&lt;MaxSolarDistributed),U32+$M$19,MaxSolarDistributed)))</f>
        <v>1550</v>
      </c>
      <c r="W33" s="165" t="str">
        <f t="shared" si="0"/>
        <v/>
      </c>
      <c r="X33" s="165" t="str">
        <f t="shared" si="1"/>
        <v/>
      </c>
      <c r="Y33" s="165" t="str">
        <f t="shared" si="2"/>
        <v/>
      </c>
      <c r="Z33" s="165" t="str">
        <f t="shared" si="3"/>
        <v/>
      </c>
      <c r="AA33" s="165" t="str">
        <f t="shared" si="4"/>
        <v/>
      </c>
      <c r="AB33" s="165" t="str">
        <f t="shared" si="5"/>
        <v/>
      </c>
    </row>
    <row r="34" spans="14:28" x14ac:dyDescent="0.25">
      <c r="N34" s="161" t="str">
        <f>IF(OR('Event Tracker'!$B$20=1,'Event Tracker'!$B$21=1,),IF(OR(N33&gt;=MaxCoal,N33=""),"",IF(AND(N33&lt;MaxCoal,N33+$M$3&lt;MaxCoal),N33+$M$3,MaxCoal)),IF(OR(N33&gt;=MaxCoal,N33=""),"",IF(AND(N33&lt;MaxCoal,N33+$M$12&lt;MaxCoal),N33+$M$12,MaxCoal)))</f>
        <v/>
      </c>
      <c r="O34" s="161">
        <f>IF(OR('Event Tracker'!$B$20=1,'Event Tracker'!$B$21=1,),IF(OR(O33&gt;=MaxNatGas,O33=""),"",IF(AND(O33&lt;MaxNatGas,O33+$M$4&lt;MaxNatGas),O33+$M$4,MaxNatGas)),IF(OR(O33&gt;=MaxNatGas,O33=""),"",IF(AND(O33&lt;MaxNatGas,O33+$M$13&lt;MaxNatGas),O33+$M$13,MaxNatGas)))</f>
        <v>160000</v>
      </c>
      <c r="P34" s="161" t="str">
        <f>IF(OR('Event Tracker'!$B$20=1,'Event Tracker'!$B$21=1,),IF(OR(P33&gt;=MaxNuclear,P33=""),"",IF(AND(P33&lt;MaxNuclear,P33+$M$5&lt;MaxNuclear),P33+$M$5,MaxNuclear)),IF(OR(P33&gt;=MaxNuclear,P33=""),"",IF(AND(P33&lt;MaxNuclear,P33+$M$14&lt;MaxNuclear),P33+$M$14,MaxNuclear)))</f>
        <v/>
      </c>
      <c r="Q34" s="161">
        <f>IF(OR('Event Tracker'!$B$20=1,'Event Tracker'!$B$21=1,),IF(OR(Q33&gt;=MaxSolar,Q33=""),"",IF(AND(Q33&lt;MaxSolar,Q33+$M$6&lt;MaxSolar),Q33+$M$6,MaxSolar)),IF(OR(Q33&gt;=MaxSolar,Q33=""),"",IF(AND(Q33&lt;MaxSolar,Q33+$M$15&lt;MaxSolar),Q33+$M$15,MaxSolar)))</f>
        <v>9600</v>
      </c>
      <c r="R34" s="161">
        <f>IF(OR('Event Tracker'!$B$20=1,'Event Tracker'!$B$21=1,),IF(OR(R33&gt;=MaxWind,R33=""),"",IF(AND(R33&lt;MaxWind,R33+$M$7&lt;MaxWind),R33+$M$7,MaxWind)),IF(OR(R33&gt;=MaxWind,R33=""),"",IF(AND(R33&lt;MaxWind,R33+$M$16&lt;MaxWind),R33+$M$16,MaxWind)))</f>
        <v>9600</v>
      </c>
      <c r="S34" s="161" t="str">
        <f>IF(OR('Event Tracker'!$B$20=1,'Event Tracker'!$B$21=1,),IF(OR(S33&gt;=MaxHydro,S33=""),"",IF(AND(S33&lt;MaxHydro,S33+$M$8&lt;MaxHydro),S33+$M$8,MaxHydro)),IF(OR(S33&gt;=MaxHydro,S33=""),"",IF(AND(S33&lt;MaxHydro,S33+$M$17&lt;MaxHydro),S33+$M$17,MaxHydro)))</f>
        <v/>
      </c>
      <c r="T34" s="161">
        <f>IF(OR('Event Tracker'!$B$20=1,'Event Tracker'!$B$21=1,),IF(OR(T33&gt;=MaxEE,T33=""),"",IF(AND(T33&lt;MaxEE,T33+$M$9&lt;MaxEE),T33+$M$9,MaxEE)),IF(OR(T33&gt;=MaxEE,T33=""),"",IF(AND(T33&lt;MaxEE,T33+$M$18&lt;MaxEE),T33+$M$18,MaxEE)))</f>
        <v>9600</v>
      </c>
      <c r="U34" s="161">
        <f>IF(OR('Event Tracker'!$B$20=1,'Event Tracker'!$B$21=1,),IF(OR(U33&gt;=MaxSolarDistributed,U33=""),"",IF(AND(U33&lt;MaxSolarDistributed,U33+$M$10&lt;MaxSolarDistributed),U33+$M$10,MaxSolarDistributed)),IF(OR(U33&gt;=MaxSolarDistributed,U33=""),"",IF(AND(U33&lt;MaxSolarDistributed,U33+$M$19&lt;MaxSolarDistributed),U33+$M$19,MaxSolarDistributed)))</f>
        <v>1600</v>
      </c>
      <c r="W34" s="165" t="str">
        <f t="shared" si="0"/>
        <v/>
      </c>
      <c r="X34" s="165" t="str">
        <f t="shared" si="1"/>
        <v/>
      </c>
      <c r="Y34" s="165" t="str">
        <f t="shared" si="2"/>
        <v/>
      </c>
      <c r="Z34" s="165" t="str">
        <f t="shared" si="3"/>
        <v/>
      </c>
      <c r="AA34" s="165" t="str">
        <f t="shared" si="4"/>
        <v/>
      </c>
      <c r="AB34" s="165" t="str">
        <f t="shared" si="5"/>
        <v/>
      </c>
    </row>
    <row r="35" spans="14:28" x14ac:dyDescent="0.25">
      <c r="N35" s="161" t="str">
        <f>IF(OR('Event Tracker'!$B$20=1,'Event Tracker'!$B$21=1,),IF(OR(N34&gt;=MaxCoal,N34=""),"",IF(AND(N34&lt;MaxCoal,N34+$M$3&lt;MaxCoal),N34+$M$3,MaxCoal)),IF(OR(N34&gt;=MaxCoal,N34=""),"",IF(AND(N34&lt;MaxCoal,N34+$M$12&lt;MaxCoal),N34+$M$12,MaxCoal)))</f>
        <v/>
      </c>
      <c r="O35" s="161">
        <f>IF(OR('Event Tracker'!$B$20=1,'Event Tracker'!$B$21=1,),IF(OR(O34&gt;=MaxNatGas,O34=""),"",IF(AND(O34&lt;MaxNatGas,O34+$M$4&lt;MaxNatGas),O34+$M$4,MaxNatGas)),IF(OR(O34&gt;=MaxNatGas,O34=""),"",IF(AND(O34&lt;MaxNatGas,O34+$M$13&lt;MaxNatGas),O34+$M$13,MaxNatGas)))</f>
        <v>165000</v>
      </c>
      <c r="P35" s="161" t="str">
        <f>IF(OR('Event Tracker'!$B$20=1,'Event Tracker'!$B$21=1,),IF(OR(P34&gt;=MaxNuclear,P34=""),"",IF(AND(P34&lt;MaxNuclear,P34+$M$5&lt;MaxNuclear),P34+$M$5,MaxNuclear)),IF(OR(P34&gt;=MaxNuclear,P34=""),"",IF(AND(P34&lt;MaxNuclear,P34+$M$14&lt;MaxNuclear),P34+$M$14,MaxNuclear)))</f>
        <v/>
      </c>
      <c r="Q35" s="161">
        <f>IF(OR('Event Tracker'!$B$20=1,'Event Tracker'!$B$21=1,),IF(OR(Q34&gt;=MaxSolar,Q34=""),"",IF(AND(Q34&lt;MaxSolar,Q34+$M$6&lt;MaxSolar),Q34+$M$6,MaxSolar)),IF(OR(Q34&gt;=MaxSolar,Q34=""),"",IF(AND(Q34&lt;MaxSolar,Q34+$M$15&lt;MaxSolar),Q34+$M$15,MaxSolar)))</f>
        <v>9620.843481319831</v>
      </c>
      <c r="R35" s="161">
        <f>IF(OR('Event Tracker'!$B$20=1,'Event Tracker'!$B$21=1,),IF(OR(R34&gt;=MaxWind,R34=""),"",IF(AND(R34&lt;MaxWind,R34+$M$7&lt;MaxWind),R34+$M$7,MaxWind)),IF(OR(R34&gt;=MaxWind,R34=""),"",IF(AND(R34&lt;MaxWind,R34+$M$16&lt;MaxWind),R34+$M$16,MaxWind)))</f>
        <v>9900</v>
      </c>
      <c r="S35" s="161" t="str">
        <f>IF(OR('Event Tracker'!$B$20=1,'Event Tracker'!$B$21=1,),IF(OR(S34&gt;=MaxHydro,S34=""),"",IF(AND(S34&lt;MaxHydro,S34+$M$8&lt;MaxHydro),S34+$M$8,MaxHydro)),IF(OR(S34&gt;=MaxHydro,S34=""),"",IF(AND(S34&lt;MaxHydro,S34+$M$17&lt;MaxHydro),S34+$M$17,MaxHydro)))</f>
        <v/>
      </c>
      <c r="T35" s="161">
        <f>IF(OR('Event Tracker'!$B$20=1,'Event Tracker'!$B$21=1,),IF(OR(T34&gt;=MaxEE,T34=""),"",IF(AND(T34&lt;MaxEE,T34+$M$9&lt;MaxEE),T34+$M$9,MaxEE)),IF(OR(T34&gt;=MaxEE,T34=""),"",IF(AND(T34&lt;MaxEE,T34+$M$18&lt;MaxEE),T34+$M$18,MaxEE)))</f>
        <v>9900</v>
      </c>
      <c r="U35" s="161">
        <f>IF(OR('Event Tracker'!$B$20=1,'Event Tracker'!$B$21=1,),IF(OR(U34&gt;=MaxSolarDistributed,U34=""),"",IF(AND(U34&lt;MaxSolarDistributed,U34+$M$10&lt;MaxSolarDistributed),U34+$M$10,MaxSolarDistributed)),IF(OR(U34&gt;=MaxSolarDistributed,U34=""),"",IF(AND(U34&lt;MaxSolarDistributed,U34+$M$19&lt;MaxSolarDistributed),U34+$M$19,MaxSolarDistributed)))</f>
        <v>1650</v>
      </c>
      <c r="W35" s="165" t="str">
        <f t="shared" si="0"/>
        <v/>
      </c>
      <c r="X35" s="165" t="str">
        <f t="shared" si="1"/>
        <v/>
      </c>
      <c r="Y35" s="165" t="str">
        <f t="shared" si="2"/>
        <v/>
      </c>
      <c r="Z35" s="165" t="str">
        <f t="shared" si="3"/>
        <v/>
      </c>
      <c r="AA35" s="165" t="str">
        <f t="shared" si="4"/>
        <v/>
      </c>
      <c r="AB35" s="165" t="str">
        <f t="shared" si="5"/>
        <v/>
      </c>
    </row>
    <row r="36" spans="14:28" x14ac:dyDescent="0.25">
      <c r="N36" s="161" t="str">
        <f>IF(OR('Event Tracker'!$B$20=1,'Event Tracker'!$B$21=1,),IF(OR(N35&gt;=MaxCoal,N35=""),"",IF(AND(N35&lt;MaxCoal,N35+$M$3&lt;MaxCoal),N35+$M$3,MaxCoal)),IF(OR(N35&gt;=MaxCoal,N35=""),"",IF(AND(N35&lt;MaxCoal,N35+$M$12&lt;MaxCoal),N35+$M$12,MaxCoal)))</f>
        <v/>
      </c>
      <c r="O36" s="161">
        <f>IF(OR('Event Tracker'!$B$20=1,'Event Tracker'!$B$21=1,),IF(OR(O35&gt;=MaxNatGas,O35=""),"",IF(AND(O35&lt;MaxNatGas,O35+$M$4&lt;MaxNatGas),O35+$M$4,MaxNatGas)),IF(OR(O35&gt;=MaxNatGas,O35=""),"",IF(AND(O35&lt;MaxNatGas,O35+$M$13&lt;MaxNatGas),O35+$M$13,MaxNatGas)))</f>
        <v>170000</v>
      </c>
      <c r="P36" s="161" t="str">
        <f>IF(OR('Event Tracker'!$B$20=1,'Event Tracker'!$B$21=1,),IF(OR(P35&gt;=MaxNuclear,P35=""),"",IF(AND(P35&lt;MaxNuclear,P35+$M$5&lt;MaxNuclear),P35+$M$5,MaxNuclear)),IF(OR(P35&gt;=MaxNuclear,P35=""),"",IF(AND(P35&lt;MaxNuclear,P35+$M$14&lt;MaxNuclear),P35+$M$14,MaxNuclear)))</f>
        <v/>
      </c>
      <c r="Q36" s="161" t="str">
        <f>IF(OR('Event Tracker'!$B$20=1,'Event Tracker'!$B$21=1,),IF(OR(Q35&gt;=MaxSolar,Q35=""),"",IF(AND(Q35&lt;MaxSolar,Q35+$M$6&lt;MaxSolar),Q35+$M$6,MaxSolar)),IF(OR(Q35&gt;=MaxSolar,Q35=""),"",IF(AND(Q35&lt;MaxSolar,Q35+$M$15&lt;MaxSolar),Q35+$M$15,MaxSolar)))</f>
        <v/>
      </c>
      <c r="R36" s="161">
        <f>IF(OR('Event Tracker'!$B$20=1,'Event Tracker'!$B$21=1,),IF(OR(R35&gt;=MaxWind,R35=""),"",IF(AND(R35&lt;MaxWind,R35+$M$7&lt;MaxWind),R35+$M$7,MaxWind)),IF(OR(R35&gt;=MaxWind,R35=""),"",IF(AND(R35&lt;MaxWind,R35+$M$16&lt;MaxWind),R35+$M$16,MaxWind)))</f>
        <v>10200</v>
      </c>
      <c r="S36" s="161" t="str">
        <f>IF(OR('Event Tracker'!$B$20=1,'Event Tracker'!$B$21=1,),IF(OR(S35&gt;=MaxHydro,S35=""),"",IF(AND(S35&lt;MaxHydro,S35+$M$8&lt;MaxHydro),S35+$M$8,MaxHydro)),IF(OR(S35&gt;=MaxHydro,S35=""),"",IF(AND(S35&lt;MaxHydro,S35+$M$17&lt;MaxHydro),S35+$M$17,MaxHydro)))</f>
        <v/>
      </c>
      <c r="T36" s="161">
        <f>IF(OR('Event Tracker'!$B$20=1,'Event Tracker'!$B$21=1,),IF(OR(T35&gt;=MaxEE,T35=""),"",IF(AND(T35&lt;MaxEE,T35+$M$9&lt;MaxEE),T35+$M$9,MaxEE)),IF(OR(T35&gt;=MaxEE,T35=""),"",IF(AND(T35&lt;MaxEE,T35+$M$18&lt;MaxEE),T35+$M$18,MaxEE)))</f>
        <v>10200</v>
      </c>
      <c r="U36" s="161">
        <f>IF(OR('Event Tracker'!$B$20=1,'Event Tracker'!$B$21=1,),IF(OR(U35&gt;=MaxSolarDistributed,U35=""),"",IF(AND(U35&lt;MaxSolarDistributed,U35+$M$10&lt;MaxSolarDistributed),U35+$M$10,MaxSolarDistributed)),IF(OR(U35&gt;=MaxSolarDistributed,U35=""),"",IF(AND(U35&lt;MaxSolarDistributed,U35+$M$19&lt;MaxSolarDistributed),U35+$M$19,MaxSolarDistributed)))</f>
        <v>1700</v>
      </c>
      <c r="W36" s="165" t="str">
        <f t="shared" si="0"/>
        <v/>
      </c>
      <c r="X36" s="165" t="str">
        <f t="shared" si="1"/>
        <v/>
      </c>
      <c r="Y36" s="165" t="str">
        <f t="shared" si="2"/>
        <v/>
      </c>
      <c r="Z36" s="165" t="str">
        <f t="shared" si="3"/>
        <v/>
      </c>
      <c r="AA36" s="165" t="str">
        <f t="shared" si="4"/>
        <v/>
      </c>
      <c r="AB36" s="165" t="str">
        <f t="shared" si="5"/>
        <v/>
      </c>
    </row>
    <row r="37" spans="14:28" x14ac:dyDescent="0.25">
      <c r="N37" s="161" t="str">
        <f>IF(OR('Event Tracker'!$B$20=1,'Event Tracker'!$B$21=1,),IF(OR(N36&gt;=MaxCoal,N36=""),"",IF(AND(N36&lt;MaxCoal,N36+$M$3&lt;MaxCoal),N36+$M$3,MaxCoal)),IF(OR(N36&gt;=MaxCoal,N36=""),"",IF(AND(N36&lt;MaxCoal,N36+$M$12&lt;MaxCoal),N36+$M$12,MaxCoal)))</f>
        <v/>
      </c>
      <c r="O37" s="161">
        <f>IF(OR('Event Tracker'!$B$20=1,'Event Tracker'!$B$21=1,),IF(OR(O36&gt;=MaxNatGas,O36=""),"",IF(AND(O36&lt;MaxNatGas,O36+$M$4&lt;MaxNatGas),O36+$M$4,MaxNatGas)),IF(OR(O36&gt;=MaxNatGas,O36=""),"",IF(AND(O36&lt;MaxNatGas,O36+$M$13&lt;MaxNatGas),O36+$M$13,MaxNatGas)))</f>
        <v>175000</v>
      </c>
      <c r="P37" s="161" t="str">
        <f>IF(OR('Event Tracker'!$B$20=1,'Event Tracker'!$B$21=1,),IF(OR(P36&gt;=MaxNuclear,P36=""),"",IF(AND(P36&lt;MaxNuclear,P36+$M$5&lt;MaxNuclear),P36+$M$5,MaxNuclear)),IF(OR(P36&gt;=MaxNuclear,P36=""),"",IF(AND(P36&lt;MaxNuclear,P36+$M$14&lt;MaxNuclear),P36+$M$14,MaxNuclear)))</f>
        <v/>
      </c>
      <c r="Q37" s="161" t="str">
        <f>IF(OR('Event Tracker'!$B$20=1,'Event Tracker'!$B$21=1,),IF(OR(Q36&gt;=MaxSolar,Q36=""),"",IF(AND(Q36&lt;MaxSolar,Q36+$M$6&lt;MaxSolar),Q36+$M$6,MaxSolar)),IF(OR(Q36&gt;=MaxSolar,Q36=""),"",IF(AND(Q36&lt;MaxSolar,Q36+$M$15&lt;MaxSolar),Q36+$M$15,MaxSolar)))</f>
        <v/>
      </c>
      <c r="R37" s="161">
        <f>IF(OR('Event Tracker'!$B$20=1,'Event Tracker'!$B$21=1,),IF(OR(R36&gt;=MaxWind,R36=""),"",IF(AND(R36&lt;MaxWind,R36+$M$7&lt;MaxWind),R36+$M$7,MaxWind)),IF(OR(R36&gt;=MaxWind,R36=""),"",IF(AND(R36&lt;MaxWind,R36+$M$16&lt;MaxWind),R36+$M$16,MaxWind)))</f>
        <v>10500</v>
      </c>
      <c r="S37" s="161" t="str">
        <f>IF(OR('Event Tracker'!$B$20=1,'Event Tracker'!$B$21=1,),IF(OR(S36&gt;=MaxHydro,S36=""),"",IF(AND(S36&lt;MaxHydro,S36+$M$8&lt;MaxHydro),S36+$M$8,MaxHydro)),IF(OR(S36&gt;=MaxHydro,S36=""),"",IF(AND(S36&lt;MaxHydro,S36+$M$17&lt;MaxHydro),S36+$M$17,MaxHydro)))</f>
        <v/>
      </c>
      <c r="T37" s="161">
        <f>IF(OR('Event Tracker'!$B$20=1,'Event Tracker'!$B$21=1,),IF(OR(T36&gt;=MaxEE,T36=""),"",IF(AND(T36&lt;MaxEE,T36+$M$9&lt;MaxEE),T36+$M$9,MaxEE)),IF(OR(T36&gt;=MaxEE,T36=""),"",IF(AND(T36&lt;MaxEE,T36+$M$18&lt;MaxEE),T36+$M$18,MaxEE)))</f>
        <v>10500</v>
      </c>
      <c r="U37" s="161">
        <f>IF(OR('Event Tracker'!$B$20=1,'Event Tracker'!$B$21=1,),IF(OR(U36&gt;=MaxSolarDistributed,U36=""),"",IF(AND(U36&lt;MaxSolarDistributed,U36+$M$10&lt;MaxSolarDistributed),U36+$M$10,MaxSolarDistributed)),IF(OR(U36&gt;=MaxSolarDistributed,U36=""),"",IF(AND(U36&lt;MaxSolarDistributed,U36+$M$19&lt;MaxSolarDistributed),U36+$M$19,MaxSolarDistributed)))</f>
        <v>1750</v>
      </c>
      <c r="W37" s="165" t="str">
        <f t="shared" si="0"/>
        <v/>
      </c>
      <c r="X37" s="165" t="str">
        <f t="shared" si="1"/>
        <v/>
      </c>
      <c r="Y37" s="165" t="str">
        <f t="shared" si="2"/>
        <v/>
      </c>
      <c r="Z37" s="165" t="str">
        <f t="shared" si="3"/>
        <v/>
      </c>
      <c r="AA37" s="165" t="str">
        <f t="shared" si="4"/>
        <v/>
      </c>
      <c r="AB37" s="165" t="str">
        <f t="shared" si="5"/>
        <v/>
      </c>
    </row>
    <row r="38" spans="14:28" x14ac:dyDescent="0.25">
      <c r="N38" s="161" t="str">
        <f>IF(OR('Event Tracker'!$B$20=1,'Event Tracker'!$B$21=1,),IF(OR(N37&gt;=MaxCoal,N37=""),"",IF(AND(N37&lt;MaxCoal,N37+$M$3&lt;MaxCoal),N37+$M$3,MaxCoal)),IF(OR(N37&gt;=MaxCoal,N37=""),"",IF(AND(N37&lt;MaxCoal,N37+$M$12&lt;MaxCoal),N37+$M$12,MaxCoal)))</f>
        <v/>
      </c>
      <c r="O38" s="161">
        <f>IF(OR('Event Tracker'!$B$20=1,'Event Tracker'!$B$21=1,),IF(OR(O37&gt;=MaxNatGas,O37=""),"",IF(AND(O37&lt;MaxNatGas,O37+$M$4&lt;MaxNatGas),O37+$M$4,MaxNatGas)),IF(OR(O37&gt;=MaxNatGas,O37=""),"",IF(AND(O37&lt;MaxNatGas,O37+$M$13&lt;MaxNatGas),O37+$M$13,MaxNatGas)))</f>
        <v>180000</v>
      </c>
      <c r="P38" s="161" t="str">
        <f>IF(OR('Event Tracker'!$B$20=1,'Event Tracker'!$B$21=1,),IF(OR(P37&gt;=MaxNuclear,P37=""),"",IF(AND(P37&lt;MaxNuclear,P37+$M$5&lt;MaxNuclear),P37+$M$5,MaxNuclear)),IF(OR(P37&gt;=MaxNuclear,P37=""),"",IF(AND(P37&lt;MaxNuclear,P37+$M$14&lt;MaxNuclear),P37+$M$14,MaxNuclear)))</f>
        <v/>
      </c>
      <c r="Q38" s="161" t="str">
        <f>IF(OR('Event Tracker'!$B$20=1,'Event Tracker'!$B$21=1,),IF(OR(Q37&gt;=MaxSolar,Q37=""),"",IF(AND(Q37&lt;MaxSolar,Q37+$M$6&lt;MaxSolar),Q37+$M$6,MaxSolar)),IF(OR(Q37&gt;=MaxSolar,Q37=""),"",IF(AND(Q37&lt;MaxSolar,Q37+$M$15&lt;MaxSolar),Q37+$M$15,MaxSolar)))</f>
        <v/>
      </c>
      <c r="R38" s="161">
        <f>IF(OR('Event Tracker'!$B$20=1,'Event Tracker'!$B$21=1,),IF(OR(R37&gt;=MaxWind,R37=""),"",IF(AND(R37&lt;MaxWind,R37+$M$7&lt;MaxWind),R37+$M$7,MaxWind)),IF(OR(R37&gt;=MaxWind,R37=""),"",IF(AND(R37&lt;MaxWind,R37+$M$16&lt;MaxWind),R37+$M$16,MaxWind)))</f>
        <v>10800</v>
      </c>
      <c r="S38" s="161" t="str">
        <f>IF(OR('Event Tracker'!$B$20=1,'Event Tracker'!$B$21=1,),IF(OR(S37&gt;=MaxHydro,S37=""),"",IF(AND(S37&lt;MaxHydro,S37+$M$8&lt;MaxHydro),S37+$M$8,MaxHydro)),IF(OR(S37&gt;=MaxHydro,S37=""),"",IF(AND(S37&lt;MaxHydro,S37+$M$17&lt;MaxHydro),S37+$M$17,MaxHydro)))</f>
        <v/>
      </c>
      <c r="T38" s="161">
        <f>IF(OR('Event Tracker'!$B$20=1,'Event Tracker'!$B$21=1,),IF(OR(T37&gt;=MaxEE,T37=""),"",IF(AND(T37&lt;MaxEE,T37+$M$9&lt;MaxEE),T37+$M$9,MaxEE)),IF(OR(T37&gt;=MaxEE,T37=""),"",IF(AND(T37&lt;MaxEE,T37+$M$18&lt;MaxEE),T37+$M$18,MaxEE)))</f>
        <v>10800</v>
      </c>
      <c r="U38" s="161">
        <f>IF(OR('Event Tracker'!$B$20=1,'Event Tracker'!$B$21=1,),IF(OR(U37&gt;=MaxSolarDistributed,U37=""),"",IF(AND(U37&lt;MaxSolarDistributed,U37+$M$10&lt;MaxSolarDistributed),U37+$M$10,MaxSolarDistributed)),IF(OR(U37&gt;=MaxSolarDistributed,U37=""),"",IF(AND(U37&lt;MaxSolarDistributed,U37+$M$19&lt;MaxSolarDistributed),U37+$M$19,MaxSolarDistributed)))</f>
        <v>1800</v>
      </c>
      <c r="W38" s="165" t="str">
        <f t="shared" si="0"/>
        <v/>
      </c>
      <c r="X38" s="165" t="str">
        <f t="shared" si="1"/>
        <v/>
      </c>
      <c r="Y38" s="165" t="str">
        <f t="shared" si="2"/>
        <v/>
      </c>
      <c r="Z38" s="165" t="str">
        <f t="shared" si="3"/>
        <v/>
      </c>
      <c r="AA38" s="165" t="str">
        <f t="shared" si="4"/>
        <v/>
      </c>
      <c r="AB38" s="165" t="str">
        <f t="shared" si="5"/>
        <v/>
      </c>
    </row>
    <row r="39" spans="14:28" x14ac:dyDescent="0.25">
      <c r="N39" s="161" t="str">
        <f>IF(OR('Event Tracker'!$B$20=1,'Event Tracker'!$B$21=1,),IF(OR(N38&gt;=MaxCoal,N38=""),"",IF(AND(N38&lt;MaxCoal,N38+$M$3&lt;MaxCoal),N38+$M$3,MaxCoal)),IF(OR(N38&gt;=MaxCoal,N38=""),"",IF(AND(N38&lt;MaxCoal,N38+$M$12&lt;MaxCoal),N38+$M$12,MaxCoal)))</f>
        <v/>
      </c>
      <c r="O39" s="161">
        <f>IF(OR('Event Tracker'!$B$20=1,'Event Tracker'!$B$21=1,),IF(OR(O38&gt;=MaxNatGas,O38=""),"",IF(AND(O38&lt;MaxNatGas,O38+$M$4&lt;MaxNatGas),O38+$M$4,MaxNatGas)),IF(OR(O38&gt;=MaxNatGas,O38=""),"",IF(AND(O38&lt;MaxNatGas,O38+$M$13&lt;MaxNatGas),O38+$M$13,MaxNatGas)))</f>
        <v>185000</v>
      </c>
      <c r="P39" s="161" t="str">
        <f>IF(OR('Event Tracker'!$B$20=1,'Event Tracker'!$B$21=1,),IF(OR(P38&gt;=MaxNuclear,P38=""),"",IF(AND(P38&lt;MaxNuclear,P38+$M$5&lt;MaxNuclear),P38+$M$5,MaxNuclear)),IF(OR(P38&gt;=MaxNuclear,P38=""),"",IF(AND(P38&lt;MaxNuclear,P38+$M$14&lt;MaxNuclear),P38+$M$14,MaxNuclear)))</f>
        <v/>
      </c>
      <c r="Q39" s="161" t="str">
        <f>IF(OR('Event Tracker'!$B$20=1,'Event Tracker'!$B$21=1,),IF(OR(Q38&gt;=MaxSolar,Q38=""),"",IF(AND(Q38&lt;MaxSolar,Q38+$M$6&lt;MaxSolar),Q38+$M$6,MaxSolar)),IF(OR(Q38&gt;=MaxSolar,Q38=""),"",IF(AND(Q38&lt;MaxSolar,Q38+$M$15&lt;MaxSolar),Q38+$M$15,MaxSolar)))</f>
        <v/>
      </c>
      <c r="R39" s="161">
        <f>IF(OR('Event Tracker'!$B$20=1,'Event Tracker'!$B$21=1,),IF(OR(R38&gt;=MaxWind,R38=""),"",IF(AND(R38&lt;MaxWind,R38+$M$7&lt;MaxWind),R38+$M$7,MaxWind)),IF(OR(R38&gt;=MaxWind,R38=""),"",IF(AND(R38&lt;MaxWind,R38+$M$16&lt;MaxWind),R38+$M$16,MaxWind)))</f>
        <v>11100</v>
      </c>
      <c r="S39" s="161" t="str">
        <f>IF(OR('Event Tracker'!$B$20=1,'Event Tracker'!$B$21=1,),IF(OR(S38&gt;=MaxHydro,S38=""),"",IF(AND(S38&lt;MaxHydro,S38+$M$8&lt;MaxHydro),S38+$M$8,MaxHydro)),IF(OR(S38&gt;=MaxHydro,S38=""),"",IF(AND(S38&lt;MaxHydro,S38+$M$17&lt;MaxHydro),S38+$M$17,MaxHydro)))</f>
        <v/>
      </c>
      <c r="T39" s="161">
        <f>IF(OR('Event Tracker'!$B$20=1,'Event Tracker'!$B$21=1,),IF(OR(T38&gt;=MaxEE,T38=""),"",IF(AND(T38&lt;MaxEE,T38+$M$9&lt;MaxEE),T38+$M$9,MaxEE)),IF(OR(T38&gt;=MaxEE,T38=""),"",IF(AND(T38&lt;MaxEE,T38+$M$18&lt;MaxEE),T38+$M$18,MaxEE)))</f>
        <v>11100</v>
      </c>
      <c r="U39" s="161">
        <f>IF(OR('Event Tracker'!$B$20=1,'Event Tracker'!$B$21=1,),IF(OR(U38&gt;=MaxSolarDistributed,U38=""),"",IF(AND(U38&lt;MaxSolarDistributed,U38+$M$10&lt;MaxSolarDistributed),U38+$M$10,MaxSolarDistributed)),IF(OR(U38&gt;=MaxSolarDistributed,U38=""),"",IF(AND(U38&lt;MaxSolarDistributed,U38+$M$19&lt;MaxSolarDistributed),U38+$M$19,MaxSolarDistributed)))</f>
        <v>1850</v>
      </c>
      <c r="W39" s="165" t="str">
        <f t="shared" si="0"/>
        <v/>
      </c>
      <c r="X39" s="165" t="str">
        <f t="shared" si="1"/>
        <v/>
      </c>
      <c r="Y39" s="165" t="str">
        <f t="shared" si="2"/>
        <v/>
      </c>
      <c r="Z39" s="165" t="str">
        <f t="shared" si="3"/>
        <v/>
      </c>
      <c r="AA39" s="165" t="str">
        <f t="shared" si="4"/>
        <v/>
      </c>
      <c r="AB39" s="165" t="str">
        <f t="shared" si="5"/>
        <v/>
      </c>
    </row>
    <row r="40" spans="14:28" x14ac:dyDescent="0.25">
      <c r="N40" s="161" t="str">
        <f>IF(OR('Event Tracker'!$B$20=1,'Event Tracker'!$B$21=1,),IF(OR(N39&gt;=MaxCoal,N39=""),"",IF(AND(N39&lt;MaxCoal,N39+$M$3&lt;MaxCoal),N39+$M$3,MaxCoal)),IF(OR(N39&gt;=MaxCoal,N39=""),"",IF(AND(N39&lt;MaxCoal,N39+$M$12&lt;MaxCoal),N39+$M$12,MaxCoal)))</f>
        <v/>
      </c>
      <c r="O40" s="161">
        <f>IF(OR('Event Tracker'!$B$20=1,'Event Tracker'!$B$21=1,),IF(OR(O39&gt;=MaxNatGas,O39=""),"",IF(AND(O39&lt;MaxNatGas,O39+$M$4&lt;MaxNatGas),O39+$M$4,MaxNatGas)),IF(OR(O39&gt;=MaxNatGas,O39=""),"",IF(AND(O39&lt;MaxNatGas,O39+$M$13&lt;MaxNatGas),O39+$M$13,MaxNatGas)))</f>
        <v>190000</v>
      </c>
      <c r="P40" s="161" t="str">
        <f>IF(OR('Event Tracker'!$B$20=1,'Event Tracker'!$B$21=1,),IF(OR(P39&gt;=MaxNuclear,P39=""),"",IF(AND(P39&lt;MaxNuclear,P39+$M$5&lt;MaxNuclear),P39+$M$5,MaxNuclear)),IF(OR(P39&gt;=MaxNuclear,P39=""),"",IF(AND(P39&lt;MaxNuclear,P39+$M$14&lt;MaxNuclear),P39+$M$14,MaxNuclear)))</f>
        <v/>
      </c>
      <c r="Q40" s="161" t="str">
        <f>IF(OR('Event Tracker'!$B$20=1,'Event Tracker'!$B$21=1,),IF(OR(Q39&gt;=MaxSolar,Q39=""),"",IF(AND(Q39&lt;MaxSolar,Q39+$M$6&lt;MaxSolar),Q39+$M$6,MaxSolar)),IF(OR(Q39&gt;=MaxSolar,Q39=""),"",IF(AND(Q39&lt;MaxSolar,Q39+$M$15&lt;MaxSolar),Q39+$M$15,MaxSolar)))</f>
        <v/>
      </c>
      <c r="R40" s="161">
        <f>IF(OR('Event Tracker'!$B$20=1,'Event Tracker'!$B$21=1,),IF(OR(R39&gt;=MaxWind,R39=""),"",IF(AND(R39&lt;MaxWind,R39+$M$7&lt;MaxWind),R39+$M$7,MaxWind)),IF(OR(R39&gt;=MaxWind,R39=""),"",IF(AND(R39&lt;MaxWind,R39+$M$16&lt;MaxWind),R39+$M$16,MaxWind)))</f>
        <v>11400</v>
      </c>
      <c r="S40" s="161" t="str">
        <f>IF(OR('Event Tracker'!$B$20=1,'Event Tracker'!$B$21=1,),IF(OR(S39&gt;=MaxHydro,S39=""),"",IF(AND(S39&lt;MaxHydro,S39+$M$8&lt;MaxHydro),S39+$M$8,MaxHydro)),IF(OR(S39&gt;=MaxHydro,S39=""),"",IF(AND(S39&lt;MaxHydro,S39+$M$17&lt;MaxHydro),S39+$M$17,MaxHydro)))</f>
        <v/>
      </c>
      <c r="T40" s="161">
        <f>IF(OR('Event Tracker'!$B$20=1,'Event Tracker'!$B$21=1,),IF(OR(T39&gt;=MaxEE,T39=""),"",IF(AND(T39&lt;MaxEE,T39+$M$9&lt;MaxEE),T39+$M$9,MaxEE)),IF(OR(T39&gt;=MaxEE,T39=""),"",IF(AND(T39&lt;MaxEE,T39+$M$18&lt;MaxEE),T39+$M$18,MaxEE)))</f>
        <v>11400</v>
      </c>
      <c r="U40" s="161">
        <f>IF(OR('Event Tracker'!$B$20=1,'Event Tracker'!$B$21=1,),IF(OR(U39&gt;=MaxSolarDistributed,U39=""),"",IF(AND(U39&lt;MaxSolarDistributed,U39+$M$10&lt;MaxSolarDistributed),U39+$M$10,MaxSolarDistributed)),IF(OR(U39&gt;=MaxSolarDistributed,U39=""),"",IF(AND(U39&lt;MaxSolarDistributed,U39+$M$19&lt;MaxSolarDistributed),U39+$M$19,MaxSolarDistributed)))</f>
        <v>1900</v>
      </c>
      <c r="W40" s="165" t="str">
        <f t="shared" si="0"/>
        <v/>
      </c>
      <c r="X40" s="165" t="str">
        <f t="shared" si="1"/>
        <v/>
      </c>
      <c r="Y40" s="165" t="str">
        <f t="shared" si="2"/>
        <v/>
      </c>
      <c r="Z40" s="165" t="str">
        <f t="shared" si="3"/>
        <v/>
      </c>
      <c r="AA40" s="165" t="str">
        <f t="shared" si="4"/>
        <v/>
      </c>
      <c r="AB40" s="165" t="str">
        <f t="shared" si="5"/>
        <v/>
      </c>
    </row>
    <row r="41" spans="14:28" x14ac:dyDescent="0.25">
      <c r="N41" s="161" t="str">
        <f>IF(OR('Event Tracker'!$B$20=1,'Event Tracker'!$B$21=1,),IF(OR(N40&gt;=MaxCoal,N40=""),"",IF(AND(N40&lt;MaxCoal,N40+$M$3&lt;MaxCoal),N40+$M$3,MaxCoal)),IF(OR(N40&gt;=MaxCoal,N40=""),"",IF(AND(N40&lt;MaxCoal,N40+$M$12&lt;MaxCoal),N40+$M$12,MaxCoal)))</f>
        <v/>
      </c>
      <c r="O41" s="161">
        <f>IF(OR('Event Tracker'!$B$20=1,'Event Tracker'!$B$21=1,),IF(OR(O40&gt;=MaxNatGas,O40=""),"",IF(AND(O40&lt;MaxNatGas,O40+$M$4&lt;MaxNatGas),O40+$M$4,MaxNatGas)),IF(OR(O40&gt;=MaxNatGas,O40=""),"",IF(AND(O40&lt;MaxNatGas,O40+$M$13&lt;MaxNatGas),O40+$M$13,MaxNatGas)))</f>
        <v>195000</v>
      </c>
      <c r="P41" s="161" t="str">
        <f>IF(OR('Event Tracker'!$B$20=1,'Event Tracker'!$B$21=1,),IF(OR(P40&gt;=MaxNuclear,P40=""),"",IF(AND(P40&lt;MaxNuclear,P40+$M$5&lt;MaxNuclear),P40+$M$5,MaxNuclear)),IF(OR(P40&gt;=MaxNuclear,P40=""),"",IF(AND(P40&lt;MaxNuclear,P40+$M$14&lt;MaxNuclear),P40+$M$14,MaxNuclear)))</f>
        <v/>
      </c>
      <c r="Q41" s="161" t="str">
        <f>IF(OR('Event Tracker'!$B$20=1,'Event Tracker'!$B$21=1,),IF(OR(Q40&gt;=MaxSolar,Q40=""),"",IF(AND(Q40&lt;MaxSolar,Q40+$M$6&lt;MaxSolar),Q40+$M$6,MaxSolar)),IF(OR(Q40&gt;=MaxSolar,Q40=""),"",IF(AND(Q40&lt;MaxSolar,Q40+$M$15&lt;MaxSolar),Q40+$M$15,MaxSolar)))</f>
        <v/>
      </c>
      <c r="R41" s="161">
        <f>IF(OR('Event Tracker'!$B$20=1,'Event Tracker'!$B$21=1,),IF(OR(R40&gt;=MaxWind,R40=""),"",IF(AND(R40&lt;MaxWind,R40+$M$7&lt;MaxWind),R40+$M$7,MaxWind)),IF(OR(R40&gt;=MaxWind,R40=""),"",IF(AND(R40&lt;MaxWind,R40+$M$16&lt;MaxWind),R40+$M$16,MaxWind)))</f>
        <v>11545.012177583796</v>
      </c>
      <c r="S41" s="161" t="str">
        <f>IF(OR('Event Tracker'!$B$20=1,'Event Tracker'!$B$21=1,),IF(OR(S40&gt;=MaxHydro,S40=""),"",IF(AND(S40&lt;MaxHydro,S40+$M$8&lt;MaxHydro),S40+$M$8,MaxHydro)),IF(OR(S40&gt;=MaxHydro,S40=""),"",IF(AND(S40&lt;MaxHydro,S40+$M$17&lt;MaxHydro),S40+$M$17,MaxHydro)))</f>
        <v/>
      </c>
      <c r="T41" s="161">
        <f>IF(OR('Event Tracker'!$B$20=1,'Event Tracker'!$B$21=1,),IF(OR(T40&gt;=MaxEE,T40=""),"",IF(AND(T40&lt;MaxEE,T40+$M$9&lt;MaxEE),T40+$M$9,MaxEE)),IF(OR(T40&gt;=MaxEE,T40=""),"",IF(AND(T40&lt;MaxEE,T40+$M$18&lt;MaxEE),T40+$M$18,MaxEE)))</f>
        <v>11700</v>
      </c>
      <c r="U41" s="161">
        <f>IF(OR('Event Tracker'!$B$20=1,'Event Tracker'!$B$21=1,),IF(OR(U40&gt;=MaxSolarDistributed,U40=""),"",IF(AND(U40&lt;MaxSolarDistributed,U40+$M$10&lt;MaxSolarDistributed),U40+$M$10,MaxSolarDistributed)),IF(OR(U40&gt;=MaxSolarDistributed,U40=""),"",IF(AND(U40&lt;MaxSolarDistributed,U40+$M$19&lt;MaxSolarDistributed),U40+$M$19,MaxSolarDistributed)))</f>
        <v>1950</v>
      </c>
      <c r="W41" s="165" t="str">
        <f t="shared" si="0"/>
        <v/>
      </c>
      <c r="X41" s="165" t="str">
        <f t="shared" si="1"/>
        <v/>
      </c>
      <c r="Y41" s="165" t="str">
        <f t="shared" si="2"/>
        <v/>
      </c>
      <c r="Z41" s="165" t="str">
        <f t="shared" si="3"/>
        <v/>
      </c>
      <c r="AA41" s="165" t="str">
        <f t="shared" si="4"/>
        <v/>
      </c>
      <c r="AB41" s="165" t="str">
        <f t="shared" si="5"/>
        <v/>
      </c>
    </row>
    <row r="42" spans="14:28" x14ac:dyDescent="0.25">
      <c r="N42" s="161" t="str">
        <f>IF(OR('Event Tracker'!$B$20=1,'Event Tracker'!$B$21=1,),IF(OR(N41&gt;=MaxCoal,N41=""),"",IF(AND(N41&lt;MaxCoal,N41+$M$3&lt;MaxCoal),N41+$M$3,MaxCoal)),IF(OR(N41&gt;=MaxCoal,N41=""),"",IF(AND(N41&lt;MaxCoal,N41+$M$12&lt;MaxCoal),N41+$M$12,MaxCoal)))</f>
        <v/>
      </c>
      <c r="O42" s="161">
        <f>IF(OR('Event Tracker'!$B$20=1,'Event Tracker'!$B$21=1,),IF(OR(O41&gt;=MaxNatGas,O41=""),"",IF(AND(O41&lt;MaxNatGas,O41+$M$4&lt;MaxNatGas),O41+$M$4,MaxNatGas)),IF(OR(O41&gt;=MaxNatGas,O41=""),"",IF(AND(O41&lt;MaxNatGas,O41+$M$13&lt;MaxNatGas),O41+$M$13,MaxNatGas)))</f>
        <v>200000</v>
      </c>
      <c r="P42" s="161" t="str">
        <f>IF(OR('Event Tracker'!$B$20=1,'Event Tracker'!$B$21=1,),IF(OR(P41&gt;=MaxNuclear,P41=""),"",IF(AND(P41&lt;MaxNuclear,P41+$M$5&lt;MaxNuclear),P41+$M$5,MaxNuclear)),IF(OR(P41&gt;=MaxNuclear,P41=""),"",IF(AND(P41&lt;MaxNuclear,P41+$M$14&lt;MaxNuclear),P41+$M$14,MaxNuclear)))</f>
        <v/>
      </c>
      <c r="Q42" s="161" t="str">
        <f>IF(OR('Event Tracker'!$B$20=1,'Event Tracker'!$B$21=1,),IF(OR(Q41&gt;=MaxSolar,Q41=""),"",IF(AND(Q41&lt;MaxSolar,Q41+$M$6&lt;MaxSolar),Q41+$M$6,MaxSolar)),IF(OR(Q41&gt;=MaxSolar,Q41=""),"",IF(AND(Q41&lt;MaxSolar,Q41+$M$15&lt;MaxSolar),Q41+$M$15,MaxSolar)))</f>
        <v/>
      </c>
      <c r="R42" s="161" t="str">
        <f>IF(OR('Event Tracker'!$B$20=1,'Event Tracker'!$B$21=1,),IF(OR(R41&gt;=MaxWind,R41=""),"",IF(AND(R41&lt;MaxWind,R41+$M$7&lt;MaxWind),R41+$M$7,MaxWind)),IF(OR(R41&gt;=MaxWind,R41=""),"",IF(AND(R41&lt;MaxWind,R41+$M$16&lt;MaxWind),R41+$M$16,MaxWind)))</f>
        <v/>
      </c>
      <c r="S42" s="161" t="str">
        <f>IF(OR('Event Tracker'!$B$20=1,'Event Tracker'!$B$21=1,),IF(OR(S41&gt;=MaxHydro,S41=""),"",IF(AND(S41&lt;MaxHydro,S41+$M$8&lt;MaxHydro),S41+$M$8,MaxHydro)),IF(OR(S41&gt;=MaxHydro,S41=""),"",IF(AND(S41&lt;MaxHydro,S41+$M$17&lt;MaxHydro),S41+$M$17,MaxHydro)))</f>
        <v/>
      </c>
      <c r="T42" s="161">
        <f>IF(OR('Event Tracker'!$B$20=1,'Event Tracker'!$B$21=1,),IF(OR(T41&gt;=MaxEE,T41=""),"",IF(AND(T41&lt;MaxEE,T41+$M$9&lt;MaxEE),T41+$M$9,MaxEE)),IF(OR(T41&gt;=MaxEE,T41=""),"",IF(AND(T41&lt;MaxEE,T41+$M$18&lt;MaxEE),T41+$M$18,MaxEE)))</f>
        <v>12000</v>
      </c>
      <c r="U42" s="161">
        <f>IF(OR('Event Tracker'!$B$20=1,'Event Tracker'!$B$21=1,),IF(OR(U41&gt;=MaxSolarDistributed,U41=""),"",IF(AND(U41&lt;MaxSolarDistributed,U41+$M$10&lt;MaxSolarDistributed),U41+$M$10,MaxSolarDistributed)),IF(OR(U41&gt;=MaxSolarDistributed,U41=""),"",IF(AND(U41&lt;MaxSolarDistributed,U41+$M$19&lt;MaxSolarDistributed),U41+$M$19,MaxSolarDistributed)))</f>
        <v>2000</v>
      </c>
      <c r="W42" s="165" t="str">
        <f t="shared" si="0"/>
        <v/>
      </c>
      <c r="X42" s="165" t="str">
        <f t="shared" si="1"/>
        <v/>
      </c>
      <c r="Y42" s="165" t="str">
        <f t="shared" si="2"/>
        <v/>
      </c>
      <c r="Z42" s="165" t="str">
        <f t="shared" si="3"/>
        <v/>
      </c>
      <c r="AA42" s="165" t="str">
        <f t="shared" si="4"/>
        <v/>
      </c>
      <c r="AB42" s="165" t="str">
        <f t="shared" si="5"/>
        <v/>
      </c>
    </row>
    <row r="43" spans="14:28" x14ac:dyDescent="0.25">
      <c r="N43" s="84"/>
      <c r="O43" s="161">
        <f>IF(OR('Event Tracker'!$B$20=1,'Event Tracker'!$B$21=1,),IF(OR(O42&gt;=MaxNatGas,O42=""),"",IF(AND(O42&lt;MaxNatGas,O42+$M$4&lt;MaxNatGas),O42+$M$4,MaxNatGas)),IF(OR(O42&gt;=MaxNatGas,O42=""),"",IF(AND(O42&lt;MaxNatGas,O42+$M$13&lt;MaxNatGas),O42+$M$13,MaxNatGas)))</f>
        <v>205000</v>
      </c>
      <c r="P43" s="84"/>
      <c r="Q43" s="84"/>
      <c r="R43" s="84"/>
      <c r="S43" s="84"/>
      <c r="T43" s="84"/>
      <c r="U43" s="84"/>
    </row>
    <row r="44" spans="14:28" x14ac:dyDescent="0.25">
      <c r="O44" s="161">
        <f>IF(OR('Event Tracker'!$B$20=1,'Event Tracker'!$B$21=1,),IF(OR(O43&gt;=MaxNatGas,O43=""),"",IF(AND(O43&lt;MaxNatGas,O43+$M$4&lt;MaxNatGas),O43+$M$4,MaxNatGas)),IF(OR(O43&gt;=MaxNatGas,O43=""),"",IF(AND(O43&lt;MaxNatGas,O43+$M$13&lt;MaxNatGas),O43+$M$13,MaxNatGas)))</f>
        <v>205962.44871033516</v>
      </c>
    </row>
    <row r="45" spans="14:28" x14ac:dyDescent="0.25">
      <c r="O45" s="161" t="str">
        <f>IF(OR('Event Tracker'!$B$20=1,'Event Tracker'!$B$21=1,),IF(OR(O44&gt;=MaxNatGas,O44=""),"",IF(AND(O44&lt;MaxNatGas,O44+$M$4&lt;MaxNatGas),O44+$M$4,MaxNatGas)),IF(OR(O44&gt;=MaxNatGas,O44=""),"",IF(AND(O44&lt;MaxNatGas,O44+$M$13&lt;MaxNatGas),O44+$M$13,MaxNatGas)))</f>
        <v/>
      </c>
    </row>
    <row r="46" spans="14:28" x14ac:dyDescent="0.25">
      <c r="O46" s="161" t="str">
        <f>IF(OR('Event Tracker'!$B$20=1,'Event Tracker'!$B$21=1,),IF(OR(O45&gt;=MaxNatGas,O45=""),"",IF(AND(O45&lt;MaxNatGas,O45+$M$4&lt;MaxNatGas),O45+$M$4,MaxNatGas)),IF(OR(O45&gt;=MaxNatGas,O45=""),"",IF(AND(O45&lt;MaxNatGas,O45+$M$13&lt;MaxNatGas),O45+$M$13,MaxNatGas)))</f>
        <v/>
      </c>
    </row>
    <row r="47" spans="14:28" x14ac:dyDescent="0.25">
      <c r="O47" s="161" t="str">
        <f>IF(OR('Event Tracker'!$B$20=1,'Event Tracker'!$B$21=1,),IF(OR(O46&gt;=MaxNatGas,O46=""),"",IF(AND(O46&lt;MaxNatGas,O46+$M$4&lt;MaxNatGas),O46+$M$4,MaxNatGas)),IF(OR(O46&gt;=MaxNatGas,O46=""),"",IF(AND(O46&lt;MaxNatGas,O46+$M$13&lt;MaxNatGas),O46+$M$13,MaxNatGas)))</f>
        <v/>
      </c>
    </row>
    <row r="48" spans="14:28" x14ac:dyDescent="0.25">
      <c r="O48" s="161" t="str">
        <f>IF(OR('Event Tracker'!$B$20=1,'Event Tracker'!$B$21=1,),IF(OR(O47&gt;=MaxNatGas,O47=""),"",IF(AND(O47&lt;MaxNatGas,O47+$M$4&lt;MaxNatGas),O47+$M$4,MaxNatGas)),IF(OR(O47&gt;=MaxNatGas,O47=""),"",IF(AND(O47&lt;MaxNatGas,O47+$M$13&lt;MaxNatGas),O47+$M$13,MaxNatGas)))</f>
        <v/>
      </c>
    </row>
    <row r="49" spans="15:15" x14ac:dyDescent="0.25">
      <c r="O49" s="161" t="str">
        <f>IF(OR('Event Tracker'!$B$20=1,'Event Tracker'!$B$21=1,),IF(OR(O48&gt;=MaxNatGas,O48=""),"",IF(AND(O48&lt;MaxNatGas,O48+$M$4&lt;MaxNatGas),O48+$M$4,MaxNatGas)),IF(OR(O48&gt;=MaxNatGas,O48=""),"",IF(AND(O48&lt;MaxNatGas,O48+$M$13&lt;MaxNatGas),O48+$M$13,MaxNatGas)))</f>
        <v/>
      </c>
    </row>
    <row r="50" spans="15:15" x14ac:dyDescent="0.25">
      <c r="O50" s="161" t="str">
        <f>IF(OR('Event Tracker'!$B$20=1,'Event Tracker'!$B$21=1,),IF(OR(O49&gt;=MaxNatGas,O49=""),"",IF(AND(O49&lt;MaxNatGas,O49+$M$4&lt;MaxNatGas),O49+$M$4,MaxNatGas)),IF(OR(O49&gt;=MaxNatGas,O49=""),"",IF(AND(O49&lt;MaxNatGas,O49+$M$13&lt;MaxNatGas),O49+$M$13,MaxNatGas)))</f>
        <v/>
      </c>
    </row>
    <row r="51" spans="15:15" x14ac:dyDescent="0.25">
      <c r="O51" s="161" t="str">
        <f>IF(OR('Event Tracker'!$B$20=1,'Event Tracker'!$B$21=1,),IF(OR(O50&gt;=MaxNatGas,O50=""),"",IF(AND(O50&lt;MaxNatGas,O50+$M$4&lt;MaxNatGas),O50+$M$4,MaxNatGas)),IF(OR(O50&gt;=MaxNatGas,O50=""),"",IF(AND(O50&lt;MaxNatGas,O50+$M$13&lt;MaxNatGas),O50+$M$13,MaxNatGas)))</f>
        <v/>
      </c>
    </row>
    <row r="52" spans="15:15" x14ac:dyDescent="0.25">
      <c r="O52" s="161" t="str">
        <f>IF(OR('Event Tracker'!$B$20=1,'Event Tracker'!$B$21=1,),IF(OR(O51&gt;=MaxNatGas,O51=""),"",IF(AND(O51&lt;MaxNatGas,O51+$M$4&lt;MaxNatGas),O51+$M$4,MaxNatGas)),IF(OR(O51&gt;=MaxNatGas,O51=""),"",IF(AND(O51&lt;MaxNatGas,O51+$M$13&lt;MaxNatGas),O51+$M$13,MaxNatGas)))</f>
        <v/>
      </c>
    </row>
    <row r="53" spans="15:15" x14ac:dyDescent="0.25">
      <c r="O53" s="161" t="str">
        <f>IF(OR('Event Tracker'!$B$20=1,'Event Tracker'!$B$21=1,),IF(OR(O52&gt;=MaxNatGas,O52=""),"",IF(AND(O52&lt;MaxNatGas,O52+$M$4&lt;MaxNatGas),O52+$M$4,MaxNatGas)),IF(OR(O52&gt;=MaxNatGas,O52=""),"",IF(AND(O52&lt;MaxNatGas,O52+$M$13&lt;MaxNatGas),O52+$M$13,MaxNatGas)))</f>
        <v/>
      </c>
    </row>
    <row r="54" spans="15:15" x14ac:dyDescent="0.25">
      <c r="O54" s="161" t="str">
        <f>IF(OR('Event Tracker'!$B$20=1,'Event Tracker'!$B$21=1,),IF(OR(O53&gt;=MaxNatGas,O53=""),"",IF(AND(O53&lt;MaxNatGas,O53+$M$4&lt;MaxNatGas),O53+$M$4,MaxNatGas)),IF(OR(O53&gt;=MaxNatGas,O53=""),"",IF(AND(O53&lt;MaxNatGas,O53+$M$13&lt;MaxNatGas),O53+$M$13,MaxNatGas)))</f>
        <v/>
      </c>
    </row>
    <row r="55" spans="15:15" x14ac:dyDescent="0.25">
      <c r="O55" s="161" t="str">
        <f>IF(OR('Event Tracker'!$B$20=1,'Event Tracker'!$B$21=1,),IF(OR(O54&gt;=MaxNatGas,O54=""),"",IF(AND(O54&lt;MaxNatGas,O54+$M$4&lt;MaxNatGas),O54+$M$4,MaxNatGas)),IF(OR(O54&gt;=MaxNatGas,O54=""),"",IF(AND(O54&lt;MaxNatGas,O54+$M$13&lt;MaxNatGas),O54+$M$13,MaxNatGas)))</f>
        <v/>
      </c>
    </row>
    <row r="56" spans="15:15" x14ac:dyDescent="0.25">
      <c r="O56" s="161" t="str">
        <f>IF(OR('Event Tracker'!$B$20=1,'Event Tracker'!$B$21=1,),IF(OR(O55&gt;=MaxNatGas,O55=""),"",IF(AND(O55&lt;MaxNatGas,O55+$M$4&lt;MaxNatGas),O55+$M$4,MaxNatGas)),IF(OR(O55&gt;=MaxNatGas,O55=""),"",IF(AND(O55&lt;MaxNatGas,O55+$M$13&lt;MaxNatGas),O55+$M$13,MaxNatGas)))</f>
        <v/>
      </c>
    </row>
    <row r="57" spans="15:15" x14ac:dyDescent="0.25">
      <c r="O57" s="161" t="str">
        <f>IF(OR('Event Tracker'!$B$20=1,'Event Tracker'!$B$21=1,),IF(OR(O56&gt;=MaxNatGas,O56=""),"",IF(AND(O56&lt;MaxNatGas,O56+$M$4&lt;MaxNatGas),O56+$M$4,MaxNatGas)),IF(OR(O56&gt;=MaxNatGas,O56=""),"",IF(AND(O56&lt;MaxNatGas,O56+$M$13&lt;MaxNatGas),O56+$M$13,MaxNatGas)))</f>
        <v/>
      </c>
    </row>
    <row r="58" spans="15:15" x14ac:dyDescent="0.25">
      <c r="O58" s="161" t="str">
        <f>IF(OR('Event Tracker'!$B$20=1,'Event Tracker'!$B$21=1,),IF(OR(O57&gt;=MaxNatGas,O57=""),"",IF(AND(O57&lt;MaxNatGas,O57+$M$4&lt;MaxNatGas),O57+$M$4,MaxNatGas)),IF(OR(O57&gt;=MaxNatGas,O57=""),"",IF(AND(O57&lt;MaxNatGas,O57+$M$13&lt;MaxNatGas),O57+$M$13,MaxNatGas)))</f>
        <v/>
      </c>
    </row>
    <row r="59" spans="15:15" x14ac:dyDescent="0.25">
      <c r="O59" s="161" t="str">
        <f>IF(OR('Event Tracker'!$B$20=1,'Event Tracker'!$B$21=1,),IF(OR(O58&gt;=MaxNatGas,O58=""),"",IF(AND(O58&lt;MaxNatGas,O58+$M$4&lt;MaxNatGas),O58+$M$4,MaxNatGas)),IF(OR(O58&gt;=MaxNatGas,O58=""),"",IF(AND(O58&lt;MaxNatGas,O58+$M$13&lt;MaxNatGas),O58+$M$13,MaxNatGas)))</f>
        <v/>
      </c>
    </row>
    <row r="60" spans="15:15" x14ac:dyDescent="0.25">
      <c r="O60" s="161" t="str">
        <f>IF(OR('Event Tracker'!$B$20=1,'Event Tracker'!$B$21=1,),IF(OR(O59&gt;=MaxNatGas,O59=""),"",IF(AND(O59&lt;MaxNatGas,O59+$M$4&lt;MaxNatGas),O59+$M$4,MaxNatGas)),IF(OR(O59&gt;=MaxNatGas,O59=""),"",IF(AND(O59&lt;MaxNatGas,O59+$M$13&lt;MaxNatGas),O59+$M$13,MaxNatGas)))</f>
        <v/>
      </c>
    </row>
    <row r="61" spans="15:15" x14ac:dyDescent="0.25">
      <c r="O61" s="161" t="str">
        <f>IF(OR('Event Tracker'!$B$20=1,'Event Tracker'!$B$21=1,),IF(OR(O60&gt;=MaxNatGas,O60=""),"",IF(AND(O60&lt;MaxNatGas,O60+$M$4&lt;MaxNatGas),O60+$M$4,MaxNatGas)),IF(OR(O60&gt;=MaxNatGas,O60=""),"",IF(AND(O60&lt;MaxNatGas,O60+$M$13&lt;MaxNatGas),O60+$M$13,MaxNatGas)))</f>
        <v/>
      </c>
    </row>
    <row r="62" spans="15:15" x14ac:dyDescent="0.25">
      <c r="O62" s="161" t="str">
        <f>IF(OR('Event Tracker'!$B$20=1,'Event Tracker'!$B$21=1,),IF(OR(O61&gt;=MaxNatGas,O61=""),"",IF(AND(O61&lt;MaxNatGas,O61+$M$4&lt;MaxNatGas),O61+$M$4,MaxNatGas)),IF(OR(O61&gt;=MaxNatGas,O61=""),"",IF(AND(O61&lt;MaxNatGas,O61+$M$13&lt;MaxNatGas),O61+$M$13,MaxNatGas)))</f>
        <v/>
      </c>
    </row>
    <row r="63" spans="15:15" x14ac:dyDescent="0.25">
      <c r="O63" s="161" t="str">
        <f>IF(OR('Event Tracker'!$B$20=1,'Event Tracker'!$B$21=1,),IF(OR(O62&gt;=MaxNatGas,O62=""),"",IF(AND(O62&lt;MaxNatGas,O62+$M$4&lt;MaxNatGas),O62+$M$4,MaxNatGas)),IF(OR(O62&gt;=MaxNatGas,O62=""),"",IF(AND(O62&lt;MaxNatGas,O62+$M$13&lt;MaxNatGas),O62+$M$13,MaxNatGas)))</f>
        <v/>
      </c>
    </row>
    <row r="64" spans="15:15" x14ac:dyDescent="0.25">
      <c r="O64" s="161" t="str">
        <f>IF(OR('Event Tracker'!$B$20=1,'Event Tracker'!$B$21=1,),IF(OR(O63&gt;=MaxNatGas,O63=""),"",IF(AND(O63&lt;MaxNatGas,O63+$M$4&lt;MaxNatGas),O63+$M$4,MaxNatGas)),IF(OR(O63&gt;=MaxNatGas,O63=""),"",IF(AND(O63&lt;MaxNatGas,O63+$M$13&lt;MaxNatGas),O63+$M$13,MaxNatGas)))</f>
        <v/>
      </c>
    </row>
    <row r="65" spans="15:15" x14ac:dyDescent="0.25">
      <c r="O65" s="161" t="str">
        <f>IF(OR('Event Tracker'!$B$20=1,'Event Tracker'!$B$21=1,),IF(OR(O64&gt;=MaxNatGas,O64=""),"",IF(AND(O64&lt;MaxNatGas,O64+$M$4&lt;MaxNatGas),O64+$M$4,MaxNatGas)),IF(OR(O64&gt;=MaxNatGas,O64=""),"",IF(AND(O64&lt;MaxNatGas,O64+$M$13&lt;MaxNatGas),O64+$M$13,MaxNatGas)))</f>
        <v/>
      </c>
    </row>
    <row r="66" spans="15:15" x14ac:dyDescent="0.25">
      <c r="O66" s="161" t="str">
        <f>IF(OR('Event Tracker'!$B$20=1,'Event Tracker'!$B$21=1,),IF(OR(O65&gt;=MaxNatGas,O65=""),"",IF(AND(O65&lt;MaxNatGas,O65+$M$4&lt;MaxNatGas),O65+$M$4,MaxNatGas)),IF(OR(O65&gt;=MaxNatGas,O65=""),"",IF(AND(O65&lt;MaxNatGas,O65+$M$13&lt;MaxNatGas),O65+$M$13,MaxNatGas)))</f>
        <v/>
      </c>
    </row>
    <row r="67" spans="15:15" x14ac:dyDescent="0.25">
      <c r="O67" s="161" t="str">
        <f>IF(OR('Event Tracker'!$B$20=1,'Event Tracker'!$B$21=1,),IF(OR(O66&gt;=MaxNatGas,O66=""),"",IF(AND(O66&lt;MaxNatGas,O66+$M$4&lt;MaxNatGas),O66+$M$4,MaxNatGas)),IF(OR(O66&gt;=MaxNatGas,O66=""),"",IF(AND(O66&lt;MaxNatGas,O66+$M$13&lt;MaxNatGas),O66+$M$13,MaxNatGas)))</f>
        <v/>
      </c>
    </row>
    <row r="68" spans="15:15" x14ac:dyDescent="0.25">
      <c r="O68" s="161" t="str">
        <f>IF(OR('Event Tracker'!$B$20=1,'Event Tracker'!$B$21=1,),IF(OR(O67&gt;=MaxNatGas,O67=""),"",IF(AND(O67&lt;MaxNatGas,O67+$M$4&lt;MaxNatGas),O67+$M$4,MaxNatGas)),IF(OR(O67&gt;=MaxNatGas,O67=""),"",IF(AND(O67&lt;MaxNatGas,O67+$M$13&lt;MaxNatGas),O67+$M$13,MaxNatGas)))</f>
        <v/>
      </c>
    </row>
    <row r="69" spans="15:15" x14ac:dyDescent="0.25">
      <c r="O69" s="161" t="str">
        <f>IF(OR('Event Tracker'!$B$20=1,'Event Tracker'!$B$21=1,),IF(OR(O68&gt;=MaxNatGas,O68=""),"",IF(AND(O68&lt;MaxNatGas,O68+$M$4&lt;MaxNatGas),O68+$M$4,MaxNatGas)),IF(OR(O68&gt;=MaxNatGas,O68=""),"",IF(AND(O68&lt;MaxNatGas,O68+$M$13&lt;MaxNatGas),O68+$M$13,MaxNatGas)))</f>
        <v/>
      </c>
    </row>
    <row r="70" spans="15:15" x14ac:dyDescent="0.25">
      <c r="O70" s="161" t="str">
        <f>IF(OR('Event Tracker'!$B$20=1,'Event Tracker'!$B$21=1,),IF(OR(O69&gt;=MaxNatGas,O69=""),"",IF(AND(O69&lt;MaxNatGas,O69+$M$4&lt;MaxNatGas),O69+$M$4,MaxNatGas)),IF(OR(O69&gt;=MaxNatGas,O69=""),"",IF(AND(O69&lt;MaxNatGas,O69+$M$13&lt;MaxNatGas),O69+$M$13,MaxNatGas)))</f>
        <v/>
      </c>
    </row>
    <row r="71" spans="15:15" x14ac:dyDescent="0.25">
      <c r="O71" s="161" t="str">
        <f>IF(OR('Event Tracker'!$B$20=1,'Event Tracker'!$B$21=1,),IF(OR(O70&gt;=MaxNatGas,O70=""),"",IF(AND(O70&lt;MaxNatGas,O70+$M$4&lt;MaxNatGas),O70+$M$4,MaxNatGas)),IF(OR(O70&gt;=MaxNatGas,O70=""),"",IF(AND(O70&lt;MaxNatGas,O70+$M$13&lt;MaxNatGas),O70+$M$13,MaxNatGas)))</f>
        <v/>
      </c>
    </row>
    <row r="72" spans="15:15" x14ac:dyDescent="0.25">
      <c r="O72" s="161" t="str">
        <f>IF(OR('Event Tracker'!$B$20=1,'Event Tracker'!$B$21=1,),IF(OR(O71&gt;=MaxNatGas,O71=""),"",IF(AND(O71&lt;MaxNatGas,O71+$M$4&lt;MaxNatGas),O71+$M$4,MaxNatGas)),IF(OR(O71&gt;=MaxNatGas,O71=""),"",IF(AND(O71&lt;MaxNatGas,O71+$M$13&lt;MaxNatGas),O71+$M$13,MaxNatGas)))</f>
        <v/>
      </c>
    </row>
    <row r="73" spans="15:15" x14ac:dyDescent="0.25">
      <c r="O73" s="161" t="str">
        <f>IF(OR('Event Tracker'!$B$20=1,'Event Tracker'!$B$21=1,),IF(OR(O72&gt;=MaxNatGas,O72=""),"",IF(AND(O72&lt;MaxNatGas,O72+$M$4&lt;MaxNatGas),O72+$M$4,MaxNatGas)),IF(OR(O72&gt;=MaxNatGas,O72=""),"",IF(AND(O72&lt;MaxNatGas,O72+$M$13&lt;MaxNatGas),O72+$M$13,MaxNatGas)))</f>
        <v/>
      </c>
    </row>
    <row r="74" spans="15:15" x14ac:dyDescent="0.25">
      <c r="O74" s="161" t="str">
        <f>IF(OR('Event Tracker'!$B$20=1,'Event Tracker'!$B$21=1,),IF(OR(O73&gt;=MaxNatGas,O73=""),"",IF(AND(O73&lt;MaxNatGas,O73+$M$4&lt;MaxNatGas),O73+$M$4,MaxNatGas)),IF(OR(O73&gt;=MaxNatGas,O73=""),"",IF(AND(O73&lt;MaxNatGas,O73+$M$13&lt;MaxNatGas),O73+$M$13,MaxNatGas)))</f>
        <v/>
      </c>
    </row>
    <row r="75" spans="15:15" x14ac:dyDescent="0.25">
      <c r="O75" s="161" t="str">
        <f>IF(OR('Event Tracker'!$B$20=1,'Event Tracker'!$B$21=1,),IF(OR(O74&gt;=MaxNatGas,O74=""),"",IF(AND(O74&lt;MaxNatGas,O74+$M$4&lt;MaxNatGas),O74+$M$4,MaxNatGas)),IF(OR(O74&gt;=MaxNatGas,O74=""),"",IF(AND(O74&lt;MaxNatGas,O74+$M$13&lt;MaxNatGas),O74+$M$13,MaxNatGas)))</f>
        <v/>
      </c>
    </row>
    <row r="76" spans="15:15" x14ac:dyDescent="0.25">
      <c r="O76" s="161" t="str">
        <f>IF(OR('Event Tracker'!$B$20=1,'Event Tracker'!$B$21=1,),IF(OR(O75&gt;=MaxNatGas,O75=""),"",IF(AND(O75&lt;MaxNatGas,O75+$M$4&lt;MaxNatGas),O75+$M$4,MaxNatGas)),IF(OR(O75&gt;=MaxNatGas,O75=""),"",IF(AND(O75&lt;MaxNatGas,O75+$M$13&lt;MaxNatGas),O75+$M$13,MaxNatGas)))</f>
        <v/>
      </c>
    </row>
    <row r="77" spans="15:15" x14ac:dyDescent="0.25">
      <c r="O77" s="161" t="str">
        <f>IF(OR('Event Tracker'!$B$20=1,'Event Tracker'!$B$21=1,),IF(OR(O76&gt;=MaxNatGas,O76=""),"",IF(AND(O76&lt;MaxNatGas,O76+$M$4&lt;MaxNatGas),O76+$M$4,MaxNatGas)),IF(OR(O76&gt;=MaxNatGas,O76=""),"",IF(AND(O76&lt;MaxNatGas,O76+$M$13&lt;MaxNatGas),O76+$M$13,MaxNatGas)))</f>
        <v/>
      </c>
    </row>
    <row r="78" spans="15:15" x14ac:dyDescent="0.25">
      <c r="O78" s="161" t="str">
        <f>IF(OR('Event Tracker'!$B$20=1,'Event Tracker'!$B$21=1,),IF(OR(O77&gt;=MaxNatGas,O77=""),"",IF(AND(O77&lt;MaxNatGas,O77+$M$4&lt;MaxNatGas),O77+$M$4,MaxNatGas)),IF(OR(O77&gt;=MaxNatGas,O77=""),"",IF(AND(O77&lt;MaxNatGas,O77+$M$13&lt;MaxNatGas),O77+$M$13,MaxNatGas)))</f>
        <v/>
      </c>
    </row>
    <row r="79" spans="15:15" x14ac:dyDescent="0.25">
      <c r="O79" s="161" t="str">
        <f>IF(OR('Event Tracker'!$B$20=1,'Event Tracker'!$B$21=1,),IF(OR(O78&gt;=MaxNatGas,O78=""),"",IF(AND(O78&lt;MaxNatGas,O78+$M$4&lt;MaxNatGas),O78+$M$4,MaxNatGas)),IF(OR(O78&gt;=MaxNatGas,O78=""),"",IF(AND(O78&lt;MaxNatGas,O78+$M$13&lt;MaxNatGas),O78+$M$13,MaxNatGas)))</f>
        <v/>
      </c>
    </row>
    <row r="80" spans="15:15" x14ac:dyDescent="0.25">
      <c r="O80" s="161" t="str">
        <f>IF(OR('Event Tracker'!$B$20=1,'Event Tracker'!$B$21=1,),IF(OR(O79&gt;=MaxNatGas,O79=""),"",IF(AND(O79&lt;MaxNatGas,O79+$M$4&lt;MaxNatGas),O79+$M$4,MaxNatGas)),IF(OR(O79&gt;=MaxNatGas,O79=""),"",IF(AND(O79&lt;MaxNatGas,O79+$M$13&lt;MaxNatGas),O79+$M$13,MaxNatGas)))</f>
        <v/>
      </c>
    </row>
    <row r="81" spans="15:15" x14ac:dyDescent="0.25">
      <c r="O81" s="161" t="str">
        <f>IF(OR('Event Tracker'!$B$20=1,'Event Tracker'!$B$21=1,),IF(OR(O80&gt;=MaxNatGas,O80=""),"",IF(AND(O80&lt;MaxNatGas,O80+$M$4&lt;MaxNatGas),O80+$M$4,MaxNatGas)),IF(OR(O80&gt;=MaxNatGas,O80=""),"",IF(AND(O80&lt;MaxNatGas,O80+$M$13&lt;MaxNatGas),O80+$M$13,MaxNatGas)))</f>
        <v/>
      </c>
    </row>
    <row r="82" spans="15:15" x14ac:dyDescent="0.25">
      <c r="O82" s="161" t="str">
        <f>IF(OR('Event Tracker'!$B$20=1,'Event Tracker'!$B$21=1,),IF(OR(O81&gt;=MaxNatGas,O81=""),"",IF(AND(O81&lt;MaxNatGas,O81+$M$4&lt;MaxNatGas),O81+$M$4,MaxNatGas)),IF(OR(O81&gt;=MaxNatGas,O81=""),"",IF(AND(O81&lt;MaxNatGas,O81+$M$13&lt;MaxNatGas),O81+$M$13,MaxNatGas)))</f>
        <v/>
      </c>
    </row>
    <row r="83" spans="15:15" x14ac:dyDescent="0.25">
      <c r="O83" s="161" t="str">
        <f>IF(OR('Event Tracker'!$B$20=1,'Event Tracker'!$B$21=1,),IF(OR(O82&gt;=MaxNatGas,O82=""),"",IF(AND(O82&lt;MaxNatGas,O82+$M$4&lt;MaxNatGas),O82+$M$4,MaxNatGas)),IF(OR(O82&gt;=MaxNatGas,O82=""),"",IF(AND(O82&lt;MaxNatGas,O82+$M$13&lt;MaxNatGas),O82+$M$13,MaxNatGas)))</f>
        <v/>
      </c>
    </row>
    <row r="84" spans="15:15" x14ac:dyDescent="0.25">
      <c r="O84" s="161" t="str">
        <f>IF(OR('Event Tracker'!$B$20=1,'Event Tracker'!$B$21=1,),IF(OR(O83&gt;=MaxNatGas,O83=""),"",IF(AND(O83&lt;MaxNatGas,O83+$M$4&lt;MaxNatGas),O83+$M$4,MaxNatGas)),IF(OR(O83&gt;=MaxNatGas,O83=""),"",IF(AND(O83&lt;MaxNatGas,O83+$M$13&lt;MaxNatGas),O83+$M$13,MaxNatGas)))</f>
        <v/>
      </c>
    </row>
    <row r="85" spans="15:15" x14ac:dyDescent="0.25">
      <c r="O85" s="161" t="str">
        <f>IF(OR('Event Tracker'!$B$20=1,'Event Tracker'!$B$21=1,),IF(OR(O84&gt;=MaxNatGas,O84=""),"",IF(AND(O84&lt;MaxNatGas,O84+$M$4&lt;MaxNatGas),O84+$M$4,MaxNatGas)),IF(OR(O84&gt;=MaxNatGas,O84=""),"",IF(AND(O84&lt;MaxNatGas,O84+$M$13&lt;MaxNatGas),O84+$M$13,MaxNatGas)))</f>
        <v/>
      </c>
    </row>
    <row r="86" spans="15:15" x14ac:dyDescent="0.25">
      <c r="O86" s="161" t="str">
        <f>IF(OR('Event Tracker'!$B$20=1,'Event Tracker'!$B$21=1,),IF(OR(O85&gt;=MaxNatGas,O85=""),"",IF(AND(O85&lt;MaxNatGas,O85+$M$4&lt;MaxNatGas),O85+$M$4,MaxNatGas)),IF(OR(O85&gt;=MaxNatGas,O85=""),"",IF(AND(O85&lt;MaxNatGas,O85+$M$13&lt;MaxNatGas),O85+$M$13,MaxNatGas)))</f>
        <v/>
      </c>
    </row>
    <row r="87" spans="15:15" x14ac:dyDescent="0.25">
      <c r="O87" s="161" t="str">
        <f>IF(OR('Event Tracker'!$B$20=1,'Event Tracker'!$B$21=1,),IF(OR(O86&gt;=MaxNatGas,O86=""),"",IF(AND(O86&lt;MaxNatGas,O86+$M$4&lt;MaxNatGas),O86+$M$4,MaxNatGas)),IF(OR(O86&gt;=MaxNatGas,O86=""),"",IF(AND(O86&lt;MaxNatGas,O86+$M$13&lt;MaxNatGas),O86+$M$13,MaxNatGas)))</f>
        <v/>
      </c>
    </row>
    <row r="88" spans="15:15" x14ac:dyDescent="0.25">
      <c r="O88" s="161" t="str">
        <f>IF(OR('Event Tracker'!$B$20=1,'Event Tracker'!$B$21=1,),IF(OR(O87&gt;=MaxNatGas,O87=""),"",IF(AND(O87&lt;MaxNatGas,O87+$M$4&lt;MaxNatGas),O87+$M$4,MaxNatGas)),IF(OR(O87&gt;=MaxNatGas,O87=""),"",IF(AND(O87&lt;MaxNatGas,O87+$M$13&lt;MaxNatGas),O87+$M$13,MaxNatGas)))</f>
        <v/>
      </c>
    </row>
    <row r="89" spans="15:15" x14ac:dyDescent="0.25">
      <c r="O89" s="161" t="str">
        <f>IF(OR('Event Tracker'!$B$20=1,'Event Tracker'!$B$21=1,),IF(OR(O88&gt;=MaxNatGas,O88=""),"",IF(AND(O88&lt;MaxNatGas,O88+$M$4&lt;MaxNatGas),O88+$M$4,MaxNatGas)),IF(OR(O88&gt;=MaxNatGas,O88=""),"",IF(AND(O88&lt;MaxNatGas,O88+$M$13&lt;MaxNatGas),O88+$M$13,MaxNatGas)))</f>
        <v/>
      </c>
    </row>
    <row r="90" spans="15:15" x14ac:dyDescent="0.25">
      <c r="O90" s="161" t="str">
        <f>IF(OR('Event Tracker'!$B$20=1,'Event Tracker'!$B$21=1,),IF(OR(O89&gt;=MaxNatGas,O89=""),"",IF(AND(O89&lt;MaxNatGas,O89+$M$4&lt;MaxNatGas),O89+$M$4,MaxNatGas)),IF(OR(O89&gt;=MaxNatGas,O89=""),"",IF(AND(O89&lt;MaxNatGas,O89+$M$13&lt;MaxNatGas),O89+$M$13,MaxNatGas)))</f>
        <v/>
      </c>
    </row>
    <row r="91" spans="15:15" x14ac:dyDescent="0.25">
      <c r="O91" s="161" t="str">
        <f>IF(OR('Event Tracker'!$B$20=1,'Event Tracker'!$B$21=1,),IF(OR(O90&gt;=MaxNatGas,O90=""),"",IF(AND(O90&lt;MaxNatGas,O90+$M$4&lt;MaxNatGas),O90+$M$4,MaxNatGas)),IF(OR(O90&gt;=MaxNatGas,O90=""),"",IF(AND(O90&lt;MaxNatGas,O90+$M$13&lt;MaxNatGas),O90+$M$13,MaxNatGas)))</f>
        <v/>
      </c>
    </row>
    <row r="92" spans="15:15" x14ac:dyDescent="0.25">
      <c r="O92" s="161" t="str">
        <f>IF(OR('Event Tracker'!$B$20=1,'Event Tracker'!$B$21=1,),IF(OR(O91&gt;=MaxNatGas,O91=""),"",IF(AND(O91&lt;MaxNatGas,O91+$M$4&lt;MaxNatGas),O91+$M$4,MaxNatGas)),IF(OR(O91&gt;=MaxNatGas,O91=""),"",IF(AND(O91&lt;MaxNatGas,O91+$M$13&lt;MaxNatGas),O91+$M$13,MaxNatGas)))</f>
        <v/>
      </c>
    </row>
    <row r="93" spans="15:15" x14ac:dyDescent="0.25">
      <c r="O93" s="161" t="str">
        <f>IF(OR('Event Tracker'!$B$20=1,'Event Tracker'!$B$21=1,),IF(OR(O92&gt;=MaxNatGas,O92=""),"",IF(AND(O92&lt;MaxNatGas,O92+$M$4&lt;MaxNatGas),O92+$M$4,MaxNatGas)),IF(OR(O92&gt;=MaxNatGas,O92=""),"",IF(AND(O92&lt;MaxNatGas,O92+$M$13&lt;MaxNatGas),O92+$M$13,MaxNatGas)))</f>
        <v/>
      </c>
    </row>
    <row r="94" spans="15:15" x14ac:dyDescent="0.25">
      <c r="O94" s="161" t="str">
        <f>IF(OR('Event Tracker'!$B$20=1,'Event Tracker'!$B$21=1,),IF(OR(O93&gt;=MaxNatGas,O93=""),"",IF(AND(O93&lt;MaxNatGas,O93+$M$4&lt;MaxNatGas),O93+$M$4,MaxNatGas)),IF(OR(O93&gt;=MaxNatGas,O93=""),"",IF(AND(O93&lt;MaxNatGas,O93+$M$13&lt;MaxNatGas),O93+$M$13,MaxNatGas)))</f>
        <v/>
      </c>
    </row>
    <row r="95" spans="15:15" x14ac:dyDescent="0.25">
      <c r="O95" s="161" t="str">
        <f>IF(OR('Event Tracker'!$B$20=1,'Event Tracker'!$B$21=1,),IF(OR(O94&gt;=MaxNatGas,O94=""),"",IF(AND(O94&lt;MaxNatGas,O94+$M$4&lt;MaxNatGas),O94+$M$4,MaxNatGas)),IF(OR(O94&gt;=MaxNatGas,O94=""),"",IF(AND(O94&lt;MaxNatGas,O94+$M$13&lt;MaxNatGas),O94+$M$13,MaxNatGas)))</f>
        <v/>
      </c>
    </row>
    <row r="96" spans="15:15" x14ac:dyDescent="0.25">
      <c r="O96" s="161" t="str">
        <f>IF(OR('Event Tracker'!$B$20=1,'Event Tracker'!$B$21=1,),IF(OR(O95&gt;=MaxNatGas,O95=""),"",IF(AND(O95&lt;MaxNatGas,O95+$M$4&lt;MaxNatGas),O95+$M$4,MaxNatGas)),IF(OR(O95&gt;=MaxNatGas,O95=""),"",IF(AND(O95&lt;MaxNatGas,O95+$M$13&lt;MaxNatGas),O95+$M$13,MaxNatGas)))</f>
        <v/>
      </c>
    </row>
    <row r="97" spans="15:15" x14ac:dyDescent="0.25">
      <c r="O97" s="161" t="str">
        <f>IF(OR('Event Tracker'!$B$20=1,'Event Tracker'!$B$21=1,),IF(OR(O96&gt;=MaxNatGas,O96=""),"",IF(AND(O96&lt;MaxNatGas,O96+$M$4&lt;MaxNatGas),O96+$M$4,MaxNatGas)),IF(OR(O96&gt;=MaxNatGas,O96=""),"",IF(AND(O96&lt;MaxNatGas,O96+$M$13&lt;MaxNatGas),O96+$M$13,MaxNatGas)))</f>
        <v/>
      </c>
    </row>
    <row r="98" spans="15:15" x14ac:dyDescent="0.25">
      <c r="O98" s="161" t="str">
        <f>IF(OR('Event Tracker'!$B$20=1,'Event Tracker'!$B$21=1,),IF(OR(O97&gt;=MaxNatGas,O97=""),"",IF(AND(O97&lt;MaxNatGas,O97+$M$4&lt;MaxNatGas),O97+$M$4,MaxNatGas)),IF(OR(O97&gt;=MaxNatGas,O97=""),"",IF(AND(O97&lt;MaxNatGas,O97+$M$13&lt;MaxNatGas),O97+$M$13,MaxNatGas)))</f>
        <v/>
      </c>
    </row>
    <row r="99" spans="15:15" x14ac:dyDescent="0.25">
      <c r="O99" s="161" t="str">
        <f>IF(OR('Event Tracker'!$B$20=1,'Event Tracker'!$B$21=1,),IF(OR(O98&gt;=MaxNatGas,O98=""),"",IF(AND(O98&lt;MaxNatGas,O98+$M$4&lt;MaxNatGas),O98+$M$4,MaxNatGas)),IF(OR(O98&gt;=MaxNatGas,O98=""),"",IF(AND(O98&lt;MaxNatGas,O98+$M$13&lt;MaxNatGas),O98+$M$13,MaxNatGas)))</f>
        <v/>
      </c>
    </row>
    <row r="100" spans="15:15" x14ac:dyDescent="0.25">
      <c r="O100" s="161" t="str">
        <f>IF(OR('Event Tracker'!$B$20=1,'Event Tracker'!$B$21=1,),IF(OR(O99&gt;=MaxNatGas,O99=""),"",IF(AND(O99&lt;MaxNatGas,O99+$M$4&lt;MaxNatGas),O99+$M$4,MaxNatGas)),IF(OR(O99&gt;=MaxNatGas,O99=""),"",IF(AND(O99&lt;MaxNatGas,O99+$M$13&lt;MaxNatGas),O99+$M$13,MaxNatGas)))</f>
        <v/>
      </c>
    </row>
    <row r="101" spans="15:15" x14ac:dyDescent="0.25">
      <c r="O101" s="161" t="str">
        <f>IF(OR('Event Tracker'!$B$20=1,'Event Tracker'!$B$21=1,),IF(OR(O100&gt;=MaxNatGas,O100=""),"",IF(AND(O100&lt;MaxNatGas,O100+$M$4&lt;MaxNatGas),O100+$M$4,MaxNatGas)),IF(OR(O100&gt;=MaxNatGas,O100=""),"",IF(AND(O100&lt;MaxNatGas,O100+$M$13&lt;MaxNatGas),O100+$M$13,MaxNatGas)))</f>
        <v/>
      </c>
    </row>
    <row r="102" spans="15:15" x14ac:dyDescent="0.25">
      <c r="O102" s="161" t="str">
        <f>IF(OR('Event Tracker'!$B$20=1,'Event Tracker'!$B$21=1,),IF(OR(O101&gt;=MaxNatGas,O101=""),"",IF(AND(O101&lt;MaxNatGas,O101+$M$4&lt;MaxNatGas),O101+$M$4,MaxNatGas)),IF(OR(O101&gt;=MaxNatGas,O101=""),"",IF(AND(O101&lt;MaxNatGas,O101+$M$13&lt;MaxNatGas),O101+$M$13,MaxNatGas)))</f>
        <v/>
      </c>
    </row>
    <row r="103" spans="15:15" x14ac:dyDescent="0.25">
      <c r="O103" s="161" t="str">
        <f>IF(OR('Event Tracker'!$B$20=1,'Event Tracker'!$B$21=1,),IF(OR(O102&gt;=MaxNatGas,O102=""),"",IF(AND(O102&lt;MaxNatGas,O102+$M$4&lt;MaxNatGas),O102+$M$4,MaxNatGas)),IF(OR(O102&gt;=MaxNatGas,O102=""),"",IF(AND(O102&lt;MaxNatGas,O102+$M$13&lt;MaxNatGas),O102+$M$13,MaxNatGas)))</f>
        <v/>
      </c>
    </row>
    <row r="104" spans="15:15" x14ac:dyDescent="0.25">
      <c r="O104" s="161" t="str">
        <f>IF(OR('Event Tracker'!$B$20=1,'Event Tracker'!$B$21=1,),IF(OR(O103&gt;=MaxNatGas,O103=""),"",IF(AND(O103&lt;MaxNatGas,O103+$M$4&lt;MaxNatGas),O103+$M$4,MaxNatGas)),IF(OR(O103&gt;=MaxNatGas,O103=""),"",IF(AND(O103&lt;MaxNatGas,O103+$M$13&lt;MaxNatGas),O103+$M$13,MaxNatGas)))</f>
        <v/>
      </c>
    </row>
    <row r="105" spans="15:15" x14ac:dyDescent="0.25">
      <c r="O105" s="161" t="str">
        <f>IF(OR('Event Tracker'!$B$20=1,'Event Tracker'!$B$21=1,),IF(OR(O104&gt;=MaxNatGas,O104=""),"",IF(AND(O104&lt;MaxNatGas,O104+$M$4&lt;MaxNatGas),O104+$M$4,MaxNatGas)),IF(OR(O104&gt;=MaxNatGas,O104=""),"",IF(AND(O104&lt;MaxNatGas,O104+$M$13&lt;MaxNatGas),O104+$M$13,MaxNatGas)))</f>
        <v/>
      </c>
    </row>
    <row r="106" spans="15:15" x14ac:dyDescent="0.25">
      <c r="O106" s="161" t="str">
        <f>IF(OR('Event Tracker'!$B$20=1,'Event Tracker'!$B$21=1,),IF(OR(O105&gt;=MaxNatGas,O105=""),"",IF(AND(O105&lt;MaxNatGas,O105+$M$4&lt;MaxNatGas),O105+$M$4,MaxNatGas)),IF(OR(O105&gt;=MaxNatGas,O105=""),"",IF(AND(O105&lt;MaxNatGas,O105+$M$13&lt;MaxNatGas),O105+$M$13,MaxNatGas)))</f>
        <v/>
      </c>
    </row>
    <row r="107" spans="15:15" x14ac:dyDescent="0.25">
      <c r="O107" s="161" t="str">
        <f>IF(OR('Event Tracker'!$B$20=1,'Event Tracker'!$B$21=1,),IF(OR(O106&gt;=MaxNatGas,O106=""),"",IF(AND(O106&lt;MaxNatGas,O106+$M$4&lt;MaxNatGas),O106+$M$4,MaxNatGas)),IF(OR(O106&gt;=MaxNatGas,O106=""),"",IF(AND(O106&lt;MaxNatGas,O106+$M$13&lt;MaxNatGas),O106+$M$13,MaxNatGas)))</f>
        <v/>
      </c>
    </row>
    <row r="108" spans="15:15" x14ac:dyDescent="0.25">
      <c r="O108" s="161" t="str">
        <f>IF(OR('Event Tracker'!$B$20=1,'Event Tracker'!$B$21=1,),IF(OR(O107&gt;=MaxNatGas,O107=""),"",IF(AND(O107&lt;MaxNatGas,O107+$M$4&lt;MaxNatGas),O107+$M$4,MaxNatGas)),IF(OR(O107&gt;=MaxNatGas,O107=""),"",IF(AND(O107&lt;MaxNatGas,O107+$M$13&lt;MaxNatGas),O107+$M$13,MaxNatGas)))</f>
        <v/>
      </c>
    </row>
    <row r="109" spans="15:15" x14ac:dyDescent="0.25">
      <c r="O109" s="161" t="str">
        <f>IF(OR('Event Tracker'!$B$20=1,'Event Tracker'!$B$21=1,),IF(OR(O108&gt;=MaxNatGas,O108=""),"",IF(AND(O108&lt;MaxNatGas,O108+$M$4&lt;MaxNatGas),O108+$M$4,MaxNatGas)),IF(OR(O108&gt;=MaxNatGas,O108=""),"",IF(AND(O108&lt;MaxNatGas,O108+$M$13&lt;MaxNatGas),O108+$M$13,MaxNatGas)))</f>
        <v/>
      </c>
    </row>
    <row r="110" spans="15:15" x14ac:dyDescent="0.25">
      <c r="O110" s="161" t="str">
        <f>IF(OR('Event Tracker'!$B$20=1,'Event Tracker'!$B$21=1,),IF(OR(O109&gt;=MaxNatGas,O109=""),"",IF(AND(O109&lt;MaxNatGas,O109+$M$4&lt;MaxNatGas),O109+$M$4,MaxNatGas)),IF(OR(O109&gt;=MaxNatGas,O109=""),"",IF(AND(O109&lt;MaxNatGas,O109+$M$13&lt;MaxNatGas),O109+$M$13,MaxNatGas)))</f>
        <v/>
      </c>
    </row>
    <row r="111" spans="15:15" x14ac:dyDescent="0.25">
      <c r="O111" s="161" t="str">
        <f>IF(OR('Event Tracker'!$B$20=1,'Event Tracker'!$B$21=1,),IF(OR(O110&gt;=MaxNatGas,O110=""),"",IF(AND(O110&lt;MaxNatGas,O110+$M$4&lt;MaxNatGas),O110+$M$4,MaxNatGas)),IF(OR(O110&gt;=MaxNatGas,O110=""),"",IF(AND(O110&lt;MaxNatGas,O110+$M$13&lt;MaxNatGas),O110+$M$13,MaxNatGas)))</f>
        <v/>
      </c>
    </row>
    <row r="112" spans="15:15" x14ac:dyDescent="0.25">
      <c r="O112" s="161" t="str">
        <f>IF(OR('Event Tracker'!$B$20=1,'Event Tracker'!$B$21=1,),IF(OR(O111&gt;=MaxNatGas,O111=""),"",IF(AND(O111&lt;MaxNatGas,O111+$M$4&lt;MaxNatGas),O111+$M$4,MaxNatGas)),IF(OR(O111&gt;=MaxNatGas,O111=""),"",IF(AND(O111&lt;MaxNatGas,O111+$M$13&lt;MaxNatGas),O111+$M$13,MaxNatGas)))</f>
        <v/>
      </c>
    </row>
    <row r="113" spans="15:15" x14ac:dyDescent="0.25">
      <c r="O113" s="161" t="str">
        <f>IF(OR('Event Tracker'!$B$20=1,'Event Tracker'!$B$21=1,),IF(OR(O112&gt;=MaxNatGas,O112=""),"",IF(AND(O112&lt;MaxNatGas,O112+$M$4&lt;MaxNatGas),O112+$M$4,MaxNatGas)),IF(OR(O112&gt;=MaxNatGas,O112=""),"",IF(AND(O112&lt;MaxNatGas,O112+$M$13&lt;MaxNatGas),O112+$M$13,MaxNatGas)))</f>
        <v/>
      </c>
    </row>
    <row r="114" spans="15:15" x14ac:dyDescent="0.25">
      <c r="O114" s="161" t="str">
        <f>IF(OR('Event Tracker'!$B$20=1,'Event Tracker'!$B$21=1,),IF(OR(O113&gt;=MaxNatGas,O113=""),"",IF(AND(O113&lt;MaxNatGas,O113+$M$4&lt;MaxNatGas),O113+$M$4,MaxNatGas)),IF(OR(O113&gt;=MaxNatGas,O113=""),"",IF(AND(O113&lt;MaxNatGas,O113+$M$13&lt;MaxNatGas),O113+$M$13,MaxNatGas)))</f>
        <v/>
      </c>
    </row>
    <row r="115" spans="15:15" x14ac:dyDescent="0.25">
      <c r="O115" s="161" t="str">
        <f>IF(OR('Event Tracker'!$B$20=1,'Event Tracker'!$B$21=1,),IF(OR(O114&gt;=MaxNatGas,O114=""),"",IF(AND(O114&lt;MaxNatGas,O114+$M$4&lt;MaxNatGas),O114+$M$4,MaxNatGas)),IF(OR(O114&gt;=MaxNatGas,O114=""),"",IF(AND(O114&lt;MaxNatGas,O114+$M$13&lt;MaxNatGas),O114+$M$13,MaxNatGas)))</f>
        <v/>
      </c>
    </row>
    <row r="116" spans="15:15" x14ac:dyDescent="0.25">
      <c r="O116" s="161" t="str">
        <f>IF(OR('Event Tracker'!$B$20=1,'Event Tracker'!$B$21=1,),IF(OR(O115&gt;=MaxNatGas,O115=""),"",IF(AND(O115&lt;MaxNatGas,O115+$M$4&lt;MaxNatGas),O115+$M$4,MaxNatGas)),IF(OR(O115&gt;=MaxNatGas,O115=""),"",IF(AND(O115&lt;MaxNatGas,O115+$M$13&lt;MaxNatGas),O115+$M$13,MaxNatGas)))</f>
        <v/>
      </c>
    </row>
    <row r="117" spans="15:15" x14ac:dyDescent="0.25">
      <c r="O117" s="161" t="str">
        <f>IF(OR('Event Tracker'!$B$20=1,'Event Tracker'!$B$21=1,),IF(OR(O116&gt;=MaxNatGas,O116=""),"",IF(AND(O116&lt;MaxNatGas,O116+$M$4&lt;MaxNatGas),O116+$M$4,MaxNatGas)),IF(OR(O116&gt;=MaxNatGas,O116=""),"",IF(AND(O116&lt;MaxNatGas,O116+$M$13&lt;MaxNatGas),O116+$M$13,MaxNatGas)))</f>
        <v/>
      </c>
    </row>
    <row r="118" spans="15:15" x14ac:dyDescent="0.25">
      <c r="O118" s="161" t="str">
        <f>IF(OR('Event Tracker'!$B$20=1,'Event Tracker'!$B$21=1,),IF(OR(O117&gt;=MaxNatGas,O117=""),"",IF(AND(O117&lt;MaxNatGas,O117+$M$4&lt;MaxNatGas),O117+$M$4,MaxNatGas)),IF(OR(O117&gt;=MaxNatGas,O117=""),"",IF(AND(O117&lt;MaxNatGas,O117+$M$13&lt;MaxNatGas),O117+$M$13,MaxNatGas)))</f>
        <v/>
      </c>
    </row>
    <row r="119" spans="15:15" x14ac:dyDescent="0.25">
      <c r="O119" s="161" t="str">
        <f>IF(OR('Event Tracker'!$B$20=1,'Event Tracker'!$B$21=1,),IF(OR(O118&gt;=MaxNatGas,O118=""),"",IF(AND(O118&lt;MaxNatGas,O118+$M$4&lt;MaxNatGas),O118+$M$4,MaxNatGas)),IF(OR(O118&gt;=MaxNatGas,O118=""),"",IF(AND(O118&lt;MaxNatGas,O118+$M$13&lt;MaxNatGas),O118+$M$13,MaxNatGas)))</f>
        <v/>
      </c>
    </row>
    <row r="120" spans="15:15" x14ac:dyDescent="0.25">
      <c r="O120" s="161" t="str">
        <f>IF(OR('Event Tracker'!$B$20=1,'Event Tracker'!$B$21=1,),IF(OR(O119&gt;=MaxNatGas,O119=""),"",IF(AND(O119&lt;MaxNatGas,O119+$M$4&lt;MaxNatGas),O119+$M$4,MaxNatGas)),IF(OR(O119&gt;=MaxNatGas,O119=""),"",IF(AND(O119&lt;MaxNatGas,O119+$M$13&lt;MaxNatGas),O119+$M$13,MaxNatGas)))</f>
        <v/>
      </c>
    </row>
    <row r="121" spans="15:15" x14ac:dyDescent="0.25">
      <c r="O121" s="161" t="str">
        <f>IF(OR('Event Tracker'!$B$20=1,'Event Tracker'!$B$21=1,),IF(OR(O120&gt;=MaxNatGas,O120=""),"",IF(AND(O120&lt;MaxNatGas,O120+$M$4&lt;MaxNatGas),O120+$M$4,MaxNatGas)),IF(OR(O120&gt;=MaxNatGas,O120=""),"",IF(AND(O120&lt;MaxNatGas,O120+$M$13&lt;MaxNatGas),O120+$M$13,MaxNatGas)))</f>
        <v/>
      </c>
    </row>
    <row r="122" spans="15:15" x14ac:dyDescent="0.25">
      <c r="O122" s="161" t="str">
        <f>IF(OR('Event Tracker'!$B$20=1,'Event Tracker'!$B$21=1,),IF(OR(O121&gt;=MaxNatGas,O121=""),"",IF(AND(O121&lt;MaxNatGas,O121+$M$4&lt;MaxNatGas),O121+$M$4,MaxNatGas)),IF(OR(O121&gt;=MaxNatGas,O121=""),"",IF(AND(O121&lt;MaxNatGas,O121+$M$13&lt;MaxNatGas),O121+$M$13,MaxNatGas)))</f>
        <v/>
      </c>
    </row>
    <row r="123" spans="15:15" x14ac:dyDescent="0.25">
      <c r="O123" s="161" t="str">
        <f>IF(OR('Event Tracker'!$B$20=1,'Event Tracker'!$B$21=1,),IF(OR(O122&gt;=MaxNatGas,O122=""),"",IF(AND(O122&lt;MaxNatGas,O122+$M$4&lt;MaxNatGas),O122+$M$4,MaxNatGas)),IF(OR(O122&gt;=MaxNatGas,O122=""),"",IF(AND(O122&lt;MaxNatGas,O122+$M$13&lt;MaxNatGas),O122+$M$13,MaxNatGas)))</f>
        <v/>
      </c>
    </row>
    <row r="124" spans="15:15" x14ac:dyDescent="0.25">
      <c r="O124" s="161" t="str">
        <f>IF(OR('Event Tracker'!$B$20=1,'Event Tracker'!$B$21=1,),IF(OR(O123&gt;=MaxNatGas,O123=""),"",IF(AND(O123&lt;MaxNatGas,O123+$M$4&lt;MaxNatGas),O123+$M$4,MaxNatGas)),IF(OR(O123&gt;=MaxNatGas,O123=""),"",IF(AND(O123&lt;MaxNatGas,O123+$M$13&lt;MaxNatGas),O123+$M$13,MaxNatGas)))</f>
        <v/>
      </c>
    </row>
    <row r="125" spans="15:15" x14ac:dyDescent="0.25">
      <c r="O125" s="161" t="str">
        <f>IF(OR('Event Tracker'!$B$20=1,'Event Tracker'!$B$21=1,),IF(OR(O124&gt;=MaxNatGas,O124=""),"",IF(AND(O124&lt;MaxNatGas,O124+$M$4&lt;MaxNatGas),O124+$M$4,MaxNatGas)),IF(OR(O124&gt;=MaxNatGas,O124=""),"",IF(AND(O124&lt;MaxNatGas,O124+$M$13&lt;MaxNatGas),O124+$M$13,MaxNatGas)))</f>
        <v/>
      </c>
    </row>
    <row r="126" spans="15:15" x14ac:dyDescent="0.25">
      <c r="O126" s="161" t="str">
        <f>IF(OR('Event Tracker'!$B$20=1,'Event Tracker'!$B$21=1,),IF(OR(O125&gt;=MaxNatGas,O125=""),"",IF(AND(O125&lt;MaxNatGas,O125+$M$4&lt;MaxNatGas),O125+$M$4,MaxNatGas)),IF(OR(O125&gt;=MaxNatGas,O125=""),"",IF(AND(O125&lt;MaxNatGas,O125+$M$13&lt;MaxNatGas),O125+$M$13,MaxNatGas)))</f>
        <v/>
      </c>
    </row>
    <row r="127" spans="15:15" x14ac:dyDescent="0.25">
      <c r="O127" s="161" t="str">
        <f>IF(OR('Event Tracker'!$B$20=1,'Event Tracker'!$B$21=1,),IF(OR(O126&gt;=MaxNatGas,O126=""),"",IF(AND(O126&lt;MaxNatGas,O126+$M$4&lt;MaxNatGas),O126+$M$4,MaxNatGas)),IF(OR(O126&gt;=MaxNatGas,O126=""),"",IF(AND(O126&lt;MaxNatGas,O126+$M$13&lt;MaxNatGas),O126+$M$13,MaxNatGas)))</f>
        <v/>
      </c>
    </row>
    <row r="128" spans="15:15" x14ac:dyDescent="0.25">
      <c r="O128" s="161" t="str">
        <f>IF(OR('Event Tracker'!$B$20=1,'Event Tracker'!$B$21=1,),IF(OR(O127&gt;=MaxNatGas,O127=""),"",IF(AND(O127&lt;MaxNatGas,O127+$M$4&lt;MaxNatGas),O127+$M$4,MaxNatGas)),IF(OR(O127&gt;=MaxNatGas,O127=""),"",IF(AND(O127&lt;MaxNatGas,O127+$M$13&lt;MaxNatGas),O127+$M$13,MaxNatGas)))</f>
        <v/>
      </c>
    </row>
    <row r="129" spans="15:15" x14ac:dyDescent="0.25">
      <c r="O129" s="161" t="str">
        <f>IF(OR('Event Tracker'!$B$20=1,'Event Tracker'!$B$21=1,),IF(OR(O128&gt;=MaxNatGas,O128=""),"",IF(AND(O128&lt;MaxNatGas,O128+$M$4&lt;MaxNatGas),O128+$M$4,MaxNatGas)),IF(OR(O128&gt;=MaxNatGas,O128=""),"",IF(AND(O128&lt;MaxNatGas,O128+$M$13&lt;MaxNatGas),O128+$M$13,MaxNatGas)))</f>
        <v/>
      </c>
    </row>
    <row r="130" spans="15:15" x14ac:dyDescent="0.25">
      <c r="O130" s="161" t="str">
        <f>IF(OR('Event Tracker'!$B$20=1,'Event Tracker'!$B$21=1,),IF(OR(O129&gt;=MaxNatGas,O129=""),"",IF(AND(O129&lt;MaxNatGas,O129+$M$4&lt;MaxNatGas),O129+$M$4,MaxNatGas)),IF(OR(O129&gt;=MaxNatGas,O129=""),"",IF(AND(O129&lt;MaxNatGas,O129+$M$13&lt;MaxNatGas),O129+$M$13,MaxNatGas)))</f>
        <v/>
      </c>
    </row>
    <row r="131" spans="15:15" x14ac:dyDescent="0.25">
      <c r="O131" s="161" t="str">
        <f>IF(OR('Event Tracker'!$B$20=1,'Event Tracker'!$B$21=1,),IF(OR(O130&gt;=MaxNatGas,O130=""),"",IF(AND(O130&lt;MaxNatGas,O130+$M$4&lt;MaxNatGas),O130+$M$4,MaxNatGas)),IF(OR(O130&gt;=MaxNatGas,O130=""),"",IF(AND(O130&lt;MaxNatGas,O130+$M$13&lt;MaxNatGas),O130+$M$13,MaxNatGas)))</f>
        <v/>
      </c>
    </row>
    <row r="132" spans="15:15" x14ac:dyDescent="0.25">
      <c r="O132" s="161" t="str">
        <f>IF(OR('Event Tracker'!$B$20=1,'Event Tracker'!$B$21=1,),IF(OR(O131&gt;=MaxNatGas,O131=""),"",IF(AND(O131&lt;MaxNatGas,O131+$M$4&lt;MaxNatGas),O131+$M$4,MaxNatGas)),IF(OR(O131&gt;=MaxNatGas,O131=""),"",IF(AND(O131&lt;MaxNatGas,O131+$M$13&lt;MaxNatGas),O131+$M$13,MaxNatGas)))</f>
        <v/>
      </c>
    </row>
    <row r="133" spans="15:15" x14ac:dyDescent="0.25">
      <c r="O133" s="161" t="str">
        <f>IF(OR('Event Tracker'!$B$20=1,'Event Tracker'!$B$21=1,),IF(OR(O132&gt;=MaxNatGas,O132=""),"",IF(AND(O132&lt;MaxNatGas,O132+$M$4&lt;MaxNatGas),O132+$M$4,MaxNatGas)),IF(OR(O132&gt;=MaxNatGas,O132=""),"",IF(AND(O132&lt;MaxNatGas,O132+$M$13&lt;MaxNatGas),O132+$M$13,MaxNatGas)))</f>
        <v/>
      </c>
    </row>
    <row r="134" spans="15:15" x14ac:dyDescent="0.25">
      <c r="O134" s="161" t="str">
        <f>IF(OR('Event Tracker'!$B$20=1,'Event Tracker'!$B$21=1,),IF(OR(O133&gt;=MaxNatGas,O133=""),"",IF(AND(O133&lt;MaxNatGas,O133+$M$4&lt;MaxNatGas),O133+$M$4,MaxNatGas)),IF(OR(O133&gt;=MaxNatGas,O133=""),"",IF(AND(O133&lt;MaxNatGas,O133+$M$13&lt;MaxNatGas),O133+$M$13,MaxNatGas)))</f>
        <v/>
      </c>
    </row>
    <row r="135" spans="15:15" x14ac:dyDescent="0.25">
      <c r="O135" s="161" t="str">
        <f>IF(OR('Event Tracker'!$B$20=1,'Event Tracker'!$B$21=1,),IF(OR(O134&gt;=MaxNatGas,O134=""),"",IF(AND(O134&lt;MaxNatGas,O134+$M$4&lt;MaxNatGas),O134+$M$4,MaxNatGas)),IF(OR(O134&gt;=MaxNatGas,O134=""),"",IF(AND(O134&lt;MaxNatGas,O134+$M$13&lt;MaxNatGas),O134+$M$13,MaxNatGas)))</f>
        <v/>
      </c>
    </row>
    <row r="136" spans="15:15" x14ac:dyDescent="0.25">
      <c r="O136" s="161" t="str">
        <f>IF(OR('Event Tracker'!$B$20=1,'Event Tracker'!$B$21=1,),IF(OR(O135&gt;=MaxNatGas,O135=""),"",IF(AND(O135&lt;MaxNatGas,O135+$M$4&lt;MaxNatGas),O135+$M$4,MaxNatGas)),IF(OR(O135&gt;=MaxNatGas,O135=""),"",IF(AND(O135&lt;MaxNatGas,O135+$M$13&lt;MaxNatGas),O135+$M$13,MaxNatGas)))</f>
        <v/>
      </c>
    </row>
    <row r="137" spans="15:15" x14ac:dyDescent="0.25">
      <c r="O137" s="161" t="str">
        <f>IF(OR('Event Tracker'!$B$20=1,'Event Tracker'!$B$21=1,),IF(OR(O136&gt;=MaxNatGas,O136=""),"",IF(AND(O136&lt;MaxNatGas,O136+$M$4&lt;MaxNatGas),O136+$M$4,MaxNatGas)),IF(OR(O136&gt;=MaxNatGas,O136=""),"",IF(AND(O136&lt;MaxNatGas,O136+$M$13&lt;MaxNatGas),O136+$M$13,MaxNatGas)))</f>
        <v/>
      </c>
    </row>
    <row r="138" spans="15:15" x14ac:dyDescent="0.25">
      <c r="O138" s="161" t="str">
        <f>IF(OR('Event Tracker'!$B$20=1,'Event Tracker'!$B$21=1,),IF(OR(O137&gt;=MaxNatGas,O137=""),"",IF(AND(O137&lt;MaxNatGas,O137+$M$4&lt;MaxNatGas),O137+$M$4,MaxNatGas)),IF(OR(O137&gt;=MaxNatGas,O137=""),"",IF(AND(O137&lt;MaxNatGas,O137+$M$13&lt;MaxNatGas),O137+$M$13,MaxNatGas)))</f>
        <v/>
      </c>
    </row>
    <row r="139" spans="15:15" x14ac:dyDescent="0.25">
      <c r="O139" s="161" t="str">
        <f>IF(OR('Event Tracker'!$B$20=1,'Event Tracker'!$B$21=1,),IF(OR(O138&gt;=MaxNatGas,O138=""),"",IF(AND(O138&lt;MaxNatGas,O138+$M$4&lt;MaxNatGas),O138+$M$4,MaxNatGas)),IF(OR(O138&gt;=MaxNatGas,O138=""),"",IF(AND(O138&lt;MaxNatGas,O138+$M$13&lt;MaxNatGas),O138+$M$13,MaxNatGas)))</f>
        <v/>
      </c>
    </row>
    <row r="140" spans="15:15" x14ac:dyDescent="0.25">
      <c r="O140" s="161" t="str">
        <f>IF(OR('Event Tracker'!$B$20=1,'Event Tracker'!$B$21=1,),IF(OR(O139&gt;=MaxNatGas,O139=""),"",IF(AND(O139&lt;MaxNatGas,O139+$M$4&lt;MaxNatGas),O139+$M$4,MaxNatGas)),IF(OR(O139&gt;=MaxNatGas,O139=""),"",IF(AND(O139&lt;MaxNatGas,O139+$M$13&lt;MaxNatGas),O139+$M$13,MaxNatGas)))</f>
        <v/>
      </c>
    </row>
    <row r="141" spans="15:15" x14ac:dyDescent="0.25">
      <c r="O141" s="161" t="str">
        <f>IF(OR('Event Tracker'!$B$20=1,'Event Tracker'!$B$21=1,),IF(OR(O140&gt;=MaxNatGas,O140=""),"",IF(AND(O140&lt;MaxNatGas,O140+$M$4&lt;MaxNatGas),O140+$M$4,MaxNatGas)),IF(OR(O140&gt;=MaxNatGas,O140=""),"",IF(AND(O140&lt;MaxNatGas,O140+$M$13&lt;MaxNatGas),O140+$M$13,MaxNatGas)))</f>
        <v/>
      </c>
    </row>
    <row r="142" spans="15:15" x14ac:dyDescent="0.25">
      <c r="O142" s="161" t="str">
        <f>IF(OR('Event Tracker'!$B$20=1,'Event Tracker'!$B$21=1,),IF(OR(O141&gt;=MaxNatGas,O141=""),"",IF(AND(O141&lt;MaxNatGas,O141+$M$4&lt;MaxNatGas),O141+$M$4,MaxNatGas)),IF(OR(O141&gt;=MaxNatGas,O141=""),"",IF(AND(O141&lt;MaxNatGas,O141+$M$13&lt;MaxNatGas),O141+$M$13,MaxNatGas)))</f>
        <v/>
      </c>
    </row>
    <row r="143" spans="15:15" x14ac:dyDescent="0.25">
      <c r="O143" s="161" t="str">
        <f>IF(OR('Event Tracker'!$B$20=1,'Event Tracker'!$B$21=1,),IF(OR(O142&gt;=MaxNatGas,O142=""),"",IF(AND(O142&lt;MaxNatGas,O142+$M$4&lt;MaxNatGas),O142+$M$4,MaxNatGas)),IF(OR(O142&gt;=MaxNatGas,O142=""),"",IF(AND(O142&lt;MaxNatGas,O142+$M$13&lt;MaxNatGas),O142+$M$13,MaxNatGas)))</f>
        <v/>
      </c>
    </row>
    <row r="144" spans="15:15" x14ac:dyDescent="0.25">
      <c r="O144" s="161" t="str">
        <f>IF(OR('Event Tracker'!$B$20=1,'Event Tracker'!$B$21=1,),IF(OR(O143&gt;=MaxNatGas,O143=""),"",IF(AND(O143&lt;MaxNatGas,O143+$M$4&lt;MaxNatGas),O143+$M$4,MaxNatGas)),IF(OR(O143&gt;=MaxNatGas,O143=""),"",IF(AND(O143&lt;MaxNatGas,O143+$M$13&lt;MaxNatGas),O143+$M$13,MaxNatGas)))</f>
        <v/>
      </c>
    </row>
    <row r="145" spans="15:15" x14ac:dyDescent="0.25">
      <c r="O145" s="161" t="str">
        <f>IF(OR('Event Tracker'!$B$20=1,'Event Tracker'!$B$21=1,),IF(OR(O144&gt;=MaxNatGas,O144=""),"",IF(AND(O144&lt;MaxNatGas,O144+$M$4&lt;MaxNatGas),O144+$M$4,MaxNatGas)),IF(OR(O144&gt;=MaxNatGas,O144=""),"",IF(AND(O144&lt;MaxNatGas,O144+$M$13&lt;MaxNatGas),O144+$M$13,MaxNatGas)))</f>
        <v/>
      </c>
    </row>
    <row r="146" spans="15:15" x14ac:dyDescent="0.25">
      <c r="O146" s="161" t="str">
        <f>IF(OR('Event Tracker'!$B$20=1,'Event Tracker'!$B$21=1,),IF(OR(O145&gt;=MaxNatGas,O145=""),"",IF(AND(O145&lt;MaxNatGas,O145+$M$4&lt;MaxNatGas),O145+$M$4,MaxNatGas)),IF(OR(O145&gt;=MaxNatGas,O145=""),"",IF(AND(O145&lt;MaxNatGas,O145+$M$13&lt;MaxNatGas),O145+$M$13,MaxNatGas)))</f>
        <v/>
      </c>
    </row>
    <row r="147" spans="15:15" x14ac:dyDescent="0.25">
      <c r="O147" s="161" t="str">
        <f>IF(OR('Event Tracker'!$B$20=1,'Event Tracker'!$B$21=1,),IF(OR(O146&gt;=MaxNatGas,O146=""),"",IF(AND(O146&lt;MaxNatGas,O146+$M$4&lt;MaxNatGas),O146+$M$4,MaxNatGas)),IF(OR(O146&gt;=MaxNatGas,O146=""),"",IF(AND(O146&lt;MaxNatGas,O146+$M$13&lt;MaxNatGas),O146+$M$13,MaxNatGas)))</f>
        <v/>
      </c>
    </row>
    <row r="148" spans="15:15" x14ac:dyDescent="0.25">
      <c r="O148" s="161" t="str">
        <f>IF(OR('Event Tracker'!$B$20=1,'Event Tracker'!$B$21=1,),IF(OR(O147&gt;=MaxNatGas,O147=""),"",IF(AND(O147&lt;MaxNatGas,O147+$M$4&lt;MaxNatGas),O147+$M$4,MaxNatGas)),IF(OR(O147&gt;=MaxNatGas,O147=""),"",IF(AND(O147&lt;MaxNatGas,O147+$M$13&lt;MaxNatGas),O147+$M$13,MaxNatGas)))</f>
        <v/>
      </c>
    </row>
    <row r="149" spans="15:15" x14ac:dyDescent="0.25">
      <c r="O149" s="161" t="str">
        <f>IF(OR('Event Tracker'!$B$20=1,'Event Tracker'!$B$21=1,),IF(OR(O148&gt;=MaxNatGas,O148=""),"",IF(AND(O148&lt;MaxNatGas,O148+$M$4&lt;MaxNatGas),O148+$M$4,MaxNatGas)),IF(OR(O148&gt;=MaxNatGas,O148=""),"",IF(AND(O148&lt;MaxNatGas,O148+$M$13&lt;MaxNatGas),O148+$M$13,MaxNatGas)))</f>
        <v/>
      </c>
    </row>
    <row r="150" spans="15:15" x14ac:dyDescent="0.25">
      <c r="O150" s="161" t="str">
        <f>IF(OR('Event Tracker'!$B$20=1,'Event Tracker'!$B$21=1,),IF(OR(O149&gt;=MaxNatGas,O149=""),"",IF(AND(O149&lt;MaxNatGas,O149+$M$4&lt;MaxNatGas),O149+$M$4,MaxNatGas)),IF(OR(O149&gt;=MaxNatGas,O149=""),"",IF(AND(O149&lt;MaxNatGas,O149+$M$13&lt;MaxNatGas),O149+$M$13,MaxNatGas)))</f>
        <v/>
      </c>
    </row>
    <row r="151" spans="15:15" x14ac:dyDescent="0.25">
      <c r="O151" s="161" t="str">
        <f>IF(OR('Event Tracker'!$B$20=1,'Event Tracker'!$B$21=1,),IF(OR(O150&gt;=MaxNatGas,O150=""),"",IF(AND(O150&lt;MaxNatGas,O150+$M$4&lt;MaxNatGas),O150+$M$4,MaxNatGas)),IF(OR(O150&gt;=MaxNatGas,O150=""),"",IF(AND(O150&lt;MaxNatGas,O150+$M$13&lt;MaxNatGas),O150+$M$13,MaxNatGas)))</f>
        <v/>
      </c>
    </row>
    <row r="152" spans="15:15" x14ac:dyDescent="0.25">
      <c r="O152" s="161" t="str">
        <f>IF(OR('Event Tracker'!$B$20=1,'Event Tracker'!$B$21=1,),IF(OR(O151&gt;=MaxNatGas,O151=""),"",IF(AND(O151&lt;MaxNatGas,O151+$M$4&lt;MaxNatGas),O151+$M$4,MaxNatGas)),IF(OR(O151&gt;=MaxNatGas,O151=""),"",IF(AND(O151&lt;MaxNatGas,O151+$M$13&lt;MaxNatGas),O151+$M$13,MaxNatGas)))</f>
        <v/>
      </c>
    </row>
    <row r="153" spans="15:15" x14ac:dyDescent="0.25">
      <c r="O153" s="161" t="str">
        <f>IF(OR('Event Tracker'!$B$20=1,'Event Tracker'!$B$21=1,),IF(OR(O152&gt;=MaxNatGas,O152=""),"",IF(AND(O152&lt;MaxNatGas,O152+$M$4&lt;MaxNatGas),O152+$M$4,MaxNatGas)),IF(OR(O152&gt;=MaxNatGas,O152=""),"",IF(AND(O152&lt;MaxNatGas,O152+$M$13&lt;MaxNatGas),O152+$M$13,MaxNatGas)))</f>
        <v/>
      </c>
    </row>
    <row r="154" spans="15:15" x14ac:dyDescent="0.25">
      <c r="O154" s="161" t="str">
        <f>IF(OR('Event Tracker'!$B$20=1,'Event Tracker'!$B$21=1,),IF(OR(O153&gt;=MaxNatGas,O153=""),"",IF(AND(O153&lt;MaxNatGas,O153+$M$4&lt;MaxNatGas),O153+$M$4,MaxNatGas)),IF(OR(O153&gt;=MaxNatGas,O153=""),"",IF(AND(O153&lt;MaxNatGas,O153+$M$13&lt;MaxNatGas),O153+$M$13,MaxNatGas)))</f>
        <v/>
      </c>
    </row>
    <row r="155" spans="15:15" x14ac:dyDescent="0.25">
      <c r="O155" s="161" t="str">
        <f>IF(OR('Event Tracker'!$B$20=1,'Event Tracker'!$B$21=1,),IF(OR(O154&gt;=MaxNatGas,O154=""),"",IF(AND(O154&lt;MaxNatGas,O154+$M$4&lt;MaxNatGas),O154+$M$4,MaxNatGas)),IF(OR(O154&gt;=MaxNatGas,O154=""),"",IF(AND(O154&lt;MaxNatGas,O154+$M$13&lt;MaxNatGas),O154+$M$13,MaxNatGas)))</f>
        <v/>
      </c>
    </row>
    <row r="156" spans="15:15" x14ac:dyDescent="0.25">
      <c r="O156" s="161" t="str">
        <f>IF(OR('Event Tracker'!$B$20=1,'Event Tracker'!$B$21=1,),IF(OR(O155&gt;=MaxNatGas,O155=""),"",IF(AND(O155&lt;MaxNatGas,O155+$M$4&lt;MaxNatGas),O155+$M$4,MaxNatGas)),IF(OR(O155&gt;=MaxNatGas,O155=""),"",IF(AND(O155&lt;MaxNatGas,O155+$M$13&lt;MaxNatGas),O155+$M$13,MaxNatGas)))</f>
        <v/>
      </c>
    </row>
    <row r="157" spans="15:15" x14ac:dyDescent="0.25">
      <c r="O157" s="161" t="str">
        <f>IF(OR('Event Tracker'!$B$20=1,'Event Tracker'!$B$21=1,),IF(OR(O156&gt;=MaxNatGas,O156=""),"",IF(AND(O156&lt;MaxNatGas,O156+$M$4&lt;MaxNatGas),O156+$M$4,MaxNatGas)),IF(OR(O156&gt;=MaxNatGas,O156=""),"",IF(AND(O156&lt;MaxNatGas,O156+$M$13&lt;MaxNatGas),O156+$M$13,MaxNatGas)))</f>
        <v/>
      </c>
    </row>
    <row r="158" spans="15:15" x14ac:dyDescent="0.25">
      <c r="O158" s="161" t="str">
        <f>IF(OR('Event Tracker'!$B$20=1,'Event Tracker'!$B$21=1,),IF(OR(O157&gt;=MaxNatGas,O157=""),"",IF(AND(O157&lt;MaxNatGas,O157+$M$4&lt;MaxNatGas),O157+$M$4,MaxNatGas)),IF(OR(O157&gt;=MaxNatGas,O157=""),"",IF(AND(O157&lt;MaxNatGas,O157+$M$13&lt;MaxNatGas),O157+$M$13,MaxNatGas)))</f>
        <v/>
      </c>
    </row>
    <row r="159" spans="15:15" x14ac:dyDescent="0.25">
      <c r="O159" s="161" t="str">
        <f>IF(OR('Event Tracker'!$B$20=1,'Event Tracker'!$B$21=1,),IF(OR(O158&gt;=MaxNatGas,O158=""),"",IF(AND(O158&lt;MaxNatGas,O158+$M$4&lt;MaxNatGas),O158+$M$4,MaxNatGas)),IF(OR(O158&gt;=MaxNatGas,O158=""),"",IF(AND(O158&lt;MaxNatGas,O158+$M$13&lt;MaxNatGas),O158+$M$13,MaxNatGas)))</f>
        <v/>
      </c>
    </row>
    <row r="160" spans="15:15" x14ac:dyDescent="0.25">
      <c r="O160" s="161" t="str">
        <f>IF(OR('Event Tracker'!$B$20=1,'Event Tracker'!$B$21=1,),IF(OR(O159&gt;=MaxNatGas,O159=""),"",IF(AND(O159&lt;MaxNatGas,O159+$M$4&lt;MaxNatGas),O159+$M$4,MaxNatGas)),IF(OR(O159&gt;=MaxNatGas,O159=""),"",IF(AND(O159&lt;MaxNatGas,O159+$M$13&lt;MaxNatGas),O159+$M$13,MaxNatGas)))</f>
        <v/>
      </c>
    </row>
    <row r="161" spans="15:15" x14ac:dyDescent="0.25">
      <c r="O161" s="161" t="str">
        <f>IF(OR('Event Tracker'!$B$20=1,'Event Tracker'!$B$21=1,),IF(OR(O160&gt;=MaxNatGas,O160=""),"",IF(AND(O160&lt;MaxNatGas,O160+$M$4&lt;MaxNatGas),O160+$M$4,MaxNatGas)),IF(OR(O160&gt;=MaxNatGas,O160=""),"",IF(AND(O160&lt;MaxNatGas,O160+$M$13&lt;MaxNatGas),O160+$M$13,MaxNatGas)))</f>
        <v/>
      </c>
    </row>
    <row r="162" spans="15:15" x14ac:dyDescent="0.25">
      <c r="O162" s="161" t="str">
        <f>IF(OR('Event Tracker'!$B$20=1,'Event Tracker'!$B$21=1,),IF(OR(O161&gt;=MaxNatGas,O161=""),"",IF(AND(O161&lt;MaxNatGas,O161+$M$4&lt;MaxNatGas),O161+$M$4,MaxNatGas)),IF(OR(O161&gt;=MaxNatGas,O161=""),"",IF(AND(O161&lt;MaxNatGas,O161+$M$13&lt;MaxNatGas),O161+$M$13,MaxNatGas)))</f>
        <v/>
      </c>
    </row>
    <row r="163" spans="15:15" x14ac:dyDescent="0.25">
      <c r="O163" s="161" t="str">
        <f>IF(OR('Event Tracker'!$B$20=1,'Event Tracker'!$B$21=1,),IF(OR(O162&gt;=MaxNatGas,O162=""),"",IF(AND(O162&lt;MaxNatGas,O162+$M$4&lt;MaxNatGas),O162+$M$4,MaxNatGas)),IF(OR(O162&gt;=MaxNatGas,O162=""),"",IF(AND(O162&lt;MaxNatGas,O162+$M$13&lt;MaxNatGas),O162+$M$13,MaxNatGas)))</f>
        <v/>
      </c>
    </row>
    <row r="164" spans="15:15" x14ac:dyDescent="0.25">
      <c r="O164" s="161" t="str">
        <f>IF(OR('Event Tracker'!$B$20=1,'Event Tracker'!$B$21=1,),IF(OR(O163&gt;=MaxNatGas,O163=""),"",IF(AND(O163&lt;MaxNatGas,O163+$M$4&lt;MaxNatGas),O163+$M$4,MaxNatGas)),IF(OR(O163&gt;=MaxNatGas,O163=""),"",IF(AND(O163&lt;MaxNatGas,O163+$M$13&lt;MaxNatGas),O163+$M$13,MaxNatGas)))</f>
        <v/>
      </c>
    </row>
    <row r="165" spans="15:15" x14ac:dyDescent="0.25">
      <c r="O165" s="161" t="str">
        <f>IF(OR('Event Tracker'!$B$20=1,'Event Tracker'!$B$21=1,),IF(OR(O164&gt;=MaxNatGas,O164=""),"",IF(AND(O164&lt;MaxNatGas,O164+$M$4&lt;MaxNatGas),O164+$M$4,MaxNatGas)),IF(OR(O164&gt;=MaxNatGas,O164=""),"",IF(AND(O164&lt;MaxNatGas,O164+$M$13&lt;MaxNatGas),O164+$M$13,MaxNatGas)))</f>
        <v/>
      </c>
    </row>
    <row r="166" spans="15:15" x14ac:dyDescent="0.25">
      <c r="O166" s="161" t="str">
        <f>IF(OR('Event Tracker'!$B$20=1,'Event Tracker'!$B$21=1,),IF(OR(O165&gt;=MaxNatGas,O165=""),"",IF(AND(O165&lt;MaxNatGas,O165+$M$4&lt;MaxNatGas),O165+$M$4,MaxNatGas)),IF(OR(O165&gt;=MaxNatGas,O165=""),"",IF(AND(O165&lt;MaxNatGas,O165+$M$13&lt;MaxNatGas),O165+$M$13,MaxNatGas)))</f>
        <v/>
      </c>
    </row>
    <row r="167" spans="15:15" x14ac:dyDescent="0.25">
      <c r="O167" s="161" t="str">
        <f>IF(OR('Event Tracker'!$B$20=1,'Event Tracker'!$B$21=1,),IF(OR(O166&gt;=MaxNatGas,O166=""),"",IF(AND(O166&lt;MaxNatGas,O166+$M$4&lt;MaxNatGas),O166+$M$4,MaxNatGas)),IF(OR(O166&gt;=MaxNatGas,O166=""),"",IF(AND(O166&lt;MaxNatGas,O166+$M$13&lt;MaxNatGas),O166+$M$13,MaxNatGas)))</f>
        <v/>
      </c>
    </row>
    <row r="168" spans="15:15" x14ac:dyDescent="0.25">
      <c r="O168" s="161" t="str">
        <f>IF(OR('Event Tracker'!$B$20=1,'Event Tracker'!$B$21=1,),IF(OR(O167&gt;=MaxNatGas,O167=""),"",IF(AND(O167&lt;MaxNatGas,O167+$M$4&lt;MaxNatGas),O167+$M$4,MaxNatGas)),IF(OR(O167&gt;=MaxNatGas,O167=""),"",IF(AND(O167&lt;MaxNatGas,O167+$M$13&lt;MaxNatGas),O167+$M$13,MaxNatGas)))</f>
        <v/>
      </c>
    </row>
    <row r="169" spans="15:15" x14ac:dyDescent="0.25">
      <c r="O169" s="161" t="str">
        <f>IF(OR('Event Tracker'!$B$20=1,'Event Tracker'!$B$21=1,),IF(OR(O168&gt;=MaxNatGas,O168=""),"",IF(AND(O168&lt;MaxNatGas,O168+$M$4&lt;MaxNatGas),O168+$M$4,MaxNatGas)),IF(OR(O168&gt;=MaxNatGas,O168=""),"",IF(AND(O168&lt;MaxNatGas,O168+$M$13&lt;MaxNatGas),O168+$M$13,MaxNatGas)))</f>
        <v/>
      </c>
    </row>
    <row r="170" spans="15:15" x14ac:dyDescent="0.25">
      <c r="O170" s="161" t="str">
        <f>IF(OR('Event Tracker'!$B$20=1,'Event Tracker'!$B$21=1,),IF(OR(O169&gt;=MaxNatGas,O169=""),"",IF(AND(O169&lt;MaxNatGas,O169+$M$4&lt;MaxNatGas),O169+$M$4,MaxNatGas)),IF(OR(O169&gt;=MaxNatGas,O169=""),"",IF(AND(O169&lt;MaxNatGas,O169+$M$13&lt;MaxNatGas),O169+$M$13,MaxNatGas)))</f>
        <v/>
      </c>
    </row>
    <row r="171" spans="15:15" x14ac:dyDescent="0.25">
      <c r="O171" s="161" t="str">
        <f>IF(OR('Event Tracker'!$B$20=1,'Event Tracker'!$B$21=1,),IF(OR(O170&gt;=MaxNatGas,O170=""),"",IF(AND(O170&lt;MaxNatGas,O170+$M$4&lt;MaxNatGas),O170+$M$4,MaxNatGas)),IF(OR(O170&gt;=MaxNatGas,O170=""),"",IF(AND(O170&lt;MaxNatGas,O170+$M$13&lt;MaxNatGas),O170+$M$13,MaxNatGas)))</f>
        <v/>
      </c>
    </row>
    <row r="172" spans="15:15" x14ac:dyDescent="0.25">
      <c r="O172" s="161" t="str">
        <f>IF(OR('Event Tracker'!$B$20=1,'Event Tracker'!$B$21=1,),IF(OR(O171&gt;=MaxNatGas,O171=""),"",IF(AND(O171&lt;MaxNatGas,O171+$M$4&lt;MaxNatGas),O171+$M$4,MaxNatGas)),IF(OR(O171&gt;=MaxNatGas,O171=""),"",IF(AND(O171&lt;MaxNatGas,O171+$M$13&lt;MaxNatGas),O171+$M$13,MaxNatGas)))</f>
        <v/>
      </c>
    </row>
    <row r="173" spans="15:15" x14ac:dyDescent="0.25">
      <c r="O173" s="161" t="str">
        <f>IF(OR('Event Tracker'!$B$20=1,'Event Tracker'!$B$21=1,),IF(OR(O172&gt;=MaxNatGas,O172=""),"",IF(AND(O172&lt;MaxNatGas,O172+$M$4&lt;MaxNatGas),O172+$M$4,MaxNatGas)),IF(OR(O172&gt;=MaxNatGas,O172=""),"",IF(AND(O172&lt;MaxNatGas,O172+$M$13&lt;MaxNatGas),O172+$M$13,MaxNatGas)))</f>
        <v/>
      </c>
    </row>
    <row r="174" spans="15:15" x14ac:dyDescent="0.25">
      <c r="O174" s="161" t="str">
        <f>IF(OR('Event Tracker'!$B$20=1,'Event Tracker'!$B$21=1,),IF(OR(O173&gt;=MaxNatGas,O173=""),"",IF(AND(O173&lt;MaxNatGas,O173+$M$4&lt;MaxNatGas),O173+$M$4,MaxNatGas)),IF(OR(O173&gt;=MaxNatGas,O173=""),"",IF(AND(O173&lt;MaxNatGas,O173+$M$13&lt;MaxNatGas),O173+$M$13,MaxNatGas)))</f>
        <v/>
      </c>
    </row>
    <row r="175" spans="15:15" x14ac:dyDescent="0.25">
      <c r="O175" s="161" t="str">
        <f>IF(OR('Event Tracker'!$B$20=1,'Event Tracker'!$B$21=1,),IF(OR(O174&gt;=MaxNatGas,O174=""),"",IF(AND(O174&lt;MaxNatGas,O174+$M$4&lt;MaxNatGas),O174+$M$4,MaxNatGas)),IF(OR(O174&gt;=MaxNatGas,O174=""),"",IF(AND(O174&lt;MaxNatGas,O174+$M$13&lt;MaxNatGas),O174+$M$13,MaxNatGas)))</f>
        <v/>
      </c>
    </row>
    <row r="176" spans="15:15" x14ac:dyDescent="0.25">
      <c r="O176" s="161" t="str">
        <f>IF(OR('Event Tracker'!$B$20=1,'Event Tracker'!$B$21=1,),IF(OR(O175&gt;=MaxNatGas,O175=""),"",IF(AND(O175&lt;MaxNatGas,O175+$M$4&lt;MaxNatGas),O175+$M$4,MaxNatGas)),IF(OR(O175&gt;=MaxNatGas,O175=""),"",IF(AND(O175&lt;MaxNatGas,O175+$M$13&lt;MaxNatGas),O175+$M$13,MaxNatGas)))</f>
        <v/>
      </c>
    </row>
    <row r="177" spans="15:15" x14ac:dyDescent="0.25">
      <c r="O177" s="161" t="str">
        <f>IF(OR('Event Tracker'!$B$20=1,'Event Tracker'!$B$21=1,),IF(OR(O176&gt;=MaxNatGas,O176=""),"",IF(AND(O176&lt;MaxNatGas,O176+$M$4&lt;MaxNatGas),O176+$M$4,MaxNatGas)),IF(OR(O176&gt;=MaxNatGas,O176=""),"",IF(AND(O176&lt;MaxNatGas,O176+$M$13&lt;MaxNatGas),O176+$M$13,MaxNatGas)))</f>
        <v/>
      </c>
    </row>
    <row r="178" spans="15:15" x14ac:dyDescent="0.25">
      <c r="O178" s="161" t="str">
        <f>IF(OR('Event Tracker'!$B$20=1,'Event Tracker'!$B$21=1,),IF(OR(O177&gt;=MaxNatGas,O177=""),"",IF(AND(O177&lt;MaxNatGas,O177+$M$4&lt;MaxNatGas),O177+$M$4,MaxNatGas)),IF(OR(O177&gt;=MaxNatGas,O177=""),"",IF(AND(O177&lt;MaxNatGas,O177+$M$13&lt;MaxNatGas),O177+$M$13,MaxNatGas)))</f>
        <v/>
      </c>
    </row>
    <row r="179" spans="15:15" x14ac:dyDescent="0.25">
      <c r="O179" s="161" t="str">
        <f>IF(OR('Event Tracker'!$B$20=1,'Event Tracker'!$B$21=1,),IF(OR(O178&gt;=MaxNatGas,O178=""),"",IF(AND(O178&lt;MaxNatGas,O178+$M$4&lt;MaxNatGas),O178+$M$4,MaxNatGas)),IF(OR(O178&gt;=MaxNatGas,O178=""),"",IF(AND(O178&lt;MaxNatGas,O178+$M$13&lt;MaxNatGas),O178+$M$13,MaxNatGas)))</f>
        <v/>
      </c>
    </row>
    <row r="180" spans="15:15" x14ac:dyDescent="0.25">
      <c r="O180" s="161" t="str">
        <f>IF(OR('Event Tracker'!$B$20=1,'Event Tracker'!$B$21=1,),IF(OR(O179&gt;=MaxNatGas,O179=""),"",IF(AND(O179&lt;MaxNatGas,O179+$M$4&lt;MaxNatGas),O179+$M$4,MaxNatGas)),IF(OR(O179&gt;=MaxNatGas,O179=""),"",IF(AND(O179&lt;MaxNatGas,O179+$M$13&lt;MaxNatGas),O179+$M$13,MaxNatGas)))</f>
        <v/>
      </c>
    </row>
    <row r="181" spans="15:15" x14ac:dyDescent="0.25">
      <c r="O181" s="161" t="str">
        <f>IF(OR('Event Tracker'!$B$20=1,'Event Tracker'!$B$21=1,),IF(OR(O180&gt;=MaxNatGas,O180=""),"",IF(AND(O180&lt;MaxNatGas,O180+$M$4&lt;MaxNatGas),O180+$M$4,MaxNatGas)),IF(OR(O180&gt;=MaxNatGas,O180=""),"",IF(AND(O180&lt;MaxNatGas,O180+$M$13&lt;MaxNatGas),O180+$M$13,MaxNatGas)))</f>
        <v/>
      </c>
    </row>
    <row r="182" spans="15:15" x14ac:dyDescent="0.25">
      <c r="O182" s="161" t="str">
        <f>IF(OR('Event Tracker'!$B$20=1,'Event Tracker'!$B$21=1,),IF(OR(O181&gt;=MaxNatGas,O181=""),"",IF(AND(O181&lt;MaxNatGas,O181+$M$4&lt;MaxNatGas),O181+$M$4,MaxNatGas)),IF(OR(O181&gt;=MaxNatGas,O181=""),"",IF(AND(O181&lt;MaxNatGas,O181+$M$13&lt;MaxNatGas),O181+$M$13,MaxNatGas)))</f>
        <v/>
      </c>
    </row>
    <row r="183" spans="15:15" x14ac:dyDescent="0.25">
      <c r="O183" s="161" t="str">
        <f>IF(OR('Event Tracker'!$B$20=1,'Event Tracker'!$B$21=1,),IF(OR(O182&gt;=MaxNatGas,O182=""),"",IF(AND(O182&lt;MaxNatGas,O182+$M$4&lt;MaxNatGas),O182+$M$4,MaxNatGas)),IF(OR(O182&gt;=MaxNatGas,O182=""),"",IF(AND(O182&lt;MaxNatGas,O182+$M$13&lt;MaxNatGas),O182+$M$13,MaxNatGas)))</f>
        <v/>
      </c>
    </row>
    <row r="184" spans="15:15" x14ac:dyDescent="0.25">
      <c r="O184" s="161" t="str">
        <f>IF(OR('Event Tracker'!$B$20=1,'Event Tracker'!$B$21=1,),IF(OR(O183&gt;=MaxNatGas,O183=""),"",IF(AND(O183&lt;MaxNatGas,O183+$M$4&lt;MaxNatGas),O183+$M$4,MaxNatGas)),IF(OR(O183&gt;=MaxNatGas,O183=""),"",IF(AND(O183&lt;MaxNatGas,O183+$M$13&lt;MaxNatGas),O183+$M$13,MaxNatGas)))</f>
        <v/>
      </c>
    </row>
    <row r="185" spans="15:15" x14ac:dyDescent="0.25">
      <c r="O185" s="161" t="str">
        <f>IF(OR('Event Tracker'!$B$20=1,'Event Tracker'!$B$21=1,),IF(OR(O184&gt;=MaxNatGas,O184=""),"",IF(AND(O184&lt;MaxNatGas,O184+$M$4&lt;MaxNatGas),O184+$M$4,MaxNatGas)),IF(OR(O184&gt;=MaxNatGas,O184=""),"",IF(AND(O184&lt;MaxNatGas,O184+$M$13&lt;MaxNatGas),O184+$M$13,MaxNatGas)))</f>
        <v/>
      </c>
    </row>
    <row r="186" spans="15:15" x14ac:dyDescent="0.25">
      <c r="O186" s="161" t="str">
        <f>IF(OR('Event Tracker'!$B$20=1,'Event Tracker'!$B$21=1,),IF(OR(O185&gt;=MaxNatGas,O185=""),"",IF(AND(O185&lt;MaxNatGas,O185+$M$4&lt;MaxNatGas),O185+$M$4,MaxNatGas)),IF(OR(O185&gt;=MaxNatGas,O185=""),"",IF(AND(O185&lt;MaxNatGas,O185+$M$13&lt;MaxNatGas),O185+$M$13,MaxNatGas)))</f>
        <v/>
      </c>
    </row>
    <row r="187" spans="15:15" x14ac:dyDescent="0.25">
      <c r="O187" s="161" t="str">
        <f>IF(OR('Event Tracker'!$B$20=1,'Event Tracker'!$B$21=1,),IF(OR(O186&gt;=MaxNatGas,O186=""),"",IF(AND(O186&lt;MaxNatGas,O186+$M$4&lt;MaxNatGas),O186+$M$4,MaxNatGas)),IF(OR(O186&gt;=MaxNatGas,O186=""),"",IF(AND(O186&lt;MaxNatGas,O186+$M$13&lt;MaxNatGas),O186+$M$13,MaxNatGas)))</f>
        <v/>
      </c>
    </row>
    <row r="188" spans="15:15" x14ac:dyDescent="0.25">
      <c r="O188" s="161" t="str">
        <f>IF(OR('Event Tracker'!$B$20=1,'Event Tracker'!$B$21=1,),IF(OR(O187&gt;=MaxNatGas,O187=""),"",IF(AND(O187&lt;MaxNatGas,O187+$M$4&lt;MaxNatGas),O187+$M$4,MaxNatGas)),IF(OR(O187&gt;=MaxNatGas,O187=""),"",IF(AND(O187&lt;MaxNatGas,O187+$M$13&lt;MaxNatGas),O187+$M$13,MaxNatGas)))</f>
        <v/>
      </c>
    </row>
    <row r="189" spans="15:15" x14ac:dyDescent="0.25">
      <c r="O189" s="161" t="str">
        <f>IF(OR('Event Tracker'!$B$20=1,'Event Tracker'!$B$21=1,),IF(OR(O188&gt;=MaxNatGas,O188=""),"",IF(AND(O188&lt;MaxNatGas,O188+$M$4&lt;MaxNatGas),O188+$M$4,MaxNatGas)),IF(OR(O188&gt;=MaxNatGas,O188=""),"",IF(AND(O188&lt;MaxNatGas,O188+$M$13&lt;MaxNatGas),O188+$M$13,MaxNatGas)))</f>
        <v/>
      </c>
    </row>
    <row r="190" spans="15:15" x14ac:dyDescent="0.25">
      <c r="O190" s="161" t="str">
        <f>IF(OR('Event Tracker'!$B$20=1,'Event Tracker'!$B$21=1,),IF(OR(O189&gt;=MaxNatGas,O189=""),"",IF(AND(O189&lt;MaxNatGas,O189+$M$4&lt;MaxNatGas),O189+$M$4,MaxNatGas)),IF(OR(O189&gt;=MaxNatGas,O189=""),"",IF(AND(O189&lt;MaxNatGas,O189+$M$13&lt;MaxNatGas),O189+$M$13,MaxNatGas)))</f>
        <v/>
      </c>
    </row>
    <row r="191" spans="15:15" x14ac:dyDescent="0.25">
      <c r="O191" s="161" t="str">
        <f>IF(OR('Event Tracker'!$B$20=1,'Event Tracker'!$B$21=1,),IF(OR(O190&gt;=MaxNatGas,O190=""),"",IF(AND(O190&lt;MaxNatGas,O190+$M$4&lt;MaxNatGas),O190+$M$4,MaxNatGas)),IF(OR(O190&gt;=MaxNatGas,O190=""),"",IF(AND(O190&lt;MaxNatGas,O190+$M$13&lt;MaxNatGas),O190+$M$13,MaxNatGas)))</f>
        <v/>
      </c>
    </row>
    <row r="192" spans="15:15" x14ac:dyDescent="0.25">
      <c r="O192" s="161" t="str">
        <f>IF(OR('Event Tracker'!$B$20=1,'Event Tracker'!$B$21=1,),IF(OR(O191&gt;=MaxNatGas,O191=""),"",IF(AND(O191&lt;MaxNatGas,O191+$M$4&lt;MaxNatGas),O191+$M$4,MaxNatGas)),IF(OR(O191&gt;=MaxNatGas,O191=""),"",IF(AND(O191&lt;MaxNatGas,O191+$M$13&lt;MaxNatGas),O191+$M$13,MaxNatGas)))</f>
        <v/>
      </c>
    </row>
    <row r="193" spans="15:15" x14ac:dyDescent="0.25">
      <c r="O193" s="161" t="str">
        <f>IF(OR('Event Tracker'!$B$20=1,'Event Tracker'!$B$21=1,),IF(OR(O192&gt;=MaxNatGas,O192=""),"",IF(AND(O192&lt;MaxNatGas,O192+$M$4&lt;MaxNatGas),O192+$M$4,MaxNatGas)),IF(OR(O192&gt;=MaxNatGas,O192=""),"",IF(AND(O192&lt;MaxNatGas,O192+$M$13&lt;MaxNatGas),O192+$M$13,MaxNatGas)))</f>
        <v/>
      </c>
    </row>
    <row r="194" spans="15:15" x14ac:dyDescent="0.25">
      <c r="O194" s="161" t="str">
        <f>IF(OR('Event Tracker'!$B$20=1,'Event Tracker'!$B$21=1,),IF(OR(O193&gt;=MaxNatGas,O193=""),"",IF(AND(O193&lt;MaxNatGas,O193+$M$4&lt;MaxNatGas),O193+$M$4,MaxNatGas)),IF(OR(O193&gt;=MaxNatGas,O193=""),"",IF(AND(O193&lt;MaxNatGas,O193+$M$13&lt;MaxNatGas),O193+$M$13,MaxNatGas)))</f>
        <v/>
      </c>
    </row>
    <row r="195" spans="15:15" x14ac:dyDescent="0.25">
      <c r="O195" s="161" t="str">
        <f>IF(OR('Event Tracker'!$B$20=1,'Event Tracker'!$B$21=1,),IF(OR(O194&gt;=MaxNatGas,O194=""),"",IF(AND(O194&lt;MaxNatGas,O194+$M$4&lt;MaxNatGas),O194+$M$4,MaxNatGas)),IF(OR(O194&gt;=MaxNatGas,O194=""),"",IF(AND(O194&lt;MaxNatGas,O194+$M$13&lt;MaxNatGas),O194+$M$13,MaxNatGas)))</f>
        <v/>
      </c>
    </row>
    <row r="196" spans="15:15" x14ac:dyDescent="0.25">
      <c r="O196" s="161" t="str">
        <f>IF(OR('Event Tracker'!$B$20=1,'Event Tracker'!$B$21=1,),IF(OR(O195&gt;=MaxNatGas,O195=""),"",IF(AND(O195&lt;MaxNatGas,O195+$M$4&lt;MaxNatGas),O195+$M$4,MaxNatGas)),IF(OR(O195&gt;=MaxNatGas,O195=""),"",IF(AND(O195&lt;MaxNatGas,O195+$M$13&lt;MaxNatGas),O195+$M$13,MaxNatGas)))</f>
        <v/>
      </c>
    </row>
    <row r="197" spans="15:15" x14ac:dyDescent="0.25">
      <c r="O197" s="161" t="str">
        <f>IF(OR('Event Tracker'!$B$20=1,'Event Tracker'!$B$21=1,),IF(OR(O196&gt;=MaxNatGas,O196=""),"",IF(AND(O196&lt;MaxNatGas,O196+$M$4&lt;MaxNatGas),O196+$M$4,MaxNatGas)),IF(OR(O196&gt;=MaxNatGas,O196=""),"",IF(AND(O196&lt;MaxNatGas,O196+$M$13&lt;MaxNatGas),O196+$M$13,MaxNatGas)))</f>
        <v/>
      </c>
    </row>
    <row r="198" spans="15:15" x14ac:dyDescent="0.25">
      <c r="O198" s="161" t="str">
        <f>IF(OR('Event Tracker'!$B$20=1,'Event Tracker'!$B$21=1,),IF(OR(O197&gt;=MaxNatGas,O197=""),"",IF(AND(O197&lt;MaxNatGas,O197+$M$4&lt;MaxNatGas),O197+$M$4,MaxNatGas)),IF(OR(O197&gt;=MaxNatGas,O197=""),"",IF(AND(O197&lt;MaxNatGas,O197+$M$13&lt;MaxNatGas),O197+$M$13,MaxNatGas)))</f>
        <v/>
      </c>
    </row>
    <row r="199" spans="15:15" x14ac:dyDescent="0.25">
      <c r="O199" s="161" t="str">
        <f>IF(OR('Event Tracker'!$B$20=1,'Event Tracker'!$B$21=1,),IF(OR(O198&gt;=MaxNatGas,O198=""),"",IF(AND(O198&lt;MaxNatGas,O198+$M$4&lt;MaxNatGas),O198+$M$4,MaxNatGas)),IF(OR(O198&gt;=MaxNatGas,O198=""),"",IF(AND(O198&lt;MaxNatGas,O198+$M$13&lt;MaxNatGas),O198+$M$13,MaxNatGas)))</f>
        <v/>
      </c>
    </row>
  </sheetData>
  <sortState xmlns:xlrd2="http://schemas.microsoft.com/office/spreadsheetml/2017/richdata2" ref="A2:A7">
    <sortCondition descending="1" ref="A2:A7"/>
  </sortState>
  <mergeCells count="7">
    <mergeCell ref="AC1:AD1"/>
    <mergeCell ref="L20:M20"/>
    <mergeCell ref="H1:I1"/>
    <mergeCell ref="J1:K1"/>
    <mergeCell ref="L1:M1"/>
    <mergeCell ref="L2:M2"/>
    <mergeCell ref="L11:M11"/>
  </mergeCells>
  <pageMargins left="0.7" right="0.7" top="0.75" bottom="0.75" header="0.3" footer="0.3"/>
  <pageSetup orientation="portrait" r:id="rId1"/>
  <cellWatches>
    <cellWatch r="I9"/>
  </cellWatche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5"/>
  </sheetPr>
  <dimension ref="A1:O10"/>
  <sheetViews>
    <sheetView workbookViewId="0">
      <selection activeCell="C5" sqref="C5"/>
    </sheetView>
  </sheetViews>
  <sheetFormatPr defaultRowHeight="15" x14ac:dyDescent="0.25"/>
  <cols>
    <col min="1" max="1" width="27.140625" bestFit="1" customWidth="1"/>
    <col min="14" max="14" width="14" bestFit="1" customWidth="1"/>
  </cols>
  <sheetData>
    <row r="1" spans="1:15" ht="15.75" thickBot="1" x14ac:dyDescent="0.3">
      <c r="A1" s="9" t="s">
        <v>133</v>
      </c>
      <c r="B1" s="9">
        <v>0</v>
      </c>
      <c r="C1" s="9">
        <v>1</v>
      </c>
      <c r="D1" s="9">
        <v>2</v>
      </c>
      <c r="E1" s="9">
        <v>3</v>
      </c>
      <c r="F1" s="9">
        <v>4</v>
      </c>
      <c r="G1" s="9">
        <v>5</v>
      </c>
      <c r="H1" s="9">
        <v>6</v>
      </c>
      <c r="I1" s="9">
        <v>7</v>
      </c>
      <c r="J1" s="9">
        <v>8</v>
      </c>
      <c r="K1" s="9">
        <v>9</v>
      </c>
      <c r="L1" s="9">
        <v>10</v>
      </c>
      <c r="N1" s="112" t="s">
        <v>264</v>
      </c>
      <c r="O1" s="112">
        <f>Current_Round</f>
        <v>0</v>
      </c>
    </row>
    <row r="2" spans="1:15" x14ac:dyDescent="0.25">
      <c r="A2" t="s">
        <v>134</v>
      </c>
      <c r="B2">
        <f>SUMPRODUCT(Dispatch!B186:B187,'Game Assumptions'!$K$28:$K$29)</f>
        <v>33074874.600000001</v>
      </c>
      <c r="C2">
        <f>SUMPRODUCT(Dispatch!C186:C187,'Game Assumptions'!$K$28:$K$29)</f>
        <v>34879484.294317901</v>
      </c>
      <c r="D2">
        <f>SUMPRODUCT(Dispatch!D186:D187,'Game Assumptions'!$K$28:$K$29)</f>
        <v>29428361.716231678</v>
      </c>
      <c r="E2">
        <f>SUMPRODUCT(Dispatch!E186:E187,'Game Assumptions'!$K$28:$K$29)</f>
        <v>23603364.277088508</v>
      </c>
      <c r="F2">
        <f>SUMPRODUCT(Dispatch!F186:F187,'Game Assumptions'!$K$28:$K$29)</f>
        <v>22788340.901889853</v>
      </c>
      <c r="G2">
        <f>SUMPRODUCT(Dispatch!G186:G187,'Game Assumptions'!$K$28:$K$29)</f>
        <v>22448266.376946844</v>
      </c>
      <c r="H2">
        <f>SUMPRODUCT(Dispatch!H186:H187,'Game Assumptions'!$K$28:$K$29)</f>
        <v>22054646.570696846</v>
      </c>
      <c r="I2">
        <f>SUMPRODUCT(Dispatch!I186:I187,'Game Assumptions'!$K$28:$K$29)</f>
        <v>21911055.114446849</v>
      </c>
      <c r="J2">
        <f>SUMPRODUCT(Dispatch!J186:J187,'Game Assumptions'!$K$28:$K$29)</f>
        <v>21692717.420696847</v>
      </c>
      <c r="K2">
        <f>SUMPRODUCT(Dispatch!K186:K187,'Game Assumptions'!$K$28:$K$29)</f>
        <v>21425860.239446849</v>
      </c>
      <c r="L2">
        <f>SUMPRODUCT(Dispatch!L186:L187,'Game Assumptions'!$K$28:$K$29)</f>
        <v>21183918.470696844</v>
      </c>
    </row>
    <row r="3" spans="1:15" x14ac:dyDescent="0.25">
      <c r="A3" t="s">
        <v>338</v>
      </c>
      <c r="B3">
        <f>B2*2000/(Dispatch!B144+Dispatch!B192+'Resource Mix and Demand'!B57)</f>
        <v>1077.7907015393157</v>
      </c>
      <c r="C3">
        <f>C2*2000/(Dispatch!C144+Dispatch!C192+'Resource Mix and Demand'!C57)</f>
        <v>1129.6828657016795</v>
      </c>
      <c r="D3">
        <f>D2*2000/(Dispatch!D144+Dispatch!D192+'Resource Mix and Demand'!D57)</f>
        <v>927.73737033998839</v>
      </c>
      <c r="E3">
        <f>E2*2000/(Dispatch!E144+Dispatch!E192+'Resource Mix and Demand'!E57)</f>
        <v>731.33899170922359</v>
      </c>
      <c r="F3">
        <f>F2*2000/(Dispatch!F144+Dispatch!F192+'Resource Mix and Demand'!F57)</f>
        <v>708.23591095276697</v>
      </c>
      <c r="G3">
        <f>G2*2000/(Dispatch!G144+Dispatch!G192+'Resource Mix and Demand'!G57)</f>
        <v>701.68696547926334</v>
      </c>
      <c r="H3">
        <f>H2*2000/(Dispatch!H144+Dispatch!H192+'Resource Mix and Demand'!H57)</f>
        <v>700.49895376170548</v>
      </c>
      <c r="I3">
        <f>I2*2000/(Dispatch!I144+Dispatch!I192+'Resource Mix and Demand'!I57)</f>
        <v>700.05597668238784</v>
      </c>
      <c r="J3">
        <f>J2*2000/(Dispatch!J144+Dispatch!J192+'Resource Mix and Demand'!J57)</f>
        <v>699.37227218514556</v>
      </c>
      <c r="K3">
        <f>K2*2000/(Dispatch!K144+Dispatch!K192+'Resource Mix and Demand'!K57)</f>
        <v>698.51958555030626</v>
      </c>
      <c r="L3">
        <f>L2*2000/(Dispatch!L144+Dispatch!L192+'Resource Mix and Demand'!L57)</f>
        <v>697.72980226375637</v>
      </c>
    </row>
    <row r="5" spans="1:15" x14ac:dyDescent="0.25">
      <c r="A5" s="9" t="s">
        <v>414</v>
      </c>
      <c r="B5" s="9">
        <v>0</v>
      </c>
      <c r="C5" s="9">
        <v>1</v>
      </c>
      <c r="D5" s="9">
        <v>2</v>
      </c>
      <c r="E5" s="9">
        <v>3</v>
      </c>
      <c r="F5" s="9">
        <v>4</v>
      </c>
      <c r="G5" s="9">
        <v>5</v>
      </c>
      <c r="H5" s="9">
        <v>6</v>
      </c>
      <c r="I5" s="9">
        <v>7</v>
      </c>
      <c r="J5" s="9">
        <v>8</v>
      </c>
      <c r="K5" s="9">
        <v>9</v>
      </c>
      <c r="L5" s="9">
        <v>10</v>
      </c>
    </row>
    <row r="6" spans="1:15" x14ac:dyDescent="0.25">
      <c r="A6" t="s">
        <v>415</v>
      </c>
      <c r="B6" s="16">
        <f>B3</f>
        <v>1077.7907015393157</v>
      </c>
      <c r="C6" s="16">
        <f>B6-($B$6-$G$6)/COUNT($C$5:$G$5)</f>
        <v>970.03256123145252</v>
      </c>
      <c r="D6" s="16">
        <f>C6-($B$6-$G$6)/COUNT($C$5:$G$5)</f>
        <v>862.27442092358933</v>
      </c>
      <c r="E6" s="16">
        <f>D6-($B$6-$G$6)/COUNT($C$5:$G$5)</f>
        <v>754.51628061572615</v>
      </c>
      <c r="F6" s="16">
        <f>E6-($B$6-$G$6)/COUNT($C$5:$G$5)</f>
        <v>646.75814030786296</v>
      </c>
      <c r="G6" s="16">
        <f>'Game Assumptions'!B160</f>
        <v>539</v>
      </c>
      <c r="H6" s="16"/>
      <c r="I6" s="16"/>
      <c r="J6" s="16"/>
      <c r="K6" s="16"/>
    </row>
    <row r="7" spans="1:15" x14ac:dyDescent="0.25">
      <c r="A7" t="s">
        <v>416</v>
      </c>
      <c r="C7" s="16">
        <f>AVERAGE(B6:C6)</f>
        <v>1023.9116313853841</v>
      </c>
      <c r="D7" s="16">
        <f>AVERAGE(C6:D6)</f>
        <v>916.15349107752093</v>
      </c>
      <c r="E7" s="16">
        <f>AVERAGE(D6:E6)</f>
        <v>808.39535076965774</v>
      </c>
      <c r="F7" s="16">
        <f>AVERAGE(E6:F6)</f>
        <v>700.63721046179455</v>
      </c>
      <c r="G7" s="16">
        <f>AVERAGE(F6:G6)</f>
        <v>592.87907015393148</v>
      </c>
      <c r="H7" s="16"/>
      <c r="I7" s="16"/>
      <c r="J7" s="16"/>
      <c r="K7" s="16"/>
      <c r="L7" s="16"/>
    </row>
    <row r="8" spans="1:15" x14ac:dyDescent="0.25">
      <c r="A8" t="s">
        <v>442</v>
      </c>
      <c r="B8">
        <v>0</v>
      </c>
      <c r="C8" s="5">
        <f>IF(C3&lt;C6,1,IF(C3&gt;B6,-1,(C7-C3)/(C7-C6)))</f>
        <v>-1</v>
      </c>
      <c r="D8" s="5">
        <f>IF(D3&lt;D6,1,IF(D3&gt;C6,-1,(D7-D3)/(D7-D6)))</f>
        <v>-0.21499775755915079</v>
      </c>
      <c r="E8" s="5">
        <f>IF(E3&lt;E6,1,IF(E3&gt;D6,-1,(E7-E3)/(E7-E6)))</f>
        <v>1</v>
      </c>
      <c r="F8" s="5">
        <f>IF(F3&lt;F6,1,IF(F3&gt;E6,-1,(F7-F3)/(F7-F6)))</f>
        <v>-0.14103250982734222</v>
      </c>
      <c r="G8" s="5">
        <f>IF(G3&lt;G6,1,IF(G3&gt;F6,-1,(G7-G3)/(G7-G6)))</f>
        <v>-1</v>
      </c>
      <c r="H8" s="5"/>
      <c r="I8" s="5"/>
      <c r="J8" s="5"/>
      <c r="K8" s="5"/>
      <c r="L8" s="5"/>
    </row>
    <row r="9" spans="1:15" x14ac:dyDescent="0.25">
      <c r="A9" s="15"/>
    </row>
    <row r="10" spans="1:15" x14ac:dyDescent="0.25">
      <c r="A10" s="1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theme="5"/>
  </sheetPr>
  <dimension ref="A1:O109"/>
  <sheetViews>
    <sheetView topLeftCell="A22" workbookViewId="0">
      <selection activeCell="A55" sqref="A55:L55"/>
    </sheetView>
  </sheetViews>
  <sheetFormatPr defaultRowHeight="15" x14ac:dyDescent="0.25"/>
  <cols>
    <col min="1" max="1" width="47.85546875" customWidth="1"/>
    <col min="14" max="14" width="13.140625" bestFit="1" customWidth="1"/>
    <col min="15" max="15" width="10.140625" customWidth="1"/>
  </cols>
  <sheetData>
    <row r="1" spans="1:15" ht="15.75" thickBot="1" x14ac:dyDescent="0.3">
      <c r="A1" s="9" t="s">
        <v>147</v>
      </c>
      <c r="B1" s="9">
        <v>0</v>
      </c>
      <c r="C1" s="9">
        <v>1</v>
      </c>
      <c r="D1" s="9">
        <v>2</v>
      </c>
      <c r="E1" s="9">
        <v>3</v>
      </c>
      <c r="F1" s="9">
        <v>4</v>
      </c>
      <c r="G1" s="9">
        <v>5</v>
      </c>
      <c r="H1" s="9">
        <v>6</v>
      </c>
      <c r="I1" s="9">
        <v>7</v>
      </c>
      <c r="J1" s="9">
        <v>8</v>
      </c>
      <c r="K1" s="9">
        <v>9</v>
      </c>
      <c r="L1" s="9">
        <v>10</v>
      </c>
      <c r="N1" s="111" t="s">
        <v>264</v>
      </c>
      <c r="O1" s="100">
        <f>'Event Tracker'!P1</f>
        <v>0</v>
      </c>
    </row>
    <row r="2" spans="1:15" x14ac:dyDescent="0.25">
      <c r="A2" t="s">
        <v>170</v>
      </c>
      <c r="B2">
        <v>300</v>
      </c>
      <c r="C2" s="16">
        <f t="shared" ref="C2:L5" si="0">B2</f>
        <v>300</v>
      </c>
      <c r="D2" s="16">
        <f t="shared" si="0"/>
        <v>300</v>
      </c>
      <c r="E2" s="16">
        <f t="shared" si="0"/>
        <v>300</v>
      </c>
      <c r="F2" s="16">
        <f t="shared" si="0"/>
        <v>300</v>
      </c>
      <c r="G2" s="16">
        <f t="shared" si="0"/>
        <v>300</v>
      </c>
      <c r="H2" s="16">
        <f t="shared" si="0"/>
        <v>300</v>
      </c>
      <c r="I2" s="16">
        <f t="shared" si="0"/>
        <v>300</v>
      </c>
      <c r="J2" s="16">
        <f t="shared" si="0"/>
        <v>300</v>
      </c>
      <c r="K2" s="16">
        <f t="shared" si="0"/>
        <v>300</v>
      </c>
      <c r="L2" s="16">
        <f t="shared" si="0"/>
        <v>300</v>
      </c>
    </row>
    <row r="3" spans="1:15" x14ac:dyDescent="0.25">
      <c r="A3" t="s">
        <v>149</v>
      </c>
      <c r="B3">
        <v>10</v>
      </c>
      <c r="C3" s="16">
        <f t="shared" si="0"/>
        <v>10</v>
      </c>
      <c r="D3" s="16">
        <f t="shared" si="0"/>
        <v>10</v>
      </c>
      <c r="E3" s="16">
        <f t="shared" si="0"/>
        <v>10</v>
      </c>
      <c r="F3" s="16">
        <f t="shared" si="0"/>
        <v>10</v>
      </c>
      <c r="G3" s="16">
        <f t="shared" si="0"/>
        <v>10</v>
      </c>
      <c r="H3" s="16">
        <f t="shared" si="0"/>
        <v>10</v>
      </c>
      <c r="I3" s="16">
        <f t="shared" si="0"/>
        <v>10</v>
      </c>
      <c r="J3" s="16">
        <f t="shared" si="0"/>
        <v>10</v>
      </c>
      <c r="K3" s="16">
        <f t="shared" si="0"/>
        <v>10</v>
      </c>
      <c r="L3" s="16">
        <f t="shared" si="0"/>
        <v>10</v>
      </c>
    </row>
    <row r="4" spans="1:15" x14ac:dyDescent="0.25">
      <c r="A4" t="s">
        <v>148</v>
      </c>
      <c r="B4">
        <v>200</v>
      </c>
      <c r="C4" s="16">
        <f t="shared" si="0"/>
        <v>200</v>
      </c>
      <c r="D4" s="16">
        <f t="shared" si="0"/>
        <v>200</v>
      </c>
      <c r="E4" s="16">
        <f t="shared" si="0"/>
        <v>200</v>
      </c>
      <c r="F4" s="16">
        <f t="shared" si="0"/>
        <v>200</v>
      </c>
      <c r="G4" s="16">
        <f t="shared" si="0"/>
        <v>200</v>
      </c>
      <c r="H4" s="16">
        <f t="shared" si="0"/>
        <v>200</v>
      </c>
      <c r="I4" s="16">
        <f t="shared" si="0"/>
        <v>200</v>
      </c>
      <c r="J4" s="16">
        <f t="shared" si="0"/>
        <v>200</v>
      </c>
      <c r="K4" s="16">
        <f t="shared" si="0"/>
        <v>200</v>
      </c>
      <c r="L4" s="16">
        <f t="shared" si="0"/>
        <v>200</v>
      </c>
    </row>
    <row r="5" spans="1:15" x14ac:dyDescent="0.25">
      <c r="A5" t="s">
        <v>36</v>
      </c>
      <c r="B5">
        <v>100</v>
      </c>
      <c r="C5" s="16">
        <f t="shared" si="0"/>
        <v>100</v>
      </c>
      <c r="D5" s="16">
        <f t="shared" si="0"/>
        <v>100</v>
      </c>
      <c r="E5" s="16">
        <f t="shared" si="0"/>
        <v>100</v>
      </c>
      <c r="F5" s="16">
        <f t="shared" si="0"/>
        <v>100</v>
      </c>
      <c r="G5" s="16">
        <f t="shared" si="0"/>
        <v>100</v>
      </c>
      <c r="H5" s="16">
        <f t="shared" si="0"/>
        <v>100</v>
      </c>
      <c r="I5" s="16">
        <f t="shared" si="0"/>
        <v>100</v>
      </c>
      <c r="J5" s="16">
        <f t="shared" si="0"/>
        <v>100</v>
      </c>
      <c r="K5" s="16">
        <f t="shared" si="0"/>
        <v>100</v>
      </c>
      <c r="L5" s="16">
        <f t="shared" si="0"/>
        <v>100</v>
      </c>
    </row>
    <row r="6" spans="1:15" x14ac:dyDescent="0.25">
      <c r="A6" t="s">
        <v>364</v>
      </c>
      <c r="B6" s="16">
        <f>B62-SUM(B83:B84,B86)</f>
        <v>9449.7358121330726</v>
      </c>
      <c r="C6" s="16">
        <f>B6</f>
        <v>9449.7358121330726</v>
      </c>
      <c r="D6" s="16">
        <f t="shared" ref="D6:L6" si="1">C6</f>
        <v>9449.7358121330726</v>
      </c>
      <c r="E6" s="16">
        <f t="shared" si="1"/>
        <v>9449.7358121330726</v>
      </c>
      <c r="F6" s="16">
        <f t="shared" si="1"/>
        <v>9449.7358121330726</v>
      </c>
      <c r="G6" s="16">
        <f t="shared" si="1"/>
        <v>9449.7358121330726</v>
      </c>
      <c r="H6" s="16">
        <f t="shared" si="1"/>
        <v>9449.7358121330726</v>
      </c>
      <c r="I6" s="16">
        <f t="shared" si="1"/>
        <v>9449.7358121330726</v>
      </c>
      <c r="J6" s="16">
        <f t="shared" si="1"/>
        <v>9449.7358121330726</v>
      </c>
      <c r="K6" s="16">
        <f t="shared" si="1"/>
        <v>9449.7358121330726</v>
      </c>
      <c r="L6" s="16">
        <f t="shared" si="1"/>
        <v>9449.7358121330726</v>
      </c>
    </row>
    <row r="8" spans="1:15" x14ac:dyDescent="0.25">
      <c r="A8" s="9" t="s">
        <v>150</v>
      </c>
      <c r="B8" s="9">
        <v>0</v>
      </c>
      <c r="C8" s="9">
        <v>1</v>
      </c>
      <c r="D8" s="9">
        <v>2</v>
      </c>
      <c r="E8" s="9">
        <v>3</v>
      </c>
      <c r="F8" s="9">
        <v>4</v>
      </c>
      <c r="G8" s="9">
        <v>5</v>
      </c>
      <c r="H8" s="9">
        <v>6</v>
      </c>
      <c r="I8" s="9">
        <v>7</v>
      </c>
      <c r="J8" s="9">
        <v>8</v>
      </c>
      <c r="K8" s="9">
        <v>9</v>
      </c>
      <c r="L8" s="9">
        <v>10</v>
      </c>
    </row>
    <row r="9" spans="1:15" x14ac:dyDescent="0.25">
      <c r="A9" t="s">
        <v>170</v>
      </c>
      <c r="B9" s="84">
        <f>'Event Tracker'!B97</f>
        <v>0</v>
      </c>
      <c r="C9" s="84">
        <f>'Event Tracker'!C97+'Event Tracker'!C113</f>
        <v>0</v>
      </c>
      <c r="D9" s="84">
        <f>'Event Tracker'!D97+'Event Tracker'!D113</f>
        <v>0</v>
      </c>
      <c r="E9" s="84">
        <f>'Event Tracker'!E97+'Event Tracker'!E113</f>
        <v>0</v>
      </c>
      <c r="F9" s="84">
        <f>'Event Tracker'!F97+'Event Tracker'!F113</f>
        <v>0</v>
      </c>
      <c r="G9" s="84">
        <f>'Event Tracker'!G97+'Event Tracker'!G113</f>
        <v>0</v>
      </c>
      <c r="H9" s="84">
        <f>'Event Tracker'!H97+'Event Tracker'!H113</f>
        <v>0</v>
      </c>
      <c r="I9" s="84">
        <f>'Event Tracker'!I97+'Event Tracker'!I113</f>
        <v>0</v>
      </c>
      <c r="J9" s="84">
        <f>'Event Tracker'!J97+'Event Tracker'!J113</f>
        <v>0</v>
      </c>
      <c r="K9" s="84">
        <f>'Event Tracker'!K97+'Event Tracker'!K113</f>
        <v>0</v>
      </c>
      <c r="L9" s="84">
        <f>'Event Tracker'!L97+'Event Tracker'!L113</f>
        <v>0</v>
      </c>
    </row>
    <row r="10" spans="1:15" x14ac:dyDescent="0.25">
      <c r="A10" t="s">
        <v>149</v>
      </c>
      <c r="B10" s="84">
        <f>'Event Tracker'!B98+'Game Assumptions'!$B$181</f>
        <v>0</v>
      </c>
      <c r="C10" s="84">
        <f>'Event Tracker'!C98+'Event Tracker'!C114</f>
        <v>0</v>
      </c>
      <c r="D10" s="84">
        <f>'Event Tracker'!D98+'Event Tracker'!D114</f>
        <v>0</v>
      </c>
      <c r="E10" s="84">
        <f>'Event Tracker'!E98+'Event Tracker'!E114</f>
        <v>0</v>
      </c>
      <c r="F10" s="84">
        <f>'Event Tracker'!F98+'Event Tracker'!F114</f>
        <v>0</v>
      </c>
      <c r="G10" s="84">
        <f>'Event Tracker'!G98+'Event Tracker'!G114</f>
        <v>0</v>
      </c>
      <c r="H10" s="84">
        <f>'Event Tracker'!H98+'Event Tracker'!H114</f>
        <v>0</v>
      </c>
      <c r="I10" s="84">
        <f>'Event Tracker'!I98+'Event Tracker'!I114</f>
        <v>0</v>
      </c>
      <c r="J10" s="84">
        <f>'Event Tracker'!J98+'Event Tracker'!J114</f>
        <v>0</v>
      </c>
      <c r="K10" s="84">
        <f>'Event Tracker'!K98+'Event Tracker'!K114</f>
        <v>0</v>
      </c>
      <c r="L10" s="84">
        <f>'Event Tracker'!L98+'Event Tracker'!L114</f>
        <v>0</v>
      </c>
    </row>
    <row r="11" spans="1:15" x14ac:dyDescent="0.25">
      <c r="A11" t="s">
        <v>148</v>
      </c>
      <c r="B11" s="84">
        <f>'Event Tracker'!B99</f>
        <v>0</v>
      </c>
      <c r="C11" s="84">
        <f>'Event Tracker'!C99+'Event Tracker'!C115</f>
        <v>0</v>
      </c>
      <c r="D11" s="84">
        <f>'Event Tracker'!D99+'Event Tracker'!D115</f>
        <v>0</v>
      </c>
      <c r="E11" s="84">
        <f>'Event Tracker'!E99+'Event Tracker'!E115</f>
        <v>0</v>
      </c>
      <c r="F11" s="84">
        <f>'Event Tracker'!F99+'Event Tracker'!F115</f>
        <v>0</v>
      </c>
      <c r="G11" s="84">
        <f>'Event Tracker'!G99+'Event Tracker'!G115</f>
        <v>0</v>
      </c>
      <c r="H11" s="84">
        <f>'Event Tracker'!H99+'Event Tracker'!H115</f>
        <v>0</v>
      </c>
      <c r="I11" s="84">
        <f>'Event Tracker'!I99+'Event Tracker'!I115</f>
        <v>0</v>
      </c>
      <c r="J11" s="84">
        <f>'Event Tracker'!J99+'Event Tracker'!J115</f>
        <v>0</v>
      </c>
      <c r="K11" s="84">
        <f>'Event Tracker'!K99+'Event Tracker'!K115</f>
        <v>0</v>
      </c>
      <c r="L11" s="84">
        <f>'Event Tracker'!L99+'Event Tracker'!L115</f>
        <v>0</v>
      </c>
    </row>
    <row r="12" spans="1:15" x14ac:dyDescent="0.25">
      <c r="A12" t="s">
        <v>36</v>
      </c>
      <c r="B12" s="84">
        <f>'Event Tracker'!B100+'Game Assumptions'!$B$181</f>
        <v>0</v>
      </c>
      <c r="C12" s="84">
        <f>'Event Tracker'!C100+'Event Tracker'!C116</f>
        <v>0</v>
      </c>
      <c r="D12" s="84">
        <f>'Event Tracker'!D100+'Event Tracker'!D116</f>
        <v>0</v>
      </c>
      <c r="E12" s="84">
        <f>'Event Tracker'!E100+'Event Tracker'!E116</f>
        <v>0</v>
      </c>
      <c r="F12" s="84">
        <f>'Event Tracker'!F100+'Event Tracker'!F116</f>
        <v>0</v>
      </c>
      <c r="G12" s="84">
        <f>'Event Tracker'!G100+'Event Tracker'!G116</f>
        <v>0</v>
      </c>
      <c r="H12" s="84">
        <f>'Event Tracker'!H100+'Event Tracker'!H116</f>
        <v>0</v>
      </c>
      <c r="I12" s="84">
        <f>'Event Tracker'!I100+'Event Tracker'!I116</f>
        <v>0</v>
      </c>
      <c r="J12" s="84">
        <f>'Event Tracker'!J100+'Event Tracker'!J116</f>
        <v>0</v>
      </c>
      <c r="K12" s="84">
        <f>'Event Tracker'!K100+'Event Tracker'!K116</f>
        <v>0</v>
      </c>
      <c r="L12" s="84">
        <f>'Event Tracker'!L100+'Event Tracker'!L116</f>
        <v>0</v>
      </c>
    </row>
    <row r="13" spans="1:15" x14ac:dyDescent="0.25">
      <c r="A13" t="s">
        <v>364</v>
      </c>
      <c r="B13" s="84">
        <f>'Event Tracker'!B102</f>
        <v>0</v>
      </c>
      <c r="C13" s="84">
        <f>'Event Tracker'!C102+'Event Tracker'!C117</f>
        <v>0</v>
      </c>
      <c r="D13" s="84">
        <f>'Event Tracker'!D102+'Event Tracker'!D117</f>
        <v>0</v>
      </c>
      <c r="E13" s="84">
        <f>'Event Tracker'!E102+'Event Tracker'!E117</f>
        <v>0</v>
      </c>
      <c r="F13" s="84">
        <f>'Event Tracker'!F102+'Event Tracker'!F117</f>
        <v>0</v>
      </c>
      <c r="G13" s="84">
        <f>'Event Tracker'!G102+'Event Tracker'!G117</f>
        <v>0</v>
      </c>
      <c r="H13" s="84">
        <f>'Event Tracker'!H102+'Event Tracker'!H117</f>
        <v>0</v>
      </c>
      <c r="I13" s="84">
        <f>'Event Tracker'!I102+'Event Tracker'!I117</f>
        <v>0</v>
      </c>
      <c r="J13" s="84">
        <f>'Event Tracker'!J102+'Event Tracker'!J117</f>
        <v>0</v>
      </c>
      <c r="K13" s="84">
        <f>'Event Tracker'!K102+'Event Tracker'!K117</f>
        <v>0</v>
      </c>
      <c r="L13" s="84">
        <f>'Event Tracker'!L102+'Event Tracker'!L117</f>
        <v>0</v>
      </c>
    </row>
    <row r="15" spans="1:15" x14ac:dyDescent="0.25">
      <c r="A15" s="9" t="s">
        <v>280</v>
      </c>
      <c r="B15" s="9">
        <v>0</v>
      </c>
      <c r="C15" s="9">
        <v>1</v>
      </c>
      <c r="D15" s="9">
        <v>2</v>
      </c>
      <c r="E15" s="9">
        <v>3</v>
      </c>
      <c r="F15" s="9">
        <v>4</v>
      </c>
      <c r="G15" s="9">
        <v>5</v>
      </c>
      <c r="H15" s="9">
        <v>6</v>
      </c>
      <c r="I15" s="9">
        <v>7</v>
      </c>
      <c r="J15" s="9">
        <v>8</v>
      </c>
      <c r="K15" s="9">
        <v>9</v>
      </c>
      <c r="L15" s="9">
        <v>10</v>
      </c>
    </row>
    <row r="16" spans="1:15" x14ac:dyDescent="0.25">
      <c r="B16">
        <f>MAX(1*(INDEX('Event Tracker'!$B$7:$L$7,1,MATCH(B15,'Event Tracker'!$B$1:$L$1,0))*'Game Assumptions'!$B$130),1)</f>
        <v>1</v>
      </c>
      <c r="C16">
        <f>MAX(1*(INDEX('Event Tracker'!$B$7:$L$7,1,MATCH(C15,'Event Tracker'!$B$1:$L$1,0))*'Game Assumptions'!$B$130),1)</f>
        <v>1</v>
      </c>
      <c r="D16">
        <f>MAX(1*(INDEX('Event Tracker'!$B$7:$L$7,1,MATCH(D15,'Event Tracker'!$B$1:$L$1,0))*'Game Assumptions'!$B$130),1)</f>
        <v>1</v>
      </c>
      <c r="E16">
        <f>MAX(1*(INDEX('Event Tracker'!$B$7:$L$7,1,MATCH(E15,'Event Tracker'!$B$1:$L$1,0))*'Game Assumptions'!$B$130),1)</f>
        <v>1</v>
      </c>
      <c r="F16">
        <f>MAX(1*(INDEX('Event Tracker'!$B$7:$L$7,1,MATCH(F15,'Event Tracker'!$B$1:$L$1,0))*'Game Assumptions'!$B$130),1)</f>
        <v>1</v>
      </c>
      <c r="G16">
        <f>MAX(1*(INDEX('Event Tracker'!$B$7:$L$7,1,MATCH(G15,'Event Tracker'!$B$1:$L$1,0))*'Game Assumptions'!$B$130),1)</f>
        <v>1</v>
      </c>
      <c r="H16">
        <f>MAX(1*(INDEX('Event Tracker'!$B$7:$L$7,1,MATCH(H15,'Event Tracker'!$B$1:$L$1,0))*'Game Assumptions'!$B$130),1)</f>
        <v>1</v>
      </c>
      <c r="I16">
        <f>MAX(1*(INDEX('Event Tracker'!$B$7:$L$7,1,MATCH(I15,'Event Tracker'!$B$1:$L$1,0))*'Game Assumptions'!$B$130),1)</f>
        <v>1</v>
      </c>
      <c r="J16">
        <f>MAX(1*(INDEX('Event Tracker'!$B$7:$L$7,1,MATCH(J15,'Event Tracker'!$B$1:$L$1,0))*'Game Assumptions'!$B$130),1)</f>
        <v>1</v>
      </c>
      <c r="K16">
        <f>MAX(1*(INDEX('Event Tracker'!$B$7:$L$7,1,MATCH(K15,'Event Tracker'!$B$1:$L$1,0))*'Game Assumptions'!$B$130),1)</f>
        <v>1</v>
      </c>
      <c r="L16">
        <f>MAX(1*(INDEX('Event Tracker'!$B$7:$L$7,1,MATCH(L15,'Event Tracker'!$B$1:$L$1,0))*'Game Assumptions'!$B$130),1)</f>
        <v>1</v>
      </c>
    </row>
    <row r="18" spans="1:12" x14ac:dyDescent="0.25">
      <c r="A18" s="9" t="s">
        <v>151</v>
      </c>
      <c r="B18" s="9">
        <v>0</v>
      </c>
      <c r="C18" s="9">
        <v>1</v>
      </c>
      <c r="D18" s="9">
        <v>2</v>
      </c>
      <c r="E18" s="9">
        <v>3</v>
      </c>
      <c r="F18" s="9">
        <v>4</v>
      </c>
      <c r="G18" s="9">
        <v>5</v>
      </c>
      <c r="H18" s="9">
        <v>6</v>
      </c>
      <c r="I18" s="9">
        <v>7</v>
      </c>
      <c r="J18" s="9">
        <v>8</v>
      </c>
      <c r="K18" s="9">
        <v>9</v>
      </c>
      <c r="L18" s="9">
        <v>10</v>
      </c>
    </row>
    <row r="19" spans="1:12" x14ac:dyDescent="0.25">
      <c r="A19" t="s">
        <v>170</v>
      </c>
      <c r="B19" s="16">
        <f>(B9+B2)*B$16</f>
        <v>300</v>
      </c>
      <c r="C19" s="16">
        <f>B19+C9+'Event Tracker'!C128</f>
        <v>300</v>
      </c>
      <c r="D19" s="16">
        <f>C19+D9+'Event Tracker'!D128</f>
        <v>300</v>
      </c>
      <c r="E19" s="16">
        <f>D19+E9+'Event Tracker'!E128</f>
        <v>300</v>
      </c>
      <c r="F19" s="16">
        <f>E19+F9+'Event Tracker'!F128</f>
        <v>300</v>
      </c>
      <c r="G19" s="16">
        <f>F19+G9+'Event Tracker'!G128</f>
        <v>300</v>
      </c>
      <c r="H19" s="16">
        <f>G19+H9+'Event Tracker'!H128</f>
        <v>300</v>
      </c>
      <c r="I19" s="16">
        <f>H19+I9+'Event Tracker'!I128</f>
        <v>300</v>
      </c>
      <c r="J19" s="16">
        <f>I19+J9+'Event Tracker'!J128</f>
        <v>300</v>
      </c>
      <c r="K19" s="16">
        <f>J19+K9+'Event Tracker'!K128</f>
        <v>300</v>
      </c>
      <c r="L19" s="16">
        <f>K19+L9+'Event Tracker'!L128</f>
        <v>300</v>
      </c>
    </row>
    <row r="20" spans="1:12" x14ac:dyDescent="0.25">
      <c r="A20" t="s">
        <v>149</v>
      </c>
      <c r="B20" s="16">
        <f>(B10+B3)*B$16</f>
        <v>10</v>
      </c>
      <c r="C20" s="16">
        <f>B20+C10+'Event Tracker'!C129</f>
        <v>10</v>
      </c>
      <c r="D20" s="16">
        <f>C20+D10+'Event Tracker'!D129</f>
        <v>10</v>
      </c>
      <c r="E20" s="16">
        <f>D20+E10+'Event Tracker'!E129</f>
        <v>10</v>
      </c>
      <c r="F20" s="16">
        <f>E20+F10+'Event Tracker'!F129</f>
        <v>10</v>
      </c>
      <c r="G20" s="16">
        <f>F20+G10+'Event Tracker'!G129</f>
        <v>10</v>
      </c>
      <c r="H20" s="16">
        <f>G20+H10+'Event Tracker'!H129</f>
        <v>10</v>
      </c>
      <c r="I20" s="16">
        <f>H20+I10+'Event Tracker'!I129</f>
        <v>10</v>
      </c>
      <c r="J20" s="16">
        <f>I20+J10+'Event Tracker'!J129</f>
        <v>10</v>
      </c>
      <c r="K20" s="16">
        <f>J20+K10+'Event Tracker'!K129</f>
        <v>10</v>
      </c>
      <c r="L20" s="16">
        <f>K20+L10+'Event Tracker'!L129</f>
        <v>10</v>
      </c>
    </row>
    <row r="21" spans="1:12" x14ac:dyDescent="0.25">
      <c r="A21" t="s">
        <v>148</v>
      </c>
      <c r="B21" s="16">
        <f>(B11+B4)*B$16</f>
        <v>200</v>
      </c>
      <c r="C21" s="16">
        <f>B21+C11+'Event Tracker'!C130</f>
        <v>200</v>
      </c>
      <c r="D21" s="16">
        <f>C21+D11+'Event Tracker'!D130</f>
        <v>200</v>
      </c>
      <c r="E21" s="16">
        <f>D21+E11+'Event Tracker'!E130</f>
        <v>200</v>
      </c>
      <c r="F21" s="16">
        <f>E21+F11+'Event Tracker'!F130</f>
        <v>200</v>
      </c>
      <c r="G21" s="16">
        <f>F21+G11+'Event Tracker'!G130</f>
        <v>200</v>
      </c>
      <c r="H21" s="16">
        <f>G21+H11+'Event Tracker'!H130</f>
        <v>200</v>
      </c>
      <c r="I21" s="16">
        <f>H21+I11+'Event Tracker'!I130</f>
        <v>200</v>
      </c>
      <c r="J21" s="16">
        <f>I21+J11+'Event Tracker'!J130</f>
        <v>200</v>
      </c>
      <c r="K21" s="16">
        <f>J21+K11+'Event Tracker'!K130</f>
        <v>200</v>
      </c>
      <c r="L21" s="16">
        <f>K21+L11+'Event Tracker'!L130</f>
        <v>200</v>
      </c>
    </row>
    <row r="22" spans="1:12" x14ac:dyDescent="0.25">
      <c r="A22" t="s">
        <v>36</v>
      </c>
      <c r="B22" s="16">
        <f>(B12+B5)*B$16</f>
        <v>100</v>
      </c>
      <c r="C22" s="16">
        <f>B22+C12+'Event Tracker'!C131</f>
        <v>100</v>
      </c>
      <c r="D22" s="16">
        <f>C22+D12+'Event Tracker'!D131</f>
        <v>100</v>
      </c>
      <c r="E22" s="16">
        <f>D22+E12+'Event Tracker'!E131</f>
        <v>100</v>
      </c>
      <c r="F22" s="16">
        <f>E22+F12+'Event Tracker'!F131</f>
        <v>100</v>
      </c>
      <c r="G22" s="16">
        <f>F22+G12+'Event Tracker'!G131</f>
        <v>100</v>
      </c>
      <c r="H22" s="16">
        <f>G22+H12+'Event Tracker'!H131</f>
        <v>100</v>
      </c>
      <c r="I22" s="16">
        <f>H22+I12+'Event Tracker'!I131</f>
        <v>100</v>
      </c>
      <c r="J22" s="16">
        <f>I22+J12+'Event Tracker'!J131</f>
        <v>100</v>
      </c>
      <c r="K22" s="16">
        <f>J22+K12+'Event Tracker'!K131</f>
        <v>100</v>
      </c>
      <c r="L22" s="16">
        <f>K22+L12+'Event Tracker'!L131</f>
        <v>100</v>
      </c>
    </row>
    <row r="23" spans="1:12" x14ac:dyDescent="0.25">
      <c r="A23" t="s">
        <v>364</v>
      </c>
      <c r="B23" s="16">
        <f>(B13+B6)*B$16</f>
        <v>9449.7358121330726</v>
      </c>
      <c r="C23" s="16">
        <f>B23+C13+'Event Tracker'!C132</f>
        <v>9449.7358121330726</v>
      </c>
      <c r="D23" s="16">
        <f>C23+D13+'Event Tracker'!D132</f>
        <v>9449.7358121330726</v>
      </c>
      <c r="E23" s="16">
        <f>D23+E13+'Event Tracker'!E132</f>
        <v>9449.7358121330726</v>
      </c>
      <c r="F23" s="16">
        <f>E23+F13+'Event Tracker'!F132</f>
        <v>9449.7358121330726</v>
      </c>
      <c r="G23" s="16">
        <f>F23+G13+'Event Tracker'!G132</f>
        <v>9449.7358121330726</v>
      </c>
      <c r="H23" s="16">
        <f>G23+H13+'Event Tracker'!H132</f>
        <v>9449.7358121330726</v>
      </c>
      <c r="I23" s="16">
        <f>H23+I13+'Event Tracker'!I132</f>
        <v>9449.7358121330726</v>
      </c>
      <c r="J23" s="16">
        <f>I23+J13+'Event Tracker'!J132</f>
        <v>9449.7358121330726</v>
      </c>
      <c r="K23" s="16">
        <f>J23+K13+'Event Tracker'!K132</f>
        <v>9449.7358121330726</v>
      </c>
      <c r="L23" s="16">
        <f>K23+L13+'Event Tracker'!L132</f>
        <v>9449.7358121330726</v>
      </c>
    </row>
    <row r="24" spans="1:12" x14ac:dyDescent="0.25">
      <c r="A24" t="s">
        <v>515</v>
      </c>
      <c r="B24" s="84">
        <f>'Resource Mix and Demand'!B28</f>
        <v>200</v>
      </c>
      <c r="C24" s="84">
        <f>'Resource Mix and Demand'!C28</f>
        <v>373.55569385920865</v>
      </c>
      <c r="D24" s="84">
        <f>'Resource Mix and Demand'!D28</f>
        <v>590.2131344359758</v>
      </c>
      <c r="E24" s="84">
        <f>'Resource Mix and Demand'!E28</f>
        <v>827.28014279063734</v>
      </c>
      <c r="F24" s="84">
        <f>'Resource Mix and Demand'!F28</f>
        <v>942.81655885060991</v>
      </c>
      <c r="G24" s="84">
        <f>'Resource Mix and Demand'!G28</f>
        <v>1039.7192929524856</v>
      </c>
      <c r="H24" s="84">
        <f>'Resource Mix and Demand'!H28</f>
        <v>1146.88508767794</v>
      </c>
      <c r="I24" s="84">
        <f>'Resource Mix and Demand'!I28</f>
        <v>1273.2698038036337</v>
      </c>
      <c r="J24" s="84">
        <f>'Resource Mix and Demand'!J28</f>
        <v>1406.1602154635927</v>
      </c>
      <c r="K24" s="84">
        <f>'Resource Mix and Demand'!K28</f>
        <v>1543.4997512673312</v>
      </c>
      <c r="L24" s="84">
        <f>'Resource Mix and Demand'!L28</f>
        <v>1684.2467982645137</v>
      </c>
    </row>
    <row r="25" spans="1:12" x14ac:dyDescent="0.25">
      <c r="A25" t="s">
        <v>369</v>
      </c>
      <c r="B25" s="84">
        <f>'Resource Mix and Demand'!B29</f>
        <v>50</v>
      </c>
      <c r="C25" s="84">
        <f>'Resource Mix and Demand'!C29</f>
        <v>208.55569385920865</v>
      </c>
      <c r="D25" s="84">
        <f>'Resource Mix and Demand'!D29</f>
        <v>410.2131344359758</v>
      </c>
      <c r="E25" s="84">
        <f>'Resource Mix and Demand'!E29</f>
        <v>632.28014279063734</v>
      </c>
      <c r="F25" s="84">
        <f>'Resource Mix and Demand'!F29</f>
        <v>732.81655885060991</v>
      </c>
      <c r="G25" s="84">
        <f>'Resource Mix and Demand'!G29</f>
        <v>814.71929295248549</v>
      </c>
      <c r="H25" s="84">
        <f>'Resource Mix and Demand'!H29</f>
        <v>906.88508767793985</v>
      </c>
      <c r="I25" s="84">
        <f>'Resource Mix and Demand'!I29</f>
        <v>1018.2698038036336</v>
      </c>
      <c r="J25" s="84">
        <f>'Resource Mix and Demand'!J29</f>
        <v>1136.1602154635925</v>
      </c>
      <c r="K25" s="84">
        <f>'Resource Mix and Demand'!K29</f>
        <v>1258.499751267331</v>
      </c>
      <c r="L25" s="84">
        <f>'Resource Mix and Demand'!L29</f>
        <v>1384.2467982645135</v>
      </c>
    </row>
    <row r="27" spans="1:12" x14ac:dyDescent="0.25">
      <c r="A27" s="9" t="s">
        <v>152</v>
      </c>
      <c r="B27" s="9">
        <v>0</v>
      </c>
      <c r="C27" s="9">
        <v>1</v>
      </c>
      <c r="D27" s="9">
        <v>2</v>
      </c>
      <c r="E27" s="9">
        <v>3</v>
      </c>
      <c r="F27" s="9">
        <v>4</v>
      </c>
      <c r="G27" s="9">
        <v>5</v>
      </c>
      <c r="H27" s="9">
        <v>6</v>
      </c>
      <c r="I27" s="9">
        <v>7</v>
      </c>
      <c r="J27" s="9">
        <v>8</v>
      </c>
      <c r="K27" s="9">
        <v>9</v>
      </c>
      <c r="L27" s="9">
        <v>10</v>
      </c>
    </row>
    <row r="28" spans="1:12" x14ac:dyDescent="0.25">
      <c r="A28" t="s">
        <v>170</v>
      </c>
      <c r="B28">
        <f>'Game Assumptions'!B97</f>
        <v>7.7837837837837833</v>
      </c>
      <c r="C28">
        <f>B28</f>
        <v>7.7837837837837833</v>
      </c>
      <c r="D28">
        <f t="shared" ref="D28:L28" si="2">C28</f>
        <v>7.7837837837837833</v>
      </c>
      <c r="E28">
        <f t="shared" si="2"/>
        <v>7.7837837837837833</v>
      </c>
      <c r="F28">
        <f t="shared" si="2"/>
        <v>7.7837837837837833</v>
      </c>
      <c r="G28">
        <f t="shared" si="2"/>
        <v>7.7837837837837833</v>
      </c>
      <c r="H28">
        <f t="shared" si="2"/>
        <v>7.7837837837837833</v>
      </c>
      <c r="I28">
        <f t="shared" si="2"/>
        <v>7.7837837837837833</v>
      </c>
      <c r="J28">
        <f t="shared" si="2"/>
        <v>7.7837837837837833</v>
      </c>
      <c r="K28">
        <f t="shared" si="2"/>
        <v>7.7837837837837833</v>
      </c>
      <c r="L28">
        <f t="shared" si="2"/>
        <v>7.7837837837837833</v>
      </c>
    </row>
    <row r="29" spans="1:12" x14ac:dyDescent="0.25">
      <c r="A29" t="s">
        <v>149</v>
      </c>
      <c r="B29">
        <f>'Game Assumptions'!B98</f>
        <v>7.7837837837837833</v>
      </c>
      <c r="C29">
        <f t="shared" ref="C29:L31" si="3">B29</f>
        <v>7.7837837837837833</v>
      </c>
      <c r="D29">
        <f t="shared" si="3"/>
        <v>7.7837837837837833</v>
      </c>
      <c r="E29">
        <f t="shared" si="3"/>
        <v>7.7837837837837833</v>
      </c>
      <c r="F29">
        <f t="shared" si="3"/>
        <v>7.7837837837837833</v>
      </c>
      <c r="G29">
        <f t="shared" si="3"/>
        <v>7.7837837837837833</v>
      </c>
      <c r="H29">
        <f t="shared" si="3"/>
        <v>7.7837837837837833</v>
      </c>
      <c r="I29">
        <f t="shared" si="3"/>
        <v>7.7837837837837833</v>
      </c>
      <c r="J29">
        <f t="shared" si="3"/>
        <v>7.7837837837837833</v>
      </c>
      <c r="K29">
        <f t="shared" si="3"/>
        <v>7.7837837837837833</v>
      </c>
      <c r="L29">
        <f t="shared" si="3"/>
        <v>7.7837837837837833</v>
      </c>
    </row>
    <row r="30" spans="1:12" x14ac:dyDescent="0.25">
      <c r="A30" t="s">
        <v>148</v>
      </c>
      <c r="B30">
        <f>'Game Assumptions'!B101</f>
        <v>3.9782233435134779</v>
      </c>
      <c r="C30">
        <f t="shared" si="3"/>
        <v>3.9782233435134779</v>
      </c>
      <c r="D30">
        <f t="shared" si="3"/>
        <v>3.9782233435134779</v>
      </c>
      <c r="E30">
        <f t="shared" si="3"/>
        <v>3.9782233435134779</v>
      </c>
      <c r="F30">
        <f t="shared" si="3"/>
        <v>3.9782233435134779</v>
      </c>
      <c r="G30">
        <f t="shared" si="3"/>
        <v>3.9782233435134779</v>
      </c>
      <c r="H30">
        <f t="shared" si="3"/>
        <v>3.9782233435134779</v>
      </c>
      <c r="I30">
        <f t="shared" si="3"/>
        <v>3.9782233435134779</v>
      </c>
      <c r="J30">
        <f t="shared" si="3"/>
        <v>3.9782233435134779</v>
      </c>
      <c r="K30">
        <f t="shared" si="3"/>
        <v>3.9782233435134779</v>
      </c>
      <c r="L30">
        <f t="shared" si="3"/>
        <v>3.9782233435134779</v>
      </c>
    </row>
    <row r="31" spans="1:12" x14ac:dyDescent="0.25">
      <c r="A31" t="s">
        <v>36</v>
      </c>
      <c r="B31">
        <f>'Game Assumptions'!B102</f>
        <v>1.6666666666666665</v>
      </c>
      <c r="C31">
        <f t="shared" si="3"/>
        <v>1.6666666666666665</v>
      </c>
      <c r="D31">
        <f t="shared" si="3"/>
        <v>1.6666666666666665</v>
      </c>
      <c r="E31">
        <f t="shared" si="3"/>
        <v>1.6666666666666665</v>
      </c>
      <c r="F31">
        <f t="shared" si="3"/>
        <v>1.6666666666666665</v>
      </c>
      <c r="G31">
        <f t="shared" si="3"/>
        <v>1.6666666666666665</v>
      </c>
      <c r="H31">
        <f t="shared" si="3"/>
        <v>1.6666666666666665</v>
      </c>
      <c r="I31">
        <f t="shared" si="3"/>
        <v>1.6666666666666665</v>
      </c>
      <c r="J31">
        <f t="shared" si="3"/>
        <v>1.6666666666666665</v>
      </c>
      <c r="K31">
        <f t="shared" si="3"/>
        <v>1.6666666666666665</v>
      </c>
      <c r="L31">
        <f t="shared" si="3"/>
        <v>1.6666666666666665</v>
      </c>
    </row>
    <row r="32" spans="1:12" x14ac:dyDescent="0.25">
      <c r="A32" s="124" t="s">
        <v>364</v>
      </c>
      <c r="B32" s="124">
        <v>5.0000000000000001E-3</v>
      </c>
      <c r="C32" s="124">
        <v>5.0000000000000001E-3</v>
      </c>
      <c r="D32" s="124">
        <v>5.0000000000000001E-3</v>
      </c>
      <c r="E32" s="124">
        <v>5.0000000000000001E-3</v>
      </c>
      <c r="F32" s="124">
        <v>5.0000000000000001E-3</v>
      </c>
      <c r="G32" s="124">
        <v>5.0000000000000001E-3</v>
      </c>
      <c r="H32" s="124">
        <v>5.0000000000000001E-3</v>
      </c>
      <c r="I32" s="124">
        <v>5.0000000000000001E-3</v>
      </c>
      <c r="J32" s="124">
        <v>5.0000000000000001E-3</v>
      </c>
      <c r="K32" s="124">
        <v>5.0000000000000001E-3</v>
      </c>
      <c r="L32" s="124">
        <v>5.0000000000000001E-3</v>
      </c>
    </row>
    <row r="34" spans="1:12" x14ac:dyDescent="0.25">
      <c r="A34" s="9" t="s">
        <v>157</v>
      </c>
      <c r="B34" s="9">
        <v>0</v>
      </c>
      <c r="C34" s="9">
        <v>1</v>
      </c>
      <c r="D34" s="9">
        <v>2</v>
      </c>
      <c r="E34" s="9">
        <v>3</v>
      </c>
      <c r="F34" s="9">
        <v>4</v>
      </c>
      <c r="G34" s="9">
        <v>5</v>
      </c>
      <c r="H34" s="9">
        <v>6</v>
      </c>
      <c r="I34" s="9">
        <v>7</v>
      </c>
      <c r="J34" s="9">
        <v>8</v>
      </c>
      <c r="K34" s="9">
        <v>9</v>
      </c>
      <c r="L34" s="9">
        <v>10</v>
      </c>
    </row>
    <row r="35" spans="1:12" x14ac:dyDescent="0.25">
      <c r="A35" t="s">
        <v>156</v>
      </c>
      <c r="B35">
        <f>'Game Assumptions'!B108</f>
        <v>5000</v>
      </c>
      <c r="C35">
        <f>B35</f>
        <v>5000</v>
      </c>
      <c r="D35">
        <f t="shared" ref="D35:L35" si="4">C35</f>
        <v>5000</v>
      </c>
      <c r="E35">
        <f t="shared" si="4"/>
        <v>5000</v>
      </c>
      <c r="F35">
        <f t="shared" si="4"/>
        <v>5000</v>
      </c>
      <c r="G35">
        <f t="shared" si="4"/>
        <v>5000</v>
      </c>
      <c r="H35">
        <f t="shared" si="4"/>
        <v>5000</v>
      </c>
      <c r="I35">
        <f t="shared" si="4"/>
        <v>5000</v>
      </c>
      <c r="J35">
        <f t="shared" si="4"/>
        <v>5000</v>
      </c>
      <c r="K35">
        <f t="shared" si="4"/>
        <v>5000</v>
      </c>
      <c r="L35">
        <f t="shared" si="4"/>
        <v>5000</v>
      </c>
    </row>
    <row r="37" spans="1:12" x14ac:dyDescent="0.25">
      <c r="A37" s="9" t="s">
        <v>158</v>
      </c>
      <c r="B37" s="9">
        <v>0</v>
      </c>
      <c r="C37" s="9">
        <v>1</v>
      </c>
      <c r="D37" s="9">
        <v>2</v>
      </c>
      <c r="E37" s="9">
        <v>3</v>
      </c>
      <c r="F37" s="9">
        <v>4</v>
      </c>
      <c r="G37" s="9">
        <v>5</v>
      </c>
      <c r="H37" s="9">
        <v>6</v>
      </c>
      <c r="I37" s="9">
        <v>7</v>
      </c>
      <c r="J37" s="9">
        <v>8</v>
      </c>
      <c r="K37" s="9">
        <v>9</v>
      </c>
      <c r="L37" s="9">
        <v>10</v>
      </c>
    </row>
    <row r="38" spans="1:12" x14ac:dyDescent="0.25">
      <c r="A38" t="s">
        <v>156</v>
      </c>
      <c r="B38" s="84">
        <f>'Event Tracker'!B101</f>
        <v>0</v>
      </c>
      <c r="C38" s="84">
        <f>'Event Tracker'!C101+'Event Tracker'!C118</f>
        <v>0</v>
      </c>
      <c r="D38" s="84">
        <f>'Event Tracker'!D101+'Event Tracker'!D118</f>
        <v>0</v>
      </c>
      <c r="E38" s="84">
        <f>'Event Tracker'!E101+'Event Tracker'!E118</f>
        <v>0</v>
      </c>
      <c r="F38" s="84">
        <f>'Event Tracker'!F101+'Event Tracker'!F118</f>
        <v>0</v>
      </c>
      <c r="G38" s="84">
        <f>'Event Tracker'!G101+'Event Tracker'!G118</f>
        <v>0</v>
      </c>
      <c r="H38" s="84">
        <f>'Event Tracker'!H101+'Event Tracker'!H118</f>
        <v>0</v>
      </c>
      <c r="I38" s="84">
        <f>'Event Tracker'!I101+'Event Tracker'!I118</f>
        <v>0</v>
      </c>
      <c r="J38" s="84">
        <f>'Event Tracker'!J101+'Event Tracker'!J118</f>
        <v>0</v>
      </c>
      <c r="K38" s="84">
        <f>'Event Tracker'!K101+'Event Tracker'!K118</f>
        <v>0</v>
      </c>
      <c r="L38" s="84">
        <f>'Event Tracker'!L101+'Event Tracker'!L118</f>
        <v>0</v>
      </c>
    </row>
    <row r="39" spans="1:12" x14ac:dyDescent="0.25">
      <c r="B39" s="84"/>
      <c r="C39" s="84"/>
      <c r="D39" s="84"/>
      <c r="E39" s="84"/>
      <c r="F39" s="84"/>
      <c r="G39" s="84"/>
      <c r="H39" s="84"/>
      <c r="I39" s="84"/>
      <c r="J39" s="84"/>
      <c r="K39" s="84"/>
      <c r="L39" s="84"/>
    </row>
    <row r="40" spans="1:12" x14ac:dyDescent="0.25">
      <c r="A40" s="9" t="s">
        <v>159</v>
      </c>
      <c r="B40" s="9">
        <v>0</v>
      </c>
      <c r="C40" s="9">
        <v>1</v>
      </c>
      <c r="D40" s="9">
        <v>2</v>
      </c>
      <c r="E40" s="9">
        <v>3</v>
      </c>
      <c r="F40" s="9">
        <v>4</v>
      </c>
      <c r="G40" s="9">
        <v>5</v>
      </c>
      <c r="H40" s="9">
        <v>6</v>
      </c>
      <c r="I40" s="9">
        <v>7</v>
      </c>
      <c r="J40" s="9">
        <v>8</v>
      </c>
      <c r="K40" s="9">
        <v>9</v>
      </c>
      <c r="L40" s="9">
        <v>10</v>
      </c>
    </row>
    <row r="41" spans="1:12" x14ac:dyDescent="0.25">
      <c r="A41" t="s">
        <v>156</v>
      </c>
      <c r="B41">
        <f>B38+B35</f>
        <v>5000</v>
      </c>
      <c r="C41" s="84">
        <f>C38+B41+'Event Tracker'!C133</f>
        <v>5000</v>
      </c>
      <c r="D41" s="84">
        <f>D38+C41+'Event Tracker'!D133</f>
        <v>5000</v>
      </c>
      <c r="E41" s="84">
        <f>E38+D41+'Event Tracker'!E133</f>
        <v>5000</v>
      </c>
      <c r="F41" s="84">
        <f>F38+E41+'Event Tracker'!F133</f>
        <v>5000</v>
      </c>
      <c r="G41" s="84">
        <f>G38+F41+'Event Tracker'!G133</f>
        <v>5000</v>
      </c>
      <c r="H41" s="84">
        <f>H38+G41+'Event Tracker'!H133</f>
        <v>5000</v>
      </c>
      <c r="I41" s="84">
        <f>I38+H41+'Event Tracker'!I133</f>
        <v>5000</v>
      </c>
      <c r="J41" s="84">
        <f>J38+I41+'Event Tracker'!J133</f>
        <v>5000</v>
      </c>
      <c r="K41" s="84">
        <f>K38+J41+'Event Tracker'!K133</f>
        <v>5000</v>
      </c>
      <c r="L41" s="84">
        <f>L38+K41+'Event Tracker'!L133</f>
        <v>5000</v>
      </c>
    </row>
    <row r="43" spans="1:12" x14ac:dyDescent="0.25">
      <c r="A43" s="9" t="s">
        <v>160</v>
      </c>
      <c r="B43" s="9">
        <v>0</v>
      </c>
      <c r="C43" s="9">
        <v>1</v>
      </c>
      <c r="D43" s="9">
        <v>2</v>
      </c>
      <c r="E43" s="9">
        <v>3</v>
      </c>
      <c r="F43" s="9">
        <v>4</v>
      </c>
      <c r="G43" s="9">
        <v>5</v>
      </c>
      <c r="H43" s="9">
        <v>6</v>
      </c>
      <c r="I43" s="9">
        <v>7</v>
      </c>
      <c r="J43" s="9">
        <v>8</v>
      </c>
      <c r="K43" s="9">
        <v>9</v>
      </c>
      <c r="L43" s="9">
        <v>10</v>
      </c>
    </row>
    <row r="44" spans="1:12" x14ac:dyDescent="0.25">
      <c r="A44" t="s">
        <v>161</v>
      </c>
      <c r="B44">
        <v>0</v>
      </c>
      <c r="C44">
        <f>(C41-B41)/B41</f>
        <v>0</v>
      </c>
      <c r="D44">
        <f t="shared" ref="D44:L44" si="5">(D41-C41)/C41</f>
        <v>0</v>
      </c>
      <c r="E44">
        <f t="shared" si="5"/>
        <v>0</v>
      </c>
      <c r="F44">
        <f t="shared" si="5"/>
        <v>0</v>
      </c>
      <c r="G44">
        <f t="shared" si="5"/>
        <v>0</v>
      </c>
      <c r="H44">
        <f t="shared" si="5"/>
        <v>0</v>
      </c>
      <c r="I44">
        <f t="shared" si="5"/>
        <v>0</v>
      </c>
      <c r="J44">
        <f t="shared" si="5"/>
        <v>0</v>
      </c>
      <c r="K44">
        <f t="shared" si="5"/>
        <v>0</v>
      </c>
      <c r="L44">
        <f t="shared" si="5"/>
        <v>0</v>
      </c>
    </row>
    <row r="46" spans="1:12" x14ac:dyDescent="0.25">
      <c r="A46" s="9" t="s">
        <v>144</v>
      </c>
      <c r="B46" s="9">
        <v>0</v>
      </c>
      <c r="C46" s="9">
        <v>1</v>
      </c>
      <c r="D46" s="9">
        <v>2</v>
      </c>
      <c r="E46" s="9">
        <v>3</v>
      </c>
      <c r="F46" s="9">
        <v>4</v>
      </c>
      <c r="G46" s="9">
        <v>5</v>
      </c>
      <c r="H46" s="9">
        <v>6</v>
      </c>
      <c r="I46" s="9">
        <v>7</v>
      </c>
      <c r="J46" s="9">
        <v>8</v>
      </c>
      <c r="K46" s="9">
        <v>9</v>
      </c>
      <c r="L46" s="9">
        <v>10</v>
      </c>
    </row>
    <row r="47" spans="1:12" x14ac:dyDescent="0.25">
      <c r="A47" t="s">
        <v>162</v>
      </c>
      <c r="B47">
        <f>'Game Assumptions'!$B$105</f>
        <v>0.186</v>
      </c>
      <c r="C47">
        <f>(1+C44)*B47</f>
        <v>0.186</v>
      </c>
      <c r="D47">
        <f t="shared" ref="D47:L47" si="6">(1+D44)*C47</f>
        <v>0.186</v>
      </c>
      <c r="E47">
        <f t="shared" si="6"/>
        <v>0.186</v>
      </c>
      <c r="F47">
        <f t="shared" si="6"/>
        <v>0.186</v>
      </c>
      <c r="G47">
        <f t="shared" si="6"/>
        <v>0.186</v>
      </c>
      <c r="H47">
        <f t="shared" si="6"/>
        <v>0.186</v>
      </c>
      <c r="I47">
        <f t="shared" si="6"/>
        <v>0.186</v>
      </c>
      <c r="J47">
        <f t="shared" si="6"/>
        <v>0.186</v>
      </c>
      <c r="K47">
        <f t="shared" si="6"/>
        <v>0.186</v>
      </c>
      <c r="L47">
        <f t="shared" si="6"/>
        <v>0.186</v>
      </c>
    </row>
    <row r="49" spans="1:12" x14ac:dyDescent="0.25">
      <c r="A49" s="9" t="s">
        <v>375</v>
      </c>
      <c r="B49" s="9">
        <v>0</v>
      </c>
      <c r="C49" s="9">
        <v>1</v>
      </c>
      <c r="D49" s="9">
        <v>2</v>
      </c>
      <c r="E49" s="9">
        <v>3</v>
      </c>
      <c r="F49" s="9">
        <v>4</v>
      </c>
      <c r="G49" s="9">
        <v>5</v>
      </c>
      <c r="H49" s="9">
        <v>6</v>
      </c>
      <c r="I49" s="9">
        <v>7</v>
      </c>
      <c r="J49" s="9">
        <v>8</v>
      </c>
      <c r="K49" s="9">
        <v>9</v>
      </c>
      <c r="L49" s="9">
        <v>10</v>
      </c>
    </row>
    <row r="50" spans="1:12" x14ac:dyDescent="0.25">
      <c r="A50" t="s">
        <v>242</v>
      </c>
      <c r="B50">
        <f>IF('Event Tracker'!B5&gt;0,'Game Assumptions'!$B$127,1)</f>
        <v>1</v>
      </c>
      <c r="C50">
        <f>IF('Event Tracker'!C5&gt;0,'Game Assumptions'!$B$127,1)</f>
        <v>1</v>
      </c>
      <c r="D50">
        <f>IF('Event Tracker'!D5&gt;0,'Game Assumptions'!$B$127,1)</f>
        <v>1</v>
      </c>
      <c r="E50">
        <f>IF('Event Tracker'!E5&gt;0,'Game Assumptions'!$B$127,1)</f>
        <v>1</v>
      </c>
      <c r="F50">
        <f>IF('Event Tracker'!F5&gt;0,'Game Assumptions'!$B$127,1)</f>
        <v>1</v>
      </c>
      <c r="G50">
        <f>IF('Event Tracker'!G5&gt;0,'Game Assumptions'!$B$127,1)</f>
        <v>1</v>
      </c>
      <c r="H50">
        <f>IF('Event Tracker'!H5&gt;0,'Game Assumptions'!$B$127,1)</f>
        <v>1</v>
      </c>
      <c r="I50">
        <f>IF('Event Tracker'!I5&gt;0,'Game Assumptions'!$B$127,1)</f>
        <v>1</v>
      </c>
      <c r="J50">
        <f>IF('Event Tracker'!J5&gt;0,'Game Assumptions'!$B$127,1)</f>
        <v>1</v>
      </c>
      <c r="K50">
        <f>IF('Event Tracker'!K5&gt;0,'Game Assumptions'!$B$127,1)</f>
        <v>1</v>
      </c>
      <c r="L50">
        <f>IF('Event Tracker'!L5&gt;0,'Game Assumptions'!$B$127,1)</f>
        <v>1</v>
      </c>
    </row>
    <row r="51" spans="1:12" x14ac:dyDescent="0.25">
      <c r="A51" t="s">
        <v>376</v>
      </c>
      <c r="B51">
        <f>'Event Tracker'!B5*'Game Assumptions'!$B$24</f>
        <v>0</v>
      </c>
      <c r="C51">
        <f>IF(AND('Event Tracker'!C5=1,'Event Tracker'!B5=0),1,0)*'Game Assumptions'!$B$24</f>
        <v>0</v>
      </c>
      <c r="D51">
        <f>IF(AND('Event Tracker'!D5=1,'Event Tracker'!C5=0),1,0)*'Game Assumptions'!$B$24</f>
        <v>0</v>
      </c>
      <c r="E51">
        <f>IF(AND('Event Tracker'!E5=1,'Event Tracker'!D5=0),1,0)*'Game Assumptions'!$B$24</f>
        <v>0</v>
      </c>
      <c r="F51">
        <f>IF(AND('Event Tracker'!F5=1,'Event Tracker'!E5=0),1,0)*'Game Assumptions'!$B$24</f>
        <v>0</v>
      </c>
      <c r="G51">
        <f>IF(AND('Event Tracker'!G5=1,'Event Tracker'!F5=0),1,0)*'Game Assumptions'!$B$24</f>
        <v>0</v>
      </c>
      <c r="H51">
        <f>IF(AND('Event Tracker'!H5=1,'Event Tracker'!G5=0),1,0)*'Game Assumptions'!$B$24</f>
        <v>0</v>
      </c>
      <c r="I51">
        <f>IF(AND('Event Tracker'!I5=1,'Event Tracker'!H5=0),1,0)*'Game Assumptions'!$B$24</f>
        <v>0</v>
      </c>
      <c r="J51">
        <f>IF(AND('Event Tracker'!J5=1,'Event Tracker'!I5=0),1,0)*'Game Assumptions'!$B$24</f>
        <v>0</v>
      </c>
      <c r="K51">
        <f>IF(AND('Event Tracker'!K5=1,'Event Tracker'!J5=0),1,0)*'Game Assumptions'!$B$24</f>
        <v>0</v>
      </c>
      <c r="L51">
        <f>IF(AND('Event Tracker'!L5=1,'Event Tracker'!K5=0),1,0)*'Game Assumptions'!$B$24</f>
        <v>0</v>
      </c>
    </row>
    <row r="53" spans="1:12" x14ac:dyDescent="0.25">
      <c r="A53" s="9" t="s">
        <v>163</v>
      </c>
      <c r="B53" s="9">
        <v>0</v>
      </c>
      <c r="C53" s="9">
        <v>1</v>
      </c>
      <c r="D53" s="9">
        <v>2</v>
      </c>
      <c r="E53" s="9">
        <v>3</v>
      </c>
      <c r="F53" s="9">
        <v>4</v>
      </c>
      <c r="G53" s="9">
        <v>5</v>
      </c>
      <c r="H53" s="9">
        <v>6</v>
      </c>
      <c r="I53" s="9">
        <v>7</v>
      </c>
      <c r="J53" s="9">
        <v>8</v>
      </c>
      <c r="K53" s="9">
        <v>9</v>
      </c>
      <c r="L53" s="9">
        <v>10</v>
      </c>
    </row>
    <row r="54" spans="1:12" x14ac:dyDescent="0.25">
      <c r="A54" t="s">
        <v>377</v>
      </c>
      <c r="B54">
        <f t="shared" ref="B54:L54" si="7">SUMPRODUCT(B19:B22,B28:B31)*B47*B50</f>
        <v>627.80288135167427</v>
      </c>
      <c r="C54">
        <f t="shared" si="7"/>
        <v>627.80288135167427</v>
      </c>
      <c r="D54">
        <f t="shared" si="7"/>
        <v>627.80288135167427</v>
      </c>
      <c r="E54">
        <f t="shared" si="7"/>
        <v>627.80288135167427</v>
      </c>
      <c r="F54">
        <f t="shared" si="7"/>
        <v>627.80288135167427</v>
      </c>
      <c r="G54">
        <f t="shared" si="7"/>
        <v>627.80288135167427</v>
      </c>
      <c r="H54">
        <f t="shared" si="7"/>
        <v>627.80288135167427</v>
      </c>
      <c r="I54">
        <f t="shared" si="7"/>
        <v>627.80288135167427</v>
      </c>
      <c r="J54">
        <f t="shared" si="7"/>
        <v>627.80288135167427</v>
      </c>
      <c r="K54">
        <f t="shared" si="7"/>
        <v>627.80288135167427</v>
      </c>
      <c r="L54">
        <f t="shared" si="7"/>
        <v>627.80288135167427</v>
      </c>
    </row>
    <row r="55" spans="1:12" x14ac:dyDescent="0.25">
      <c r="A55" t="s">
        <v>378</v>
      </c>
      <c r="B55">
        <f t="shared" ref="B55:L55" si="8">SUM(B29*B20,B31*B22,B32*B23)</f>
        <v>291.75318356516988</v>
      </c>
      <c r="C55">
        <f t="shared" si="8"/>
        <v>291.75318356516988</v>
      </c>
      <c r="D55">
        <f t="shared" si="8"/>
        <v>291.75318356516988</v>
      </c>
      <c r="E55">
        <f t="shared" si="8"/>
        <v>291.75318356516988</v>
      </c>
      <c r="F55">
        <f t="shared" si="8"/>
        <v>291.75318356516988</v>
      </c>
      <c r="G55">
        <f t="shared" si="8"/>
        <v>291.75318356516988</v>
      </c>
      <c r="H55">
        <f t="shared" si="8"/>
        <v>291.75318356516988</v>
      </c>
      <c r="I55">
        <f t="shared" si="8"/>
        <v>291.75318356516988</v>
      </c>
      <c r="J55">
        <f t="shared" si="8"/>
        <v>291.75318356516988</v>
      </c>
      <c r="K55">
        <f t="shared" si="8"/>
        <v>291.75318356516988</v>
      </c>
      <c r="L55">
        <f t="shared" si="8"/>
        <v>291.75318356516988</v>
      </c>
    </row>
    <row r="57" spans="1:12" x14ac:dyDescent="0.25">
      <c r="A57" s="9" t="s">
        <v>164</v>
      </c>
      <c r="B57" s="9">
        <v>0</v>
      </c>
      <c r="C57" s="9">
        <v>1</v>
      </c>
      <c r="D57" s="9">
        <v>2</v>
      </c>
      <c r="E57" s="9">
        <v>3</v>
      </c>
      <c r="F57" s="9">
        <v>4</v>
      </c>
      <c r="G57" s="9">
        <v>5</v>
      </c>
      <c r="H57" s="9">
        <v>6</v>
      </c>
      <c r="I57" s="9">
        <v>7</v>
      </c>
      <c r="J57" s="9">
        <v>8</v>
      </c>
      <c r="K57" s="9">
        <v>9</v>
      </c>
      <c r="L57" s="9">
        <v>10</v>
      </c>
    </row>
    <row r="58" spans="1:12" x14ac:dyDescent="0.25">
      <c r="A58" t="s">
        <v>377</v>
      </c>
      <c r="B58" s="84">
        <f>MAX('Resource Mix and Demand'!B25,'Resource Mix and Demand'!B26)</f>
        <v>200</v>
      </c>
      <c r="C58" s="84">
        <f>MAX('Resource Mix and Demand'!C25,'Resource Mix and Demand'!C26)</f>
        <v>348.55569385920865</v>
      </c>
      <c r="D58" s="84">
        <f>MAX('Resource Mix and Demand'!D25,'Resource Mix and Demand'!D26)</f>
        <v>540.2131344359758</v>
      </c>
      <c r="E58" s="84">
        <f>MAX('Resource Mix and Demand'!E25,'Resource Mix and Demand'!E26)</f>
        <v>752.28014279063734</v>
      </c>
      <c r="F58" s="84">
        <f>MAX('Resource Mix and Demand'!F25,'Resource Mix and Demand'!F26)</f>
        <v>842.81655885060991</v>
      </c>
      <c r="G58" s="84">
        <f>MAX('Resource Mix and Demand'!G25,'Resource Mix and Demand'!G26)</f>
        <v>914.71929295248549</v>
      </c>
      <c r="H58" s="84">
        <f>MAX('Resource Mix and Demand'!H25,'Resource Mix and Demand'!H26)</f>
        <v>996.88508767793985</v>
      </c>
      <c r="I58" s="84">
        <f>MAX('Resource Mix and Demand'!I25,'Resource Mix and Demand'!I26)</f>
        <v>1098.2698038036337</v>
      </c>
      <c r="J58" s="84">
        <f>MAX('Resource Mix and Demand'!J25,'Resource Mix and Demand'!J26)</f>
        <v>1206.1602154635927</v>
      </c>
      <c r="K58" s="84">
        <f>MAX('Resource Mix and Demand'!K25,'Resource Mix and Demand'!K26)</f>
        <v>1318.4997512673312</v>
      </c>
      <c r="L58" s="84">
        <f>MAX('Resource Mix and Demand'!L25,'Resource Mix and Demand'!L26)</f>
        <v>1434.2467982645137</v>
      </c>
    </row>
    <row r="59" spans="1:12" x14ac:dyDescent="0.25">
      <c r="A59" t="s">
        <v>378</v>
      </c>
      <c r="B59" s="84">
        <f>'Resource Mix and Demand'!B29</f>
        <v>50</v>
      </c>
      <c r="C59" s="84">
        <f>'Resource Mix and Demand'!C29</f>
        <v>208.55569385920865</v>
      </c>
      <c r="D59" s="84">
        <f>'Resource Mix and Demand'!D29</f>
        <v>410.2131344359758</v>
      </c>
      <c r="E59" s="84">
        <f>'Resource Mix and Demand'!E29</f>
        <v>632.28014279063734</v>
      </c>
      <c r="F59" s="84">
        <f>'Resource Mix and Demand'!F29</f>
        <v>732.81655885060991</v>
      </c>
      <c r="G59" s="84">
        <f>'Resource Mix and Demand'!G29</f>
        <v>814.71929295248549</v>
      </c>
      <c r="H59" s="84">
        <f>'Resource Mix and Demand'!H29</f>
        <v>906.88508767793985</v>
      </c>
      <c r="I59" s="84">
        <f>'Resource Mix and Demand'!I29</f>
        <v>1018.2698038036336</v>
      </c>
      <c r="J59" s="84">
        <f>'Resource Mix and Demand'!J29</f>
        <v>1136.1602154635925</v>
      </c>
      <c r="K59" s="84">
        <f>'Resource Mix and Demand'!K29</f>
        <v>1258.499751267331</v>
      </c>
      <c r="L59" s="84">
        <f>'Resource Mix and Demand'!L29</f>
        <v>1384.2467982645135</v>
      </c>
    </row>
    <row r="61" spans="1:12" x14ac:dyDescent="0.25">
      <c r="A61" s="9" t="s">
        <v>168</v>
      </c>
      <c r="B61" s="9">
        <v>0</v>
      </c>
      <c r="C61" s="9">
        <v>1</v>
      </c>
      <c r="D61" s="9">
        <v>2</v>
      </c>
      <c r="E61" s="9">
        <v>3</v>
      </c>
      <c r="F61" s="9">
        <v>4</v>
      </c>
      <c r="G61" s="9">
        <v>5</v>
      </c>
      <c r="H61" s="9">
        <v>6</v>
      </c>
      <c r="I61" s="9">
        <v>7</v>
      </c>
      <c r="J61" s="9">
        <v>8</v>
      </c>
      <c r="K61" s="9">
        <v>9</v>
      </c>
      <c r="L61" s="9">
        <v>10</v>
      </c>
    </row>
    <row r="62" spans="1:12" x14ac:dyDescent="0.25">
      <c r="A62" t="s">
        <v>167</v>
      </c>
      <c r="B62">
        <f>'Resource Mix and Demand'!B65/8760/('Game Assumptions'!$B$75*(1-'Game Assumptions'!$B$78)^Reliability!B61)</f>
        <v>9784.7358121330726</v>
      </c>
      <c r="C62">
        <f>'Resource Mix and Demand'!C65/8760/('Game Assumptions'!$B$75*(1-'Game Assumptions'!$B$78)^Reliability!C61)</f>
        <v>10003.295203125737</v>
      </c>
      <c r="D62">
        <f>'Resource Mix and Demand'!D65/8760/('Game Assumptions'!$B$75*(1-'Game Assumptions'!$B$78)^Reliability!D61)</f>
        <v>10226.014328760608</v>
      </c>
      <c r="E62">
        <f>'Resource Mix and Demand'!E65/8760/('Game Assumptions'!$B$75*(1-'Game Assumptions'!$B$78)^Reliability!E61)</f>
        <v>10452.941433382763</v>
      </c>
      <c r="F62">
        <f>'Resource Mix and Demand'!F65/8760/('Game Assumptions'!$B$75*(1-'Game Assumptions'!$B$78)^Reliability!F61)</f>
        <v>10684.123766608518</v>
      </c>
      <c r="G62">
        <f>'Resource Mix and Demand'!G65/8760/('Game Assumptions'!$B$75*(1-'Game Assumptions'!$B$78)^Reliability!G61)</f>
        <v>10919.607475648592</v>
      </c>
      <c r="H62">
        <f>'Resource Mix and Demand'!H65/8760/('Game Assumptions'!$B$75*(1-'Game Assumptions'!$B$78)^Reliability!H61)</f>
        <v>11159.437491922363</v>
      </c>
      <c r="I62">
        <f>'Resource Mix and Demand'!I65/8760/('Game Assumptions'!$B$75*(1-'Game Assumptions'!$B$78)^Reliability!I61)</f>
        <v>11403.657411713028</v>
      </c>
      <c r="J62">
        <f>'Resource Mix and Demand'!J65/8760/('Game Assumptions'!$B$75*(1-'Game Assumptions'!$B$78)^Reliability!J61)</f>
        <v>11652.309370603587</v>
      </c>
      <c r="K62">
        <f>'Resource Mix and Demand'!K65/8760/('Game Assumptions'!$B$75*(1-'Game Assumptions'!$B$78)^Reliability!K61)</f>
        <v>11905.433911423035</v>
      </c>
      <c r="L62">
        <f>'Resource Mix and Demand'!L65/8760/('Game Assumptions'!$B$75*(1-'Game Assumptions'!$B$78)^Reliability!L61)</f>
        <v>12163.069845421505</v>
      </c>
    </row>
    <row r="64" spans="1:12" x14ac:dyDescent="0.25">
      <c r="A64" s="9" t="s">
        <v>169</v>
      </c>
      <c r="B64" s="9">
        <v>0</v>
      </c>
      <c r="C64" s="9">
        <v>1</v>
      </c>
      <c r="D64" s="9">
        <v>2</v>
      </c>
      <c r="E64" s="9">
        <v>3</v>
      </c>
      <c r="F64" s="9">
        <v>4</v>
      </c>
      <c r="G64" s="9">
        <v>5</v>
      </c>
      <c r="H64" s="9">
        <v>6</v>
      </c>
      <c r="I64" s="9">
        <v>7</v>
      </c>
      <c r="J64" s="9">
        <v>8</v>
      </c>
      <c r="K64" s="9">
        <v>9</v>
      </c>
      <c r="L64" s="9">
        <v>10</v>
      </c>
    </row>
    <row r="65" spans="1:12" x14ac:dyDescent="0.25">
      <c r="A65" t="s">
        <v>167</v>
      </c>
      <c r="B65">
        <f>'Resource Mix and Demand'!B68/8760/(('Game Assumptions'!$B$75*(1-'Game Assumptions'!$B$78)^Reliability!B64)+'Event Tracker'!B5*'Game Assumptions'!$B$76)-'Resource Mix and Demand'!B72</f>
        <v>9784.7358121330726</v>
      </c>
      <c r="C65">
        <f>'Resource Mix and Demand'!C68/8760/(('Game Assumptions'!$B$75*(1-'Game Assumptions'!$B$78)^Reliability!C64)+'Event Tracker'!C5*'Game Assumptions'!$B$76)-'Resource Mix and Demand'!C72</f>
        <v>9953.2787271101079</v>
      </c>
      <c r="D65">
        <f>'Resource Mix and Demand'!D68/8760/(('Game Assumptions'!$B$75*(1-'Game Assumptions'!$B$78)^Reliability!D64)+'Event Tracker'!D5*'Game Assumptions'!$B$76)-'Resource Mix and Demand'!D72</f>
        <v>10256.692371746889</v>
      </c>
      <c r="E65">
        <f>'Resource Mix and Demand'!E68/8760/(('Game Assumptions'!$B$75*(1-'Game Assumptions'!$B$78)^Reliability!E64)+'Event Tracker'!E5*'Game Assumptions'!$B$76)-'Resource Mix and Demand'!E72</f>
        <v>10400.67672621585</v>
      </c>
      <c r="F65">
        <f>'Resource Mix and Demand'!F68/8760/(('Game Assumptions'!$B$75*(1-'Game Assumptions'!$B$78)^Reliability!F64)+'Event Tracker'!F5*'Game Assumptions'!$B$76)-'Resource Mix and Demand'!F72</f>
        <v>10673.439642841908</v>
      </c>
      <c r="G65">
        <f>'Resource Mix and Demand'!G68/8760/(('Game Assumptions'!$B$75*(1-'Game Assumptions'!$B$78)^Reliability!G64)+'Event Tracker'!G5*'Game Assumptions'!$B$76)-'Resource Mix and Demand'!G72</f>
        <v>10952.366298075538</v>
      </c>
      <c r="H65">
        <f>'Resource Mix and Demand'!H68/8760/(('Game Assumptions'!$B$75*(1-'Game Assumptions'!$B$78)^Reliability!H64)+'Event Tracker'!H5*'Game Assumptions'!$B$76)-'Resource Mix and Demand'!H72</f>
        <v>11114.799741954672</v>
      </c>
      <c r="I65">
        <f>'Resource Mix and Demand'!I68/8760/(('Game Assumptions'!$B$75*(1-'Game Assumptions'!$B$78)^Reliability!I64)+'Event Tracker'!I5*'Game Assumptions'!$B$76)-'Resource Mix and Demand'!I72</f>
        <v>11392.253754301315</v>
      </c>
      <c r="J65">
        <f>'Resource Mix and Demand'!J68/8760/(('Game Assumptions'!$B$75*(1-'Game Assumptions'!$B$78)^Reliability!J64)+'Event Tracker'!J5*'Game Assumptions'!$B$76)-'Resource Mix and Demand'!J72</f>
        <v>11640.657061232983</v>
      </c>
      <c r="K65">
        <f>'Resource Mix and Demand'!K68/8760/(('Game Assumptions'!$B$75*(1-'Game Assumptions'!$B$78)^Reliability!K64)+'Event Tracker'!K5*'Game Assumptions'!$B$76)-'Resource Mix and Demand'!K72</f>
        <v>11869.717609688767</v>
      </c>
      <c r="L65">
        <f>'Resource Mix and Demand'!L68/8760/(('Game Assumptions'!$B$75*(1-'Game Assumptions'!$B$78)^Reliability!L64)+'Event Tracker'!L5*'Game Assumptions'!$B$76)-'Resource Mix and Demand'!L72</f>
        <v>12114.41756603982</v>
      </c>
    </row>
    <row r="67" spans="1:12" x14ac:dyDescent="0.25">
      <c r="A67" s="9" t="s">
        <v>355</v>
      </c>
      <c r="B67" s="9">
        <v>0</v>
      </c>
      <c r="C67" s="9">
        <v>1</v>
      </c>
      <c r="D67" s="9">
        <v>2</v>
      </c>
      <c r="E67" s="9">
        <v>3</v>
      </c>
      <c r="F67" s="9">
        <v>4</v>
      </c>
      <c r="G67" s="9">
        <v>5</v>
      </c>
      <c r="H67" s="9">
        <v>6</v>
      </c>
      <c r="I67" s="9">
        <v>7</v>
      </c>
      <c r="J67" s="9">
        <v>8</v>
      </c>
      <c r="K67" s="9">
        <v>9</v>
      </c>
      <c r="L67" s="9">
        <v>10</v>
      </c>
    </row>
    <row r="68" spans="1:12" x14ac:dyDescent="0.25">
      <c r="A68" t="s">
        <v>7</v>
      </c>
      <c r="B68" s="16">
        <f>'Resource Mix and Demand'!B51/8760/'Game Assumptions'!$G55*'Game Assumptions'!$H55</f>
        <v>2400</v>
      </c>
      <c r="C68" s="16">
        <f>'Resource Mix and Demand'!C22*'Game Assumptions'!$H$55</f>
        <v>2400</v>
      </c>
      <c r="D68" s="16">
        <f>'Resource Mix and Demand'!D22*'Game Assumptions'!$H$55</f>
        <v>1800</v>
      </c>
      <c r="E68" s="16">
        <f>'Resource Mix and Demand'!E22*'Game Assumptions'!$H$55</f>
        <v>1200</v>
      </c>
      <c r="F68" s="16">
        <f>'Resource Mix and Demand'!F22*'Game Assumptions'!$H$55</f>
        <v>1200</v>
      </c>
      <c r="G68" s="16">
        <f>'Resource Mix and Demand'!G22*'Game Assumptions'!$H$55</f>
        <v>1200</v>
      </c>
      <c r="H68" s="16">
        <f>'Resource Mix and Demand'!H22*'Game Assumptions'!$H$55</f>
        <v>1200</v>
      </c>
      <c r="I68" s="16">
        <f>'Resource Mix and Demand'!I22*'Game Assumptions'!$H$55</f>
        <v>1200</v>
      </c>
      <c r="J68" s="16">
        <f>'Resource Mix and Demand'!J22*'Game Assumptions'!$H$55</f>
        <v>1200</v>
      </c>
      <c r="K68" s="16">
        <f>'Resource Mix and Demand'!K22*'Game Assumptions'!$H$55</f>
        <v>1200</v>
      </c>
      <c r="L68" s="16">
        <f>'Resource Mix and Demand'!L22*'Game Assumptions'!$H$55</f>
        <v>1200</v>
      </c>
    </row>
    <row r="69" spans="1:12" x14ac:dyDescent="0.25">
      <c r="A69" t="s">
        <v>8</v>
      </c>
      <c r="B69" s="16">
        <f>'Resource Mix and Demand'!B52/8760/'Game Assumptions'!$G56*'Game Assumptions'!$H56</f>
        <v>6400</v>
      </c>
      <c r="C69" s="16">
        <f>'Resource Mix and Demand'!C23*'Game Assumptions'!$H$56</f>
        <v>6637.6891101747351</v>
      </c>
      <c r="D69" s="16">
        <f>'Resource Mix and Demand'!D23*'Game Assumptions'!$H$56</f>
        <v>6944.3410150975615</v>
      </c>
      <c r="E69" s="16">
        <f>'Resource Mix and Demand'!E23*'Game Assumptions'!$H$56</f>
        <v>7283.6482284650192</v>
      </c>
      <c r="F69" s="16">
        <f>'Resource Mix and Demand'!F23*'Game Assumptions'!$H$56</f>
        <v>7428.5064941609762</v>
      </c>
      <c r="G69" s="16">
        <f>'Resource Mix and Demand'!G23*'Game Assumptions'!$H$56</f>
        <v>7543.5508687239771</v>
      </c>
      <c r="H69" s="16">
        <f>'Resource Mix and Demand'!H23*'Game Assumptions'!$H$56</f>
        <v>7675.0161402847043</v>
      </c>
      <c r="I69" s="16">
        <f>'Resource Mix and Demand'!I23*'Game Assumptions'!$H$56</f>
        <v>7837.2316860858136</v>
      </c>
      <c r="J69" s="16">
        <f>'Resource Mix and Demand'!J23*'Game Assumptions'!$H$56</f>
        <v>8009.8563447417473</v>
      </c>
      <c r="K69" s="16">
        <f>'Resource Mix and Demand'!K23*'Game Assumptions'!$H$56</f>
        <v>8189.5996020277298</v>
      </c>
      <c r="L69" s="16">
        <f>'Resource Mix and Demand'!L23*'Game Assumptions'!$H$56</f>
        <v>8374.7948772232212</v>
      </c>
    </row>
    <row r="70" spans="1:12" x14ac:dyDescent="0.25">
      <c r="A70" t="s">
        <v>13</v>
      </c>
      <c r="B70" s="16">
        <f>'Resource Mix and Demand'!B53/8760/'Game Assumptions'!$G57*'Game Assumptions'!$H57</f>
        <v>1800</v>
      </c>
      <c r="C70" s="16">
        <f>'Resource Mix and Demand'!C24*'Game Assumptions'!$H$57</f>
        <v>900</v>
      </c>
      <c r="D70" s="16">
        <f>'Resource Mix and Demand'!D24*'Game Assumptions'!$H$57</f>
        <v>900</v>
      </c>
      <c r="E70" s="16">
        <f>'Resource Mix and Demand'!E24*'Game Assumptions'!$H$57</f>
        <v>900</v>
      </c>
      <c r="F70" s="16">
        <f>'Resource Mix and Demand'!F24*'Game Assumptions'!$H$57</f>
        <v>900</v>
      </c>
      <c r="G70" s="16">
        <f>'Resource Mix and Demand'!G24*'Game Assumptions'!$H$57</f>
        <v>900</v>
      </c>
      <c r="H70" s="16">
        <f>'Resource Mix and Demand'!H24*'Game Assumptions'!$H$57</f>
        <v>900</v>
      </c>
      <c r="I70" s="16">
        <f>'Resource Mix and Demand'!I24*'Game Assumptions'!$H$57</f>
        <v>900</v>
      </c>
      <c r="J70" s="16">
        <f>'Resource Mix and Demand'!J24*'Game Assumptions'!$H$57</f>
        <v>900</v>
      </c>
      <c r="K70" s="16">
        <f>'Resource Mix and Demand'!K24*'Game Assumptions'!$H$57</f>
        <v>900</v>
      </c>
      <c r="L70" s="16">
        <f>'Resource Mix and Demand'!L24*'Game Assumptions'!$H$57</f>
        <v>900</v>
      </c>
    </row>
    <row r="71" spans="1:12" x14ac:dyDescent="0.25">
      <c r="A71" t="s">
        <v>9</v>
      </c>
      <c r="B71" s="16">
        <f>'Resource Mix and Demand'!B54/8760/'Game Assumptions'!$G58*'Game Assumptions'!$H58</f>
        <v>140</v>
      </c>
      <c r="C71" s="16">
        <f>'Resource Mix and Demand'!C25*'Game Assumptions'!$H$58</f>
        <v>243.98898570144604</v>
      </c>
      <c r="D71" s="16">
        <f>'Resource Mix and Demand'!D25*'Game Assumptions'!$H$58</f>
        <v>378.14919410518303</v>
      </c>
      <c r="E71" s="16">
        <f>'Resource Mix and Demand'!E25*'Game Assumptions'!$H$58</f>
        <v>526.59609995344613</v>
      </c>
      <c r="F71" s="16">
        <f>'Resource Mix and Demand'!F25*'Game Assumptions'!$H$58</f>
        <v>589.97159119542687</v>
      </c>
      <c r="G71" s="16">
        <f>'Resource Mix and Demand'!G25*'Game Assumptions'!$H$58</f>
        <v>640.30350506673983</v>
      </c>
      <c r="H71" s="16">
        <f>'Resource Mix and Demand'!H25*'Game Assumptions'!$H$58</f>
        <v>697.81956137455791</v>
      </c>
      <c r="I71" s="16">
        <f>'Resource Mix and Demand'!I25*'Game Assumptions'!$H$58</f>
        <v>768.78886266254358</v>
      </c>
      <c r="J71" s="16">
        <f>'Resource Mix and Demand'!J25*'Game Assumptions'!$H$58</f>
        <v>844.3121508245149</v>
      </c>
      <c r="K71" s="16">
        <f>'Resource Mix and Demand'!K25*'Game Assumptions'!$H$58</f>
        <v>922.94982588713185</v>
      </c>
      <c r="L71" s="16">
        <f>'Resource Mix and Demand'!L25*'Game Assumptions'!$H$58</f>
        <v>1003.9727587851595</v>
      </c>
    </row>
    <row r="72" spans="1:12" x14ac:dyDescent="0.25">
      <c r="A72" t="s">
        <v>10</v>
      </c>
      <c r="B72" s="16">
        <f>'Resource Mix and Demand'!B55/8760/'Game Assumptions'!$G59*'Game Assumptions'!$H59</f>
        <v>60</v>
      </c>
      <c r="C72" s="16">
        <f>'Resource Mix and Demand'!C26*'Game Assumptions'!$H$59</f>
        <v>104.56670815776259</v>
      </c>
      <c r="D72" s="16">
        <f>'Resource Mix and Demand'!D26*'Game Assumptions'!$H$59</f>
        <v>162.06394033079275</v>
      </c>
      <c r="E72" s="16">
        <f>'Resource Mix and Demand'!E26*'Game Assumptions'!$H$59</f>
        <v>225.68404283719119</v>
      </c>
      <c r="F72" s="16">
        <f>'Resource Mix and Demand'!F26*'Game Assumptions'!$H$59</f>
        <v>252.84496765518296</v>
      </c>
      <c r="G72" s="16">
        <f>'Resource Mix and Demand'!G26*'Game Assumptions'!$H$59</f>
        <v>274.41578788574566</v>
      </c>
      <c r="H72" s="16">
        <f>'Resource Mix and Demand'!H26*'Game Assumptions'!$H$59</f>
        <v>299.06552630338194</v>
      </c>
      <c r="I72" s="16">
        <f>'Resource Mix and Demand'!I26*'Game Assumptions'!$H$59</f>
        <v>329.48094114109011</v>
      </c>
      <c r="J72" s="16">
        <f>'Resource Mix and Demand'!J26*'Game Assumptions'!$H$59</f>
        <v>361.84806463907779</v>
      </c>
      <c r="K72" s="16">
        <f>'Resource Mix and Demand'!K26*'Game Assumptions'!$H$59</f>
        <v>395.54992538019934</v>
      </c>
      <c r="L72" s="16">
        <f>'Resource Mix and Demand'!L26*'Game Assumptions'!$H$59</f>
        <v>430.27403947935409</v>
      </c>
    </row>
    <row r="73" spans="1:12" x14ac:dyDescent="0.25">
      <c r="A73" t="s">
        <v>11</v>
      </c>
      <c r="B73" s="16">
        <f>'Resource Mix and Demand'!B56/8760/'Game Assumptions'!$G60*'Game Assumptions'!$H60</f>
        <v>120</v>
      </c>
      <c r="C73" s="16">
        <f>'Resource Mix and Demand'!C27*'Game Assumptions'!$H$60</f>
        <v>120</v>
      </c>
      <c r="D73" s="16">
        <f>'Resource Mix and Demand'!D27*'Game Assumptions'!$H$60</f>
        <v>120</v>
      </c>
      <c r="E73" s="16">
        <f>'Resource Mix and Demand'!E27*'Game Assumptions'!$H$60</f>
        <v>120</v>
      </c>
      <c r="F73" s="16">
        <f>'Resource Mix and Demand'!F27*'Game Assumptions'!$H$60</f>
        <v>120</v>
      </c>
      <c r="G73" s="16">
        <f>'Resource Mix and Demand'!G27*'Game Assumptions'!$H$60</f>
        <v>120</v>
      </c>
      <c r="H73" s="16">
        <f>'Resource Mix and Demand'!H27*'Game Assumptions'!$H$60</f>
        <v>120</v>
      </c>
      <c r="I73" s="16">
        <f>'Resource Mix and Demand'!I27*'Game Assumptions'!$H$60</f>
        <v>120</v>
      </c>
      <c r="J73" s="16">
        <f>'Resource Mix and Demand'!J27*'Game Assumptions'!$H$60</f>
        <v>120</v>
      </c>
      <c r="K73" s="16">
        <f>'Resource Mix and Demand'!K27*'Game Assumptions'!$H$60</f>
        <v>120</v>
      </c>
      <c r="L73" s="16">
        <f>'Resource Mix and Demand'!L27*'Game Assumptions'!$H$60</f>
        <v>120</v>
      </c>
    </row>
    <row r="74" spans="1:12" x14ac:dyDescent="0.25">
      <c r="A74" t="s">
        <v>170</v>
      </c>
      <c r="B74" s="16">
        <f t="shared" ref="B74:L74" si="9">B19</f>
        <v>300</v>
      </c>
      <c r="C74" s="16">
        <f t="shared" si="9"/>
        <v>300</v>
      </c>
      <c r="D74" s="16">
        <f t="shared" si="9"/>
        <v>300</v>
      </c>
      <c r="E74" s="16">
        <f t="shared" si="9"/>
        <v>300</v>
      </c>
      <c r="F74" s="16">
        <f t="shared" si="9"/>
        <v>300</v>
      </c>
      <c r="G74" s="16">
        <f t="shared" si="9"/>
        <v>300</v>
      </c>
      <c r="H74" s="16">
        <f t="shared" si="9"/>
        <v>300</v>
      </c>
      <c r="I74" s="16">
        <f t="shared" si="9"/>
        <v>300</v>
      </c>
      <c r="J74" s="16">
        <f t="shared" si="9"/>
        <v>300</v>
      </c>
      <c r="K74" s="16">
        <f t="shared" si="9"/>
        <v>300</v>
      </c>
      <c r="L74" s="16">
        <f t="shared" si="9"/>
        <v>300</v>
      </c>
    </row>
    <row r="75" spans="1:12" x14ac:dyDescent="0.25">
      <c r="A75" t="s">
        <v>149</v>
      </c>
      <c r="B75" s="16">
        <f t="shared" ref="B75:L75" si="10">B20</f>
        <v>10</v>
      </c>
      <c r="C75" s="16">
        <f t="shared" si="10"/>
        <v>10</v>
      </c>
      <c r="D75" s="16">
        <f t="shared" si="10"/>
        <v>10</v>
      </c>
      <c r="E75" s="16">
        <f t="shared" si="10"/>
        <v>10</v>
      </c>
      <c r="F75" s="16">
        <f t="shared" si="10"/>
        <v>10</v>
      </c>
      <c r="G75" s="16">
        <f t="shared" si="10"/>
        <v>10</v>
      </c>
      <c r="H75" s="16">
        <f t="shared" si="10"/>
        <v>10</v>
      </c>
      <c r="I75" s="16">
        <f t="shared" si="10"/>
        <v>10</v>
      </c>
      <c r="J75" s="16">
        <f t="shared" si="10"/>
        <v>10</v>
      </c>
      <c r="K75" s="16">
        <f t="shared" si="10"/>
        <v>10</v>
      </c>
      <c r="L75" s="16">
        <f t="shared" si="10"/>
        <v>10</v>
      </c>
    </row>
    <row r="76" spans="1:12" x14ac:dyDescent="0.25">
      <c r="A76" t="s">
        <v>148</v>
      </c>
      <c r="B76" s="16">
        <f t="shared" ref="B76:L76" si="11">B21</f>
        <v>200</v>
      </c>
      <c r="C76" s="16">
        <f t="shared" si="11"/>
        <v>200</v>
      </c>
      <c r="D76" s="16">
        <f t="shared" si="11"/>
        <v>200</v>
      </c>
      <c r="E76" s="16">
        <f t="shared" si="11"/>
        <v>200</v>
      </c>
      <c r="F76" s="16">
        <f t="shared" si="11"/>
        <v>200</v>
      </c>
      <c r="G76" s="16">
        <f t="shared" si="11"/>
        <v>200</v>
      </c>
      <c r="H76" s="16">
        <f t="shared" si="11"/>
        <v>200</v>
      </c>
      <c r="I76" s="16">
        <f t="shared" si="11"/>
        <v>200</v>
      </c>
      <c r="J76" s="16">
        <f t="shared" si="11"/>
        <v>200</v>
      </c>
      <c r="K76" s="16">
        <f t="shared" si="11"/>
        <v>200</v>
      </c>
      <c r="L76" s="16">
        <f t="shared" si="11"/>
        <v>200</v>
      </c>
    </row>
    <row r="77" spans="1:12" x14ac:dyDescent="0.25">
      <c r="A77" t="s">
        <v>515</v>
      </c>
      <c r="B77" s="16">
        <f>MIN('Resource Mix and Demand'!B57/8760/'Game Assumptions'!$G61*'Game Assumptions'!$H61,B62*'Game Assumptions'!$B$193)</f>
        <v>200</v>
      </c>
      <c r="C77" s="16">
        <f>MIN('Resource Mix and Demand'!C57/8760/'Game Assumptions'!$G61*'Game Assumptions'!$H61,C62*'Game Assumptions'!$B$193)</f>
        <v>373.55569385920865</v>
      </c>
      <c r="D77" s="16">
        <f>MIN('Resource Mix and Demand'!D57/8760/'Game Assumptions'!$G61*'Game Assumptions'!$H61,D62*'Game Assumptions'!$B$193)</f>
        <v>590.2131344359758</v>
      </c>
      <c r="E77" s="16">
        <f>MIN('Resource Mix and Demand'!E57/8760/'Game Assumptions'!$G61*'Game Assumptions'!$H61,E62*'Game Assumptions'!$B$193)</f>
        <v>827.28014279063734</v>
      </c>
      <c r="F77" s="16">
        <f>MIN('Resource Mix and Demand'!F57/8760/'Game Assumptions'!$G61*'Game Assumptions'!$H61,F62*'Game Assumptions'!$B$193)</f>
        <v>942.81655885060991</v>
      </c>
      <c r="G77" s="16">
        <f>MIN('Resource Mix and Demand'!G57/8760/'Game Assumptions'!$G61*'Game Assumptions'!$H61,G62*'Game Assumptions'!$B$193)</f>
        <v>987.54280821917803</v>
      </c>
      <c r="H77" s="16">
        <f>MIN('Resource Mix and Demand'!H57/8760/'Game Assumptions'!$G61*'Game Assumptions'!$H61,H62*'Game Assumptions'!$B$193)</f>
        <v>972.1232876712329</v>
      </c>
      <c r="I77" s="16">
        <f>MIN('Resource Mix and Demand'!I57/8760/'Game Assumptions'!$G61*'Game Assumptions'!$H61,I62*'Game Assumptions'!$B$193)</f>
        <v>966.4982876712329</v>
      </c>
      <c r="J77" s="16">
        <f>MIN('Resource Mix and Demand'!J57/8760/'Game Assumptions'!$G61*'Game Assumptions'!$H61,J62*'Game Assumptions'!$B$193)</f>
        <v>957.94520547945206</v>
      </c>
      <c r="K77" s="16">
        <f>MIN('Resource Mix and Demand'!K57/8760/'Game Assumptions'!$G61*'Game Assumptions'!$H61,K62*'Game Assumptions'!$B$193)</f>
        <v>947.49143835616439</v>
      </c>
      <c r="L77" s="16">
        <f>MIN('Resource Mix and Demand'!L57/8760/'Game Assumptions'!$G61*'Game Assumptions'!$H61,L62*'Game Assumptions'!$B$193)</f>
        <v>938.01369863013701</v>
      </c>
    </row>
    <row r="78" spans="1:12" x14ac:dyDescent="0.25">
      <c r="A78" t="s">
        <v>369</v>
      </c>
      <c r="B78" s="16">
        <f>'Resource Mix and Demand'!B58/8760/'Game Assumptions'!$G62*'Game Assumptions'!$H62</f>
        <v>35</v>
      </c>
      <c r="C78" s="16">
        <f>'Resource Mix and Demand'!C58/8760/'Game Assumptions'!$G62*'Game Assumptions'!$H62</f>
        <v>145.98898570144604</v>
      </c>
      <c r="D78" s="16">
        <f>'Resource Mix and Demand'!D58/8760/'Game Assumptions'!$G62*'Game Assumptions'!$H62</f>
        <v>204.2272284956189</v>
      </c>
      <c r="E78" s="16">
        <f>'Resource Mix and Demand'!E58/8760/'Game Assumptions'!$G62*'Game Assumptions'!$H62</f>
        <v>204.2272284956189</v>
      </c>
      <c r="F78" s="16">
        <f>'Resource Mix and Demand'!F58/8760/'Game Assumptions'!$G62*'Game Assumptions'!$H62</f>
        <v>204.2272284956189</v>
      </c>
      <c r="G78" s="16">
        <f>'Resource Mix and Demand'!G58/8760/'Game Assumptions'!$G62*'Game Assumptions'!$H62</f>
        <v>204.2272284956189</v>
      </c>
      <c r="H78" s="16">
        <f>'Resource Mix and Demand'!H58/8760/'Game Assumptions'!$G62*'Game Assumptions'!$H62</f>
        <v>204.2272284956189</v>
      </c>
      <c r="I78" s="16">
        <f>'Resource Mix and Demand'!I58/8760/'Game Assumptions'!$G62*'Game Assumptions'!$H62</f>
        <v>204.2272284956189</v>
      </c>
      <c r="J78" s="16">
        <f>'Resource Mix and Demand'!J58/8760/'Game Assumptions'!$G62*'Game Assumptions'!$H62</f>
        <v>204.2272284956189</v>
      </c>
      <c r="K78" s="16">
        <f>'Resource Mix and Demand'!K58/8760/'Game Assumptions'!$G62*'Game Assumptions'!$H62</f>
        <v>204.2272284956189</v>
      </c>
      <c r="L78" s="16">
        <f>'Resource Mix and Demand'!L58/8760/'Game Assumptions'!$G62*'Game Assumptions'!$H62</f>
        <v>204.2272284956189</v>
      </c>
    </row>
    <row r="79" spans="1:12" x14ac:dyDescent="0.25">
      <c r="A79" t="s">
        <v>36</v>
      </c>
      <c r="B79" s="16">
        <f>MIN(B22,'Game Assumptions'!$B$190*B62)</f>
        <v>100</v>
      </c>
      <c r="C79" s="16">
        <f>MIN(C22,'Game Assumptions'!$B$190*C62)</f>
        <v>100</v>
      </c>
      <c r="D79" s="16">
        <f>MIN(D22,'Game Assumptions'!$B$190*D62)</f>
        <v>100</v>
      </c>
      <c r="E79" s="16">
        <f>MIN(E22,'Game Assumptions'!$B$190*E62)</f>
        <v>100</v>
      </c>
      <c r="F79" s="16">
        <f>MIN(F22,'Game Assumptions'!$B$190*F62)</f>
        <v>100</v>
      </c>
      <c r="G79" s="16">
        <f>MIN(G22,'Game Assumptions'!$B$190*G62)</f>
        <v>100</v>
      </c>
      <c r="H79" s="16">
        <f>MIN(H22,'Game Assumptions'!$B$190*H62)</f>
        <v>100</v>
      </c>
      <c r="I79" s="16">
        <f>MIN(I22,'Game Assumptions'!$B$190*I62)</f>
        <v>100</v>
      </c>
      <c r="J79" s="16">
        <f>MIN(J22,'Game Assumptions'!$B$190*J62)</f>
        <v>100</v>
      </c>
      <c r="K79" s="16">
        <f>MIN(K22,'Game Assumptions'!$B$190*K62)</f>
        <v>100</v>
      </c>
      <c r="L79" s="16">
        <f>MIN(L22,'Game Assumptions'!$B$190*L62)</f>
        <v>100</v>
      </c>
    </row>
    <row r="80" spans="1:12" x14ac:dyDescent="0.25">
      <c r="A80" t="s">
        <v>444</v>
      </c>
      <c r="B80" s="16">
        <f t="shared" ref="B80:L80" si="12">SUM(B68:B79)</f>
        <v>11765</v>
      </c>
      <c r="C80" s="16">
        <f t="shared" si="12"/>
        <v>11535.789483594599</v>
      </c>
      <c r="D80" s="16">
        <f t="shared" si="12"/>
        <v>11708.994512465131</v>
      </c>
      <c r="E80" s="16">
        <f t="shared" si="12"/>
        <v>11897.435742541913</v>
      </c>
      <c r="F80" s="16">
        <f t="shared" si="12"/>
        <v>12248.366840357816</v>
      </c>
      <c r="G80" s="16">
        <f t="shared" si="12"/>
        <v>12480.040198391262</v>
      </c>
      <c r="H80" s="16">
        <f t="shared" si="12"/>
        <v>12678.251744129497</v>
      </c>
      <c r="I80" s="16">
        <f t="shared" si="12"/>
        <v>12936.227006056301</v>
      </c>
      <c r="J80" s="16">
        <f t="shared" si="12"/>
        <v>13208.188994180413</v>
      </c>
      <c r="K80" s="16">
        <f t="shared" si="12"/>
        <v>13489.818020146846</v>
      </c>
      <c r="L80" s="16">
        <f t="shared" si="12"/>
        <v>13781.282602613492</v>
      </c>
    </row>
    <row r="82" spans="1:12" x14ac:dyDescent="0.25">
      <c r="A82" s="9" t="s">
        <v>356</v>
      </c>
      <c r="B82" s="83"/>
      <c r="C82" s="83"/>
      <c r="D82" s="83"/>
      <c r="E82" s="83"/>
      <c r="F82" s="83"/>
      <c r="G82" s="83"/>
      <c r="H82" s="83"/>
      <c r="I82" s="83"/>
      <c r="J82" s="83"/>
      <c r="K82" s="83"/>
      <c r="L82" s="83"/>
    </row>
    <row r="83" spans="1:12" x14ac:dyDescent="0.25">
      <c r="A83" t="s">
        <v>515</v>
      </c>
      <c r="B83" s="16">
        <f t="shared" ref="B83:L83" si="13">MIN(B24,B62*0.075)</f>
        <v>200</v>
      </c>
      <c r="C83" s="16">
        <f t="shared" si="13"/>
        <v>373.55569385920865</v>
      </c>
      <c r="D83" s="16">
        <f t="shared" si="13"/>
        <v>590.2131344359758</v>
      </c>
      <c r="E83" s="16">
        <f t="shared" si="13"/>
        <v>783.97060750370713</v>
      </c>
      <c r="F83" s="16">
        <f t="shared" si="13"/>
        <v>801.30928249563885</v>
      </c>
      <c r="G83" s="16">
        <f t="shared" si="13"/>
        <v>818.9705606736444</v>
      </c>
      <c r="H83" s="16">
        <f t="shared" si="13"/>
        <v>836.95781189417721</v>
      </c>
      <c r="I83" s="16">
        <f t="shared" si="13"/>
        <v>855.27430587847709</v>
      </c>
      <c r="J83" s="16">
        <f t="shared" si="13"/>
        <v>873.92320279526905</v>
      </c>
      <c r="K83" s="16">
        <f t="shared" si="13"/>
        <v>892.90754335672761</v>
      </c>
      <c r="L83" s="16">
        <f t="shared" si="13"/>
        <v>912.2302384066129</v>
      </c>
    </row>
    <row r="84" spans="1:12" x14ac:dyDescent="0.25">
      <c r="A84" t="s">
        <v>36</v>
      </c>
      <c r="B84" s="16">
        <f t="shared" ref="B84:L84" si="14">MIN(B22,B62*0.1)</f>
        <v>100</v>
      </c>
      <c r="C84" s="16">
        <f t="shared" si="14"/>
        <v>100</v>
      </c>
      <c r="D84" s="16">
        <f t="shared" si="14"/>
        <v>100</v>
      </c>
      <c r="E84" s="16">
        <f t="shared" si="14"/>
        <v>100</v>
      </c>
      <c r="F84" s="16">
        <f t="shared" si="14"/>
        <v>100</v>
      </c>
      <c r="G84" s="16">
        <f t="shared" si="14"/>
        <v>100</v>
      </c>
      <c r="H84" s="16">
        <f t="shared" si="14"/>
        <v>100</v>
      </c>
      <c r="I84" s="16">
        <f t="shared" si="14"/>
        <v>100</v>
      </c>
      <c r="J84" s="16">
        <f t="shared" si="14"/>
        <v>100</v>
      </c>
      <c r="K84" s="16">
        <f t="shared" si="14"/>
        <v>100</v>
      </c>
      <c r="L84" s="16">
        <f t="shared" si="14"/>
        <v>100</v>
      </c>
    </row>
    <row r="85" spans="1:12" x14ac:dyDescent="0.25">
      <c r="A85" t="s">
        <v>336</v>
      </c>
      <c r="B85" s="16">
        <f t="shared" ref="B85:L85" si="15">B23</f>
        <v>9449.7358121330726</v>
      </c>
      <c r="C85" s="16">
        <f t="shared" si="15"/>
        <v>9449.7358121330726</v>
      </c>
      <c r="D85" s="16">
        <f t="shared" si="15"/>
        <v>9449.7358121330726</v>
      </c>
      <c r="E85" s="16">
        <f t="shared" si="15"/>
        <v>9449.7358121330726</v>
      </c>
      <c r="F85" s="16">
        <f t="shared" si="15"/>
        <v>9449.7358121330726</v>
      </c>
      <c r="G85" s="16">
        <f t="shared" si="15"/>
        <v>9449.7358121330726</v>
      </c>
      <c r="H85" s="16">
        <f t="shared" si="15"/>
        <v>9449.7358121330726</v>
      </c>
      <c r="I85" s="16">
        <f t="shared" si="15"/>
        <v>9449.7358121330726</v>
      </c>
      <c r="J85" s="16">
        <f t="shared" si="15"/>
        <v>9449.7358121330726</v>
      </c>
      <c r="K85" s="16">
        <f t="shared" si="15"/>
        <v>9449.7358121330726</v>
      </c>
      <c r="L85" s="16">
        <f t="shared" si="15"/>
        <v>9449.7358121330726</v>
      </c>
    </row>
    <row r="86" spans="1:12" x14ac:dyDescent="0.25">
      <c r="A86" t="s">
        <v>369</v>
      </c>
      <c r="B86" s="16">
        <f>'Resource Mix and Demand'!B29*'Game Assumptions'!$H$62</f>
        <v>35</v>
      </c>
      <c r="C86" s="16">
        <f>'Resource Mix and Demand'!C29*'Game Assumptions'!$H$62</f>
        <v>145.98898570144604</v>
      </c>
      <c r="D86" s="16">
        <f>'Resource Mix and Demand'!D29*'Game Assumptions'!$H$62</f>
        <v>287.14919410518303</v>
      </c>
      <c r="E86" s="16">
        <f>'Resource Mix and Demand'!E29*'Game Assumptions'!$H$62</f>
        <v>442.59609995344613</v>
      </c>
      <c r="F86" s="16">
        <f>'Resource Mix and Demand'!F29*'Game Assumptions'!$H$62</f>
        <v>512.97159119542687</v>
      </c>
      <c r="G86" s="16">
        <f>'Resource Mix and Demand'!G29*'Game Assumptions'!$H$62</f>
        <v>570.30350506673983</v>
      </c>
      <c r="H86" s="16">
        <f>'Resource Mix and Demand'!H29*'Game Assumptions'!$H$62</f>
        <v>634.81956137455791</v>
      </c>
      <c r="I86" s="16">
        <f>'Resource Mix and Demand'!I29*'Game Assumptions'!$H$62</f>
        <v>712.78886266254347</v>
      </c>
      <c r="J86" s="16">
        <f>'Resource Mix and Demand'!J29*'Game Assumptions'!$H$62</f>
        <v>795.31215082451467</v>
      </c>
      <c r="K86" s="16">
        <f>'Resource Mix and Demand'!K29*'Game Assumptions'!$H$62</f>
        <v>880.94982588713162</v>
      </c>
      <c r="L86" s="16">
        <f>'Resource Mix and Demand'!L29*'Game Assumptions'!$H$62</f>
        <v>968.97275878515939</v>
      </c>
    </row>
    <row r="88" spans="1:12" x14ac:dyDescent="0.25">
      <c r="A88" s="9" t="s">
        <v>357</v>
      </c>
      <c r="B88" s="9">
        <v>0</v>
      </c>
      <c r="C88" s="9">
        <v>1</v>
      </c>
      <c r="D88" s="9">
        <v>2</v>
      </c>
      <c r="E88" s="9">
        <v>3</v>
      </c>
      <c r="F88" s="9">
        <v>4</v>
      </c>
      <c r="G88" s="9">
        <v>5</v>
      </c>
      <c r="H88" s="9">
        <v>6</v>
      </c>
      <c r="I88" s="9">
        <v>7</v>
      </c>
      <c r="J88" s="9">
        <v>8</v>
      </c>
      <c r="K88" s="9">
        <v>9</v>
      </c>
      <c r="L88" s="9">
        <v>10</v>
      </c>
    </row>
    <row r="89" spans="1:12" x14ac:dyDescent="0.25">
      <c r="A89" t="s">
        <v>167</v>
      </c>
      <c r="B89" s="5">
        <f t="shared" ref="B89:L89" si="16">SUM(B68:B79)/B62-1</f>
        <v>0.20238299999999998</v>
      </c>
      <c r="C89" s="5">
        <f t="shared" si="16"/>
        <v>0.15319894588235305</v>
      </c>
      <c r="D89" s="5">
        <f t="shared" si="16"/>
        <v>0.14502035064958307</v>
      </c>
      <c r="E89" s="5">
        <f t="shared" si="16"/>
        <v>0.13819022314101748</v>
      </c>
      <c r="F89" s="5">
        <f t="shared" si="16"/>
        <v>0.14640817608628653</v>
      </c>
      <c r="G89" s="5">
        <f t="shared" si="16"/>
        <v>0.1429019061557415</v>
      </c>
      <c r="H89" s="5">
        <f t="shared" si="16"/>
        <v>0.1361013270880822</v>
      </c>
      <c r="I89" s="5">
        <f t="shared" si="16"/>
        <v>0.13439281267509195</v>
      </c>
      <c r="J89" s="5">
        <f t="shared" si="16"/>
        <v>0.13352543037537212</v>
      </c>
      <c r="K89" s="5">
        <f t="shared" si="16"/>
        <v>0.13308075291599608</v>
      </c>
      <c r="L89" s="5">
        <f t="shared" si="16"/>
        <v>0.13304311968586813</v>
      </c>
    </row>
    <row r="90" spans="1:12" ht="17.100000000000001" customHeight="1" x14ac:dyDescent="0.25"/>
    <row r="91" spans="1:12" ht="17.100000000000001" customHeight="1" x14ac:dyDescent="0.25">
      <c r="A91" s="9" t="s">
        <v>358</v>
      </c>
      <c r="B91" s="9">
        <v>0</v>
      </c>
      <c r="C91" s="9">
        <v>1</v>
      </c>
      <c r="D91" s="9">
        <v>2</v>
      </c>
      <c r="E91" s="9">
        <v>3</v>
      </c>
      <c r="F91" s="9">
        <v>4</v>
      </c>
      <c r="G91" s="9">
        <v>5</v>
      </c>
      <c r="H91" s="9">
        <v>6</v>
      </c>
      <c r="I91" s="9">
        <v>7</v>
      </c>
      <c r="J91" s="9">
        <v>8</v>
      </c>
      <c r="K91" s="9">
        <v>9</v>
      </c>
      <c r="L91" s="9">
        <v>10</v>
      </c>
    </row>
    <row r="92" spans="1:12" ht="17.100000000000001" customHeight="1" x14ac:dyDescent="0.25">
      <c r="A92" t="s">
        <v>167</v>
      </c>
      <c r="B92" s="5">
        <f t="shared" ref="B92:L92" si="17">SUM(B83:B85)/B65-1</f>
        <v>-3.5770000000000524E-3</v>
      </c>
      <c r="C92" s="5">
        <f t="shared" si="17"/>
        <v>-3.0127982888843441E-3</v>
      </c>
      <c r="D92" s="5">
        <f t="shared" si="17"/>
        <v>-1.1382170874055131E-2</v>
      </c>
      <c r="E92" s="5">
        <f t="shared" si="17"/>
        <v>-6.4390335688702116E-3</v>
      </c>
      <c r="F92" s="5">
        <f t="shared" si="17"/>
        <v>-3.0205309534814262E-2</v>
      </c>
      <c r="G92" s="5">
        <f t="shared" si="17"/>
        <v>-5.3290760132025272E-2</v>
      </c>
      <c r="H92" s="5">
        <f t="shared" si="17"/>
        <v>-6.5507803544049836E-2</v>
      </c>
      <c r="I92" s="5">
        <f t="shared" si="17"/>
        <v>-8.6659203488775649E-2</v>
      </c>
      <c r="J92" s="5">
        <f t="shared" si="17"/>
        <v>-0.10454719522299338</v>
      </c>
      <c r="K92" s="5">
        <f t="shared" si="17"/>
        <v>-0.12022815547305898</v>
      </c>
      <c r="L92" s="5">
        <f t="shared" si="17"/>
        <v>-0.13640371123845263</v>
      </c>
    </row>
    <row r="93" spans="1:12" ht="17.100000000000001" customHeight="1" x14ac:dyDescent="0.25"/>
    <row r="94" spans="1:12" x14ac:dyDescent="0.25">
      <c r="A94" s="9" t="s">
        <v>327</v>
      </c>
      <c r="B94" s="9">
        <v>0</v>
      </c>
      <c r="C94" s="9">
        <v>1</v>
      </c>
      <c r="D94" s="9">
        <v>2</v>
      </c>
      <c r="E94" s="9">
        <v>3</v>
      </c>
      <c r="F94" s="9">
        <v>4</v>
      </c>
      <c r="G94" s="9">
        <v>5</v>
      </c>
      <c r="H94" s="9">
        <v>6</v>
      </c>
      <c r="I94" s="9">
        <v>7</v>
      </c>
      <c r="J94" s="9">
        <v>8</v>
      </c>
      <c r="K94" s="9">
        <v>9</v>
      </c>
      <c r="L94" s="9">
        <v>10</v>
      </c>
    </row>
    <row r="95" spans="1:12" x14ac:dyDescent="0.25">
      <c r="A95" t="s">
        <v>328</v>
      </c>
      <c r="B95" s="16">
        <f>'Game Assumptions'!$B$133/(SUM(B83:B86)/B65)</f>
        <v>287</v>
      </c>
      <c r="C95" s="16">
        <f>'Game Assumptions'!$B$133/(SUM(C83:C86)/C65)</f>
        <v>283.69365587114572</v>
      </c>
      <c r="D95" s="16">
        <f>'Game Assumptions'!$B$133/(SUM(D83:D86)/D65)</f>
        <v>282.30967724458526</v>
      </c>
      <c r="E95" s="16">
        <f>'Game Assumptions'!$B$133/(SUM(E83:E86)/E65)</f>
        <v>276.99614176546481</v>
      </c>
      <c r="F95" s="16">
        <f>'Game Assumptions'!$B$133/(SUM(F83:F86)/F65)</f>
        <v>281.96543378773811</v>
      </c>
      <c r="G95" s="16">
        <f>'Game Assumptions'!$B$133/(SUM(G83:G86)/G65)</f>
        <v>287.35042409146655</v>
      </c>
      <c r="H95" s="16">
        <f>'Game Assumptions'!$B$133/(SUM(H83:H86)/H65)</f>
        <v>289.42918021149165</v>
      </c>
      <c r="I95" s="16">
        <f>'Game Assumptions'!$B$133/(SUM(I83:I86)/I65)</f>
        <v>294.08490234154579</v>
      </c>
      <c r="J95" s="16">
        <f>'Game Assumptions'!$B$133/(SUM(J83:J86)/J65)</f>
        <v>297.78742874143711</v>
      </c>
      <c r="K95" s="16">
        <f>'Game Assumptions'!$B$133/(SUM(K83:K86)/K65)</f>
        <v>300.84169392302715</v>
      </c>
      <c r="L95" s="16">
        <f>'Game Assumptions'!$B$133/(SUM(L83:L86)/L65)</f>
        <v>304.16030559250129</v>
      </c>
    </row>
    <row r="97" spans="1:12" x14ac:dyDescent="0.25">
      <c r="A97" s="9" t="s">
        <v>420</v>
      </c>
      <c r="B97" s="9">
        <v>0</v>
      </c>
      <c r="C97" s="9">
        <v>1</v>
      </c>
      <c r="D97" s="9">
        <v>2</v>
      </c>
      <c r="E97" s="9">
        <v>3</v>
      </c>
      <c r="F97" s="9">
        <v>4</v>
      </c>
      <c r="G97" s="9">
        <v>5</v>
      </c>
      <c r="H97" s="9">
        <v>6</v>
      </c>
      <c r="I97" s="9">
        <v>7</v>
      </c>
      <c r="J97" s="9">
        <v>8</v>
      </c>
      <c r="K97" s="9">
        <v>9</v>
      </c>
      <c r="L97" s="9">
        <v>10</v>
      </c>
    </row>
    <row r="98" spans="1:12" x14ac:dyDescent="0.25">
      <c r="A98" t="s">
        <v>328</v>
      </c>
      <c r="B98">
        <f>B95</f>
        <v>287</v>
      </c>
      <c r="C98" s="16">
        <f>($G$98-$B$98)/COUNT($C$97:$G$97)+B98</f>
        <v>275.60000000000002</v>
      </c>
      <c r="D98" s="16">
        <f>($G$98-$B$98)/COUNT($C$97:$G$97)+C98</f>
        <v>264.20000000000005</v>
      </c>
      <c r="E98" s="16">
        <f>($G$98-$B$98)/COUNT($C$97:$G$97)+D98</f>
        <v>252.80000000000004</v>
      </c>
      <c r="F98" s="16">
        <f>($G$98-$B$98)/COUNT($C$97:$G$97)+E98</f>
        <v>241.40000000000003</v>
      </c>
      <c r="G98" s="16">
        <f>'Game Assumptions'!B161</f>
        <v>230</v>
      </c>
      <c r="H98" s="16"/>
      <c r="I98" s="16"/>
      <c r="J98" s="16"/>
      <c r="K98" s="16"/>
    </row>
    <row r="99" spans="1:12" x14ac:dyDescent="0.25">
      <c r="A99" t="s">
        <v>421</v>
      </c>
      <c r="B99">
        <f>B98</f>
        <v>287</v>
      </c>
      <c r="C99" s="16">
        <f>AVERAGE(B98:C98)</f>
        <v>281.3</v>
      </c>
      <c r="D99" s="16">
        <f>AVERAGE(C98:D98)</f>
        <v>269.90000000000003</v>
      </c>
      <c r="E99" s="16">
        <f>AVERAGE(D98:E98)</f>
        <v>258.50000000000006</v>
      </c>
      <c r="F99" s="16">
        <f>AVERAGE(E98:F98)</f>
        <v>247.10000000000002</v>
      </c>
      <c r="G99" s="16">
        <f>AVERAGE(F98:G98)</f>
        <v>235.70000000000002</v>
      </c>
      <c r="H99" s="16"/>
      <c r="I99" s="16"/>
      <c r="J99" s="16"/>
      <c r="K99" s="16"/>
      <c r="L99" s="16"/>
    </row>
    <row r="100" spans="1:12" x14ac:dyDescent="0.25">
      <c r="A100" t="s">
        <v>442</v>
      </c>
      <c r="B100">
        <v>0</v>
      </c>
      <c r="C100" s="5">
        <f>IF(C95&lt;C98,1,IF(C95&gt;B98,-1,(C99-C95)/(C99-C98)))</f>
        <v>-0.41993962651679223</v>
      </c>
      <c r="D100" s="5">
        <f>IF(D95&lt;D98,1,IF(D95&gt;C98,-1,(D99-D95)/(D99-D98)))</f>
        <v>-1</v>
      </c>
      <c r="E100" s="5">
        <f>IF(E95&lt;E98,1,IF(E95&gt;D98,-1,(E99-E95)/(E99-E98)))</f>
        <v>-1</v>
      </c>
      <c r="F100" s="5">
        <f>IF(F95&lt;F98,1,IF(F95&gt;E98,-1,(F99-F95)/(F99-F98)))</f>
        <v>-1</v>
      </c>
      <c r="G100" s="5">
        <f>IF(G95&lt;G98,1,IF(G95&gt;F98,-1,(G99-G95)/(G99-G98)))</f>
        <v>-1</v>
      </c>
      <c r="H100" s="5"/>
      <c r="I100" s="5"/>
      <c r="J100" s="5"/>
      <c r="K100" s="5"/>
      <c r="L100" s="5"/>
    </row>
    <row r="102" spans="1:12" x14ac:dyDescent="0.25">
      <c r="A102" s="9" t="s">
        <v>551</v>
      </c>
      <c r="B102" s="9">
        <v>0</v>
      </c>
      <c r="C102" s="9">
        <v>1</v>
      </c>
      <c r="D102" s="9">
        <v>2</v>
      </c>
      <c r="E102" s="9">
        <v>3</v>
      </c>
      <c r="F102" s="9">
        <v>4</v>
      </c>
      <c r="G102" s="9">
        <v>5</v>
      </c>
      <c r="H102" s="9">
        <v>6</v>
      </c>
      <c r="I102" s="9">
        <v>7</v>
      </c>
      <c r="J102" s="9">
        <v>8</v>
      </c>
      <c r="K102" s="9">
        <v>9</v>
      </c>
      <c r="L102" s="9">
        <v>10</v>
      </c>
    </row>
    <row r="103" spans="1:12" x14ac:dyDescent="0.25">
      <c r="A103" t="s">
        <v>167</v>
      </c>
      <c r="B103">
        <v>0</v>
      </c>
      <c r="C103">
        <f>SUM(B80,SUMPRODUCT('Event Tracker'!C32:C39,'Game Assumptions'!$H$55:$H$62),SUMPRODUCT('Event Tracker'!C87:C94,'Game Assumptions'!$H$55:$H$62),SUMPRODUCT('Event Tracker'!C97:C99,'Game Assumptions'!$L$55:$L$57),MIN('Event Tracker'!C100,'Game Assumptions'!$B$190*Reliability!C62))-SUM(SUMPRODUCT('Resource Mix and Demand'!C12:C19,'Game Assumptions'!$H$55:$H$62))-IF(SUM('Event Tracker'!B38,'Event Tracker'!B93)&gt;'Game Assumptions'!$B$193*Reliability!C62,(SUM('Event Tracker'!B38,'Event Tracker'!B93)-'Game Assumptions'!$B$193*Reliability!C62))</f>
        <v>10865</v>
      </c>
      <c r="D103">
        <f>SUM(C80,SUMPRODUCT('Event Tracker'!D32:D39,'Game Assumptions'!$H$55:$H$62),SUMPRODUCT('Event Tracker'!D87:D94,'Game Assumptions'!$H$55:$H$62),SUMPRODUCT('Event Tracker'!D97:D99,'Game Assumptions'!$L$55:$L$57),MIN('Event Tracker'!D100,'Game Assumptions'!$B$190*Reliability!D62))-SUM(SUMPRODUCT('Resource Mix and Demand'!D12:D19,'Game Assumptions'!$H$55:$H$62))-IF(SUM('Event Tracker'!C38,'Event Tracker'!C93)&gt;'Game Assumptions'!$B$193*Reliability!D62,(SUM('Event Tracker'!C38,'Event Tracker'!C93)-'Game Assumptions'!$B$193*Reliability!D62))</f>
        <v>10935.789483594599</v>
      </c>
      <c r="E103">
        <f>SUM(D80,SUMPRODUCT('Event Tracker'!E32:E39,'Game Assumptions'!$H$55:$H$62),SUMPRODUCT('Event Tracker'!E87:E94,'Game Assumptions'!$H$55:$H$62),SUMPRODUCT('Event Tracker'!E97:E99,'Game Assumptions'!$L$55:$L$57),MIN('Event Tracker'!E100,'Game Assumptions'!$B$190*Reliability!E62))-SUM(SUMPRODUCT('Resource Mix and Demand'!E12:E19,'Game Assumptions'!$H$55:$H$62))-IF(SUM('Event Tracker'!D38,'Event Tracker'!D93)&gt;'Game Assumptions'!$B$193*Reliability!E62,(SUM('Event Tracker'!D38,'Event Tracker'!D93)-'Game Assumptions'!$B$193*Reliability!E62))</f>
        <v>11108.994512465131</v>
      </c>
      <c r="F103">
        <f>SUM(E80,SUMPRODUCT('Event Tracker'!F32:F39,'Game Assumptions'!$H$55:$H$62),SUMPRODUCT('Event Tracker'!F87:F94,'Game Assumptions'!$H$55:$H$62),SUMPRODUCT('Event Tracker'!F97:F99,'Game Assumptions'!$L$55:$L$57),MIN('Event Tracker'!F100,'Game Assumptions'!$B$190*Reliability!F62))-SUM(SUMPRODUCT('Resource Mix and Demand'!F12:F19,'Game Assumptions'!$H$55:$H$62))-IF(SUM('Event Tracker'!E38,'Event Tracker'!E93)&gt;'Game Assumptions'!$B$193*Reliability!F62,(SUM('Event Tracker'!E38,'Event Tracker'!E93)-'Game Assumptions'!$B$193*Reliability!F62))</f>
        <v>11897.435742541913</v>
      </c>
      <c r="G103">
        <f>SUM(F80,SUMPRODUCT('Event Tracker'!G32:G39,'Game Assumptions'!$H$55:$H$62),SUMPRODUCT('Event Tracker'!G87:G94,'Game Assumptions'!$H$55:$H$62),SUMPRODUCT('Event Tracker'!G97:G99,'Game Assumptions'!$L$55:$L$57),MIN('Event Tracker'!G100,'Game Assumptions'!$B$190*Reliability!G62))-SUM(SUMPRODUCT('Resource Mix and Demand'!G12:G19,'Game Assumptions'!$H$55:$H$62))-IF(SUM('Event Tracker'!F38,'Event Tracker'!F93)&gt;'Game Assumptions'!$B$193*Reliability!G62,(SUM('Event Tracker'!F38,'Event Tracker'!F93)-'Game Assumptions'!$B$193*Reliability!G62))</f>
        <v>12248.366840357816</v>
      </c>
      <c r="H103">
        <f>SUM(G80,SUMPRODUCT('Event Tracker'!H32:H39,'Game Assumptions'!$H$55:$H$62),SUMPRODUCT('Event Tracker'!H87:H94,'Game Assumptions'!$H$55:$H$62),SUMPRODUCT('Event Tracker'!H97:H99,'Game Assumptions'!$L$55:$L$57),MIN('Event Tracker'!H100,'Game Assumptions'!$B$190*Reliability!H62))-SUM(SUMPRODUCT('Resource Mix and Demand'!H12:H19,'Game Assumptions'!$H$55:$H$62))-IF(SUM('Event Tracker'!G38,'Event Tracker'!G93)&gt;'Game Assumptions'!$B$193*Reliability!H62,(SUM('Event Tracker'!G38,'Event Tracker'!G93)-'Game Assumptions'!$B$193*Reliability!H62))</f>
        <v>12480.040198391262</v>
      </c>
      <c r="I103">
        <f>SUM(H80,SUMPRODUCT('Event Tracker'!I32:I39,'Game Assumptions'!$H$55:$H$62),SUMPRODUCT('Event Tracker'!I87:I94,'Game Assumptions'!$H$55:$H$62),SUMPRODUCT('Event Tracker'!I97:I99,'Game Assumptions'!$L$55:$L$57),MIN('Event Tracker'!I100,'Game Assumptions'!$B$190*Reliability!I62))-SUM(SUMPRODUCT('Resource Mix and Demand'!I12:I19,'Game Assumptions'!$H$55:$H$62))-IF(SUM('Event Tracker'!H38,'Event Tracker'!H93)&gt;'Game Assumptions'!$B$193*Reliability!I62,(SUM('Event Tracker'!H38,'Event Tracker'!H93)-'Game Assumptions'!$B$193*Reliability!I62))</f>
        <v>12678.251744129497</v>
      </c>
      <c r="J103">
        <f>SUM(I80,SUMPRODUCT('Event Tracker'!J32:J39,'Game Assumptions'!$H$55:$H$62),SUMPRODUCT('Event Tracker'!J87:J94,'Game Assumptions'!$H$55:$H$62),SUMPRODUCT('Event Tracker'!J97:J99,'Game Assumptions'!$L$55:$L$57),MIN('Event Tracker'!J100,'Game Assumptions'!$B$190*Reliability!J62))-SUM(SUMPRODUCT('Resource Mix and Demand'!J12:J19,'Game Assumptions'!$H$55:$H$62))-IF(SUM('Event Tracker'!I38,'Event Tracker'!I93)&gt;'Game Assumptions'!$B$193*Reliability!J62,(SUM('Event Tracker'!I38,'Event Tracker'!I93)-'Game Assumptions'!$B$193*Reliability!J62))</f>
        <v>12936.227006056301</v>
      </c>
      <c r="K103">
        <f>SUM(J80,SUMPRODUCT('Event Tracker'!K32:K39,'Game Assumptions'!$H$55:$H$62),SUMPRODUCT('Event Tracker'!K87:K94,'Game Assumptions'!$H$55:$H$62),SUMPRODUCT('Event Tracker'!K97:K99,'Game Assumptions'!$L$55:$L$57),MIN('Event Tracker'!K100,'Game Assumptions'!$B$190*Reliability!K62))-SUM(SUMPRODUCT('Resource Mix and Demand'!K12:K19,'Game Assumptions'!$H$55:$H$62))-IF(SUM('Event Tracker'!J38,'Event Tracker'!J93)&gt;'Game Assumptions'!$B$193*Reliability!K62,(SUM('Event Tracker'!J38,'Event Tracker'!J93)-'Game Assumptions'!$B$193*Reliability!K62))</f>
        <v>13208.188994180413</v>
      </c>
      <c r="L103">
        <f>SUM(K80,SUMPRODUCT('Event Tracker'!L32:L39,'Game Assumptions'!$H$55:$H$62),SUMPRODUCT('Event Tracker'!L87:L94,'Game Assumptions'!$H$55:$H$62),SUMPRODUCT('Event Tracker'!L97:L99,'Game Assumptions'!$L$55:$L$57),MIN('Event Tracker'!L100,'Game Assumptions'!$B$190*Reliability!L62))-SUM(SUMPRODUCT('Resource Mix and Demand'!L12:L19,'Game Assumptions'!$H$55:$H$62))-IF(SUM('Event Tracker'!K38,'Event Tracker'!K93)&gt;'Game Assumptions'!$B$193*Reliability!L62,(SUM('Event Tracker'!K38,'Event Tracker'!K93)-'Game Assumptions'!$B$193*Reliability!L62))</f>
        <v>13489.818020146846</v>
      </c>
    </row>
    <row r="105" spans="1:12" x14ac:dyDescent="0.25">
      <c r="A105" s="9" t="s">
        <v>90</v>
      </c>
      <c r="B105" s="9">
        <v>0</v>
      </c>
      <c r="C105" s="9">
        <v>1</v>
      </c>
      <c r="D105" s="9">
        <v>2</v>
      </c>
      <c r="E105" s="9">
        <v>3</v>
      </c>
      <c r="F105" s="9">
        <v>4</v>
      </c>
      <c r="G105" s="9">
        <v>5</v>
      </c>
      <c r="H105" s="9">
        <v>6</v>
      </c>
      <c r="I105" s="9">
        <v>7</v>
      </c>
      <c r="J105" s="9">
        <v>8</v>
      </c>
      <c r="K105" s="9">
        <v>9</v>
      </c>
      <c r="L105" s="9">
        <v>10</v>
      </c>
    </row>
    <row r="106" spans="1:12" x14ac:dyDescent="0.25">
      <c r="B106">
        <v>0</v>
      </c>
      <c r="C106">
        <f>C62*(1+IF('Event Tracker'!C7=1,0.1,0.15))</f>
        <v>11503.789483594597</v>
      </c>
      <c r="D106">
        <f>D62*(1+IF('Event Tracker'!D7=1,0.1,0.15))</f>
        <v>11759.916478074698</v>
      </c>
      <c r="E106">
        <f>E62*(1+IF('Event Tracker'!E7=1,0.1,0.15))</f>
        <v>12020.882648390176</v>
      </c>
      <c r="F106">
        <f>F62*(1+IF('Event Tracker'!F7=1,0.1,0.15))</f>
        <v>12286.742331599795</v>
      </c>
      <c r="G106">
        <f>G62*(1+IF('Event Tracker'!G7=1,0.1,0.15))</f>
        <v>12557.548596995881</v>
      </c>
      <c r="H106">
        <f>H62*(1+IF('Event Tracker'!H7=1,0.1,0.15))</f>
        <v>12833.353115710715</v>
      </c>
      <c r="I106">
        <f>I62*(1+IF('Event Tracker'!I7=1,0.1,0.15))</f>
        <v>13114.20602346998</v>
      </c>
      <c r="J106">
        <f>J62*(1+IF('Event Tracker'!J7=1,0.1,0.15))</f>
        <v>13400.155776194124</v>
      </c>
      <c r="K106">
        <f>K62*(1+IF('Event Tracker'!K7=1,0.1,0.15))</f>
        <v>13691.248998136489</v>
      </c>
      <c r="L106">
        <f>L62*(1+IF('Event Tracker'!L7=1,0.1,0.15))</f>
        <v>13987.53032223473</v>
      </c>
    </row>
    <row r="108" spans="1:12" x14ac:dyDescent="0.25">
      <c r="A108" s="9" t="s">
        <v>552</v>
      </c>
      <c r="B108" s="9">
        <v>0</v>
      </c>
      <c r="C108" s="9">
        <v>1</v>
      </c>
      <c r="D108" s="9">
        <v>2</v>
      </c>
      <c r="E108" s="9">
        <v>3</v>
      </c>
      <c r="F108" s="9">
        <v>4</v>
      </c>
      <c r="G108" s="9">
        <v>5</v>
      </c>
      <c r="H108" s="9">
        <v>6</v>
      </c>
      <c r="I108" s="9">
        <v>7</v>
      </c>
      <c r="J108" s="9">
        <v>8</v>
      </c>
      <c r="K108" s="9">
        <v>9</v>
      </c>
      <c r="L108" s="9">
        <v>10</v>
      </c>
    </row>
    <row r="109" spans="1:12" x14ac:dyDescent="0.25">
      <c r="B109">
        <f>IF(B106-B103&lt;0,0,B106-B103)</f>
        <v>0</v>
      </c>
      <c r="C109">
        <f t="shared" ref="C109:L109" si="18">IF(C106-C103&lt;0,0,C106-C103)</f>
        <v>638.78948359459719</v>
      </c>
      <c r="D109">
        <f t="shared" si="18"/>
        <v>824.1269944800988</v>
      </c>
      <c r="E109">
        <f t="shared" si="18"/>
        <v>911.88813592504448</v>
      </c>
      <c r="F109">
        <f t="shared" si="18"/>
        <v>389.30658905788187</v>
      </c>
      <c r="G109">
        <f t="shared" si="18"/>
        <v>309.18175663806505</v>
      </c>
      <c r="H109">
        <f t="shared" si="18"/>
        <v>353.31291731945385</v>
      </c>
      <c r="I109">
        <f t="shared" si="18"/>
        <v>435.95427934048348</v>
      </c>
      <c r="J109">
        <f t="shared" si="18"/>
        <v>463.92877013782345</v>
      </c>
      <c r="K109">
        <f t="shared" si="18"/>
        <v>483.06000395607589</v>
      </c>
      <c r="L109">
        <f t="shared" si="18"/>
        <v>497.71230208788438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theme="5"/>
  </sheetPr>
  <dimension ref="A1:L156"/>
  <sheetViews>
    <sheetView topLeftCell="A118" zoomScaleNormal="100" workbookViewId="0">
      <selection activeCell="F126" sqref="F126"/>
    </sheetView>
  </sheetViews>
  <sheetFormatPr defaultRowHeight="15" x14ac:dyDescent="0.25"/>
  <cols>
    <col min="1" max="1" width="62.42578125" customWidth="1"/>
    <col min="2" max="2" width="25.42578125" customWidth="1"/>
    <col min="3" max="3" width="18.28515625" bestFit="1" customWidth="1"/>
    <col min="4" max="4" width="15.28515625" customWidth="1"/>
    <col min="5" max="12" width="18" bestFit="1" customWidth="1"/>
  </cols>
  <sheetData>
    <row r="1" spans="1:12" ht="15.75" thickBot="1" x14ac:dyDescent="0.3">
      <c r="A1" s="1" t="s">
        <v>15</v>
      </c>
      <c r="B1" s="32">
        <f>'Event Tracker'!P1</f>
        <v>0</v>
      </c>
    </row>
    <row r="2" spans="1:12" ht="15.75" thickBot="1" x14ac:dyDescent="0.3">
      <c r="A2" s="1" t="s">
        <v>34</v>
      </c>
      <c r="B2" s="184" t="str">
        <f>'Initial Setup'!B3</f>
        <v>Select</v>
      </c>
    </row>
    <row r="6" spans="1:12" x14ac:dyDescent="0.25">
      <c r="A6" s="9" t="s">
        <v>39</v>
      </c>
      <c r="B6" s="9">
        <v>0</v>
      </c>
      <c r="C6" s="9">
        <v>1</v>
      </c>
      <c r="D6" s="9">
        <v>2</v>
      </c>
      <c r="E6" s="9">
        <v>3</v>
      </c>
      <c r="F6" s="9">
        <v>4</v>
      </c>
      <c r="G6" s="9">
        <v>5</v>
      </c>
      <c r="H6" s="9">
        <v>6</v>
      </c>
      <c r="I6" s="9">
        <v>7</v>
      </c>
      <c r="J6" s="9">
        <v>8</v>
      </c>
      <c r="K6" s="9">
        <v>9</v>
      </c>
      <c r="L6" s="9">
        <v>10</v>
      </c>
    </row>
    <row r="7" spans="1:12" x14ac:dyDescent="0.25">
      <c r="A7" s="24" t="s">
        <v>78</v>
      </c>
    </row>
    <row r="8" spans="1:12" x14ac:dyDescent="0.25">
      <c r="A8" s="28" t="s">
        <v>38</v>
      </c>
      <c r="B8" s="27"/>
      <c r="C8" s="27"/>
      <c r="D8" s="27"/>
      <c r="E8" s="27"/>
      <c r="F8" s="27"/>
      <c r="G8" s="27"/>
      <c r="H8" s="27"/>
      <c r="I8" s="27"/>
      <c r="J8" s="27"/>
      <c r="K8" s="27"/>
      <c r="L8" s="27"/>
    </row>
    <row r="9" spans="1:12" x14ac:dyDescent="0.25">
      <c r="A9" s="26" t="s">
        <v>64</v>
      </c>
      <c r="B9" s="144">
        <f>PMT('Game Assumptions'!$B$5,'Game Assumptions'!$B$14,'Game Assumptions'!$B$2)*-1*(1-1/20*B6)</f>
        <v>2037044176.4630125</v>
      </c>
      <c r="C9" s="144">
        <f>PMT('Game Assumptions'!$B$5,'Game Assumptions'!$B$14,'Game Assumptions'!$B$2)*-1*(1-1/20*C6)</f>
        <v>1935191967.6398618</v>
      </c>
      <c r="D9" s="144">
        <f>PMT('Game Assumptions'!$B$5,'Game Assumptions'!$B$14,'Game Assumptions'!$B$2)*-1*(1-1/20*D6)</f>
        <v>1833339758.8167112</v>
      </c>
      <c r="E9" s="144">
        <f>PMT('Game Assumptions'!$B$5,'Game Assumptions'!$B$14,'Game Assumptions'!$B$2)*-1*(1-1/20*E6)</f>
        <v>1731487549.9935606</v>
      </c>
      <c r="F9" s="144">
        <f>PMT('Game Assumptions'!$B$5,'Game Assumptions'!$B$14,'Game Assumptions'!$B$2)*-1*(1-1/20*F6)</f>
        <v>1629635341.1704102</v>
      </c>
      <c r="G9" s="144">
        <f>PMT('Game Assumptions'!$B$5,'Game Assumptions'!$B$14,'Game Assumptions'!$B$2)*-1*(1-1/20*G6)</f>
        <v>1527783132.3472593</v>
      </c>
      <c r="H9" s="144">
        <f>PMT('Game Assumptions'!$B$5,'Game Assumptions'!$B$14,'Game Assumptions'!$B$2)*-1*(1-1/20*H6)</f>
        <v>1425930923.5241086</v>
      </c>
      <c r="I9" s="144">
        <f>PMT('Game Assumptions'!$B$5,'Game Assumptions'!$B$14,'Game Assumptions'!$B$2)*-1*(1-1/20*I6)</f>
        <v>1324078714.700958</v>
      </c>
      <c r="J9" s="144">
        <f>PMT('Game Assumptions'!$B$5,'Game Assumptions'!$B$14,'Game Assumptions'!$B$2)*-1*(1-1/20*J6)</f>
        <v>1222226505.8778074</v>
      </c>
      <c r="K9" s="144">
        <f>PMT('Game Assumptions'!$B$5,'Game Assumptions'!$B$14,'Game Assumptions'!$B$2)*-1*(1-1/20*K6)</f>
        <v>1120374297.054657</v>
      </c>
      <c r="L9" s="144">
        <f>PMT('Game Assumptions'!$B$5,'Game Assumptions'!$B$14,'Game Assumptions'!$B$2)*-1*(1-1/20*L6)</f>
        <v>1018522088.2315062</v>
      </c>
    </row>
    <row r="10" spans="1:12" x14ac:dyDescent="0.25">
      <c r="A10" s="26" t="s">
        <v>65</v>
      </c>
      <c r="B10" s="27">
        <f>PMT('Game Assumptions'!$B$5,'Game Assumptions'!$B$14,'Game Assumptions'!$B$3)*-1</f>
        <v>509261044.11575311</v>
      </c>
      <c r="C10" s="27">
        <f>PMT('Game Assumptions'!$B$5,'Game Assumptions'!$B$14,'Game Assumptions'!$B$3)*-1</f>
        <v>509261044.11575311</v>
      </c>
      <c r="D10" s="27">
        <f>PMT('Game Assumptions'!$B$5,'Game Assumptions'!$B$14,'Game Assumptions'!$B$3)*-1</f>
        <v>509261044.11575311</v>
      </c>
      <c r="E10" s="27">
        <f>PMT('Game Assumptions'!$B$5,'Game Assumptions'!$B$14,'Game Assumptions'!$B$3)*-1</f>
        <v>509261044.11575311</v>
      </c>
      <c r="F10" s="27">
        <f>PMT('Game Assumptions'!$B$5,'Game Assumptions'!$B$14,'Game Assumptions'!$B$3)*-1</f>
        <v>509261044.11575311</v>
      </c>
      <c r="G10" s="27">
        <f>PMT('Game Assumptions'!$B$5,'Game Assumptions'!$B$14,'Game Assumptions'!$B$3)*-1</f>
        <v>509261044.11575311</v>
      </c>
      <c r="H10" s="27">
        <f>PMT('Game Assumptions'!$B$5,'Game Assumptions'!$B$14,'Game Assumptions'!$B$3)*-1</f>
        <v>509261044.11575311</v>
      </c>
      <c r="I10" s="27">
        <f>PMT('Game Assumptions'!$B$5,'Game Assumptions'!$B$14,'Game Assumptions'!$B$3)*-1</f>
        <v>509261044.11575311</v>
      </c>
      <c r="J10" s="27">
        <f>PMT('Game Assumptions'!$B$5,'Game Assumptions'!$B$14,'Game Assumptions'!$B$3)*-1</f>
        <v>509261044.11575311</v>
      </c>
      <c r="K10" s="27">
        <f>PMT('Game Assumptions'!$B$5,'Game Assumptions'!$B$14,'Game Assumptions'!$B$3)*-1</f>
        <v>509261044.11575311</v>
      </c>
      <c r="L10" s="27">
        <f>PMT('Game Assumptions'!$B$5,'Game Assumptions'!$B$14,'Game Assumptions'!$B$3)*-1</f>
        <v>509261044.11575311</v>
      </c>
    </row>
    <row r="11" spans="1:12" x14ac:dyDescent="0.25">
      <c r="A11" s="29" t="s">
        <v>66</v>
      </c>
      <c r="B11" s="23">
        <f>PMT('Game Assumptions'!$B$5,'Game Assumptions'!$B$14,'Game Assumptions'!$B$4)*-1</f>
        <v>1018522088.2315062</v>
      </c>
      <c r="C11" s="23">
        <f>PMT('Game Assumptions'!$B$5,'Game Assumptions'!$B$14,'Game Assumptions'!$B$4)*-1</f>
        <v>1018522088.2315062</v>
      </c>
      <c r="D11" s="23">
        <f>PMT('Game Assumptions'!$B$5,'Game Assumptions'!$B$14,'Game Assumptions'!$B$4)*-1</f>
        <v>1018522088.2315062</v>
      </c>
      <c r="E11" s="23">
        <f>PMT('Game Assumptions'!$B$5,'Game Assumptions'!$B$14,'Game Assumptions'!$B$4)*-1</f>
        <v>1018522088.2315062</v>
      </c>
      <c r="F11" s="23">
        <f>PMT('Game Assumptions'!$B$5,'Game Assumptions'!$B$14,'Game Assumptions'!$B$4)*-1</f>
        <v>1018522088.2315062</v>
      </c>
      <c r="G11" s="23">
        <f>PMT('Game Assumptions'!$B$5,'Game Assumptions'!$B$14,'Game Assumptions'!$B$4)*-1</f>
        <v>1018522088.2315062</v>
      </c>
      <c r="H11" s="23">
        <f>PMT('Game Assumptions'!$B$5,'Game Assumptions'!$B$14,'Game Assumptions'!$B$4)*-1</f>
        <v>1018522088.2315062</v>
      </c>
      <c r="I11" s="23">
        <f>PMT('Game Assumptions'!$B$5,'Game Assumptions'!$B$14,'Game Assumptions'!$B$4)*-1</f>
        <v>1018522088.2315062</v>
      </c>
      <c r="J11" s="23">
        <f>PMT('Game Assumptions'!$B$5,'Game Assumptions'!$B$14,'Game Assumptions'!$B$4)*-1</f>
        <v>1018522088.2315062</v>
      </c>
      <c r="K11" s="23">
        <f>PMT('Game Assumptions'!$B$5,'Game Assumptions'!$B$14,'Game Assumptions'!$B$4)*-1</f>
        <v>1018522088.2315062</v>
      </c>
      <c r="L11" s="23">
        <f>PMT('Game Assumptions'!$B$5,'Game Assumptions'!$B$14,'Game Assumptions'!$B$4)*-1</f>
        <v>1018522088.2315062</v>
      </c>
    </row>
    <row r="12" spans="1:12" x14ac:dyDescent="0.25">
      <c r="A12" s="4" t="s">
        <v>43</v>
      </c>
    </row>
    <row r="13" spans="1:12" x14ac:dyDescent="0.25">
      <c r="A13" t="s">
        <v>40</v>
      </c>
      <c r="B13" s="7">
        <f>PMT('Game Assumptions'!$B$5,'Game Assumptions'!$B$14,'Game Assumptions'!$G28*'Resource Mix and Demand'!B2)*-1</f>
        <v>0</v>
      </c>
      <c r="C13" s="7">
        <f>PMT('Game Assumptions'!$B$5+IF(AND('Event Tracker'!C$6=1,INDEX(BizModelSelected,1,1)=1),SUM('Customer Bills'!B$19*-0.0075,'Environmental Performance'!B$8*0.0075,Reliability!B$100*0.0075),0),'Game Assumptions'!$B$14,'Game Assumptions'!$G28*'Resource Mix and Demand'!C2)*-1+B13</f>
        <v>0</v>
      </c>
      <c r="D13" s="7">
        <f>PMT('Game Assumptions'!$B$5+IF(AND('Event Tracker'!D$6=1,INDEX(BizModelSelected,1,1)=1),SUM('Customer Bills'!C$19*-0.0075,'Environmental Performance'!C$8*0.0075,Reliability!C$100*0.0075),0),'Game Assumptions'!$B$14,'Game Assumptions'!$G28*'Resource Mix and Demand'!D2)*-1+C13</f>
        <v>0</v>
      </c>
      <c r="E13" s="7">
        <f>PMT('Game Assumptions'!$B$5+IF(AND('Event Tracker'!E$6=1,INDEX(BizModelSelected,1,1)=1),SUM('Customer Bills'!D$19*-0.0075,'Environmental Performance'!D$8*0.0075,Reliability!D$100*0.0075),0),'Game Assumptions'!$B$14,'Game Assumptions'!$G28*'Resource Mix and Demand'!E2)*-1+D13</f>
        <v>0</v>
      </c>
      <c r="F13" s="7">
        <f>PMT('Game Assumptions'!$B$5+IF(AND('Event Tracker'!F$6=1,INDEX(BizModelSelected,1,1)=1),SUM('Customer Bills'!E$19*-0.0075,'Environmental Performance'!E$8*0.0075,Reliability!E$100*0.0075),0),'Game Assumptions'!$B$14,'Game Assumptions'!$G28*'Resource Mix and Demand'!F2)*-1+E13</f>
        <v>0</v>
      </c>
      <c r="G13" s="7">
        <f>PMT('Game Assumptions'!$B$5+IF(AND('Event Tracker'!G$6=1,INDEX(BizModelSelected,1,1)=1),SUM('Customer Bills'!F$19*-0.0075,'Environmental Performance'!F$8*0.0075,Reliability!F$100*0.0075),0),'Game Assumptions'!$B$14,'Game Assumptions'!$G28*'Resource Mix and Demand'!G2)*-1+F13</f>
        <v>0</v>
      </c>
      <c r="H13" s="7">
        <f>PMT('Game Assumptions'!$B$5+IF(AND('Event Tracker'!H$6=1,INDEX(BizModelSelected,1,1)=1),SUM('Customer Bills'!G$19*-0.0075,'Environmental Performance'!G$8*0.0075,Reliability!G$100*0.0075),0),'Game Assumptions'!$B$14,'Game Assumptions'!$G28*'Resource Mix and Demand'!H2)*-1+G13</f>
        <v>0</v>
      </c>
      <c r="I13" s="7">
        <f>PMT('Game Assumptions'!$B$5+IF(AND('Event Tracker'!I$6=1,INDEX(BizModelSelected,1,1)=1),SUM('Customer Bills'!H$19*-0.0075,'Environmental Performance'!H$8*0.0075,Reliability!H$100*0.0075),0),'Game Assumptions'!$B$14,'Game Assumptions'!$G28*'Resource Mix and Demand'!I2)*-1+H13</f>
        <v>0</v>
      </c>
      <c r="J13" s="7">
        <f>PMT('Game Assumptions'!$B$5+IF(AND('Event Tracker'!J$6=1,INDEX(BizModelSelected,1,1)=1),SUM('Customer Bills'!I$19*-0.0075,'Environmental Performance'!I$8*0.0075,Reliability!I$100*0.0075),0),'Game Assumptions'!$B$14,'Game Assumptions'!$G28*'Resource Mix and Demand'!J2)*-1+I13</f>
        <v>0</v>
      </c>
      <c r="K13" s="7">
        <f>PMT('Game Assumptions'!$B$5+IF(AND('Event Tracker'!K$6=1,INDEX(BizModelSelected,1,1)=1),SUM('Customer Bills'!J$19*-0.0075,'Environmental Performance'!J$8*0.0075,Reliability!J$100*0.0075),0),'Game Assumptions'!$B$14,'Game Assumptions'!$G28*'Resource Mix and Demand'!K2)*-1+J13</f>
        <v>0</v>
      </c>
      <c r="L13" s="7">
        <f>PMT('Game Assumptions'!$B$5+IF(AND('Event Tracker'!L$6=1,INDEX(BizModelSelected,1,1)=1),SUM('Customer Bills'!K$19*-0.0075,'Environmental Performance'!K$8*0.0075,Reliability!K$100*0.0075),0),'Game Assumptions'!$B$14,'Game Assumptions'!$G28*'Resource Mix and Demand'!L2)*-1+K13</f>
        <v>0</v>
      </c>
    </row>
    <row r="14" spans="1:12" x14ac:dyDescent="0.25">
      <c r="A14" t="s">
        <v>46</v>
      </c>
      <c r="B14" s="7">
        <f>PMT('Game Assumptions'!$B$5,'Game Assumptions'!$B$14,'Game Assumptions'!$G29*'Resource Mix and Demand'!B3)*-1</f>
        <v>0</v>
      </c>
      <c r="C14" s="7">
        <f>PMT('Game Assumptions'!$B$5+IF(AND('Event Tracker'!C$6=1,INDEX(BizModelSelected,1,1)=1),SUM('Customer Bills'!B$19*-0.0075,'Environmental Performance'!B$8*0.0075,Reliability!B$100*0.0075),0),'Game Assumptions'!$B$14,'Game Assumptions'!$G29*'Resource Mix and Demand'!C3)*-1+B14</f>
        <v>34800668.771477148</v>
      </c>
      <c r="D14" s="7">
        <f>PMT('Game Assumptions'!$B$5+IF(AND('Event Tracker'!D$6=1,INDEX(BizModelSelected,1,1)=1),SUM('Customer Bills'!C$19*-0.0075,'Environmental Performance'!C$8*0.0075,Reliability!C$100*0.0075),0),'Game Assumptions'!$B$14,'Game Assumptions'!$G29*'Resource Mix and Demand'!D3)*-1+C14</f>
        <v>79698356.189788729</v>
      </c>
      <c r="E14" s="7">
        <f>PMT('Game Assumptions'!$B$5+IF(AND('Event Tracker'!E$6=1,INDEX(BizModelSelected,1,1)=1),SUM('Customer Bills'!D$19*-0.0075,'Environmental Performance'!D$8*0.0075,Reliability!D$100*0.0075),0),'Game Assumptions'!$B$14,'Game Assumptions'!$G29*'Resource Mix and Demand'!E3)*-1+D14</f>
        <v>129377190.5945003</v>
      </c>
      <c r="F14" s="7">
        <f>PMT('Game Assumptions'!$B$5+IF(AND('Event Tracker'!F$6=1,INDEX(BizModelSelected,1,1)=1),SUM('Customer Bills'!E$19*-0.0075,'Environmental Performance'!E$8*0.0075,Reliability!E$100*0.0075),0),'Game Assumptions'!$B$14,'Game Assumptions'!$G29*'Resource Mix and Demand'!F3)*-1+E14</f>
        <v>150586258.69017223</v>
      </c>
      <c r="G14" s="7">
        <f>PMT('Game Assumptions'!$B$5+IF(AND('Event Tracker'!G$6=1,INDEX(BizModelSelected,1,1)=1),SUM('Customer Bills'!F$19*-0.0075,'Environmental Performance'!F$8*0.0075,Reliability!F$100*0.0075),0),'Game Assumptions'!$B$14,'Game Assumptions'!$G29*'Resource Mix and Demand'!G3)*-1+F14</f>
        <v>167430198.95418155</v>
      </c>
      <c r="H14" s="7">
        <f>PMT('Game Assumptions'!$B$5+IF(AND('Event Tracker'!H$6=1,INDEX(BizModelSelected,1,1)=1),SUM('Customer Bills'!G$19*-0.0075,'Environmental Performance'!G$8*0.0075,Reliability!G$100*0.0075),0),'Game Assumptions'!$B$14,'Game Assumptions'!$G29*'Resource Mix and Demand'!H3)*-1+G14</f>
        <v>186678364.62392491</v>
      </c>
      <c r="I14" s="7">
        <f>PMT('Game Assumptions'!$B$5+IF(AND('Event Tracker'!I$6=1,INDEX(BizModelSelected,1,1)=1),SUM('Customer Bills'!H$19*-0.0075,'Environmental Performance'!H$8*0.0075,Reliability!H$100*0.0075),0),'Game Assumptions'!$B$14,'Game Assumptions'!$G29*'Resource Mix and Demand'!I3)*-1+H14</f>
        <v>210428756.36403793</v>
      </c>
      <c r="J14" s="7">
        <f>PMT('Game Assumptions'!$B$5+IF(AND('Event Tracker'!J$6=1,INDEX(BizModelSelected,1,1)=1),SUM('Customer Bills'!I$19*-0.0075,'Environmental Performance'!I$8*0.0075,Reliability!I$100*0.0075),0),'Game Assumptions'!$B$14,'Game Assumptions'!$G29*'Resource Mix and Demand'!J3)*-1+I14</f>
        <v>235703172.86237133</v>
      </c>
      <c r="K14" s="7">
        <f>PMT('Game Assumptions'!$B$5+IF(AND('Event Tracker'!K$6=1,INDEX(BizModelSelected,1,1)=1),SUM('Customer Bills'!J$19*-0.0075,'Environmental Performance'!J$8*0.0075,Reliability!J$100*0.0075),0),'Game Assumptions'!$B$14,'Game Assumptions'!$G29*'Resource Mix and Demand'!K3)*-1+J14</f>
        <v>262019841.53986114</v>
      </c>
      <c r="L14" s="7">
        <f>PMT('Game Assumptions'!$B$5+IF(AND('Event Tracker'!L$6=1,INDEX(BizModelSelected,1,1)=1),SUM('Customer Bills'!K$19*-0.0075,'Environmental Performance'!K$8*0.0075,Reliability!K$100*0.0075),0),'Game Assumptions'!$B$14,'Game Assumptions'!$G29*'Resource Mix and Demand'!L3)*-1+K14</f>
        <v>289134754.06312728</v>
      </c>
    </row>
    <row r="15" spans="1:12" x14ac:dyDescent="0.25">
      <c r="A15" t="s">
        <v>41</v>
      </c>
      <c r="B15" s="7">
        <f>PMT('Game Assumptions'!$B$5,'Game Assumptions'!$B$14,'Game Assumptions'!$G30*'Resource Mix and Demand'!B4)*-1</f>
        <v>0</v>
      </c>
      <c r="C15" s="7">
        <f>PMT('Game Assumptions'!$B$5+IF(AND('Event Tracker'!C$6=1,INDEX(BizModelSelected,1,1)=1),SUM('Customer Bills'!B$19*-0.0075,'Environmental Performance'!B$8*0.0075,Reliability!B$100*0.0075),0),'Game Assumptions'!$B$14,'Game Assumptions'!$G30*'Resource Mix and Demand'!C4)*-1+B15</f>
        <v>0</v>
      </c>
      <c r="D15" s="7">
        <f>PMT('Game Assumptions'!$B$5+IF(AND('Event Tracker'!D$6=1,INDEX(BizModelSelected,1,1)=1),SUM('Customer Bills'!C$19*-0.0075,'Environmental Performance'!C$8*0.0075,Reliability!C$100*0.0075),0),'Game Assumptions'!$B$14,'Game Assumptions'!$G30*'Resource Mix and Demand'!D4)*-1+C15</f>
        <v>0</v>
      </c>
      <c r="E15" s="7">
        <f>PMT('Game Assumptions'!$B$5+IF(AND('Event Tracker'!E$6=1,INDEX(BizModelSelected,1,1)=1),SUM('Customer Bills'!D$19*-0.0075,'Environmental Performance'!D$8*0.0075,Reliability!D$100*0.0075),0),'Game Assumptions'!$B$14,'Game Assumptions'!$G30*'Resource Mix and Demand'!E4)*-1+D15</f>
        <v>0</v>
      </c>
      <c r="F15" s="7">
        <f>PMT('Game Assumptions'!$B$5+IF(AND('Event Tracker'!F$6=1,INDEX(BizModelSelected,1,1)=1),SUM('Customer Bills'!E$19*-0.0075,'Environmental Performance'!E$8*0.0075,Reliability!E$100*0.0075),0),'Game Assumptions'!$B$14,'Game Assumptions'!$G30*'Resource Mix and Demand'!F4)*-1+E15</f>
        <v>0</v>
      </c>
      <c r="G15" s="7">
        <f>PMT('Game Assumptions'!$B$5+IF(AND('Event Tracker'!G$6=1,INDEX(BizModelSelected,1,1)=1),SUM('Customer Bills'!F$19*-0.0075,'Environmental Performance'!F$8*0.0075,Reliability!F$100*0.0075),0),'Game Assumptions'!$B$14,'Game Assumptions'!$G30*'Resource Mix and Demand'!G4)*-1+F15</f>
        <v>0</v>
      </c>
      <c r="H15" s="7">
        <f>PMT('Game Assumptions'!$B$5+IF(AND('Event Tracker'!H$6=1,INDEX(BizModelSelected,1,1)=1),SUM('Customer Bills'!G$19*-0.0075,'Environmental Performance'!G$8*0.0075,Reliability!G$100*0.0075),0),'Game Assumptions'!$B$14,'Game Assumptions'!$G30*'Resource Mix and Demand'!H4)*-1+G15</f>
        <v>0</v>
      </c>
      <c r="I15" s="7">
        <f>PMT('Game Assumptions'!$B$5+IF(AND('Event Tracker'!I$6=1,INDEX(BizModelSelected,1,1)=1),SUM('Customer Bills'!H$19*-0.0075,'Environmental Performance'!H$8*0.0075,Reliability!H$100*0.0075),0),'Game Assumptions'!$B$14,'Game Assumptions'!$G30*'Resource Mix and Demand'!I4)*-1+H15</f>
        <v>0</v>
      </c>
      <c r="J15" s="7">
        <f>PMT('Game Assumptions'!$B$5+IF(AND('Event Tracker'!J$6=1,INDEX(BizModelSelected,1,1)=1),SUM('Customer Bills'!I$19*-0.0075,'Environmental Performance'!I$8*0.0075,Reliability!I$100*0.0075),0),'Game Assumptions'!$B$14,'Game Assumptions'!$G30*'Resource Mix and Demand'!J4)*-1+I15</f>
        <v>0</v>
      </c>
      <c r="K15" s="7">
        <f>PMT('Game Assumptions'!$B$5+IF(AND('Event Tracker'!K$6=1,INDEX(BizModelSelected,1,1)=1),SUM('Customer Bills'!J$19*-0.0075,'Environmental Performance'!J$8*0.0075,Reliability!J$100*0.0075),0),'Game Assumptions'!$B$14,'Game Assumptions'!$G30*'Resource Mix and Demand'!K4)*-1+J15</f>
        <v>0</v>
      </c>
      <c r="L15" s="7">
        <f>PMT('Game Assumptions'!$B$5+IF(AND('Event Tracker'!L$6=1,INDEX(BizModelSelected,1,1)=1),SUM('Customer Bills'!K$19*-0.0075,'Environmental Performance'!K$8*0.0075,Reliability!K$100*0.0075),0),'Game Assumptions'!$B$14,'Game Assumptions'!$G30*'Resource Mix and Demand'!L4)*-1+K15</f>
        <v>0</v>
      </c>
    </row>
    <row r="16" spans="1:12" x14ac:dyDescent="0.25">
      <c r="A16" t="s">
        <v>44</v>
      </c>
      <c r="B16" s="7">
        <f>PMT('Game Assumptions'!$B$5,'Game Assumptions'!$B$14,'Game Assumptions'!$G31*'Resource Mix and Demand'!B5*(1-'Game Assumptions'!$B$15)^'Utility Revenue'!B6)*-1</f>
        <v>0</v>
      </c>
      <c r="C16" s="7">
        <f>PMT('Game Assumptions'!$B$5+IF(AND('Event Tracker'!C$6=1,INDEX(BizModelSelected,1,1)=1),SUM('Customer Bills'!B$19*-0.0075,'Environmental Performance'!B$8*0.0075,Reliability!B$100*0.0075),0),'Game Assumptions'!$B$14,(('Game Assumptions'!$G31*(1-'Game Assumptions'!$B$15)^'Utility Revenue'!C6)*(1-INDEX('Game Assumptions'!$C$208:$L$208,1,MATCH('Utility Revenue'!C6,'Game Assumptions'!$C$205:$L$205,0)))*'Resource Mix and Demand'!C5))*-1+B16</f>
        <v>15556277.208989108</v>
      </c>
      <c r="D16" s="7">
        <f>PMT('Game Assumptions'!$B$5+IF(AND('Event Tracker'!D$6=1,INDEX(BizModelSelected,1,1)=1),SUM('Customer Bills'!C$19*-0.0075,'Environmental Performance'!C$8*0.0075,Reliability!C$100*0.0075),0),'Game Assumptions'!$B$14,(('Game Assumptions'!$G31*(1-'Game Assumptions'!$B$15)^'Utility Revenue'!D6)*(1-INDEX('Game Assumptions'!$C$208:$L$208,1,MATCH('Utility Revenue'!D6,'Game Assumptions'!$C$205:$L$205,0)))*'Resource Mix and Demand'!D5))*-1+C16</f>
        <v>34421846.245656282</v>
      </c>
      <c r="E16" s="7">
        <f>PMT('Game Assumptions'!$B$5+IF(AND('Event Tracker'!E$6=1,INDEX(BizModelSelected,1,1)=1),SUM('Customer Bills'!D$19*-0.0075,'Environmental Performance'!D$8*0.0075,Reliability!D$100*0.0075),0),'Game Assumptions'!$B$14,(('Game Assumptions'!$G31*(1-'Game Assumptions'!$B$15)^'Utility Revenue'!E6)*(1-INDEX('Game Assumptions'!$C$208:$L$208,1,MATCH('Utility Revenue'!E6,'Game Assumptions'!$C$205:$L$205,0)))*'Resource Mix and Demand'!E5))*-1+D16</f>
        <v>56286457.044744797</v>
      </c>
      <c r="F16" s="7">
        <f>PMT('Game Assumptions'!$B$5+IF(AND('Event Tracker'!F$6=1,INDEX(BizModelSelected,1,1)=1),SUM('Customer Bills'!E$19*-0.0075,'Environmental Performance'!E$8*0.0075,Reliability!E$100*0.0075),0),'Game Assumptions'!$B$14,(('Game Assumptions'!$G31*(1-'Game Assumptions'!$B$15)^'Utility Revenue'!F6)*(1-INDEX('Game Assumptions'!$C$208:$L$208,1,MATCH('Utility Revenue'!F6,'Game Assumptions'!$C$205:$L$205,0)))*'Resource Mix and Demand'!F5))*-1+E16</f>
        <v>66410819.865694888</v>
      </c>
      <c r="G16" s="7">
        <f>PMT('Game Assumptions'!$B$5+IF(AND('Event Tracker'!G$6=1,INDEX(BizModelSelected,1,1)=1),SUM('Customer Bills'!F$19*-0.0075,'Environmental Performance'!F$8*0.0075,Reliability!F$100*0.0075),0),'Game Assumptions'!$B$14,(('Game Assumptions'!$G31*(1-'Game Assumptions'!$B$15)^'Utility Revenue'!G6)*(1-INDEX('Game Assumptions'!$C$208:$L$208,1,MATCH('Utility Revenue'!G6,'Game Assumptions'!$C$205:$L$205,0)))*'Resource Mix and Demand'!G5))*-1+F16</f>
        <v>73969007.339566886</v>
      </c>
      <c r="H16" s="7">
        <f>PMT('Game Assumptions'!$B$5+IF(AND('Event Tracker'!H$6=1,INDEX(BizModelSelected,1,1)=1),SUM('Customer Bills'!G$19*-0.0075,'Environmental Performance'!G$8*0.0075,Reliability!G$100*0.0075),0),'Game Assumptions'!$B$14,(('Game Assumptions'!$G31*(1-'Game Assumptions'!$B$15)^'Utility Revenue'!H6)*(1-INDEX('Game Assumptions'!$C$208:$L$208,1,MATCH('Utility Revenue'!H6,'Game Assumptions'!$C$205:$L$205,0)))*'Resource Mix and Demand'!H5))*-1+G16</f>
        <v>82087794.739488021</v>
      </c>
      <c r="I16" s="7">
        <f>PMT('Game Assumptions'!$B$5+IF(AND('Event Tracker'!I$6=1,INDEX(BizModelSelected,1,1)=1),SUM('Customer Bills'!H$19*-0.0075,'Environmental Performance'!H$8*0.0075,Reliability!H$100*0.0075),0),'Game Assumptions'!$B$14,(('Game Assumptions'!$G31*(1-'Game Assumptions'!$B$15)^'Utility Revenue'!I6)*(1-INDEX('Game Assumptions'!$C$208:$L$208,1,MATCH('Utility Revenue'!I6,'Game Assumptions'!$C$205:$L$205,0)))*'Resource Mix and Demand'!I5))*-1+H16</f>
        <v>91504531.972562149</v>
      </c>
      <c r="J16" s="7">
        <f>PMT('Game Assumptions'!$B$5+IF(AND('Event Tracker'!J$6=1,INDEX(BizModelSelected,1,1)=1),SUM('Customer Bills'!I$19*-0.0075,'Environmental Performance'!I$8*0.0075,Reliability!I$100*0.0075),0),'Game Assumptions'!$B$14,(('Game Assumptions'!$G31*(1-'Game Assumptions'!$B$15)^'Utility Revenue'!J6)*(1-INDEX('Game Assumptions'!$C$208:$L$208,1,MATCH('Utility Revenue'!J6,'Game Assumptions'!$C$205:$L$205,0)))*'Resource Mix and Demand'!J5))*-1+I16</f>
        <v>100924266.56048393</v>
      </c>
      <c r="K16" s="7">
        <f>PMT('Game Assumptions'!$B$5+IF(AND('Event Tracker'!K$6=1,INDEX(BizModelSelected,1,1)=1),SUM('Customer Bills'!J$19*-0.0075,'Environmental Performance'!J$8*0.0075,Reliability!J$100*0.0075),0),'Game Assumptions'!$B$14,(('Game Assumptions'!$G31*(1-'Game Assumptions'!$B$15)^'Utility Revenue'!K6)*(1-INDEX('Game Assumptions'!$C$208:$L$208,1,MATCH('Utility Revenue'!K6,'Game Assumptions'!$C$205:$L$205,0)))*'Resource Mix and Demand'!K5))*-1+J16</f>
        <v>110143956.04944921</v>
      </c>
      <c r="L16" s="7">
        <f>PMT('Game Assumptions'!$B$5+IF(AND('Event Tracker'!L$6=1,INDEX(BizModelSelected,1,1)=1),SUM('Customer Bills'!K$19*-0.0075,'Environmental Performance'!K$8*0.0075,Reliability!K$100*0.0075),0),'Game Assumptions'!$B$14,(('Game Assumptions'!$G31*(1-'Game Assumptions'!$B$15)^'Utility Revenue'!L6)*(1-INDEX('Game Assumptions'!$C$208:$L$208,1,MATCH('Utility Revenue'!L6,'Game Assumptions'!$C$205:$L$205,0)))*'Resource Mix and Demand'!L5))*-1+K16</f>
        <v>119073338.88379227</v>
      </c>
    </row>
    <row r="17" spans="1:12" x14ac:dyDescent="0.25">
      <c r="A17" t="s">
        <v>45</v>
      </c>
      <c r="B17" s="7">
        <f>PMT('Game Assumptions'!$B$5,'Game Assumptions'!$B$14,'Game Assumptions'!$G32*'Resource Mix and Demand'!B6)*-1</f>
        <v>0</v>
      </c>
      <c r="C17" s="7">
        <f>PMT('Game Assumptions'!$B$5+IF(AND('Event Tracker'!C$6=1,INDEX(BizModelSelected,1,1)=1),SUM('Customer Bills'!B$19*-0.0075,'Environmental Performance'!B$8*0.0075,Reliability!B$100*0.0075),0),'Game Assumptions'!$B$14,('Game Assumptions'!$G32*(1-'Game Assumptions'!$B$16)^'Utility Revenue'!C118-(INDEX('Game Assumptions'!$C$207:$L$207,1,MATCH('Utility Revenue'!C118,'Game Assumptions'!$C$205:$L$205,0))*8760*'Game Assumptions'!$G$59*'Game Assumptions'!$B$32))*'Resource Mix and Demand'!C6)*-1+B17</f>
        <v>14331792.982176354</v>
      </c>
      <c r="D17" s="7">
        <f>PMT('Game Assumptions'!$B$5+IF(AND('Event Tracker'!D$6=1,INDEX(BizModelSelected,1,1)=1),SUM('Customer Bills'!C$19*-0.0075,'Environmental Performance'!C$8*0.0075,Reliability!C$100*0.0075),0),'Game Assumptions'!$B$14,('Game Assumptions'!$G32*(1-'Game Assumptions'!$B$16)^'Utility Revenue'!D118-(INDEX('Game Assumptions'!$C$207:$L$207,1,MATCH('Utility Revenue'!D118,'Game Assumptions'!$C$205:$L$205,0))*8760*'Game Assumptions'!$G$59*'Game Assumptions'!$B$32))*'Resource Mix and Demand'!D6)*-1+C17</f>
        <v>41423203.975888014</v>
      </c>
      <c r="E17" s="7">
        <f>PMT('Game Assumptions'!$B$5+IF(AND('Event Tracker'!E$6=1,INDEX(BizModelSelected,1,1)=1),SUM('Customer Bills'!D$19*-0.0075,'Environmental Performance'!D$8*0.0075,Reliability!D$100*0.0075),0),'Game Assumptions'!$B$14,('Game Assumptions'!$G32*(1-'Game Assumptions'!$B$16)^'Utility Revenue'!E118-(INDEX('Game Assumptions'!$C$207:$L$207,1,MATCH('Utility Revenue'!E118,'Game Assumptions'!$C$205:$L$205,0))*8760*'Game Assumptions'!$G$59*'Game Assumptions'!$B$32))*'Resource Mix and Demand'!E6)*-1+D17</f>
        <v>70500283.531610057</v>
      </c>
      <c r="F17" s="7">
        <f>PMT('Game Assumptions'!$B$5+IF(AND('Event Tracker'!F$6=1,INDEX(BizModelSelected,1,1)=1),SUM('Customer Bills'!E$19*-0.0075,'Environmental Performance'!E$8*0.0075,Reliability!E$100*0.0075),0),'Game Assumptions'!$B$14,('Game Assumptions'!$G32*(1-'Game Assumptions'!$B$16)^'Utility Revenue'!F118-(INDEX('Game Assumptions'!$C$207:$L$207,1,MATCH('Utility Revenue'!F118,'Game Assumptions'!$C$205:$L$205,0))*8760*'Game Assumptions'!$G$59*'Game Assumptions'!$B$32))*'Resource Mix and Demand'!F6)*-1+E17</f>
        <v>82541564.988371208</v>
      </c>
      <c r="G17" s="7">
        <f>PMT('Game Assumptions'!$B$5+IF(AND('Event Tracker'!G$6=1,INDEX(BizModelSelected,1,1)=1),SUM('Customer Bills'!F$19*-0.0075,'Environmental Performance'!F$8*0.0075,Reliability!F$100*0.0075),0),'Game Assumptions'!$B$14,('Game Assumptions'!$G32*(1-'Game Assumptions'!$B$16)^'Utility Revenue'!G118-(INDEX('Game Assumptions'!$C$207:$L$207,1,MATCH('Utility Revenue'!G118,'Game Assumptions'!$C$205:$L$205,0))*8760*'Game Assumptions'!$G$59*'Game Assumptions'!$B$32))*'Resource Mix and Demand'!G6)*-1+F17</f>
        <v>91817689.045569256</v>
      </c>
      <c r="H17" s="7">
        <f>PMT('Game Assumptions'!$B$5+IF(AND('Event Tracker'!H$6=1,INDEX(BizModelSelected,1,1)=1),SUM('Customer Bills'!G$19*-0.0075,'Environmental Performance'!G$8*0.0075,Reliability!G$100*0.0075),0),'Game Assumptions'!$B$14,('Game Assumptions'!$G32*(1-'Game Assumptions'!$B$16)^'Utility Revenue'!H118-(INDEX('Game Assumptions'!$C$207:$L$207,1,MATCH('Utility Revenue'!H118,'Game Assumptions'!$C$205:$L$205,0))*8760*'Game Assumptions'!$G$59*'Game Assumptions'!$B$32))*'Resource Mix and Demand'!H6)*-1+G17</f>
        <v>102099839.10859935</v>
      </c>
      <c r="I17" s="7">
        <f>PMT('Game Assumptions'!$B$5+IF(AND('Event Tracker'!I$6=1,INDEX(BizModelSelected,1,1)=1),SUM('Customer Bills'!H$19*-0.0075,'Environmental Performance'!H$8*0.0075,Reliability!H$100*0.0075),0),'Game Assumptions'!$B$14,('Game Assumptions'!$G32*(1-'Game Assumptions'!$B$16)^'Utility Revenue'!I118-(INDEX('Game Assumptions'!$C$207:$L$207,1,MATCH('Utility Revenue'!I118,'Game Assumptions'!$C$205:$L$205,0))*8760*'Game Assumptions'!$G$59*'Game Assumptions'!$B$32))*'Resource Mix and Demand'!I6)*-1+H17</f>
        <v>114406411.23781374</v>
      </c>
      <c r="J17" s="7">
        <f>PMT('Game Assumptions'!$B$5+IF(AND('Event Tracker'!J$6=1,INDEX(BizModelSelected,1,1)=1),SUM('Customer Bills'!I$19*-0.0075,'Environmental Performance'!I$8*0.0075,Reliability!I$100*0.0075),0),'Game Assumptions'!$B$14,('Game Assumptions'!$G32*(1-'Game Assumptions'!$B$16)^'Utility Revenue'!J118-(INDEX('Game Assumptions'!$C$207:$L$207,1,MATCH('Utility Revenue'!J118,'Game Assumptions'!$C$205:$L$205,0))*8760*'Game Assumptions'!$G$59*'Game Assumptions'!$B$32))*'Resource Mix and Demand'!J6)*-1+I17</f>
        <v>127109788.51563601</v>
      </c>
      <c r="K17" s="7">
        <f>PMT('Game Assumptions'!$B$5+IF(AND('Event Tracker'!K$6=1,INDEX(BizModelSelected,1,1)=1),SUM('Customer Bills'!J$19*-0.0075,'Environmental Performance'!J$8*0.0075,Reliability!J$100*0.0075),0),'Game Assumptions'!$B$14,('Game Assumptions'!$G32*(1-'Game Assumptions'!$B$16)^'Utility Revenue'!K118-(INDEX('Game Assumptions'!$C$207:$L$207,1,MATCH('Utility Revenue'!K118,'Game Assumptions'!$C$205:$L$205,0))*8760*'Game Assumptions'!$G$59*'Game Assumptions'!$B$32))*'Resource Mix and Demand'!K6)*-1+J17</f>
        <v>139940203.56398407</v>
      </c>
      <c r="L17" s="7">
        <f>PMT('Game Assumptions'!$B$5+IF(AND('Event Tracker'!L$6=1,INDEX(BizModelSelected,1,1)=1),SUM('Customer Bills'!K$19*-0.0075,'Environmental Performance'!K$8*0.0075,Reliability!K$100*0.0075),0),'Game Assumptions'!$B$14,('Game Assumptions'!$G32*(1-'Game Assumptions'!$B$16)^'Utility Revenue'!L118-(INDEX('Game Assumptions'!$C$207:$L$207,1,MATCH('Utility Revenue'!L118,'Game Assumptions'!$C$205:$L$205,0))*8760*'Game Assumptions'!$G$59*'Game Assumptions'!$B$32))*'Resource Mix and Demand'!L6)*-1+K17</f>
        <v>152763206.29121026</v>
      </c>
    </row>
    <row r="18" spans="1:12" x14ac:dyDescent="0.25">
      <c r="A18" t="s">
        <v>42</v>
      </c>
      <c r="B18" s="7">
        <f>PMT('Game Assumptions'!$B$5,'Game Assumptions'!$B$14,'Game Assumptions'!$G33*'Resource Mix and Demand'!B7)*-1</f>
        <v>0</v>
      </c>
      <c r="C18" s="7">
        <f>PMT('Game Assumptions'!$B$5+IF(AND('Event Tracker'!C$6=1,INDEX(BizModelSelected,1,1)=1),SUM('Customer Bills'!B$19*-0.0075,'Environmental Performance'!B$8*0.0075,Reliability!B$100*0.0075),0),'Game Assumptions'!$B$14,'Game Assumptions'!$G33*'Resource Mix and Demand'!C7)*-1+B18</f>
        <v>0</v>
      </c>
      <c r="D18" s="7">
        <f>PMT('Game Assumptions'!$B$5+IF(AND('Event Tracker'!D$6=1,INDEX(BizModelSelected,1,1)=1),SUM('Customer Bills'!C$19*-0.0075,'Environmental Performance'!C$8*0.0075,Reliability!C$100*0.0075),0),'Game Assumptions'!$B$14,'Game Assumptions'!$G33*'Resource Mix and Demand'!D7)*-1+C18</f>
        <v>0</v>
      </c>
      <c r="E18" s="7">
        <f>PMT('Game Assumptions'!$B$5+IF(AND('Event Tracker'!E$6=1,INDEX(BizModelSelected,1,1)=1),SUM('Customer Bills'!D$19*-0.0075,'Environmental Performance'!D$8*0.0075,Reliability!D$100*0.0075),0),'Game Assumptions'!$B$14,'Game Assumptions'!$G33*'Resource Mix and Demand'!E7)*-1+D18</f>
        <v>0</v>
      </c>
      <c r="F18" s="7">
        <f>PMT('Game Assumptions'!$B$5+IF(AND('Event Tracker'!F$6=1,INDEX(BizModelSelected,1,1)=1),SUM('Customer Bills'!E$19*-0.0075,'Environmental Performance'!E$8*0.0075,Reliability!E$100*0.0075),0),'Game Assumptions'!$B$14,'Game Assumptions'!$G33*'Resource Mix and Demand'!F7)*-1+E18</f>
        <v>0</v>
      </c>
      <c r="G18" s="7">
        <f>PMT('Game Assumptions'!$B$5+IF(AND('Event Tracker'!G$6=1,INDEX(BizModelSelected,1,1)=1),SUM('Customer Bills'!F$19*-0.0075,'Environmental Performance'!F$8*0.0075,Reliability!F$100*0.0075),0),'Game Assumptions'!$B$14,'Game Assumptions'!$G33*'Resource Mix and Demand'!G7)*-1+F18</f>
        <v>0</v>
      </c>
      <c r="H18" s="7">
        <f>PMT('Game Assumptions'!$B$5+IF(AND('Event Tracker'!H$6=1,INDEX(BizModelSelected,1,1)=1),SUM('Customer Bills'!G$19*-0.0075,'Environmental Performance'!G$8*0.0075,Reliability!G$100*0.0075),0),'Game Assumptions'!$B$14,'Game Assumptions'!$G33*'Resource Mix and Demand'!H7)*-1+G18</f>
        <v>0</v>
      </c>
      <c r="I18" s="7">
        <f>PMT('Game Assumptions'!$B$5+IF(AND('Event Tracker'!I$6=1,INDEX(BizModelSelected,1,1)=1),SUM('Customer Bills'!H$19*-0.0075,'Environmental Performance'!H$8*0.0075,Reliability!H$100*0.0075),0),'Game Assumptions'!$B$14,'Game Assumptions'!$G33*'Resource Mix and Demand'!I7)*-1+H18</f>
        <v>0</v>
      </c>
      <c r="J18" s="7">
        <f>PMT('Game Assumptions'!$B$5+IF(AND('Event Tracker'!J$6=1,INDEX(BizModelSelected,1,1)=1),SUM('Customer Bills'!I$19*-0.0075,'Environmental Performance'!I$8*0.0075,Reliability!I$100*0.0075),0),'Game Assumptions'!$B$14,'Game Assumptions'!$G33*'Resource Mix and Demand'!J7)*-1+I18</f>
        <v>0</v>
      </c>
      <c r="K18" s="7">
        <f>PMT('Game Assumptions'!$B$5+IF(AND('Event Tracker'!K$6=1,INDEX(BizModelSelected,1,1)=1),SUM('Customer Bills'!J$19*-0.0075,'Environmental Performance'!J$8*0.0075,Reliability!J$100*0.0075),0),'Game Assumptions'!$B$14,'Game Assumptions'!$G33*'Resource Mix and Demand'!K7)*-1+J18</f>
        <v>0</v>
      </c>
      <c r="L18" s="7">
        <f>PMT('Game Assumptions'!$B$5+IF(AND('Event Tracker'!L$6=1,INDEX(BizModelSelected,1,1)=1),SUM('Customer Bills'!K$19*-0.0075,'Environmental Performance'!K$8*0.0075,Reliability!K$100*0.0075),0),'Game Assumptions'!$B$14,'Game Assumptions'!$G33*'Resource Mix and Demand'!L7)*-1+K18</f>
        <v>0</v>
      </c>
    </row>
    <row r="19" spans="1:12" x14ac:dyDescent="0.25">
      <c r="A19" s="12" t="s">
        <v>47</v>
      </c>
      <c r="B19" s="7">
        <f>PMT(IF('Event Tracker'!B8=1,'Game Assumptions'!$B$5,0),'Game Assumptions'!$B$14,'Game Assumptions'!$G34*'Resource Mix and Demand'!B8)*-1</f>
        <v>0</v>
      </c>
      <c r="C19" s="7">
        <f>PMT(IF('Event Tracker'!C8=1,'Game Assumptions'!$B$5+IF('Event Tracker'!C$6=1,SUM('Customer Bills'!B19*-0.0075,'Environmental Performance'!B8*0.0075,Reliability!B100*0.0075),0),0),'Game Assumptions'!$B$14,'Game Assumptions'!$G34*'Resource Mix and Demand'!C8)*-1+B19</f>
        <v>4104939.2711580032</v>
      </c>
      <c r="D19" s="7">
        <f>PMT(IF('Event Tracker'!D8=1,'Game Assumptions'!$B$5+IF('Event Tracker'!D$6=1,SUM('Customer Bills'!C19*-0.0075,'Environmental Performance'!C8*0.0075,Reliability!C100*0.0075),0),0),'Game Assumptions'!$B$14,'Game Assumptions'!$G34*'Resource Mix and Demand'!D8)*-1+C19</f>
        <v>9229321.0556797013</v>
      </c>
      <c r="E19" s="7">
        <f>PMT(IF('Event Tracker'!E8=1,'Game Assumptions'!$B$5+IF('Event Tracker'!E$6=1,SUM('Customer Bills'!D19*-0.0075,'Environmental Performance'!D8*0.0075,Reliability!D100*0.0075),0),0),'Game Assumptions'!$B$14,'Game Assumptions'!$G34*'Resource Mix and Demand'!E8)*-1+D19</f>
        <v>14836429.937284155</v>
      </c>
      <c r="F19" s="7">
        <f>PMT(IF('Event Tracker'!F8=1,'Game Assumptions'!$B$5+IF('Event Tracker'!F$6=1,SUM('Customer Bills'!E19*-0.0075,'Environmental Performance'!E8*0.0075,Reliability!E100*0.0075),0),0),'Game Assumptions'!$B$14,'Game Assumptions'!$G34*'Resource Mix and Demand'!F8)*-1+E19</f>
        <v>17569097.249934625</v>
      </c>
      <c r="G19" s="7">
        <f>PMT(IF('Event Tracker'!G8=1,'Game Assumptions'!$B$5+IF('Event Tracker'!G$6=1,SUM('Customer Bills'!F19*-0.0075,'Environmental Performance'!F8*0.0075,Reliability!F100*0.0075),0),0),'Game Assumptions'!$B$14,'Game Assumptions'!$G34*'Resource Mix and Demand'!G8)*-1+F19</f>
        <v>19861040.716912188</v>
      </c>
      <c r="H19" s="7">
        <f>PMT(IF('Event Tracker'!H8=1,'Game Assumptions'!$B$5+IF('Event Tracker'!H$6=1,SUM('Customer Bills'!G19*-0.0075,'Environmental Performance'!G8*0.0075,Reliability!G100*0.0075),0),0),'Game Assumptions'!$B$14,'Game Assumptions'!$G34*'Resource Mix and Demand'!H8)*-1+G19</f>
        <v>22395726.093758635</v>
      </c>
      <c r="I19" s="7">
        <f>PMT(IF('Event Tracker'!I8=1,'Game Assumptions'!$B$5+IF('Event Tracker'!I$6=1,SUM('Customer Bills'!H19*-0.0075,'Environmental Performance'!H8*0.0075,Reliability!H100*0.0075),0),0),'Game Assumptions'!$B$14,'Game Assumptions'!$G34*'Resource Mix and Demand'!I8)*-1+H19</f>
        <v>25384977.399563547</v>
      </c>
      <c r="J19" s="7">
        <f>PMT(IF('Event Tracker'!J8=1,'Game Assumptions'!$B$5+IF('Event Tracker'!J$6=1,SUM('Customer Bills'!I19*-0.0075,'Environmental Performance'!I8*0.0075,Reliability!I100*0.0075),0),0),'Game Assumptions'!$B$14,'Game Assumptions'!$G34*'Resource Mix and Demand'!J8)*-1+I19</f>
        <v>28528101.416144896</v>
      </c>
      <c r="K19" s="7">
        <f>PMT(IF('Event Tracker'!K8=1,'Game Assumptions'!$B$5+IF('Event Tracker'!K$6=1,SUM('Customer Bills'!J19*-0.0075,'Environmental Performance'!J8*0.0075,Reliability!J100*0.0075),0),0),'Game Assumptions'!$B$14,'Game Assumptions'!$G34*'Resource Mix and Demand'!K8)*-1+J19</f>
        <v>31776456.11697492</v>
      </c>
      <c r="L19" s="7">
        <f>PMT(IF('Event Tracker'!L8=1,'Game Assumptions'!$B$5+IF('Event Tracker'!L$6=1,SUM('Customer Bills'!K19*-0.0075,'Environmental Performance'!K8*0.0075,Reliability!K100*0.0075),0),0),'Game Assumptions'!$B$14,'Game Assumptions'!$G34*'Resource Mix and Demand'!L8)*-1+K19</f>
        <v>35105405.272552282</v>
      </c>
    </row>
    <row r="20" spans="1:12" x14ac:dyDescent="0.25">
      <c r="A20" t="s">
        <v>288</v>
      </c>
      <c r="B20" s="7">
        <f>PMT('Game Assumptions'!$B$5,'Game Assumptions'!$B$14,Reliability!B9*'Game Assumptions'!$G35)*-1</f>
        <v>0</v>
      </c>
      <c r="C20" s="7">
        <f>PMT('Game Assumptions'!$B$5+IF(AND('Event Tracker'!C$6=1,INDEX(BizModelSelected,1,1)=1),SUM('Customer Bills'!B19*-0.0075,'Environmental Performance'!B8*0.0075,Reliability!B100*0.0075),0),'Game Assumptions'!$B$14,Reliability!C9*'Game Assumptions'!$G35)*-1+B20</f>
        <v>0</v>
      </c>
      <c r="D20" s="7">
        <f>PMT('Game Assumptions'!$B$5+IF(AND('Event Tracker'!D$6=1,INDEX(BizModelSelected,1,1)=1),SUM('Customer Bills'!C19*-0.0075,'Environmental Performance'!C8*0.0075,Reliability!C100*0.0075),0),'Game Assumptions'!$B$14,Reliability!D9*'Game Assumptions'!$G35)*-1+C20</f>
        <v>0</v>
      </c>
      <c r="E20" s="7">
        <f>PMT('Game Assumptions'!$B$5+IF(AND('Event Tracker'!E$6=1,INDEX(BizModelSelected,1,1)=1),SUM('Customer Bills'!D19*-0.0075,'Environmental Performance'!D8*0.0075,Reliability!D100*0.0075),0),'Game Assumptions'!$B$14,Reliability!E9*'Game Assumptions'!$G35)*-1+D20</f>
        <v>0</v>
      </c>
      <c r="F20" s="7">
        <f>PMT('Game Assumptions'!$B$5+IF(AND('Event Tracker'!F$6=1,INDEX(BizModelSelected,1,1)=1),SUM('Customer Bills'!E19*-0.0075,'Environmental Performance'!E8*0.0075,Reliability!E100*0.0075),0),'Game Assumptions'!$B$14,Reliability!F9*'Game Assumptions'!$G35)*-1+E20</f>
        <v>0</v>
      </c>
      <c r="G20" s="7">
        <f>PMT('Game Assumptions'!$B$5+IF(AND('Event Tracker'!G$6=1,INDEX(BizModelSelected,1,1)=1),SUM('Customer Bills'!F19*-0.0075,'Environmental Performance'!F8*0.0075,Reliability!F100*0.0075),0),'Game Assumptions'!$B$14,Reliability!G9*'Game Assumptions'!$G35)*-1+F20</f>
        <v>0</v>
      </c>
      <c r="H20" s="7">
        <f>PMT('Game Assumptions'!$B$5+IF(AND('Event Tracker'!H$6=1,INDEX(BizModelSelected,1,1)=1),SUM('Customer Bills'!G19*-0.0075,'Environmental Performance'!G8*0.0075,Reliability!G100*0.0075),0),'Game Assumptions'!$B$14,Reliability!H9*'Game Assumptions'!$G35)*-1+G20</f>
        <v>0</v>
      </c>
      <c r="I20" s="7">
        <f>PMT('Game Assumptions'!$B$5+IF(AND('Event Tracker'!I$6=1,INDEX(BizModelSelected,1,1)=1),SUM('Customer Bills'!H19*-0.0075,'Environmental Performance'!H8*0.0075,Reliability!H100*0.0075),0),'Game Assumptions'!$B$14,Reliability!I9*'Game Assumptions'!$G35)*-1+H20</f>
        <v>0</v>
      </c>
      <c r="J20" s="7">
        <f>PMT('Game Assumptions'!$B$5+IF(AND('Event Tracker'!J$6=1,INDEX(BizModelSelected,1,1)=1),SUM('Customer Bills'!I19*-0.0075,'Environmental Performance'!I8*0.0075,Reliability!I100*0.0075),0),'Game Assumptions'!$B$14,Reliability!J9*'Game Assumptions'!$G35)*-1+I20</f>
        <v>0</v>
      </c>
      <c r="K20" s="7">
        <f>PMT('Game Assumptions'!$B$5+IF(AND('Event Tracker'!K$6=1,INDEX(BizModelSelected,1,1)=1),SUM('Customer Bills'!J19*-0.0075,'Environmental Performance'!J8*0.0075,Reliability!J100*0.0075),0),'Game Assumptions'!$B$14,Reliability!K9*'Game Assumptions'!$G35)*-1+J20</f>
        <v>0</v>
      </c>
      <c r="L20" s="7">
        <f>PMT('Game Assumptions'!$B$5+IF(AND('Event Tracker'!L$6=1,INDEX(BizModelSelected,1,1)=1),SUM('Customer Bills'!K19*-0.0075,'Environmental Performance'!K8*0.0075,Reliability!K100*0.0075),0),'Game Assumptions'!$B$14,Reliability!L9*'Game Assumptions'!$G35)*-1+K20</f>
        <v>0</v>
      </c>
    </row>
    <row r="21" spans="1:12" x14ac:dyDescent="0.25">
      <c r="A21" t="s">
        <v>289</v>
      </c>
      <c r="B21" s="7">
        <f>PMT('Game Assumptions'!$B$5,'Game Assumptions'!$B$14,Reliability!B10*'Game Assumptions'!$G36)*-1</f>
        <v>0</v>
      </c>
      <c r="C21" s="7">
        <f>PMT('Game Assumptions'!$B$5+IF(AND('Event Tracker'!C$6=1,INDEX(BizModelSelected,1,1)=1),SUM('Customer Bills'!B20*-0.0075,'Environmental Performance'!B9*0.0075,Reliability!B101*0.0075),0),'Game Assumptions'!$B$14,Reliability!C10*'Game Assumptions'!$G36)*-1+B21</f>
        <v>0</v>
      </c>
      <c r="D21" s="7">
        <f>PMT('Game Assumptions'!$B$5+IF(AND('Event Tracker'!D$6=1,INDEX(BizModelSelected,1,1)=1),SUM('Customer Bills'!C20*-0.0075,'Environmental Performance'!C9*0.0075,Reliability!C101*0.0075),0),'Game Assumptions'!$B$14,Reliability!D10*'Game Assumptions'!$G36)*-1+C21</f>
        <v>0</v>
      </c>
      <c r="E21" s="7">
        <f>PMT('Game Assumptions'!$B$5+IF(AND('Event Tracker'!E$6=1,INDEX(BizModelSelected,1,1)=1),SUM('Customer Bills'!D20*-0.0075,'Environmental Performance'!D9*0.0075,Reliability!D101*0.0075),0),'Game Assumptions'!$B$14,Reliability!E10*'Game Assumptions'!$G36)*-1+D21</f>
        <v>0</v>
      </c>
      <c r="F21" s="7">
        <f>PMT('Game Assumptions'!$B$5+IF(AND('Event Tracker'!F$6=1,INDEX(BizModelSelected,1,1)=1),SUM('Customer Bills'!E20*-0.0075,'Environmental Performance'!E9*0.0075,Reliability!E101*0.0075),0),'Game Assumptions'!$B$14,Reliability!F10*'Game Assumptions'!$G36)*-1+E21</f>
        <v>0</v>
      </c>
      <c r="G21" s="7">
        <f>PMT('Game Assumptions'!$B$5+IF(AND('Event Tracker'!G$6=1,INDEX(BizModelSelected,1,1)=1),SUM('Customer Bills'!F20*-0.0075,'Environmental Performance'!F9*0.0075,Reliability!F101*0.0075),0),'Game Assumptions'!$B$14,Reliability!G10*'Game Assumptions'!$G36)*-1+F21</f>
        <v>0</v>
      </c>
      <c r="H21" s="7">
        <f>PMT('Game Assumptions'!$B$5+IF(AND('Event Tracker'!H$6=1,INDEX(BizModelSelected,1,1)=1),SUM('Customer Bills'!G20*-0.0075,'Environmental Performance'!G9*0.0075,Reliability!G101*0.0075),0),'Game Assumptions'!$B$14,Reliability!H10*'Game Assumptions'!$G36)*-1+G21</f>
        <v>0</v>
      </c>
      <c r="I21" s="7">
        <f>PMT('Game Assumptions'!$B$5+IF(AND('Event Tracker'!I$6=1,INDEX(BizModelSelected,1,1)=1),SUM('Customer Bills'!H20*-0.0075,'Environmental Performance'!H9*0.0075,Reliability!H101*0.0075),0),'Game Assumptions'!$B$14,Reliability!I10*'Game Assumptions'!$G36)*-1+H21</f>
        <v>0</v>
      </c>
      <c r="J21" s="7">
        <f>PMT('Game Assumptions'!$B$5+IF(AND('Event Tracker'!J$6=1,INDEX(BizModelSelected,1,1)=1),SUM('Customer Bills'!I20*-0.0075,'Environmental Performance'!I9*0.0075,Reliability!I101*0.0075),0),'Game Assumptions'!$B$14,Reliability!J10*'Game Assumptions'!$G36)*-1+I21</f>
        <v>0</v>
      </c>
      <c r="K21" s="7">
        <f>PMT('Game Assumptions'!$B$5+IF(AND('Event Tracker'!K$6=1,INDEX(BizModelSelected,1,1)=1),SUM('Customer Bills'!J20*-0.0075,'Environmental Performance'!J9*0.0075,Reliability!J101*0.0075),0),'Game Assumptions'!$B$14,Reliability!K10*'Game Assumptions'!$G36)*-1+J21</f>
        <v>0</v>
      </c>
      <c r="L21" s="7">
        <f>PMT('Game Assumptions'!$B$5+IF(AND('Event Tracker'!L$6=1,INDEX(BizModelSelected,1,1)=1),SUM('Customer Bills'!K20*-0.0075,'Environmental Performance'!K9*0.0075,Reliability!K101*0.0075),0),'Game Assumptions'!$B$14,Reliability!L10*'Game Assumptions'!$G36)*-1+K21</f>
        <v>0</v>
      </c>
    </row>
    <row r="22" spans="1:12" x14ac:dyDescent="0.25">
      <c r="A22" t="s">
        <v>290</v>
      </c>
      <c r="B22" s="7">
        <f>PMT('Game Assumptions'!$B$5,'Game Assumptions'!$B$14,Reliability!B11*'Game Assumptions'!$G37)*-1</f>
        <v>0</v>
      </c>
      <c r="C22" s="7">
        <f>PMT('Game Assumptions'!$B$5+IF('Event Tracker'!C$6=1,SUM('Customer Bills'!B19*-0.0075,'Environmental Performance'!B8*0.0075,Reliability!B100*0.0075),0),'Game Assumptions'!$B$14,Reliability!C11*'Game Assumptions'!$G37)*-1+B22</f>
        <v>0</v>
      </c>
      <c r="D22" s="7">
        <f>PMT('Game Assumptions'!$B$5+IF('Event Tracker'!D$6=1,SUM('Customer Bills'!C19*-0.0075,'Environmental Performance'!C8*0.0075,Reliability!C100*0.0075),0),'Game Assumptions'!$B$14,Reliability!D11*'Game Assumptions'!$G37)*-1+C22</f>
        <v>0</v>
      </c>
      <c r="E22" s="7">
        <f>PMT('Game Assumptions'!$B$5+IF('Event Tracker'!E$6=1,SUM('Customer Bills'!D19*-0.0075,'Environmental Performance'!D8*0.0075,Reliability!D100*0.0075),0),'Game Assumptions'!$B$14,Reliability!E11*'Game Assumptions'!$G37)*-1+D22</f>
        <v>0</v>
      </c>
      <c r="F22" s="7">
        <f>PMT('Game Assumptions'!$B$5+IF('Event Tracker'!F$6=1,SUM('Customer Bills'!E19*-0.0075,'Environmental Performance'!E8*0.0075,Reliability!E100*0.0075),0),'Game Assumptions'!$B$14,Reliability!F11*'Game Assumptions'!$G37)*-1+E22</f>
        <v>0</v>
      </c>
      <c r="G22" s="7">
        <f>PMT('Game Assumptions'!$B$5+IF('Event Tracker'!G$6=1,SUM('Customer Bills'!F19*-0.0075,'Environmental Performance'!F8*0.0075,Reliability!F100*0.0075),0),'Game Assumptions'!$B$14,Reliability!G11*'Game Assumptions'!$G37)*-1+F22</f>
        <v>0</v>
      </c>
      <c r="H22" s="7">
        <f>PMT('Game Assumptions'!$B$5+IF('Event Tracker'!H$6=1,SUM('Customer Bills'!G19*-0.0075,'Environmental Performance'!G8*0.0075,Reliability!G100*0.0075),0),'Game Assumptions'!$B$14,Reliability!H11*'Game Assumptions'!$G37)*-1+G22</f>
        <v>0</v>
      </c>
      <c r="I22" s="7">
        <f>PMT('Game Assumptions'!$B$5+IF('Event Tracker'!I$6=1,SUM('Customer Bills'!H19*-0.0075,'Environmental Performance'!H8*0.0075,Reliability!H100*0.0075),0),'Game Assumptions'!$B$14,Reliability!I11*'Game Assumptions'!$G37)*-1+H22</f>
        <v>0</v>
      </c>
      <c r="J22" s="7">
        <f>PMT('Game Assumptions'!$B$5+IF('Event Tracker'!J$6=1,SUM('Customer Bills'!I19*-0.0075,'Environmental Performance'!I8*0.0075,Reliability!I100*0.0075),0),'Game Assumptions'!$B$14,Reliability!J11*'Game Assumptions'!$G37)*-1+I22</f>
        <v>0</v>
      </c>
      <c r="K22" s="7">
        <f>PMT('Game Assumptions'!$B$5+IF('Event Tracker'!K$6=1,SUM('Customer Bills'!J19*-0.0075,'Environmental Performance'!J8*0.0075,Reliability!J100*0.0075),0),'Game Assumptions'!$B$14,Reliability!K11*'Game Assumptions'!$G37)*-1+J22</f>
        <v>0</v>
      </c>
      <c r="L22" s="7">
        <f>PMT('Game Assumptions'!$B$5+IF('Event Tracker'!L$6=1,SUM('Customer Bills'!K19*-0.0075,'Environmental Performance'!K8*0.0075,Reliability!K100*0.0075),0),'Game Assumptions'!$B$14,Reliability!L11*'Game Assumptions'!$G37)*-1+K22</f>
        <v>0</v>
      </c>
    </row>
    <row r="23" spans="1:12" s="117" customFormat="1" x14ac:dyDescent="0.25">
      <c r="A23" s="117" t="s">
        <v>291</v>
      </c>
      <c r="B23" s="118">
        <f>PMT(0,'Game Assumptions'!$B$14,Reliability!B12*'Game Assumptions'!$G38)*-1</f>
        <v>0</v>
      </c>
      <c r="C23" s="118">
        <f>PMT(0,'Game Assumptions'!$B$14,Reliability!C12*'Game Assumptions'!$G38)*-1+B23</f>
        <v>0</v>
      </c>
      <c r="D23" s="118">
        <f>PMT(0,'Game Assumptions'!$B$14,Reliability!D12*'Game Assumptions'!$G38)*-1+C23</f>
        <v>0</v>
      </c>
      <c r="E23" s="118">
        <f>PMT(0,'Game Assumptions'!$B$14,Reliability!E12*'Game Assumptions'!$G38)*-1+D23</f>
        <v>0</v>
      </c>
      <c r="F23" s="118">
        <f>PMT(0,'Game Assumptions'!$B$14,Reliability!F12*'Game Assumptions'!$G38)*-1+E23</f>
        <v>0</v>
      </c>
      <c r="G23" s="118">
        <f>PMT(0,'Game Assumptions'!$B$14,Reliability!G12*'Game Assumptions'!$G38)*-1+F23</f>
        <v>0</v>
      </c>
      <c r="H23" s="118">
        <f>PMT(0,'Game Assumptions'!$B$14,Reliability!H12*'Game Assumptions'!$G38)*-1+G23</f>
        <v>0</v>
      </c>
      <c r="I23" s="118">
        <f>PMT(0,'Game Assumptions'!$B$14,Reliability!I12*'Game Assumptions'!$G38)*-1+H23</f>
        <v>0</v>
      </c>
      <c r="J23" s="118">
        <f>PMT(0,'Game Assumptions'!$B$14,Reliability!J12*'Game Assumptions'!$G38)*-1+I23</f>
        <v>0</v>
      </c>
      <c r="K23" s="118">
        <f>PMT(0,'Game Assumptions'!$B$14,Reliability!K12*'Game Assumptions'!$G38)*-1+J23</f>
        <v>0</v>
      </c>
      <c r="L23" s="118">
        <f>PMT(0,'Game Assumptions'!$B$14,Reliability!L12*'Game Assumptions'!$G38)*-1+K23</f>
        <v>0</v>
      </c>
    </row>
    <row r="24" spans="1:12" x14ac:dyDescent="0.25">
      <c r="A24" s="12" t="s">
        <v>67</v>
      </c>
      <c r="B24" s="27">
        <f>PMT('Game Assumptions'!$B$5,'Game Assumptions'!$B$14,Reliability!B38*'Game Assumptions'!$B$111)*-1</f>
        <v>0</v>
      </c>
      <c r="C24" s="27">
        <f>PMT('Game Assumptions'!$B$5+IF(AND(INDEX(BizModelSelected,1,1)=1,'Event Tracker'!C$6=1),SUM('Customer Bills'!B19*-0.0075,'Environmental Performance'!B8*0.0075,Reliability!B100*0.0075),0),'Game Assumptions'!$B$14,Reliability!C38*'Game Assumptions'!$B$111)*-1+B24</f>
        <v>0</v>
      </c>
      <c r="D24" s="27">
        <f>PMT('Game Assumptions'!$B$5+IF(AND(INDEX(BizModelSelected,1,1)=1,'Event Tracker'!D$6=1),SUM('Customer Bills'!C19*-0.0075,'Environmental Performance'!C8*0.0075,Reliability!C100*0.0075),0),'Game Assumptions'!$B$14,Reliability!D38*'Game Assumptions'!$B$111)*-1+C24</f>
        <v>0</v>
      </c>
      <c r="E24" s="27">
        <f>PMT('Game Assumptions'!$B$5+IF(AND(INDEX(BizModelSelected,1,1)=1,'Event Tracker'!E$6=1),SUM('Customer Bills'!D19*-0.0075,'Environmental Performance'!D8*0.0075,Reliability!D100*0.0075),0),'Game Assumptions'!$B$14,Reliability!E38*'Game Assumptions'!$B$111)*-1+D24</f>
        <v>0</v>
      </c>
      <c r="F24" s="27">
        <f>PMT('Game Assumptions'!$B$5+IF(AND(INDEX(BizModelSelected,1,1)=1,'Event Tracker'!F$6=1),SUM('Customer Bills'!E19*-0.0075,'Environmental Performance'!E8*0.0075,Reliability!E100*0.0075),0),'Game Assumptions'!$B$14,Reliability!F38*'Game Assumptions'!$B$111)*-1+E24</f>
        <v>0</v>
      </c>
      <c r="G24" s="27">
        <f>PMT('Game Assumptions'!$B$5+IF(AND(INDEX(BizModelSelected,1,1)=1,'Event Tracker'!G$6=1),SUM('Customer Bills'!F19*-0.0075,'Environmental Performance'!F8*0.0075,Reliability!F100*0.0075),0),'Game Assumptions'!$B$14,Reliability!G38*'Game Assumptions'!$B$111)*-1+F24</f>
        <v>0</v>
      </c>
      <c r="H24" s="27">
        <f>PMT('Game Assumptions'!$B$5+IF(AND(INDEX(BizModelSelected,1,1)=1,'Event Tracker'!H$6=1),SUM('Customer Bills'!G19*-0.0075,'Environmental Performance'!G8*0.0075,Reliability!G100*0.0075),0),'Game Assumptions'!$B$14,Reliability!H38*'Game Assumptions'!$B$111)*-1+G24</f>
        <v>0</v>
      </c>
      <c r="I24" s="27">
        <f>PMT('Game Assumptions'!$B$5+IF(AND(INDEX(BizModelSelected,1,1)=1,'Event Tracker'!I$6=1),SUM('Customer Bills'!H19*-0.0075,'Environmental Performance'!H8*0.0075,Reliability!H100*0.0075),0),'Game Assumptions'!$B$14,Reliability!I38*'Game Assumptions'!$B$111)*-1+H24</f>
        <v>0</v>
      </c>
      <c r="J24" s="27">
        <f>PMT('Game Assumptions'!$B$5+IF(AND(INDEX(BizModelSelected,1,1)=1,'Event Tracker'!J$6=1),SUM('Customer Bills'!I19*-0.0075,'Environmental Performance'!I8*0.0075,Reliability!I100*0.0075),0),'Game Assumptions'!$B$14,Reliability!J38*'Game Assumptions'!$B$111)*-1+I24</f>
        <v>0</v>
      </c>
      <c r="K24" s="27">
        <f>PMT('Game Assumptions'!$B$5+IF(AND(INDEX(BizModelSelected,1,1)=1,'Event Tracker'!K$6=1),SUM('Customer Bills'!J19*-0.0075,'Environmental Performance'!J8*0.0075,Reliability!J100*0.0075),0),'Game Assumptions'!$B$14,Reliability!K38*'Game Assumptions'!$B$111)*-1+J24</f>
        <v>0</v>
      </c>
      <c r="L24" s="27">
        <f>PMT('Game Assumptions'!$B$5+IF(AND(INDEX(BizModelSelected,1,1)=1,'Event Tracker'!L$6=1),SUM('Customer Bills'!K19*-0.0075,'Environmental Performance'!K8*0.0075,Reliability!K100*0.0075),0),'Game Assumptions'!$B$14,Reliability!L38*'Game Assumptions'!$B$111)*-1+K24</f>
        <v>0</v>
      </c>
    </row>
    <row r="25" spans="1:12" x14ac:dyDescent="0.25">
      <c r="A25" s="12" t="s">
        <v>68</v>
      </c>
      <c r="B25" s="116">
        <f>PMT('Game Assumptions'!$B$5,'Game Assumptions'!$B$14,SUM('Game Assumptions'!$B$135:$B$136)*Reliability!B13)*-1</f>
        <v>0</v>
      </c>
      <c r="C25" s="116">
        <f>PMT('Game Assumptions'!$B$5+IF('Event Tracker'!C$6=1,SUM('Customer Bills'!B19*-0.0075,'Environmental Performance'!B8*0.0075,Reliability!B100*0.0075),0),'Game Assumptions'!$B$14,SUM('Game Assumptions'!$B$135:$B$136)*Reliability!C13)*-1+B25</f>
        <v>0</v>
      </c>
      <c r="D25" s="116">
        <f>PMT('Game Assumptions'!$B$5+IF('Event Tracker'!D$6=1,SUM('Customer Bills'!C19*-0.0075,'Environmental Performance'!C8*0.0075,Reliability!C100*0.0075),0),'Game Assumptions'!$B$14,SUM('Game Assumptions'!$B$135:$B$136)*Reliability!D13)*-1+C25</f>
        <v>0</v>
      </c>
      <c r="E25" s="116">
        <f>PMT('Game Assumptions'!$B$5+IF('Event Tracker'!E$6=1,SUM('Customer Bills'!D19*0.0075,'Environmental Performance'!D8*0.0075,Reliability!D100*0.0075),0),'Game Assumptions'!$B$14,SUM('Game Assumptions'!$B$135:$B$136)*Reliability!E13)*-1+D25</f>
        <v>0</v>
      </c>
      <c r="F25" s="116">
        <f>PMT('Game Assumptions'!$B$5+IF('Event Tracker'!F$6=1,SUM('Customer Bills'!E19*0.0075,'Environmental Performance'!E8*0.0075,Reliability!E100*0.0075),0),'Game Assumptions'!$B$14,SUM('Game Assumptions'!$B$135:$B$136)*Reliability!F13)*-1+E25</f>
        <v>0</v>
      </c>
      <c r="G25" s="116">
        <f>PMT('Game Assumptions'!$B$5+IF('Event Tracker'!G$6=1,SUM('Customer Bills'!F19*0.0075,'Environmental Performance'!F8*0.0075,Reliability!F100*0.0075),0),'Game Assumptions'!$B$14,SUM('Game Assumptions'!$B$135:$B$136)*Reliability!G13)*-1+F25</f>
        <v>0</v>
      </c>
      <c r="H25" s="116">
        <f>PMT('Game Assumptions'!$B$5+IF('Event Tracker'!H$6=1,SUM('Customer Bills'!G19*0.0075,'Environmental Performance'!G8*0.0075,Reliability!G100*0.0075),0),'Game Assumptions'!$B$14,SUM('Game Assumptions'!$B$135:$B$136)*Reliability!H13)*-1+G25</f>
        <v>0</v>
      </c>
      <c r="I25" s="116">
        <f>PMT('Game Assumptions'!$B$5+IF('Event Tracker'!I$6=1,SUM('Customer Bills'!H19*0.0075,'Environmental Performance'!H8*0.0075,Reliability!H100*0.0075),0),'Game Assumptions'!$B$14,SUM('Game Assumptions'!$B$135:$B$136)*Reliability!I13)*-1+H25</f>
        <v>0</v>
      </c>
      <c r="J25" s="116">
        <f>PMT('Game Assumptions'!$B$5+IF('Event Tracker'!J$6=1,SUM('Customer Bills'!I19*0.0075,'Environmental Performance'!I8*0.0075,Reliability!I100*0.0075),0),'Game Assumptions'!$B$14,SUM('Game Assumptions'!$B$135:$B$136)*Reliability!J13)*-1+I25</f>
        <v>0</v>
      </c>
      <c r="K25" s="116">
        <f>PMT('Game Assumptions'!$B$5+IF('Event Tracker'!K$6=1,SUM('Customer Bills'!J19*0.0075,'Environmental Performance'!J8*0.0075,Reliability!J100*0.0075),0),'Game Assumptions'!$B$14,SUM('Game Assumptions'!$B$135:$B$136)*Reliability!K13)*-1+J25</f>
        <v>0</v>
      </c>
      <c r="L25" s="116">
        <f>PMT('Game Assumptions'!$B$5+IF('Event Tracker'!L$6=1,SUM('Customer Bills'!K19*0.0075,'Environmental Performance'!K8*0.0075,Reliability!K100*0.0075),0),'Game Assumptions'!$B$14,SUM('Game Assumptions'!$B$135:$B$136)*Reliability!L13)*-1+K25</f>
        <v>0</v>
      </c>
    </row>
    <row r="26" spans="1:12" x14ac:dyDescent="0.25">
      <c r="A26" s="12" t="s">
        <v>390</v>
      </c>
      <c r="B26" s="116">
        <v>0</v>
      </c>
      <c r="C26" s="116">
        <f>PMT('Game Assumptions'!$B$5+IF('Event Tracker'!C$6=1,SUM('Customer Bills'!B19*-0.0075,'Environmental Performance'!B8*0.0075,Reliability!B100*0.0075),0),'Game Assumptions'!$B$14,'Game Assumptions'!$G28*'Resource Mix and Demand'!C9)*-1+B26</f>
        <v>92050711.553971678</v>
      </c>
      <c r="D26" s="116">
        <f>PMT('Game Assumptions'!$B$5+IF('Event Tracker'!D$6=1,SUM('Customer Bills'!C19*-0.0075,'Environmental Performance'!C8*0.0075,Reliability!C100*0.0075),0),'Game Assumptions'!$B$14,'Game Assumptions'!$G28*'Resource Mix and Demand'!D9)*-1+C26</f>
        <v>209124469.31966347</v>
      </c>
      <c r="E26" s="116">
        <f>PMT('Game Assumptions'!$B$5+IF('Event Tracker'!E$6=1,SUM('Customer Bills'!D19*-0.0075,'Environmental Performance'!D8*0.0075,Reliability!D100*0.0075),0),'Game Assumptions'!$B$14,'Game Assumptions'!$G28*'Resource Mix and Demand'!E9)*-1+D26</f>
        <v>338047156.57338995</v>
      </c>
      <c r="F26" s="116">
        <f>PMT('Game Assumptions'!$B$5+IF('Event Tracker'!F$6=1,SUM('Customer Bills'!E19*-0.0075,'Environmental Performance'!E8*0.0075,Reliability!E100*0.0075),0),'Game Assumptions'!$B$14,'Game Assumptions'!$G28*'Resource Mix and Demand'!F9)*-1+E26</f>
        <v>396414336.01775736</v>
      </c>
      <c r="G26" s="116">
        <f>PMT('Game Assumptions'!$B$5+IF('Event Tracker'!G$6=1,SUM('Customer Bills'!F19*-0.0075,'Environmental Performance'!F8*0.0075,Reliability!F100*0.0075),0),'Game Assumptions'!$B$14,'Game Assumptions'!$G28*'Resource Mix and Demand'!G9)*-1+F26</f>
        <v>443963589.96626526</v>
      </c>
      <c r="H26" s="116">
        <f>PMT('Game Assumptions'!$B$5+IF('Event Tracker'!H$6=1,SUM('Customer Bills'!G19*-0.0075,'Environmental Performance'!G8*0.0075,Reliability!G100*0.0075),0),'Game Assumptions'!$B$14,'Game Assumptions'!$G28*'Resource Mix and Demand'!H9)*-1+G26</f>
        <v>497471141.65941834</v>
      </c>
      <c r="I26" s="116">
        <f>PMT('Game Assumptions'!$B$5+IF('Event Tracker'!I$6=1,SUM('Customer Bills'!H19*-0.0075,'Environmental Performance'!H8*0.0075,Reliability!H100*0.0075),0),'Game Assumptions'!$B$14,'Game Assumptions'!$G28*'Resource Mix and Demand'!I9)*-1+H26</f>
        <v>562136384.04870498</v>
      </c>
      <c r="J26" s="116">
        <f>PMT('Game Assumptions'!$B$5+IF('Event Tracker'!J$6=1,SUM('Customer Bills'!I19*-0.0075,'Environmental Performance'!I8*0.0075,Reliability!I100*0.0075),0),'Game Assumptions'!$B$14,'Game Assumptions'!$G28*'Resource Mix and Demand'!J9)*-1+I26</f>
        <v>630578557.36053777</v>
      </c>
      <c r="K26" s="116">
        <f>PMT('Game Assumptions'!$B$5+IF('Event Tracker'!K$6=1,SUM('Customer Bills'!J19*-0.0075,'Environmental Performance'!J8*0.0075,Reliability!J100*0.0075),0),'Game Assumptions'!$B$14,'Game Assumptions'!$G28*'Resource Mix and Demand'!K9)*-1+J26</f>
        <v>701603703.46419299</v>
      </c>
      <c r="L26" s="116">
        <f>PMT('Game Assumptions'!$B$5+IF('Event Tracker'!L$6=1,SUM('Customer Bills'!K19*-0.0075,'Environmental Performance'!K8*0.0075,Reliability!K100*0.0075),0),'Game Assumptions'!$B$14,'Game Assumptions'!$G28*'Resource Mix and Demand'!L9)*-1+K26</f>
        <v>774607106.05520689</v>
      </c>
    </row>
    <row r="27" spans="1:12" x14ac:dyDescent="0.25">
      <c r="A27" s="34" t="s">
        <v>77</v>
      </c>
      <c r="B27" s="130"/>
      <c r="C27" s="130"/>
      <c r="D27" s="130"/>
      <c r="E27" s="130"/>
      <c r="F27" s="130"/>
      <c r="G27" s="130"/>
      <c r="H27" s="130"/>
      <c r="I27" s="130"/>
      <c r="J27" s="130"/>
      <c r="K27" s="130"/>
      <c r="L27" s="130"/>
    </row>
    <row r="28" spans="1:12" ht="15.75" thickBot="1" x14ac:dyDescent="0.3">
      <c r="A28" s="75" t="s">
        <v>75</v>
      </c>
      <c r="B28" s="36"/>
      <c r="C28" s="36"/>
      <c r="D28" s="36"/>
      <c r="E28" s="36"/>
      <c r="F28" s="36"/>
      <c r="G28" s="36"/>
      <c r="H28" s="36"/>
      <c r="I28" s="36"/>
      <c r="J28" s="36"/>
      <c r="K28" s="36"/>
      <c r="L28" s="36"/>
    </row>
    <row r="29" spans="1:12" ht="15.75" thickTop="1" x14ac:dyDescent="0.25">
      <c r="A29" t="s">
        <v>55</v>
      </c>
      <c r="B29" s="7">
        <f>SUMPRODUCT('Resource Mix and Demand'!B$22:B$28,'Game Assumptions'!$B$41:$B$47)+SUMPRODUCT(Reliability!B$19:B$22,'Game Assumptions'!$B$48:$B$51)</f>
        <v>428736000</v>
      </c>
      <c r="C29" s="7">
        <f>SUMPRODUCT('Resource Mix and Demand'!C$22:C$28,'Game Assumptions'!$B$41:$B$47)+SUMPRODUCT(Reliability!C$19:C$22,'Game Assumptions'!$B$48:$B$51)</f>
        <v>348394903.82374936</v>
      </c>
      <c r="D29" s="7">
        <f>SUMPRODUCT('Resource Mix and Demand'!D$22:D$28,'Game Assumptions'!$B$41:$B$47)+SUMPRODUCT(Reliability!D$19:D$22,'Game Assumptions'!$B$48:$B$51)</f>
        <v>333899883.58310467</v>
      </c>
      <c r="E29" s="7">
        <f>SUMPRODUCT('Resource Mix and Demand'!E$22:E$28,'Game Assumptions'!$B$41:$B$47)+SUMPRODUCT(Reliability!E$19:E$22,'Game Assumptions'!$B$48:$B$51)</f>
        <v>321182495.8767789</v>
      </c>
      <c r="F29" s="7">
        <f>SUMPRODUCT('Resource Mix and Demand'!F$22:F$28,'Game Assumptions'!$B$41:$B$47)+SUMPRODUCT(Reliability!F$19:F$22,'Game Assumptions'!$B$48:$B$51)</f>
        <v>329068036.64277047</v>
      </c>
      <c r="G29" s="7">
        <f>SUMPRODUCT('Resource Mix and Demand'!G$22:G$28,'Game Assumptions'!$B$41:$B$47)+SUMPRODUCT(Reliability!G$19:G$22,'Game Assumptions'!$B$48:$B$51)</f>
        <v>335330620.9775756</v>
      </c>
      <c r="H29" s="7">
        <f>SUMPRODUCT('Resource Mix and Demand'!H$22:H$28,'Game Assumptions'!$B$41:$B$47)+SUMPRODUCT(Reliability!H$19:H$22,'Game Assumptions'!$B$48:$B$51)</f>
        <v>342487097.36657315</v>
      </c>
      <c r="I29" s="7">
        <f>SUMPRODUCT('Resource Mix and Demand'!I$22:I$28,'Game Assumptions'!$B$41:$B$47)+SUMPRODUCT(Reliability!I$19:I$22,'Game Assumptions'!$B$48:$B$51)</f>
        <v>351317503.37168884</v>
      </c>
      <c r="J29" s="7">
        <f>SUMPRODUCT('Resource Mix and Demand'!J$22:J$28,'Game Assumptions'!$B$41:$B$47)+SUMPRODUCT(Reliability!J$19:J$22,'Game Assumptions'!$B$48:$B$51)</f>
        <v>360714542.44644803</v>
      </c>
      <c r="K29" s="7">
        <f>SUMPRODUCT('Resource Mix and Demand'!K$22:K$28,'Game Assumptions'!$B$41:$B$47)+SUMPRODUCT(Reliability!K$19:K$22,'Game Assumptions'!$B$48:$B$51)</f>
        <v>370499091.33588195</v>
      </c>
      <c r="L29" s="7">
        <f>SUMPRODUCT('Resource Mix and Demand'!L$22:L$28,'Game Assumptions'!$B$41:$B$47)+SUMPRODUCT(Reliability!L$19:L$22,'Game Assumptions'!$B$48:$B$51)</f>
        <v>380580427.63524258</v>
      </c>
    </row>
    <row r="30" spans="1:12" x14ac:dyDescent="0.25">
      <c r="A30" t="s">
        <v>56</v>
      </c>
      <c r="B30" s="7">
        <f>SUMPRODUCT(Dispatch!B186:B192,'Game Assumptions'!$G$41:$G$47)</f>
        <v>249876099.59999999</v>
      </c>
      <c r="C30" s="7">
        <f>SUMPRODUCT(Dispatch!C186:C192,'Game Assumptions'!$G$41:$G$47)</f>
        <v>252791537.04593614</v>
      </c>
      <c r="D30" s="7">
        <f>SUMPRODUCT(Dispatch!D186:D192,'Game Assumptions'!$G$41:$G$47)</f>
        <v>231493113.16026449</v>
      </c>
      <c r="E30" s="7">
        <f>SUMPRODUCT(Dispatch!E186:E192,'Game Assumptions'!$G$41:$G$47)</f>
        <v>206089766.29692036</v>
      </c>
      <c r="F30" s="7">
        <f>SUMPRODUCT(Dispatch!F186:F192,'Game Assumptions'!$G$41:$G$47)</f>
        <v>197158187.82160288</v>
      </c>
      <c r="G30" s="7">
        <f>SUMPRODUCT(Dispatch!G186:G192,'Game Assumptions'!$G$41:$G$47)</f>
        <v>193431420.71354973</v>
      </c>
      <c r="H30" s="7">
        <f>SUMPRODUCT(Dispatch!H186:H192,'Game Assumptions'!$G$41:$G$47)</f>
        <v>189117868.12604976</v>
      </c>
      <c r="I30" s="7">
        <f>SUMPRODUCT(Dispatch!I186:I192,'Game Assumptions'!$G$41:$G$47)</f>
        <v>187544295.63854975</v>
      </c>
      <c r="J30" s="7">
        <f>SUMPRODUCT(Dispatch!J186:J192,'Game Assumptions'!$G$41:$G$47)</f>
        <v>185151603.22604972</v>
      </c>
      <c r="K30" s="7">
        <f>SUMPRODUCT(Dispatch!K186:K192,'Game Assumptions'!$G$41:$G$47)</f>
        <v>182227201.38854975</v>
      </c>
      <c r="L30" s="7">
        <f>SUMPRODUCT(Dispatch!L186:L192,'Game Assumptions'!$G$41:$G$47)</f>
        <v>179575839.52604973</v>
      </c>
    </row>
    <row r="31" spans="1:12" x14ac:dyDescent="0.25">
      <c r="A31" s="12" t="s">
        <v>57</v>
      </c>
      <c r="B31" s="27">
        <f>SUM(Dispatch!B244:B246)+SUMPRODUCT(Dispatch!B24:B30,Dispatch!B186:B192)</f>
        <v>1168460018.4000001</v>
      </c>
      <c r="C31" s="27">
        <f>SUM(Dispatch!C244:C246)+SUMPRODUCT(Dispatch!C24:C30,Dispatch!C186:C192)</f>
        <v>1270929126.0906827</v>
      </c>
      <c r="D31" s="27">
        <f>SUM(Dispatch!D244:D246)+SUMPRODUCT(Dispatch!D24:D30,Dispatch!D186:D192)</f>
        <v>1048755157.6301558</v>
      </c>
      <c r="E31" s="27">
        <f>SUM(Dispatch!E244:E246)+SUMPRODUCT(Dispatch!E24:E30,Dispatch!E186:E192)</f>
        <v>935413641.09449947</v>
      </c>
      <c r="F31" s="27">
        <f>SUM(Dispatch!F244:F246)+SUMPRODUCT(Dispatch!F24:F30,Dispatch!F186:F192)</f>
        <v>887466625.51164365</v>
      </c>
      <c r="G31" s="27">
        <f>SUM(Dispatch!G244:G246)+SUMPRODUCT(Dispatch!G24:G30,Dispatch!G186:G192)</f>
        <v>883159987.72805071</v>
      </c>
      <c r="H31" s="27">
        <f>SUM(Dispatch!H244:H246)+SUMPRODUCT(Dispatch!H24:H30,Dispatch!H186:H192)</f>
        <v>932460608.60572433</v>
      </c>
      <c r="I31" s="27">
        <f>SUM(Dispatch!I244:I246)+SUMPRODUCT(Dispatch!I24:I30,Dispatch!I186:I192)</f>
        <v>974480806.93339789</v>
      </c>
      <c r="J31" s="27">
        <f>SUM(Dispatch!J244:J246)+SUMPRODUCT(Dispatch!J24:J30,Dispatch!J186:J192)</f>
        <v>996066289.67466581</v>
      </c>
      <c r="K31" s="27">
        <f>SUM(Dispatch!K244:K246)+SUMPRODUCT(Dispatch!K24:K30,Dispatch!K186:K192)</f>
        <v>1003877879.8244357</v>
      </c>
      <c r="L31" s="27">
        <f>SUM(Dispatch!L244:L246)+SUMPRODUCT(Dispatch!L24:L30,Dispatch!L186:L192)</f>
        <v>1012626767.5808415</v>
      </c>
    </row>
    <row r="32" spans="1:12" ht="15.75" thickBot="1" x14ac:dyDescent="0.3">
      <c r="A32" s="75" t="s">
        <v>211</v>
      </c>
      <c r="B32" s="36"/>
      <c r="C32" s="36"/>
      <c r="D32" s="36"/>
      <c r="E32" s="36"/>
      <c r="F32" s="36"/>
      <c r="G32" s="36"/>
      <c r="H32" s="36"/>
      <c r="I32" s="36"/>
      <c r="J32" s="36"/>
      <c r="K32" s="36"/>
      <c r="L32" s="36"/>
    </row>
    <row r="33" spans="1:12" ht="15.75" thickTop="1" x14ac:dyDescent="0.25">
      <c r="A33" s="71" t="s">
        <v>212</v>
      </c>
      <c r="B33" s="27">
        <f>Reliability!B41*'Game Assumptions'!$B$117</f>
        <v>29791461.006910168</v>
      </c>
      <c r="C33" s="27">
        <f>Reliability!C41*'Game Assumptions'!$B$117</f>
        <v>29791461.006910168</v>
      </c>
      <c r="D33" s="27">
        <f>Reliability!D41*'Game Assumptions'!$B$117</f>
        <v>29791461.006910168</v>
      </c>
      <c r="E33" s="27">
        <f>Reliability!E41*'Game Assumptions'!$B$117</f>
        <v>29791461.006910168</v>
      </c>
      <c r="F33" s="27">
        <f>Reliability!F41*'Game Assumptions'!$B$117</f>
        <v>29791461.006910168</v>
      </c>
      <c r="G33" s="27">
        <f>Reliability!G41*'Game Assumptions'!$B$117</f>
        <v>29791461.006910168</v>
      </c>
      <c r="H33" s="27">
        <f>Reliability!H41*'Game Assumptions'!$B$117</f>
        <v>29791461.006910168</v>
      </c>
      <c r="I33" s="27">
        <f>Reliability!I41*'Game Assumptions'!$B$117</f>
        <v>29791461.006910168</v>
      </c>
      <c r="J33" s="27">
        <f>Reliability!J41*'Game Assumptions'!$B$117</f>
        <v>29791461.006910168</v>
      </c>
      <c r="K33" s="27">
        <f>Reliability!K41*'Game Assumptions'!$B$117</f>
        <v>29791461.006910168</v>
      </c>
      <c r="L33" s="27">
        <f>Reliability!L41*'Game Assumptions'!$B$117</f>
        <v>29791461.006910168</v>
      </c>
    </row>
    <row r="34" spans="1:12" x14ac:dyDescent="0.25">
      <c r="A34" s="72" t="s">
        <v>214</v>
      </c>
      <c r="B34" s="27">
        <f>'Game Assumptions'!$B$124*'Game Assumptions'!$B$120</f>
        <v>424000</v>
      </c>
      <c r="C34" s="27">
        <f>'Game Assumptions'!$B$124*'Game Assumptions'!$B$120</f>
        <v>424000</v>
      </c>
      <c r="D34" s="27">
        <f>'Game Assumptions'!$B$124*'Game Assumptions'!$B$120</f>
        <v>424000</v>
      </c>
      <c r="E34" s="27">
        <f>'Game Assumptions'!$B$124*'Game Assumptions'!$B$120</f>
        <v>424000</v>
      </c>
      <c r="F34" s="27">
        <f>'Game Assumptions'!$B$124*'Game Assumptions'!$B$120</f>
        <v>424000</v>
      </c>
      <c r="G34" s="27">
        <f>'Game Assumptions'!$B$124*'Game Assumptions'!$B$120</f>
        <v>424000</v>
      </c>
      <c r="H34" s="27">
        <f>'Game Assumptions'!$B$124*'Game Assumptions'!$B$120</f>
        <v>424000</v>
      </c>
      <c r="I34" s="27">
        <f>'Game Assumptions'!$B$124*'Game Assumptions'!$B$120</f>
        <v>424000</v>
      </c>
      <c r="J34" s="27">
        <f>'Game Assumptions'!$B$124*'Game Assumptions'!$B$120</f>
        <v>424000</v>
      </c>
      <c r="K34" s="27">
        <f>'Game Assumptions'!$B$124*'Game Assumptions'!$B$120</f>
        <v>424000</v>
      </c>
      <c r="L34" s="27">
        <f>'Game Assumptions'!$B$124*'Game Assumptions'!$B$120</f>
        <v>424000</v>
      </c>
    </row>
    <row r="35" spans="1:12" ht="15.75" thickBot="1" x14ac:dyDescent="0.3">
      <c r="A35" s="75" t="s">
        <v>207</v>
      </c>
      <c r="B35" s="135"/>
      <c r="C35" s="135"/>
      <c r="D35" s="135"/>
      <c r="E35" s="135"/>
      <c r="F35" s="135"/>
      <c r="G35" s="135"/>
      <c r="H35" s="135"/>
      <c r="I35" s="135"/>
      <c r="J35" s="135"/>
      <c r="K35" s="135"/>
      <c r="L35" s="135"/>
    </row>
    <row r="36" spans="1:12" ht="15.75" thickTop="1" x14ac:dyDescent="0.25">
      <c r="A36" t="s">
        <v>208</v>
      </c>
      <c r="B36" s="7">
        <f>Dispatch!B123</f>
        <v>0</v>
      </c>
      <c r="C36" s="7">
        <f>Dispatch!C123</f>
        <v>0</v>
      </c>
      <c r="D36" s="7">
        <f>Dispatch!D123</f>
        <v>0</v>
      </c>
      <c r="E36" s="7">
        <f>Dispatch!E123</f>
        <v>0</v>
      </c>
      <c r="F36" s="7">
        <f>Dispatch!F123</f>
        <v>0</v>
      </c>
      <c r="G36" s="7">
        <f>Dispatch!G123</f>
        <v>0</v>
      </c>
      <c r="H36" s="7">
        <f>Dispatch!H123</f>
        <v>0</v>
      </c>
      <c r="I36" s="7">
        <f>Dispatch!I123</f>
        <v>0</v>
      </c>
      <c r="J36" s="7">
        <f>Dispatch!J123</f>
        <v>0</v>
      </c>
      <c r="K36" s="7">
        <f>Dispatch!K123</f>
        <v>0</v>
      </c>
      <c r="L36" s="7">
        <f>Dispatch!L123</f>
        <v>0</v>
      </c>
    </row>
    <row r="37" spans="1:12" x14ac:dyDescent="0.25">
      <c r="A37" s="34" t="s">
        <v>400</v>
      </c>
      <c r="B37" s="94">
        <f>SUM(B29:B31,B13:B26,B9:B11,B33:B34,B36)</f>
        <v>5442114887.8171825</v>
      </c>
      <c r="C37" s="94">
        <f t="shared" ref="C37:L37" si="0">SUM(C29:C31,C13:C26,C9:C11,C33:C34,C36)</f>
        <v>5526150517.7421722</v>
      </c>
      <c r="D37" s="94">
        <f t="shared" si="0"/>
        <v>5379383703.3310823</v>
      </c>
      <c r="E37" s="94">
        <f t="shared" si="0"/>
        <v>5361219564.2974586</v>
      </c>
      <c r="F37" s="94">
        <f t="shared" si="0"/>
        <v>5314848861.3125277</v>
      </c>
      <c r="G37" s="94">
        <f t="shared" si="0"/>
        <v>5294745281.1431007</v>
      </c>
      <c r="H37" s="94">
        <f t="shared" si="0"/>
        <v>5338727957.2018156</v>
      </c>
      <c r="I37" s="94">
        <f t="shared" si="0"/>
        <v>5399280975.0214462</v>
      </c>
      <c r="J37" s="94">
        <f t="shared" si="0"/>
        <v>5445001421.2943153</v>
      </c>
      <c r="K37" s="94">
        <f t="shared" si="0"/>
        <v>5480461223.6921568</v>
      </c>
      <c r="L37" s="94">
        <f t="shared" si="0"/>
        <v>5519987526.8936987</v>
      </c>
    </row>
    <row r="38" spans="1:12" x14ac:dyDescent="0.25">
      <c r="A38" s="34" t="s">
        <v>401</v>
      </c>
      <c r="B38" s="94">
        <f>SUM(B11,B19,B21,B23,B25,B29:B31,B34,B36)</f>
        <v>2866018206.2315063</v>
      </c>
      <c r="C38" s="94">
        <f t="shared" ref="C38:L38" si="1">SUM(C11,C19,C21,C23,C25,C29:C31,C34,C36)</f>
        <v>2895166594.4630327</v>
      </c>
      <c r="D38" s="94">
        <f t="shared" si="1"/>
        <v>2642323563.6607108</v>
      </c>
      <c r="E38" s="94">
        <f t="shared" si="1"/>
        <v>2496468421.4369888</v>
      </c>
      <c r="F38" s="94">
        <f t="shared" si="1"/>
        <v>2450208035.4574575</v>
      </c>
      <c r="G38" s="94">
        <f t="shared" si="1"/>
        <v>2450729158.3675942</v>
      </c>
      <c r="H38" s="94">
        <f t="shared" si="1"/>
        <v>2505407388.4236121</v>
      </c>
      <c r="I38" s="94">
        <f t="shared" si="1"/>
        <v>2557673671.5747061</v>
      </c>
      <c r="J38" s="94">
        <f t="shared" si="1"/>
        <v>2589406624.9948144</v>
      </c>
      <c r="K38" s="94">
        <f t="shared" si="1"/>
        <v>2607326716.8973484</v>
      </c>
      <c r="L38" s="94">
        <f t="shared" si="1"/>
        <v>2626834528.2461925</v>
      </c>
    </row>
    <row r="40" spans="1:12" x14ac:dyDescent="0.25">
      <c r="A40" s="9" t="s">
        <v>80</v>
      </c>
      <c r="B40" s="9">
        <v>0</v>
      </c>
      <c r="C40" s="9">
        <v>1</v>
      </c>
      <c r="D40" s="9">
        <v>2</v>
      </c>
      <c r="E40" s="9">
        <v>3</v>
      </c>
      <c r="F40" s="9">
        <v>4</v>
      </c>
      <c r="G40" s="9">
        <v>5</v>
      </c>
      <c r="H40" s="9">
        <v>6</v>
      </c>
      <c r="I40" s="9">
        <v>7</v>
      </c>
      <c r="J40" s="9">
        <v>8</v>
      </c>
      <c r="K40" s="9">
        <v>9</v>
      </c>
      <c r="L40" s="9">
        <v>10</v>
      </c>
    </row>
    <row r="41" spans="1:12" x14ac:dyDescent="0.25">
      <c r="A41" s="28" t="s">
        <v>38</v>
      </c>
    </row>
    <row r="42" spans="1:12" x14ac:dyDescent="0.25">
      <c r="A42" s="26" t="s">
        <v>64</v>
      </c>
      <c r="B42" s="7">
        <f>'Game Assumptions'!$B$7*'Utility Revenue'!B9*IF('Event Tracker'!B$4=1,2,1)</f>
        <v>509261044.11575311</v>
      </c>
      <c r="C42" s="7">
        <f>'Game Assumptions'!$B$7*'Utility Revenue'!C9*IF('Event Tracker'!C$4=1,2,1)</f>
        <v>483797991.90996546</v>
      </c>
      <c r="D42" s="7">
        <f>'Game Assumptions'!$B$7*'Utility Revenue'!D9*IF('Event Tracker'!D$4=1,2,1)</f>
        <v>458334939.7041778</v>
      </c>
      <c r="E42" s="7">
        <f>'Game Assumptions'!$B$7*'Utility Revenue'!E9*IF('Event Tracker'!E$4=1,2,1)</f>
        <v>432871887.49839014</v>
      </c>
      <c r="F42" s="7">
        <f>'Game Assumptions'!$B$7*'Utility Revenue'!F9*IF('Event Tracker'!F$4=1,2,1)</f>
        <v>407408835.29260254</v>
      </c>
      <c r="G42" s="7">
        <f>'Game Assumptions'!$B$7*'Utility Revenue'!G9*IF('Event Tracker'!G$4=1,2,1)</f>
        <v>381945783.08681482</v>
      </c>
      <c r="H42" s="7">
        <f>'Game Assumptions'!$B$7*'Utility Revenue'!H9*IF('Event Tracker'!H$4=1,2,1)</f>
        <v>356482730.88102716</v>
      </c>
      <c r="I42" s="7">
        <f>'Game Assumptions'!$B$7*'Utility Revenue'!I9*IF('Event Tracker'!I$4=1,2,1)</f>
        <v>331019678.6752395</v>
      </c>
      <c r="J42" s="7">
        <f>'Game Assumptions'!$B$7*'Utility Revenue'!J9*IF('Event Tracker'!J$4=1,2,1)</f>
        <v>305556626.46945184</v>
      </c>
      <c r="K42" s="7">
        <f>'Game Assumptions'!$B$7*'Utility Revenue'!K9*IF('Event Tracker'!K$4=1,2,1)</f>
        <v>280093574.26366425</v>
      </c>
      <c r="L42" s="7">
        <f>'Game Assumptions'!$B$7*'Utility Revenue'!L9*IF('Event Tracker'!L$4=1,2,1)</f>
        <v>254630522.05787656</v>
      </c>
    </row>
    <row r="43" spans="1:12" x14ac:dyDescent="0.25">
      <c r="A43" s="26" t="s">
        <v>65</v>
      </c>
      <c r="B43" s="7">
        <f>'Game Assumptions'!$B$7*'Utility Revenue'!B10*IF('Event Tracker'!B$4=1,2,1)</f>
        <v>127315261.02893828</v>
      </c>
      <c r="C43" s="7">
        <f>'Game Assumptions'!$B$7*'Utility Revenue'!C10*IF('Event Tracker'!C$4=1,2,1)</f>
        <v>127315261.02893828</v>
      </c>
      <c r="D43" s="7">
        <f>'Game Assumptions'!$B$7*'Utility Revenue'!D10*IF('Event Tracker'!D$4=1,2,1)</f>
        <v>127315261.02893828</v>
      </c>
      <c r="E43" s="7">
        <f>'Game Assumptions'!$B$7*'Utility Revenue'!E10*IF('Event Tracker'!E$4=1,2,1)</f>
        <v>127315261.02893828</v>
      </c>
      <c r="F43" s="7">
        <f>'Game Assumptions'!$B$7*'Utility Revenue'!F10*IF('Event Tracker'!F$4=1,2,1)</f>
        <v>127315261.02893828</v>
      </c>
      <c r="G43" s="7">
        <f>'Game Assumptions'!$B$7*'Utility Revenue'!G10*IF('Event Tracker'!G$4=1,2,1)</f>
        <v>127315261.02893828</v>
      </c>
      <c r="H43" s="7">
        <f>'Game Assumptions'!$B$7*'Utility Revenue'!H10*IF('Event Tracker'!H$4=1,2,1)</f>
        <v>127315261.02893828</v>
      </c>
      <c r="I43" s="7">
        <f>'Game Assumptions'!$B$7*'Utility Revenue'!I10*IF('Event Tracker'!I$4=1,2,1)</f>
        <v>127315261.02893828</v>
      </c>
      <c r="J43" s="7">
        <f>'Game Assumptions'!$B$7*'Utility Revenue'!J10*IF('Event Tracker'!J$4=1,2,1)</f>
        <v>127315261.02893828</v>
      </c>
      <c r="K43" s="7">
        <f>'Game Assumptions'!$B$7*'Utility Revenue'!K10*IF('Event Tracker'!K$4=1,2,1)</f>
        <v>127315261.02893828</v>
      </c>
      <c r="L43" s="7">
        <f>'Game Assumptions'!$B$7*'Utility Revenue'!L10*IF('Event Tracker'!L$4=1,2,1)</f>
        <v>127315261.02893828</v>
      </c>
    </row>
    <row r="44" spans="1:12" x14ac:dyDescent="0.25">
      <c r="A44" s="29" t="s">
        <v>66</v>
      </c>
      <c r="B44" s="23">
        <f>'Game Assumptions'!$B$7*'Utility Revenue'!B11*IF('Event Tracker'!B$4=1,2,1)</f>
        <v>254630522.05787656</v>
      </c>
      <c r="C44" s="23">
        <f>'Game Assumptions'!$B$7*'Utility Revenue'!C11*IF('Event Tracker'!C$4=1,2,1)</f>
        <v>254630522.05787656</v>
      </c>
      <c r="D44" s="23">
        <f>'Game Assumptions'!$B$7*'Utility Revenue'!D11*IF('Event Tracker'!D$4=1,2,1)</f>
        <v>254630522.05787656</v>
      </c>
      <c r="E44" s="23">
        <f>'Game Assumptions'!$B$7*'Utility Revenue'!E11*IF('Event Tracker'!E$4=1,2,1)</f>
        <v>254630522.05787656</v>
      </c>
      <c r="F44" s="23">
        <f>'Game Assumptions'!$B$7*'Utility Revenue'!F11*IF('Event Tracker'!F$4=1,2,1)</f>
        <v>254630522.05787656</v>
      </c>
      <c r="G44" s="23">
        <f>'Game Assumptions'!$B$7*'Utility Revenue'!G11*IF('Event Tracker'!G$4=1,2,1)</f>
        <v>254630522.05787656</v>
      </c>
      <c r="H44" s="23">
        <f>'Game Assumptions'!$B$7*'Utility Revenue'!H11*IF('Event Tracker'!H$4=1,2,1)</f>
        <v>254630522.05787656</v>
      </c>
      <c r="I44" s="23">
        <f>'Game Assumptions'!$B$7*'Utility Revenue'!I11*IF('Event Tracker'!I$4=1,2,1)</f>
        <v>254630522.05787656</v>
      </c>
      <c r="J44" s="23">
        <f>'Game Assumptions'!$B$7*'Utility Revenue'!J11*IF('Event Tracker'!J$4=1,2,1)</f>
        <v>254630522.05787656</v>
      </c>
      <c r="K44" s="23">
        <f>'Game Assumptions'!$B$7*'Utility Revenue'!K11*IF('Event Tracker'!K$4=1,2,1)</f>
        <v>254630522.05787656</v>
      </c>
      <c r="L44" s="23">
        <f>'Game Assumptions'!$B$7*'Utility Revenue'!L11*IF('Event Tracker'!L$4=1,2,1)</f>
        <v>254630522.05787656</v>
      </c>
    </row>
    <row r="45" spans="1:12" x14ac:dyDescent="0.25">
      <c r="A45" s="4" t="s">
        <v>43</v>
      </c>
    </row>
    <row r="46" spans="1:12" x14ac:dyDescent="0.25">
      <c r="A46" t="s">
        <v>40</v>
      </c>
      <c r="B46" s="27">
        <f>'Game Assumptions'!$B$7*'Utility Revenue'!B13*IF('Event Tracker'!B$4=1,2,1)</f>
        <v>0</v>
      </c>
      <c r="C46" s="27">
        <f>'Game Assumptions'!$B$7*'Utility Revenue'!C13*IF('Event Tracker'!C$4=1,2,1)</f>
        <v>0</v>
      </c>
      <c r="D46" s="27">
        <f>'Game Assumptions'!$B$7*'Utility Revenue'!D13*IF('Event Tracker'!D$4=1,2,1)</f>
        <v>0</v>
      </c>
      <c r="E46" s="27">
        <f>'Game Assumptions'!$B$7*'Utility Revenue'!E13*IF('Event Tracker'!E$4=1,2,1)</f>
        <v>0</v>
      </c>
      <c r="F46" s="27">
        <f>'Game Assumptions'!$B$7*'Utility Revenue'!F13*IF('Event Tracker'!F$4=1,2,1)</f>
        <v>0</v>
      </c>
      <c r="G46" s="27">
        <f>'Game Assumptions'!$B$7*'Utility Revenue'!G13*IF('Event Tracker'!G$4=1,2,1)</f>
        <v>0</v>
      </c>
      <c r="H46" s="27">
        <f>'Game Assumptions'!$B$7*'Utility Revenue'!H13*IF('Event Tracker'!H$4=1,2,1)</f>
        <v>0</v>
      </c>
      <c r="I46" s="27">
        <f>'Game Assumptions'!$B$7*'Utility Revenue'!I13*IF('Event Tracker'!I$4=1,2,1)</f>
        <v>0</v>
      </c>
      <c r="J46" s="27">
        <f>'Game Assumptions'!$B$7*'Utility Revenue'!J13*IF('Event Tracker'!J$4=1,2,1)</f>
        <v>0</v>
      </c>
      <c r="K46" s="27">
        <f>'Game Assumptions'!$B$7*'Utility Revenue'!K13*IF('Event Tracker'!K$4=1,2,1)</f>
        <v>0</v>
      </c>
      <c r="L46" s="27">
        <f>'Game Assumptions'!$B$7*'Utility Revenue'!L13*IF('Event Tracker'!L$4=1,2,1)</f>
        <v>0</v>
      </c>
    </row>
    <row r="47" spans="1:12" x14ac:dyDescent="0.25">
      <c r="A47" t="s">
        <v>46</v>
      </c>
      <c r="B47" s="27">
        <f>'Game Assumptions'!$B$7*'Utility Revenue'!B14*IF('Event Tracker'!B$4=1,2,1)</f>
        <v>0</v>
      </c>
      <c r="C47" s="27">
        <f>'Game Assumptions'!$B$7*'Utility Revenue'!C14*IF('Event Tracker'!C$4=1,2,1)</f>
        <v>8700167.192869287</v>
      </c>
      <c r="D47" s="27">
        <f>'Game Assumptions'!$B$7*'Utility Revenue'!D14*IF('Event Tracker'!D$4=1,2,1)</f>
        <v>19924589.047447182</v>
      </c>
      <c r="E47" s="27">
        <f>'Game Assumptions'!$B$7*'Utility Revenue'!E14*IF('Event Tracker'!E$4=1,2,1)</f>
        <v>32344297.648625076</v>
      </c>
      <c r="F47" s="27">
        <f>'Game Assumptions'!$B$7*'Utility Revenue'!F14*IF('Event Tracker'!F$4=1,2,1)</f>
        <v>37646564.672543056</v>
      </c>
      <c r="G47" s="27">
        <f>'Game Assumptions'!$B$7*'Utility Revenue'!G14*IF('Event Tracker'!G$4=1,2,1)</f>
        <v>41857549.738545388</v>
      </c>
      <c r="H47" s="27">
        <f>'Game Assumptions'!$B$7*'Utility Revenue'!H14*IF('Event Tracker'!H$4=1,2,1)</f>
        <v>46669591.155981228</v>
      </c>
      <c r="I47" s="27">
        <f>'Game Assumptions'!$B$7*'Utility Revenue'!I14*IF('Event Tracker'!I$4=1,2,1)</f>
        <v>52607189.091009483</v>
      </c>
      <c r="J47" s="27">
        <f>'Game Assumptions'!$B$7*'Utility Revenue'!J14*IF('Event Tracker'!J$4=1,2,1)</f>
        <v>58925793.215592831</v>
      </c>
      <c r="K47" s="27">
        <f>'Game Assumptions'!$B$7*'Utility Revenue'!K14*IF('Event Tracker'!K$4=1,2,1)</f>
        <v>65504960.384965286</v>
      </c>
      <c r="L47" s="27">
        <f>'Game Assumptions'!$B$7*'Utility Revenue'!L14*IF('Event Tracker'!L$4=1,2,1)</f>
        <v>72283688.51578182</v>
      </c>
    </row>
    <row r="48" spans="1:12" x14ac:dyDescent="0.25">
      <c r="A48" t="s">
        <v>41</v>
      </c>
      <c r="B48" s="27">
        <f>'Game Assumptions'!$B$7*'Utility Revenue'!B15*IF('Event Tracker'!B$4=1,2,1)</f>
        <v>0</v>
      </c>
      <c r="C48" s="27">
        <f>'Game Assumptions'!$B$7*'Utility Revenue'!C15*IF('Event Tracker'!C$4=1,2,1)</f>
        <v>0</v>
      </c>
      <c r="D48" s="27">
        <f>'Game Assumptions'!$B$7*'Utility Revenue'!D15*IF('Event Tracker'!D$4=1,2,1)</f>
        <v>0</v>
      </c>
      <c r="E48" s="27">
        <f>'Game Assumptions'!$B$7*'Utility Revenue'!E15*IF('Event Tracker'!E$4=1,2,1)</f>
        <v>0</v>
      </c>
      <c r="F48" s="27">
        <f>'Game Assumptions'!$B$7*'Utility Revenue'!F15*IF('Event Tracker'!F$4=1,2,1)</f>
        <v>0</v>
      </c>
      <c r="G48" s="27">
        <f>'Game Assumptions'!$B$7*'Utility Revenue'!G15*IF('Event Tracker'!G$4=1,2,1)</f>
        <v>0</v>
      </c>
      <c r="H48" s="27">
        <f>'Game Assumptions'!$B$7*'Utility Revenue'!H15*IF('Event Tracker'!H$4=1,2,1)</f>
        <v>0</v>
      </c>
      <c r="I48" s="27">
        <f>'Game Assumptions'!$B$7*'Utility Revenue'!I15*IF('Event Tracker'!I$4=1,2,1)</f>
        <v>0</v>
      </c>
      <c r="J48" s="27">
        <f>'Game Assumptions'!$B$7*'Utility Revenue'!J15*IF('Event Tracker'!J$4=1,2,1)</f>
        <v>0</v>
      </c>
      <c r="K48" s="27">
        <f>'Game Assumptions'!$B$7*'Utility Revenue'!K15*IF('Event Tracker'!K$4=1,2,1)</f>
        <v>0</v>
      </c>
      <c r="L48" s="27">
        <f>'Game Assumptions'!$B$7*'Utility Revenue'!L15*IF('Event Tracker'!L$4=1,2,1)</f>
        <v>0</v>
      </c>
    </row>
    <row r="49" spans="1:12" x14ac:dyDescent="0.25">
      <c r="A49" t="s">
        <v>44</v>
      </c>
      <c r="B49" s="27">
        <f>'Game Assumptions'!$B$7*'Utility Revenue'!B16*IF('Event Tracker'!B$4=1,2,1)</f>
        <v>0</v>
      </c>
      <c r="C49" s="27">
        <f>'Game Assumptions'!$B$7*'Utility Revenue'!C16*IF('Event Tracker'!C$4=1,2,1)</f>
        <v>3889069.302247277</v>
      </c>
      <c r="D49" s="27">
        <f>'Game Assumptions'!$B$7*'Utility Revenue'!D16*IF('Event Tracker'!D$4=1,2,1)</f>
        <v>8605461.5614140704</v>
      </c>
      <c r="E49" s="27">
        <f>'Game Assumptions'!$B$7*'Utility Revenue'!E16*IF('Event Tracker'!E$4=1,2,1)</f>
        <v>14071614.261186199</v>
      </c>
      <c r="F49" s="27">
        <f>'Game Assumptions'!$B$7*'Utility Revenue'!F16*IF('Event Tracker'!F$4=1,2,1)</f>
        <v>16602704.966423722</v>
      </c>
      <c r="G49" s="27">
        <f>'Game Assumptions'!$B$7*'Utility Revenue'!G16*IF('Event Tracker'!G$4=1,2,1)</f>
        <v>18492251.834891722</v>
      </c>
      <c r="H49" s="27">
        <f>'Game Assumptions'!$B$7*'Utility Revenue'!H16*IF('Event Tracker'!H$4=1,2,1)</f>
        <v>20521948.684872005</v>
      </c>
      <c r="I49" s="27">
        <f>'Game Assumptions'!$B$7*'Utility Revenue'!I16*IF('Event Tracker'!I$4=1,2,1)</f>
        <v>22876132.993140537</v>
      </c>
      <c r="J49" s="27">
        <f>'Game Assumptions'!$B$7*'Utility Revenue'!J16*IF('Event Tracker'!J$4=1,2,1)</f>
        <v>25231066.640120983</v>
      </c>
      <c r="K49" s="27">
        <f>'Game Assumptions'!$B$7*'Utility Revenue'!K16*IF('Event Tracker'!K$4=1,2,1)</f>
        <v>27535989.012362301</v>
      </c>
      <c r="L49" s="27">
        <f>'Game Assumptions'!$B$7*'Utility Revenue'!L16*IF('Event Tracker'!L$4=1,2,1)</f>
        <v>29768334.720948067</v>
      </c>
    </row>
    <row r="50" spans="1:12" x14ac:dyDescent="0.25">
      <c r="A50" t="s">
        <v>45</v>
      </c>
      <c r="B50" s="27">
        <f>'Game Assumptions'!$B$7*'Utility Revenue'!B17*IF('Event Tracker'!B$4=1,2,1)</f>
        <v>0</v>
      </c>
      <c r="C50" s="27">
        <f>'Game Assumptions'!$B$7*'Utility Revenue'!C17*IF('Event Tracker'!C$4=1,2,1)</f>
        <v>3582948.2455440885</v>
      </c>
      <c r="D50" s="27">
        <f>'Game Assumptions'!$B$7*'Utility Revenue'!D17*IF('Event Tracker'!D$4=1,2,1)</f>
        <v>10355800.993972003</v>
      </c>
      <c r="E50" s="27">
        <f>'Game Assumptions'!$B$7*'Utility Revenue'!E17*IF('Event Tracker'!E$4=1,2,1)</f>
        <v>17625070.882902514</v>
      </c>
      <c r="F50" s="27">
        <f>'Game Assumptions'!$B$7*'Utility Revenue'!F17*IF('Event Tracker'!F$4=1,2,1)</f>
        <v>20635391.247092802</v>
      </c>
      <c r="G50" s="27">
        <f>'Game Assumptions'!$B$7*'Utility Revenue'!G17*IF('Event Tracker'!G$4=1,2,1)</f>
        <v>22954422.261392314</v>
      </c>
      <c r="H50" s="27">
        <f>'Game Assumptions'!$B$7*'Utility Revenue'!H17*IF('Event Tracker'!H$4=1,2,1)</f>
        <v>25524959.777149837</v>
      </c>
      <c r="I50" s="27">
        <f>'Game Assumptions'!$B$7*'Utility Revenue'!I17*IF('Event Tracker'!I$4=1,2,1)</f>
        <v>28601602.809453435</v>
      </c>
      <c r="J50" s="27">
        <f>'Game Assumptions'!$B$7*'Utility Revenue'!J17*IF('Event Tracker'!J$4=1,2,1)</f>
        <v>31777447.128909003</v>
      </c>
      <c r="K50" s="27">
        <f>'Game Assumptions'!$B$7*'Utility Revenue'!K17*IF('Event Tracker'!K$4=1,2,1)</f>
        <v>34985050.890996017</v>
      </c>
      <c r="L50" s="27">
        <f>'Game Assumptions'!$B$7*'Utility Revenue'!L17*IF('Event Tracker'!L$4=1,2,1)</f>
        <v>38190801.572802566</v>
      </c>
    </row>
    <row r="51" spans="1:12" x14ac:dyDescent="0.25">
      <c r="A51" t="s">
        <v>42</v>
      </c>
      <c r="B51" s="27">
        <f>'Game Assumptions'!$B$7*'Utility Revenue'!B18*IF('Event Tracker'!B$4=1,2,1)</f>
        <v>0</v>
      </c>
      <c r="C51" s="27">
        <f>'Game Assumptions'!$B$7*'Utility Revenue'!C18*IF('Event Tracker'!C$4=1,2,1)</f>
        <v>0</v>
      </c>
      <c r="D51" s="27">
        <f>'Game Assumptions'!$B$7*'Utility Revenue'!D18*IF('Event Tracker'!D$4=1,2,1)</f>
        <v>0</v>
      </c>
      <c r="E51" s="27">
        <f>'Game Assumptions'!$B$7*'Utility Revenue'!E18*IF('Event Tracker'!E$4=1,2,1)</f>
        <v>0</v>
      </c>
      <c r="F51" s="27">
        <f>'Game Assumptions'!$B$7*'Utility Revenue'!F18*IF('Event Tracker'!F$4=1,2,1)</f>
        <v>0</v>
      </c>
      <c r="G51" s="27">
        <f>'Game Assumptions'!$B$7*'Utility Revenue'!G18*IF('Event Tracker'!G$4=1,2,1)</f>
        <v>0</v>
      </c>
      <c r="H51" s="27">
        <f>'Game Assumptions'!$B$7*'Utility Revenue'!H18*IF('Event Tracker'!H$4=1,2,1)</f>
        <v>0</v>
      </c>
      <c r="I51" s="27">
        <f>'Game Assumptions'!$B$7*'Utility Revenue'!I18*IF('Event Tracker'!I$4=1,2,1)</f>
        <v>0</v>
      </c>
      <c r="J51" s="27">
        <f>'Game Assumptions'!$B$7*'Utility Revenue'!J18*IF('Event Tracker'!J$4=1,2,1)</f>
        <v>0</v>
      </c>
      <c r="K51" s="27">
        <f>'Game Assumptions'!$B$7*'Utility Revenue'!K18*IF('Event Tracker'!K$4=1,2,1)</f>
        <v>0</v>
      </c>
      <c r="L51" s="27">
        <f>'Game Assumptions'!$B$7*'Utility Revenue'!L18*IF('Event Tracker'!L$4=1,2,1)</f>
        <v>0</v>
      </c>
    </row>
    <row r="52" spans="1:12" x14ac:dyDescent="0.25">
      <c r="A52" s="12" t="s">
        <v>47</v>
      </c>
      <c r="B52" s="27">
        <f>'Game Assumptions'!$B$7*'Utility Revenue'!B19*IF('Event Tracker'!B$4=1,2,1)</f>
        <v>0</v>
      </c>
      <c r="C52" s="27">
        <f>'Game Assumptions'!$B$7*'Utility Revenue'!C19*IF('Event Tracker'!C$4=1,2,1)</f>
        <v>1026234.8177895008</v>
      </c>
      <c r="D52" s="27">
        <f>'Game Assumptions'!$B$7*'Utility Revenue'!D19*IF('Event Tracker'!D$4=1,2,1)</f>
        <v>2307330.2639199253</v>
      </c>
      <c r="E52" s="27">
        <f>'Game Assumptions'!$B$7*'Utility Revenue'!E19*IF('Event Tracker'!E$4=1,2,1)</f>
        <v>3709107.4843210387</v>
      </c>
      <c r="F52" s="27">
        <f>'Game Assumptions'!$B$7*'Utility Revenue'!F19*IF('Event Tracker'!F$4=1,2,1)</f>
        <v>4392274.3124836562</v>
      </c>
      <c r="G52" s="27">
        <f>'Game Assumptions'!$B$7*'Utility Revenue'!G19*IF('Event Tracker'!G$4=1,2,1)</f>
        <v>4965260.1792280469</v>
      </c>
      <c r="H52" s="27">
        <f>'Game Assumptions'!$B$7*'Utility Revenue'!H19*IF('Event Tracker'!H$4=1,2,1)</f>
        <v>5598931.5234396588</v>
      </c>
      <c r="I52" s="27">
        <f>'Game Assumptions'!$B$7*'Utility Revenue'!I19*IF('Event Tracker'!I$4=1,2,1)</f>
        <v>6346244.3498908868</v>
      </c>
      <c r="J52" s="27">
        <f>'Game Assumptions'!$B$7*'Utility Revenue'!J19*IF('Event Tracker'!J$4=1,2,1)</f>
        <v>7132025.3540362241</v>
      </c>
      <c r="K52" s="27">
        <f>'Game Assumptions'!$B$7*'Utility Revenue'!K19*IF('Event Tracker'!K$4=1,2,1)</f>
        <v>7944114.02924373</v>
      </c>
      <c r="L52" s="27">
        <f>'Game Assumptions'!$B$7*'Utility Revenue'!L19*IF('Event Tracker'!L$4=1,2,1)</f>
        <v>8776351.3181380704</v>
      </c>
    </row>
    <row r="53" spans="1:12" x14ac:dyDescent="0.25">
      <c r="A53" t="s">
        <v>288</v>
      </c>
      <c r="B53" s="27">
        <f>'Game Assumptions'!$B$7*'Utility Revenue'!B20*IF('Event Tracker'!B$4=1,2,1)</f>
        <v>0</v>
      </c>
      <c r="C53" s="27">
        <f>'Game Assumptions'!$B$7*'Utility Revenue'!C20*IF('Event Tracker'!C$4=1,2,1)</f>
        <v>0</v>
      </c>
      <c r="D53" s="27">
        <f>'Game Assumptions'!$B$7*'Utility Revenue'!D20*IF('Event Tracker'!D$4=1,2,1)</f>
        <v>0</v>
      </c>
      <c r="E53" s="27">
        <f>'Game Assumptions'!$B$7*'Utility Revenue'!E20*IF('Event Tracker'!E$4=1,2,1)</f>
        <v>0</v>
      </c>
      <c r="F53" s="27">
        <f>'Game Assumptions'!$B$7*'Utility Revenue'!F20*IF('Event Tracker'!F$4=1,2,1)</f>
        <v>0</v>
      </c>
      <c r="G53" s="27">
        <f>'Game Assumptions'!$B$7*'Utility Revenue'!G20*IF('Event Tracker'!G$4=1,2,1)</f>
        <v>0</v>
      </c>
      <c r="H53" s="27">
        <f>'Game Assumptions'!$B$7*'Utility Revenue'!H20*IF('Event Tracker'!H$4=1,2,1)</f>
        <v>0</v>
      </c>
      <c r="I53" s="27">
        <f>'Game Assumptions'!$B$7*'Utility Revenue'!I20*IF('Event Tracker'!I$4=1,2,1)</f>
        <v>0</v>
      </c>
      <c r="J53" s="27">
        <f>'Game Assumptions'!$B$7*'Utility Revenue'!J20*IF('Event Tracker'!J$4=1,2,1)</f>
        <v>0</v>
      </c>
      <c r="K53" s="27">
        <f>'Game Assumptions'!$B$7*'Utility Revenue'!K20*IF('Event Tracker'!K$4=1,2,1)</f>
        <v>0</v>
      </c>
      <c r="L53" s="27">
        <f>'Game Assumptions'!$B$7*'Utility Revenue'!L20*IF('Event Tracker'!L$4=1,2,1)</f>
        <v>0</v>
      </c>
    </row>
    <row r="54" spans="1:12" x14ac:dyDescent="0.25">
      <c r="A54" t="s">
        <v>289</v>
      </c>
      <c r="B54" s="27">
        <f>'Game Assumptions'!$B$7*'Utility Revenue'!B21*IF('Event Tracker'!B$4=1,2,1)</f>
        <v>0</v>
      </c>
      <c r="C54" s="27">
        <f>'Game Assumptions'!$B$7*'Utility Revenue'!C21*IF('Event Tracker'!C$4=1,2,1)</f>
        <v>0</v>
      </c>
      <c r="D54" s="27">
        <f>'Game Assumptions'!$B$7*'Utility Revenue'!D21*IF('Event Tracker'!D$4=1,2,1)</f>
        <v>0</v>
      </c>
      <c r="E54" s="27">
        <f>'Game Assumptions'!$B$7*'Utility Revenue'!E21*IF('Event Tracker'!E$4=1,2,1)</f>
        <v>0</v>
      </c>
      <c r="F54" s="27">
        <f>'Game Assumptions'!$B$7*'Utility Revenue'!F21*IF('Event Tracker'!F$4=1,2,1)</f>
        <v>0</v>
      </c>
      <c r="G54" s="27">
        <f>'Game Assumptions'!$B$7*'Utility Revenue'!G21*IF('Event Tracker'!G$4=1,2,1)</f>
        <v>0</v>
      </c>
      <c r="H54" s="27">
        <f>'Game Assumptions'!$B$7*'Utility Revenue'!H21*IF('Event Tracker'!H$4=1,2,1)</f>
        <v>0</v>
      </c>
      <c r="I54" s="27">
        <f>'Game Assumptions'!$B$7*'Utility Revenue'!I21*IF('Event Tracker'!I$4=1,2,1)</f>
        <v>0</v>
      </c>
      <c r="J54" s="27">
        <f>'Game Assumptions'!$B$7*'Utility Revenue'!J21*IF('Event Tracker'!J$4=1,2,1)</f>
        <v>0</v>
      </c>
      <c r="K54" s="27">
        <f>'Game Assumptions'!$B$7*'Utility Revenue'!K21*IF('Event Tracker'!K$4=1,2,1)</f>
        <v>0</v>
      </c>
      <c r="L54" s="27">
        <f>'Game Assumptions'!$B$7*'Utility Revenue'!L21*IF('Event Tracker'!L$4=1,2,1)</f>
        <v>0</v>
      </c>
    </row>
    <row r="55" spans="1:12" x14ac:dyDescent="0.25">
      <c r="A55" t="s">
        <v>290</v>
      </c>
      <c r="B55" s="27">
        <f>'Game Assumptions'!$B$7*'Utility Revenue'!B22*IF('Event Tracker'!B$4=1,2,1)</f>
        <v>0</v>
      </c>
      <c r="C55" s="27">
        <f>'Game Assumptions'!$B$7*'Utility Revenue'!C22*IF('Event Tracker'!C$4=1,2,1)</f>
        <v>0</v>
      </c>
      <c r="D55" s="27">
        <f>'Game Assumptions'!$B$7*'Utility Revenue'!D22*IF('Event Tracker'!D$4=1,2,1)</f>
        <v>0</v>
      </c>
      <c r="E55" s="27">
        <f>'Game Assumptions'!$B$7*'Utility Revenue'!E22*IF('Event Tracker'!E$4=1,2,1)</f>
        <v>0</v>
      </c>
      <c r="F55" s="27">
        <f>'Game Assumptions'!$B$7*'Utility Revenue'!F22*IF('Event Tracker'!F$4=1,2,1)</f>
        <v>0</v>
      </c>
      <c r="G55" s="27">
        <f>'Game Assumptions'!$B$7*'Utility Revenue'!G22*IF('Event Tracker'!G$4=1,2,1)</f>
        <v>0</v>
      </c>
      <c r="H55" s="27">
        <f>'Game Assumptions'!$B$7*'Utility Revenue'!H22*IF('Event Tracker'!H$4=1,2,1)</f>
        <v>0</v>
      </c>
      <c r="I55" s="27">
        <f>'Game Assumptions'!$B$7*'Utility Revenue'!I22*IF('Event Tracker'!I$4=1,2,1)</f>
        <v>0</v>
      </c>
      <c r="J55" s="27">
        <f>'Game Assumptions'!$B$7*'Utility Revenue'!J22*IF('Event Tracker'!J$4=1,2,1)</f>
        <v>0</v>
      </c>
      <c r="K55" s="27">
        <f>'Game Assumptions'!$B$7*'Utility Revenue'!K22*IF('Event Tracker'!K$4=1,2,1)</f>
        <v>0</v>
      </c>
      <c r="L55" s="27">
        <f>'Game Assumptions'!$B$7*'Utility Revenue'!L22*IF('Event Tracker'!L$4=1,2,1)</f>
        <v>0</v>
      </c>
    </row>
    <row r="56" spans="1:12" x14ac:dyDescent="0.25">
      <c r="A56" t="s">
        <v>291</v>
      </c>
      <c r="B56" s="27">
        <f>'Game Assumptions'!$B$7*'Utility Revenue'!B23*IF('Event Tracker'!B$4=1,2,1)</f>
        <v>0</v>
      </c>
      <c r="C56" s="27">
        <f>'Game Assumptions'!$B$7*'Utility Revenue'!C23*IF('Event Tracker'!C$4=1,2,1)</f>
        <v>0</v>
      </c>
      <c r="D56" s="27">
        <f>'Game Assumptions'!$B$7*'Utility Revenue'!D23*IF('Event Tracker'!D$4=1,2,1)</f>
        <v>0</v>
      </c>
      <c r="E56" s="27">
        <f>'Game Assumptions'!$B$7*'Utility Revenue'!E23*IF('Event Tracker'!E$4=1,2,1)</f>
        <v>0</v>
      </c>
      <c r="F56" s="27">
        <f>'Game Assumptions'!$B$7*'Utility Revenue'!F23*IF('Event Tracker'!F$4=1,2,1)</f>
        <v>0</v>
      </c>
      <c r="G56" s="27">
        <f>'Game Assumptions'!$B$7*'Utility Revenue'!G23*IF('Event Tracker'!G$4=1,2,1)</f>
        <v>0</v>
      </c>
      <c r="H56" s="27">
        <f>'Game Assumptions'!$B$7*'Utility Revenue'!H23*IF('Event Tracker'!H$4=1,2,1)</f>
        <v>0</v>
      </c>
      <c r="I56" s="27">
        <f>'Game Assumptions'!$B$7*'Utility Revenue'!I23*IF('Event Tracker'!I$4=1,2,1)</f>
        <v>0</v>
      </c>
      <c r="J56" s="27">
        <f>'Game Assumptions'!$B$7*'Utility Revenue'!J23*IF('Event Tracker'!J$4=1,2,1)</f>
        <v>0</v>
      </c>
      <c r="K56" s="27">
        <f>'Game Assumptions'!$B$7*'Utility Revenue'!K23*IF('Event Tracker'!K$4=1,2,1)</f>
        <v>0</v>
      </c>
      <c r="L56" s="27">
        <f>'Game Assumptions'!$B$7*'Utility Revenue'!L23*IF('Event Tracker'!L$4=1,2,1)</f>
        <v>0</v>
      </c>
    </row>
    <row r="57" spans="1:12" x14ac:dyDescent="0.25">
      <c r="A57" s="12" t="s">
        <v>67</v>
      </c>
      <c r="B57" s="27">
        <f>'Game Assumptions'!$B$7*'Utility Revenue'!B24*IF('Event Tracker'!B$4=1,2,1)</f>
        <v>0</v>
      </c>
      <c r="C57" s="27">
        <f>'Game Assumptions'!$B$7*'Utility Revenue'!C24*IF('Event Tracker'!C$4=1,2,1)</f>
        <v>0</v>
      </c>
      <c r="D57" s="27">
        <f>'Game Assumptions'!$B$7*'Utility Revenue'!D24*IF('Event Tracker'!D$4=1,2,1)</f>
        <v>0</v>
      </c>
      <c r="E57" s="27">
        <f>'Game Assumptions'!$B$7*'Utility Revenue'!E24*IF('Event Tracker'!E$4=1,2,1)</f>
        <v>0</v>
      </c>
      <c r="F57" s="27">
        <f>'Game Assumptions'!$B$7*'Utility Revenue'!F24*IF('Event Tracker'!F$4=1,2,1)</f>
        <v>0</v>
      </c>
      <c r="G57" s="27">
        <f>'Game Assumptions'!$B$7*'Utility Revenue'!G24*IF('Event Tracker'!G$4=1,2,1)</f>
        <v>0</v>
      </c>
      <c r="H57" s="27">
        <f>'Game Assumptions'!$B$7*'Utility Revenue'!H24*IF('Event Tracker'!H$4=1,2,1)</f>
        <v>0</v>
      </c>
      <c r="I57" s="27">
        <f>'Game Assumptions'!$B$7*'Utility Revenue'!I24*IF('Event Tracker'!I$4=1,2,1)</f>
        <v>0</v>
      </c>
      <c r="J57" s="27">
        <f>'Game Assumptions'!$B$7*'Utility Revenue'!J24*IF('Event Tracker'!J$4=1,2,1)</f>
        <v>0</v>
      </c>
      <c r="K57" s="27">
        <f>'Game Assumptions'!$B$7*'Utility Revenue'!K24*IF('Event Tracker'!K$4=1,2,1)</f>
        <v>0</v>
      </c>
      <c r="L57" s="27">
        <f>'Game Assumptions'!$B$7*'Utility Revenue'!L24*IF('Event Tracker'!L$4=1,2,1)</f>
        <v>0</v>
      </c>
    </row>
    <row r="58" spans="1:12" x14ac:dyDescent="0.25">
      <c r="A58" s="12" t="s">
        <v>68</v>
      </c>
      <c r="B58" s="27">
        <f>'Game Assumptions'!$B$7*'Utility Revenue'!B25*IF('Event Tracker'!B$4=1,2,1)</f>
        <v>0</v>
      </c>
      <c r="C58" s="27">
        <f>'Game Assumptions'!$B$7*'Utility Revenue'!C25*IF('Event Tracker'!C$4=1,2,1)</f>
        <v>0</v>
      </c>
      <c r="D58" s="27">
        <f>'Game Assumptions'!$B$7*'Utility Revenue'!D25*IF('Event Tracker'!D$4=1,2,1)</f>
        <v>0</v>
      </c>
      <c r="E58" s="27">
        <f>'Game Assumptions'!$B$7*'Utility Revenue'!E25*IF('Event Tracker'!E$4=1,2,1)</f>
        <v>0</v>
      </c>
      <c r="F58" s="27">
        <f>'Game Assumptions'!$B$7*'Utility Revenue'!F25*IF('Event Tracker'!F$4=1,2,1)</f>
        <v>0</v>
      </c>
      <c r="G58" s="27">
        <f>'Game Assumptions'!$B$7*'Utility Revenue'!G25*IF('Event Tracker'!G$4=1,2,1)</f>
        <v>0</v>
      </c>
      <c r="H58" s="27">
        <f>'Game Assumptions'!$B$7*'Utility Revenue'!H25*IF('Event Tracker'!H$4=1,2,1)</f>
        <v>0</v>
      </c>
      <c r="I58" s="27">
        <f>'Game Assumptions'!$B$7*'Utility Revenue'!I25*IF('Event Tracker'!I$4=1,2,1)</f>
        <v>0</v>
      </c>
      <c r="J58" s="27">
        <f>'Game Assumptions'!$B$7*'Utility Revenue'!J25*IF('Event Tracker'!J$4=1,2,1)</f>
        <v>0</v>
      </c>
      <c r="K58" s="27">
        <f>'Game Assumptions'!$B$7*'Utility Revenue'!K25*IF('Event Tracker'!K$4=1,2,1)</f>
        <v>0</v>
      </c>
      <c r="L58" s="27">
        <f>'Game Assumptions'!$B$7*'Utility Revenue'!L25*IF('Event Tracker'!L$4=1,2,1)</f>
        <v>0</v>
      </c>
    </row>
    <row r="59" spans="1:12" x14ac:dyDescent="0.25">
      <c r="A59" s="22" t="s">
        <v>390</v>
      </c>
      <c r="B59" s="23">
        <v>0</v>
      </c>
      <c r="C59" s="23">
        <f>'Game Assumptions'!$B$7*'Utility Revenue'!C26*IF('Event Tracker'!C$4=1,2,1)</f>
        <v>23012677.88849292</v>
      </c>
      <c r="D59" s="23">
        <f>'Game Assumptions'!$B$7*'Utility Revenue'!D26*IF('Event Tracker'!D$4=1,2,1)</f>
        <v>52281117.329915866</v>
      </c>
      <c r="E59" s="23">
        <f>'Game Assumptions'!$B$7*'Utility Revenue'!E26*IF('Event Tracker'!E$4=1,2,1)</f>
        <v>84511789.143347487</v>
      </c>
      <c r="F59" s="23">
        <f>'Game Assumptions'!$B$7*'Utility Revenue'!F26*IF('Event Tracker'!F$4=1,2,1)</f>
        <v>99103584.004439339</v>
      </c>
      <c r="G59" s="23">
        <f>'Game Assumptions'!$B$7*'Utility Revenue'!G26*IF('Event Tracker'!G$4=1,2,1)</f>
        <v>110990897.49156632</v>
      </c>
      <c r="H59" s="23">
        <f>'Game Assumptions'!$B$7*'Utility Revenue'!H26*IF('Event Tracker'!H$4=1,2,1)</f>
        <v>124367785.41485459</v>
      </c>
      <c r="I59" s="23">
        <f>'Game Assumptions'!$B$7*'Utility Revenue'!I26*IF('Event Tracker'!I$4=1,2,1)</f>
        <v>140534096.01217625</v>
      </c>
      <c r="J59" s="23">
        <f>'Game Assumptions'!$B$7*'Utility Revenue'!J26*IF('Event Tracker'!J$4=1,2,1)</f>
        <v>157644639.34013444</v>
      </c>
      <c r="K59" s="23">
        <f>'Game Assumptions'!$B$7*'Utility Revenue'!K26*IF('Event Tracker'!K$4=1,2,1)</f>
        <v>175400925.86604825</v>
      </c>
      <c r="L59" s="23">
        <f>'Game Assumptions'!$B$7*'Utility Revenue'!L26*IF('Event Tracker'!L$4=1,2,1)</f>
        <v>193651776.51380172</v>
      </c>
    </row>
    <row r="60" spans="1:12" ht="15.75" thickBot="1" x14ac:dyDescent="0.3">
      <c r="A60" s="37" t="s">
        <v>220</v>
      </c>
      <c r="B60" s="38">
        <f>'Game Assumptions'!B82</f>
        <v>5000000</v>
      </c>
      <c r="C60" s="38">
        <f>B60</f>
        <v>5000000</v>
      </c>
      <c r="D60" s="38">
        <f t="shared" ref="D60:L60" si="2">C60</f>
        <v>5000000</v>
      </c>
      <c r="E60" s="38">
        <f t="shared" si="2"/>
        <v>5000000</v>
      </c>
      <c r="F60" s="38">
        <f t="shared" si="2"/>
        <v>5000000</v>
      </c>
      <c r="G60" s="38">
        <f t="shared" si="2"/>
        <v>5000000</v>
      </c>
      <c r="H60" s="38">
        <f t="shared" si="2"/>
        <v>5000000</v>
      </c>
      <c r="I60" s="38">
        <f t="shared" si="2"/>
        <v>5000000</v>
      </c>
      <c r="J60" s="38">
        <f t="shared" si="2"/>
        <v>5000000</v>
      </c>
      <c r="K60" s="38">
        <f t="shared" si="2"/>
        <v>5000000</v>
      </c>
      <c r="L60" s="38">
        <f t="shared" si="2"/>
        <v>5000000</v>
      </c>
    </row>
    <row r="61" spans="1:12" ht="16.5" thickTop="1" thickBot="1" x14ac:dyDescent="0.3">
      <c r="A61" s="39" t="s">
        <v>83</v>
      </c>
      <c r="B61" s="50">
        <f>SUM(B42:B59)/B60</f>
        <v>178.24136544051359</v>
      </c>
      <c r="C61" s="50">
        <f t="shared" ref="C61:L61" si="3">SUM(C42:C59)/C60</f>
        <v>181.1909744887447</v>
      </c>
      <c r="D61" s="50">
        <f t="shared" si="3"/>
        <v>186.75100439753237</v>
      </c>
      <c r="E61" s="50">
        <f t="shared" si="3"/>
        <v>193.41591000111745</v>
      </c>
      <c r="F61" s="50">
        <f t="shared" si="3"/>
        <v>193.54702751648003</v>
      </c>
      <c r="G61" s="50">
        <f t="shared" si="3"/>
        <v>192.6303895358507</v>
      </c>
      <c r="H61" s="50">
        <f t="shared" si="3"/>
        <v>192.22234610482784</v>
      </c>
      <c r="I61" s="50">
        <f t="shared" si="3"/>
        <v>192.78614540354499</v>
      </c>
      <c r="J61" s="50">
        <f t="shared" si="3"/>
        <v>193.64267624701205</v>
      </c>
      <c r="K61" s="50">
        <f t="shared" si="3"/>
        <v>194.68207950681895</v>
      </c>
      <c r="L61" s="50">
        <f t="shared" si="3"/>
        <v>195.84945155723273</v>
      </c>
    </row>
    <row r="62" spans="1:12" ht="15.75" thickTop="1" x14ac:dyDescent="0.25">
      <c r="A62" s="39" t="s">
        <v>403</v>
      </c>
      <c r="B62" s="50">
        <f>SUM(B44,B52,B54,B56,B58)/B60</f>
        <v>50.926104411575309</v>
      </c>
      <c r="C62" s="50">
        <f t="shared" ref="C62:L62" si="4">SUM(C44,C52,C54,C56,C58)/C60</f>
        <v>51.131351375133214</v>
      </c>
      <c r="D62" s="50">
        <f t="shared" si="4"/>
        <v>51.387570464359293</v>
      </c>
      <c r="E62" s="50">
        <f t="shared" si="4"/>
        <v>51.667925908439514</v>
      </c>
      <c r="F62" s="50">
        <f t="shared" si="4"/>
        <v>51.804559274072048</v>
      </c>
      <c r="G62" s="50">
        <f t="shared" si="4"/>
        <v>51.919156447420917</v>
      </c>
      <c r="H62" s="50">
        <f t="shared" si="4"/>
        <v>52.045890716263237</v>
      </c>
      <c r="I62" s="50">
        <f t="shared" si="4"/>
        <v>52.195353281553487</v>
      </c>
      <c r="J62" s="50">
        <f t="shared" si="4"/>
        <v>52.352509482382551</v>
      </c>
      <c r="K62" s="50">
        <f t="shared" si="4"/>
        <v>52.514927217424059</v>
      </c>
      <c r="L62" s="50">
        <f t="shared" si="4"/>
        <v>52.681374675202925</v>
      </c>
    </row>
    <row r="64" spans="1:12" x14ac:dyDescent="0.25">
      <c r="A64" s="9" t="s">
        <v>81</v>
      </c>
      <c r="B64" s="9">
        <v>0</v>
      </c>
      <c r="C64" s="9">
        <v>1</v>
      </c>
      <c r="D64" s="9">
        <v>2</v>
      </c>
      <c r="E64" s="9">
        <v>3</v>
      </c>
      <c r="F64" s="9">
        <v>4</v>
      </c>
      <c r="G64" s="9">
        <v>5</v>
      </c>
      <c r="H64" s="9">
        <v>6</v>
      </c>
      <c r="I64" s="9">
        <v>7</v>
      </c>
      <c r="J64" s="9">
        <v>8</v>
      </c>
      <c r="K64" s="9">
        <v>9</v>
      </c>
      <c r="L64" s="9">
        <v>10</v>
      </c>
    </row>
    <row r="65" spans="1:12" x14ac:dyDescent="0.25">
      <c r="A65" s="24" t="s">
        <v>78</v>
      </c>
    </row>
    <row r="66" spans="1:12" x14ac:dyDescent="0.25">
      <c r="A66" s="28" t="s">
        <v>38</v>
      </c>
      <c r="B66" s="27"/>
      <c r="C66" s="27"/>
      <c r="D66" s="27"/>
      <c r="E66" s="27"/>
      <c r="F66" s="27"/>
      <c r="G66" s="27"/>
      <c r="H66" s="27"/>
      <c r="I66" s="27"/>
      <c r="J66" s="27"/>
      <c r="K66" s="27"/>
      <c r="L66" s="27"/>
    </row>
    <row r="67" spans="1:12" x14ac:dyDescent="0.25">
      <c r="A67" s="26" t="s">
        <v>64</v>
      </c>
      <c r="B67" s="27">
        <f>(1-'Game Assumptions'!$B$7*IF('Event Tracker'!B$4=1,2,1))*'Utility Revenue'!B9</f>
        <v>1527783132.3472593</v>
      </c>
      <c r="C67" s="27">
        <f>(1-'Game Assumptions'!$B$7*IF('Event Tracker'!C$4=1,2,1))*'Utility Revenue'!C9</f>
        <v>1451393975.7298963</v>
      </c>
      <c r="D67" s="27">
        <f>(1-'Game Assumptions'!$B$7*IF('Event Tracker'!D$4=1,2,1))*'Utility Revenue'!D9</f>
        <v>1375004819.1125333</v>
      </c>
      <c r="E67" s="27">
        <f>(1-'Game Assumptions'!$B$7*IF('Event Tracker'!E$4=1,2,1))*'Utility Revenue'!E9</f>
        <v>1298615662.4951704</v>
      </c>
      <c r="F67" s="27">
        <f>(1-'Game Assumptions'!$B$7*IF('Event Tracker'!F$4=1,2,1))*'Utility Revenue'!F9</f>
        <v>1222226505.8778076</v>
      </c>
      <c r="G67" s="27">
        <f>(1-'Game Assumptions'!$B$7*IF('Event Tracker'!G$4=1,2,1))*'Utility Revenue'!G9</f>
        <v>1145837349.2604444</v>
      </c>
      <c r="H67" s="27">
        <f>(1-'Game Assumptions'!$B$7*IF('Event Tracker'!H$4=1,2,1))*'Utility Revenue'!H9</f>
        <v>1069448192.6430814</v>
      </c>
      <c r="I67" s="27">
        <f>(1-'Game Assumptions'!$B$7*IF('Event Tracker'!I$4=1,2,1))*'Utility Revenue'!I9</f>
        <v>993059036.02571845</v>
      </c>
      <c r="J67" s="27">
        <f>(1-'Game Assumptions'!$B$7*IF('Event Tracker'!J$4=1,2,1))*'Utility Revenue'!J9</f>
        <v>916669879.40835547</v>
      </c>
      <c r="K67" s="27">
        <f>(1-'Game Assumptions'!$B$7*IF('Event Tracker'!K$4=1,2,1))*'Utility Revenue'!K9</f>
        <v>840280722.79099274</v>
      </c>
      <c r="L67" s="27">
        <f>(1-'Game Assumptions'!$B$7*IF('Event Tracker'!L$4=1,2,1))*'Utility Revenue'!L9</f>
        <v>763891566.17362964</v>
      </c>
    </row>
    <row r="68" spans="1:12" x14ac:dyDescent="0.25">
      <c r="A68" s="26" t="s">
        <v>65</v>
      </c>
      <c r="B68" s="27">
        <f>(1-'Game Assumptions'!$B$7*IF('Event Tracker'!B$4=1,2,1))*'Utility Revenue'!B10</f>
        <v>381945783.08681482</v>
      </c>
      <c r="C68" s="27">
        <f>(1-'Game Assumptions'!$B$7*IF('Event Tracker'!C$4=1,2,1))*'Utility Revenue'!C10</f>
        <v>381945783.08681482</v>
      </c>
      <c r="D68" s="27">
        <f>(1-'Game Assumptions'!$B$7*IF('Event Tracker'!D$4=1,2,1))*'Utility Revenue'!D10</f>
        <v>381945783.08681482</v>
      </c>
      <c r="E68" s="27">
        <f>(1-'Game Assumptions'!$B$7*IF('Event Tracker'!E$4=1,2,1))*'Utility Revenue'!E10</f>
        <v>381945783.08681482</v>
      </c>
      <c r="F68" s="27">
        <f>(1-'Game Assumptions'!$B$7*IF('Event Tracker'!F$4=1,2,1))*'Utility Revenue'!F10</f>
        <v>381945783.08681482</v>
      </c>
      <c r="G68" s="27">
        <f>(1-'Game Assumptions'!$B$7*IF('Event Tracker'!G$4=1,2,1))*'Utility Revenue'!G10</f>
        <v>381945783.08681482</v>
      </c>
      <c r="H68" s="27">
        <f>(1-'Game Assumptions'!$B$7*IF('Event Tracker'!H$4=1,2,1))*'Utility Revenue'!H10</f>
        <v>381945783.08681482</v>
      </c>
      <c r="I68" s="27">
        <f>(1-'Game Assumptions'!$B$7*IF('Event Tracker'!I$4=1,2,1))*'Utility Revenue'!I10</f>
        <v>381945783.08681482</v>
      </c>
      <c r="J68" s="27">
        <f>(1-'Game Assumptions'!$B$7*IF('Event Tracker'!J$4=1,2,1))*'Utility Revenue'!J10</f>
        <v>381945783.08681482</v>
      </c>
      <c r="K68" s="27">
        <f>(1-'Game Assumptions'!$B$7*IF('Event Tracker'!K$4=1,2,1))*'Utility Revenue'!K10</f>
        <v>381945783.08681482</v>
      </c>
      <c r="L68" s="27">
        <f>(1-'Game Assumptions'!$B$7*IF('Event Tracker'!L$4=1,2,1))*'Utility Revenue'!L10</f>
        <v>381945783.08681482</v>
      </c>
    </row>
    <row r="69" spans="1:12" x14ac:dyDescent="0.25">
      <c r="A69" s="29" t="s">
        <v>66</v>
      </c>
      <c r="B69" s="23">
        <f>(1-'Game Assumptions'!$B$7*IF('Event Tracker'!B$4=1,2,1))*'Utility Revenue'!B11</f>
        <v>763891566.17362964</v>
      </c>
      <c r="C69" s="23">
        <f>(1-'Game Assumptions'!$B$7*IF('Event Tracker'!C$4=1,2,1))*'Utility Revenue'!C11</f>
        <v>763891566.17362964</v>
      </c>
      <c r="D69" s="23">
        <f>(1-'Game Assumptions'!$B$7*IF('Event Tracker'!D$4=1,2,1))*'Utility Revenue'!D11</f>
        <v>763891566.17362964</v>
      </c>
      <c r="E69" s="23">
        <f>(1-'Game Assumptions'!$B$7*IF('Event Tracker'!E$4=1,2,1))*'Utility Revenue'!E11</f>
        <v>763891566.17362964</v>
      </c>
      <c r="F69" s="23">
        <f>(1-'Game Assumptions'!$B$7*IF('Event Tracker'!F$4=1,2,1))*'Utility Revenue'!F11</f>
        <v>763891566.17362964</v>
      </c>
      <c r="G69" s="23">
        <f>(1-'Game Assumptions'!$B$7*IF('Event Tracker'!G$4=1,2,1))*'Utility Revenue'!G11</f>
        <v>763891566.17362964</v>
      </c>
      <c r="H69" s="23">
        <f>(1-'Game Assumptions'!$B$7*IF('Event Tracker'!H$4=1,2,1))*'Utility Revenue'!H11</f>
        <v>763891566.17362964</v>
      </c>
      <c r="I69" s="23">
        <f>(1-'Game Assumptions'!$B$7*IF('Event Tracker'!I$4=1,2,1))*'Utility Revenue'!I11</f>
        <v>763891566.17362964</v>
      </c>
      <c r="J69" s="23">
        <f>(1-'Game Assumptions'!$B$7*IF('Event Tracker'!J$4=1,2,1))*'Utility Revenue'!J11</f>
        <v>763891566.17362964</v>
      </c>
      <c r="K69" s="23">
        <f>(1-'Game Assumptions'!$B$7*IF('Event Tracker'!K$4=1,2,1))*'Utility Revenue'!K11</f>
        <v>763891566.17362964</v>
      </c>
      <c r="L69" s="23">
        <f>(1-'Game Assumptions'!$B$7*IF('Event Tracker'!L$4=1,2,1))*'Utility Revenue'!L11</f>
        <v>763891566.17362964</v>
      </c>
    </row>
    <row r="70" spans="1:12" x14ac:dyDescent="0.25">
      <c r="A70" s="4" t="s">
        <v>43</v>
      </c>
    </row>
    <row r="71" spans="1:12" x14ac:dyDescent="0.25">
      <c r="A71" t="s">
        <v>40</v>
      </c>
      <c r="B71" s="7">
        <f>(1-'Game Assumptions'!$B$7*IF('Event Tracker'!B$4=1,2,1))*'Utility Revenue'!B13</f>
        <v>0</v>
      </c>
      <c r="C71" s="7">
        <f>(1-'Game Assumptions'!$B$7*IF('Event Tracker'!C$4=1,2,1))*'Utility Revenue'!C13</f>
        <v>0</v>
      </c>
      <c r="D71" s="7">
        <f>(1-'Game Assumptions'!$B$7*IF('Event Tracker'!D$4=1,2,1))*'Utility Revenue'!D13</f>
        <v>0</v>
      </c>
      <c r="E71" s="7">
        <f>(1-'Game Assumptions'!$B$7*IF('Event Tracker'!E$4=1,2,1))*'Utility Revenue'!E13</f>
        <v>0</v>
      </c>
      <c r="F71" s="7">
        <f>(1-'Game Assumptions'!$B$7*IF('Event Tracker'!F$4=1,2,1))*'Utility Revenue'!F13</f>
        <v>0</v>
      </c>
      <c r="G71" s="7">
        <f>(1-'Game Assumptions'!$B$7*IF('Event Tracker'!G$4=1,2,1))*'Utility Revenue'!G13</f>
        <v>0</v>
      </c>
      <c r="H71" s="7">
        <f>(1-'Game Assumptions'!$B$7*IF('Event Tracker'!H$4=1,2,1))*'Utility Revenue'!H13</f>
        <v>0</v>
      </c>
      <c r="I71" s="7">
        <f>(1-'Game Assumptions'!$B$7*IF('Event Tracker'!I$4=1,2,1))*'Utility Revenue'!I13</f>
        <v>0</v>
      </c>
      <c r="J71" s="7">
        <f>(1-'Game Assumptions'!$B$7*IF('Event Tracker'!J$4=1,2,1))*'Utility Revenue'!J13</f>
        <v>0</v>
      </c>
      <c r="K71" s="7">
        <f>(1-'Game Assumptions'!$B$7*IF('Event Tracker'!K$4=1,2,1))*'Utility Revenue'!K13</f>
        <v>0</v>
      </c>
      <c r="L71" s="7">
        <f>(1-'Game Assumptions'!$B$7*IF('Event Tracker'!L$4=1,2,1))*'Utility Revenue'!L13</f>
        <v>0</v>
      </c>
    </row>
    <row r="72" spans="1:12" x14ac:dyDescent="0.25">
      <c r="A72" t="s">
        <v>46</v>
      </c>
      <c r="B72" s="7">
        <f>(1-'Game Assumptions'!$B$7*IF('Event Tracker'!B$4=1,2,1))*'Utility Revenue'!B14</f>
        <v>0</v>
      </c>
      <c r="C72" s="7">
        <f>(1-'Game Assumptions'!$B$7*IF('Event Tracker'!C$4=1,2,1))*'Utility Revenue'!C14</f>
        <v>26100501.578607861</v>
      </c>
      <c r="D72" s="7">
        <f>(1-'Game Assumptions'!$B$7*IF('Event Tracker'!D$4=1,2,1))*'Utility Revenue'!D14</f>
        <v>59773767.142341547</v>
      </c>
      <c r="E72" s="7">
        <f>(1-'Game Assumptions'!$B$7*IF('Event Tracker'!E$4=1,2,1))*'Utility Revenue'!E14</f>
        <v>97032892.945875227</v>
      </c>
      <c r="F72" s="7">
        <f>(1-'Game Assumptions'!$B$7*IF('Event Tracker'!F$4=1,2,1))*'Utility Revenue'!F14</f>
        <v>112939694.01762918</v>
      </c>
      <c r="G72" s="7">
        <f>(1-'Game Assumptions'!$B$7*IF('Event Tracker'!G$4=1,2,1))*'Utility Revenue'!G14</f>
        <v>125572649.21563616</v>
      </c>
      <c r="H72" s="7">
        <f>(1-'Game Assumptions'!$B$7*IF('Event Tracker'!H$4=1,2,1))*'Utility Revenue'!H14</f>
        <v>140008773.46794367</v>
      </c>
      <c r="I72" s="7">
        <f>(1-'Game Assumptions'!$B$7*IF('Event Tracker'!I$4=1,2,1))*'Utility Revenue'!I14</f>
        <v>157821567.27302843</v>
      </c>
      <c r="J72" s="7">
        <f>(1-'Game Assumptions'!$B$7*IF('Event Tracker'!J$4=1,2,1))*'Utility Revenue'!J14</f>
        <v>176777379.64677849</v>
      </c>
      <c r="K72" s="7">
        <f>(1-'Game Assumptions'!$B$7*IF('Event Tracker'!K$4=1,2,1))*'Utility Revenue'!K14</f>
        <v>196514881.15489584</v>
      </c>
      <c r="L72" s="7">
        <f>(1-'Game Assumptions'!$B$7*IF('Event Tracker'!L$4=1,2,1))*'Utility Revenue'!L14</f>
        <v>216851065.54734546</v>
      </c>
    </row>
    <row r="73" spans="1:12" x14ac:dyDescent="0.25">
      <c r="A73" t="s">
        <v>41</v>
      </c>
      <c r="B73" s="7">
        <f>(1-'Game Assumptions'!$B$7*IF('Event Tracker'!B$4=1,2,1))*'Utility Revenue'!B15</f>
        <v>0</v>
      </c>
      <c r="C73" s="7">
        <f>(1-'Game Assumptions'!$B$7*IF('Event Tracker'!C$4=1,2,1))*'Utility Revenue'!C15</f>
        <v>0</v>
      </c>
      <c r="D73" s="7">
        <f>(1-'Game Assumptions'!$B$7*IF('Event Tracker'!D$4=1,2,1))*'Utility Revenue'!D15</f>
        <v>0</v>
      </c>
      <c r="E73" s="7">
        <f>(1-'Game Assumptions'!$B$7*IF('Event Tracker'!E$4=1,2,1))*'Utility Revenue'!E15</f>
        <v>0</v>
      </c>
      <c r="F73" s="7">
        <f>(1-'Game Assumptions'!$B$7*IF('Event Tracker'!F$4=1,2,1))*'Utility Revenue'!F15</f>
        <v>0</v>
      </c>
      <c r="G73" s="7">
        <f>(1-'Game Assumptions'!$B$7*IF('Event Tracker'!G$4=1,2,1))*'Utility Revenue'!G15</f>
        <v>0</v>
      </c>
      <c r="H73" s="7">
        <f>(1-'Game Assumptions'!$B$7*IF('Event Tracker'!H$4=1,2,1))*'Utility Revenue'!H15</f>
        <v>0</v>
      </c>
      <c r="I73" s="7">
        <f>(1-'Game Assumptions'!$B$7*IF('Event Tracker'!I$4=1,2,1))*'Utility Revenue'!I15</f>
        <v>0</v>
      </c>
      <c r="J73" s="7">
        <f>(1-'Game Assumptions'!$B$7*IF('Event Tracker'!J$4=1,2,1))*'Utility Revenue'!J15</f>
        <v>0</v>
      </c>
      <c r="K73" s="7">
        <f>(1-'Game Assumptions'!$B$7*IF('Event Tracker'!K$4=1,2,1))*'Utility Revenue'!K15</f>
        <v>0</v>
      </c>
      <c r="L73" s="7">
        <f>(1-'Game Assumptions'!$B$7*IF('Event Tracker'!L$4=1,2,1))*'Utility Revenue'!L15</f>
        <v>0</v>
      </c>
    </row>
    <row r="74" spans="1:12" x14ac:dyDescent="0.25">
      <c r="A74" t="s">
        <v>44</v>
      </c>
      <c r="B74" s="7">
        <f>(1-'Game Assumptions'!$B$7*IF('Event Tracker'!B$4=1,2,1))*'Utility Revenue'!B16</f>
        <v>0</v>
      </c>
      <c r="C74" s="7">
        <f>(1-'Game Assumptions'!$B$7*IF('Event Tracker'!C$4=1,2,1))*'Utility Revenue'!C16</f>
        <v>11667207.906741831</v>
      </c>
      <c r="D74" s="7">
        <f>(1-'Game Assumptions'!$B$7*IF('Event Tracker'!D$4=1,2,1))*'Utility Revenue'!D16</f>
        <v>25816384.684242211</v>
      </c>
      <c r="E74" s="7">
        <f>(1-'Game Assumptions'!$B$7*IF('Event Tracker'!E$4=1,2,1))*'Utility Revenue'!E16</f>
        <v>42214842.7835586</v>
      </c>
      <c r="F74" s="7">
        <f>(1-'Game Assumptions'!$B$7*IF('Event Tracker'!F$4=1,2,1))*'Utility Revenue'!F16</f>
        <v>49808114.899271168</v>
      </c>
      <c r="G74" s="7">
        <f>(1-'Game Assumptions'!$B$7*IF('Event Tracker'!G$4=1,2,1))*'Utility Revenue'!G16</f>
        <v>55476755.504675165</v>
      </c>
      <c r="H74" s="7">
        <f>(1-'Game Assumptions'!$B$7*IF('Event Tracker'!H$4=1,2,1))*'Utility Revenue'!H16</f>
        <v>61565846.054616019</v>
      </c>
      <c r="I74" s="7">
        <f>(1-'Game Assumptions'!$B$7*IF('Event Tracker'!I$4=1,2,1))*'Utility Revenue'!I16</f>
        <v>68628398.979421616</v>
      </c>
      <c r="J74" s="7">
        <f>(1-'Game Assumptions'!$B$7*IF('Event Tracker'!J$4=1,2,1))*'Utility Revenue'!J16</f>
        <v>75693199.920362949</v>
      </c>
      <c r="K74" s="7">
        <f>(1-'Game Assumptions'!$B$7*IF('Event Tracker'!K$4=1,2,1))*'Utility Revenue'!K16</f>
        <v>82607967.037086904</v>
      </c>
      <c r="L74" s="7">
        <f>(1-'Game Assumptions'!$B$7*IF('Event Tracker'!L$4=1,2,1))*'Utility Revenue'!L16</f>
        <v>89305004.162844196</v>
      </c>
    </row>
    <row r="75" spans="1:12" x14ac:dyDescent="0.25">
      <c r="A75" t="s">
        <v>45</v>
      </c>
      <c r="B75" s="7">
        <f>(1-'Game Assumptions'!$B$7*IF('Event Tracker'!B$4=1,2,1))*'Utility Revenue'!B17</f>
        <v>0</v>
      </c>
      <c r="C75" s="7">
        <f>(1-'Game Assumptions'!$B$7*IF('Event Tracker'!C$4=1,2,1))*'Utility Revenue'!C17</f>
        <v>10748844.736632265</v>
      </c>
      <c r="D75" s="7">
        <f>(1-'Game Assumptions'!$B$7*IF('Event Tracker'!D$4=1,2,1))*'Utility Revenue'!D17</f>
        <v>31067402.98191601</v>
      </c>
      <c r="E75" s="7">
        <f>(1-'Game Assumptions'!$B$7*IF('Event Tracker'!E$4=1,2,1))*'Utility Revenue'!E17</f>
        <v>52875212.648707539</v>
      </c>
      <c r="F75" s="7">
        <f>(1-'Game Assumptions'!$B$7*IF('Event Tracker'!F$4=1,2,1))*'Utility Revenue'!F17</f>
        <v>61906173.74127841</v>
      </c>
      <c r="G75" s="7">
        <f>(1-'Game Assumptions'!$B$7*IF('Event Tracker'!G$4=1,2,1))*'Utility Revenue'!G17</f>
        <v>68863266.784176946</v>
      </c>
      <c r="H75" s="7">
        <f>(1-'Game Assumptions'!$B$7*IF('Event Tracker'!H$4=1,2,1))*'Utility Revenue'!H17</f>
        <v>76574879.331449509</v>
      </c>
      <c r="I75" s="7">
        <f>(1-'Game Assumptions'!$B$7*IF('Event Tracker'!I$4=1,2,1))*'Utility Revenue'!I17</f>
        <v>85804808.428360313</v>
      </c>
      <c r="J75" s="7">
        <f>(1-'Game Assumptions'!$B$7*IF('Event Tracker'!J$4=1,2,1))*'Utility Revenue'!J17</f>
        <v>95332341.386727005</v>
      </c>
      <c r="K75" s="7">
        <f>(1-'Game Assumptions'!$B$7*IF('Event Tracker'!K$4=1,2,1))*'Utility Revenue'!K17</f>
        <v>104955152.67298806</v>
      </c>
      <c r="L75" s="7">
        <f>(1-'Game Assumptions'!$B$7*IF('Event Tracker'!L$4=1,2,1))*'Utility Revenue'!L17</f>
        <v>114572404.71840769</v>
      </c>
    </row>
    <row r="76" spans="1:12" x14ac:dyDescent="0.25">
      <c r="A76" t="s">
        <v>42</v>
      </c>
      <c r="B76" s="7">
        <f>(1-'Game Assumptions'!$B$7*IF('Event Tracker'!B$4=1,2,1))*'Utility Revenue'!B18</f>
        <v>0</v>
      </c>
      <c r="C76" s="7">
        <f>(1-'Game Assumptions'!$B$7*IF('Event Tracker'!C$4=1,2,1))*'Utility Revenue'!C18</f>
        <v>0</v>
      </c>
      <c r="D76" s="7">
        <f>(1-'Game Assumptions'!$B$7*IF('Event Tracker'!D$4=1,2,1))*'Utility Revenue'!D18</f>
        <v>0</v>
      </c>
      <c r="E76" s="7">
        <f>(1-'Game Assumptions'!$B$7*IF('Event Tracker'!E$4=1,2,1))*'Utility Revenue'!E18</f>
        <v>0</v>
      </c>
      <c r="F76" s="7">
        <f>(1-'Game Assumptions'!$B$7*IF('Event Tracker'!F$4=1,2,1))*'Utility Revenue'!F18</f>
        <v>0</v>
      </c>
      <c r="G76" s="7">
        <f>(1-'Game Assumptions'!$B$7*IF('Event Tracker'!G$4=1,2,1))*'Utility Revenue'!G18</f>
        <v>0</v>
      </c>
      <c r="H76" s="7">
        <f>(1-'Game Assumptions'!$B$7*IF('Event Tracker'!H$4=1,2,1))*'Utility Revenue'!H18</f>
        <v>0</v>
      </c>
      <c r="I76" s="7">
        <f>(1-'Game Assumptions'!$B$7*IF('Event Tracker'!I$4=1,2,1))*'Utility Revenue'!I18</f>
        <v>0</v>
      </c>
      <c r="J76" s="7">
        <f>(1-'Game Assumptions'!$B$7*IF('Event Tracker'!J$4=1,2,1))*'Utility Revenue'!J18</f>
        <v>0</v>
      </c>
      <c r="K76" s="7">
        <f>(1-'Game Assumptions'!$B$7*IF('Event Tracker'!K$4=1,2,1))*'Utility Revenue'!K18</f>
        <v>0</v>
      </c>
      <c r="L76" s="7">
        <f>(1-'Game Assumptions'!$B$7*IF('Event Tracker'!L$4=1,2,1))*'Utility Revenue'!L18</f>
        <v>0</v>
      </c>
    </row>
    <row r="77" spans="1:12" x14ac:dyDescent="0.25">
      <c r="A77" s="12" t="s">
        <v>47</v>
      </c>
      <c r="B77" s="7">
        <f>(1-'Game Assumptions'!$B$7*IF('Event Tracker'!B$4=1,2,1))*'Utility Revenue'!B19</f>
        <v>0</v>
      </c>
      <c r="C77" s="7">
        <f>(1-'Game Assumptions'!$B$7*IF('Event Tracker'!C$4=1,2,1))*'Utility Revenue'!C19</f>
        <v>3078704.4533685027</v>
      </c>
      <c r="D77" s="7">
        <f>(1-'Game Assumptions'!$B$7*IF('Event Tracker'!D$4=1,2,1))*'Utility Revenue'!D19</f>
        <v>6921990.791759776</v>
      </c>
      <c r="E77" s="7">
        <f>(1-'Game Assumptions'!$B$7*IF('Event Tracker'!E$4=1,2,1))*'Utility Revenue'!E19</f>
        <v>11127322.452963116</v>
      </c>
      <c r="F77" s="7">
        <f>(1-'Game Assumptions'!$B$7*IF('Event Tracker'!F$4=1,2,1))*'Utility Revenue'!F19</f>
        <v>13176822.937450968</v>
      </c>
      <c r="G77" s="7">
        <f>(1-'Game Assumptions'!$B$7*IF('Event Tracker'!G$4=1,2,1))*'Utility Revenue'!G19</f>
        <v>14895780.537684141</v>
      </c>
      <c r="H77" s="7">
        <f>(1-'Game Assumptions'!$B$7*IF('Event Tracker'!H$4=1,2,1))*'Utility Revenue'!H19</f>
        <v>16796794.570318975</v>
      </c>
      <c r="I77" s="7">
        <f>(1-'Game Assumptions'!$B$7*IF('Event Tracker'!I$4=1,2,1))*'Utility Revenue'!I19</f>
        <v>19038733.049672659</v>
      </c>
      <c r="J77" s="7">
        <f>(1-'Game Assumptions'!$B$7*IF('Event Tracker'!J$4=1,2,1))*'Utility Revenue'!J19</f>
        <v>21396076.062108673</v>
      </c>
      <c r="K77" s="7">
        <f>(1-'Game Assumptions'!$B$7*IF('Event Tracker'!K$4=1,2,1))*'Utility Revenue'!K19</f>
        <v>23832342.08773119</v>
      </c>
      <c r="L77" s="7">
        <f>(1-'Game Assumptions'!$B$7*IF('Event Tracker'!L$4=1,2,1))*'Utility Revenue'!L19</f>
        <v>26329053.954414211</v>
      </c>
    </row>
    <row r="78" spans="1:12" x14ac:dyDescent="0.25">
      <c r="A78" t="s">
        <v>288</v>
      </c>
      <c r="B78" s="7">
        <f>(1-'Game Assumptions'!$B$7*IF('Event Tracker'!B$4=1,2,1))*'Utility Revenue'!B20</f>
        <v>0</v>
      </c>
      <c r="C78" s="7">
        <f>(1-'Game Assumptions'!$B$7*IF('Event Tracker'!C$4=1,2,1))*'Utility Revenue'!C20</f>
        <v>0</v>
      </c>
      <c r="D78" s="7">
        <f>(1-'Game Assumptions'!$B$7*IF('Event Tracker'!D$4=1,2,1))*'Utility Revenue'!D20</f>
        <v>0</v>
      </c>
      <c r="E78" s="7">
        <f>(1-'Game Assumptions'!$B$7*IF('Event Tracker'!E$4=1,2,1))*'Utility Revenue'!E20</f>
        <v>0</v>
      </c>
      <c r="F78" s="7">
        <f>(1-'Game Assumptions'!$B$7*IF('Event Tracker'!F$4=1,2,1))*'Utility Revenue'!F20</f>
        <v>0</v>
      </c>
      <c r="G78" s="7">
        <f>(1-'Game Assumptions'!$B$7*IF('Event Tracker'!G$4=1,2,1))*'Utility Revenue'!G20</f>
        <v>0</v>
      </c>
      <c r="H78" s="7">
        <f>(1-'Game Assumptions'!$B$7*IF('Event Tracker'!H$4=1,2,1))*'Utility Revenue'!H20</f>
        <v>0</v>
      </c>
      <c r="I78" s="7">
        <f>(1-'Game Assumptions'!$B$7*IF('Event Tracker'!I$4=1,2,1))*'Utility Revenue'!I20</f>
        <v>0</v>
      </c>
      <c r="J78" s="7">
        <f>(1-'Game Assumptions'!$B$7*IF('Event Tracker'!J$4=1,2,1))*'Utility Revenue'!J20</f>
        <v>0</v>
      </c>
      <c r="K78" s="7">
        <f>(1-'Game Assumptions'!$B$7*IF('Event Tracker'!K$4=1,2,1))*'Utility Revenue'!K20</f>
        <v>0</v>
      </c>
      <c r="L78" s="7">
        <f>(1-'Game Assumptions'!$B$7*IF('Event Tracker'!L$4=1,2,1))*'Utility Revenue'!L20</f>
        <v>0</v>
      </c>
    </row>
    <row r="79" spans="1:12" x14ac:dyDescent="0.25">
      <c r="A79" t="s">
        <v>289</v>
      </c>
      <c r="B79" s="7">
        <f>(1-'Game Assumptions'!$B$7*IF('Event Tracker'!B$4=1,2,1))*'Utility Revenue'!B21</f>
        <v>0</v>
      </c>
      <c r="C79" s="7">
        <f>(1-'Game Assumptions'!$B$7*IF('Event Tracker'!C$4=1,2,1))*'Utility Revenue'!C21</f>
        <v>0</v>
      </c>
      <c r="D79" s="7">
        <f>(1-'Game Assumptions'!$B$7*IF('Event Tracker'!D$4=1,2,1))*'Utility Revenue'!D21</f>
        <v>0</v>
      </c>
      <c r="E79" s="7">
        <f>(1-'Game Assumptions'!$B$7*IF('Event Tracker'!E$4=1,2,1))*'Utility Revenue'!E21</f>
        <v>0</v>
      </c>
      <c r="F79" s="7">
        <f>(1-'Game Assumptions'!$B$7*IF('Event Tracker'!F$4=1,2,1))*'Utility Revenue'!F21</f>
        <v>0</v>
      </c>
      <c r="G79" s="7">
        <f>(1-'Game Assumptions'!$B$7*IF('Event Tracker'!G$4=1,2,1))*'Utility Revenue'!G21</f>
        <v>0</v>
      </c>
      <c r="H79" s="7">
        <f>(1-'Game Assumptions'!$B$7*IF('Event Tracker'!H$4=1,2,1))*'Utility Revenue'!H21</f>
        <v>0</v>
      </c>
      <c r="I79" s="7">
        <f>(1-'Game Assumptions'!$B$7*IF('Event Tracker'!I$4=1,2,1))*'Utility Revenue'!I21</f>
        <v>0</v>
      </c>
      <c r="J79" s="7">
        <f>(1-'Game Assumptions'!$B$7*IF('Event Tracker'!J$4=1,2,1))*'Utility Revenue'!J21</f>
        <v>0</v>
      </c>
      <c r="K79" s="7">
        <f>(1-'Game Assumptions'!$B$7*IF('Event Tracker'!K$4=1,2,1))*'Utility Revenue'!K21</f>
        <v>0</v>
      </c>
      <c r="L79" s="7">
        <f>(1-'Game Assumptions'!$B$7*IF('Event Tracker'!L$4=1,2,1))*'Utility Revenue'!L21</f>
        <v>0</v>
      </c>
    </row>
    <row r="80" spans="1:12" x14ac:dyDescent="0.25">
      <c r="A80" t="s">
        <v>290</v>
      </c>
      <c r="B80" s="7">
        <f>(1-'Game Assumptions'!$B$7*IF('Event Tracker'!B$4=1,2,1))*'Utility Revenue'!B22</f>
        <v>0</v>
      </c>
      <c r="C80" s="7">
        <f>(1-'Game Assumptions'!$B$7*IF('Event Tracker'!C$4=1,2,1))*'Utility Revenue'!C22</f>
        <v>0</v>
      </c>
      <c r="D80" s="7">
        <f>(1-'Game Assumptions'!$B$7*IF('Event Tracker'!D$4=1,2,1))*'Utility Revenue'!D22</f>
        <v>0</v>
      </c>
      <c r="E80" s="7">
        <f>(1-'Game Assumptions'!$B$7*IF('Event Tracker'!E$4=1,2,1))*'Utility Revenue'!E22</f>
        <v>0</v>
      </c>
      <c r="F80" s="7">
        <f>(1-'Game Assumptions'!$B$7*IF('Event Tracker'!F$4=1,2,1))*'Utility Revenue'!F22</f>
        <v>0</v>
      </c>
      <c r="G80" s="7">
        <f>(1-'Game Assumptions'!$B$7*IF('Event Tracker'!G$4=1,2,1))*'Utility Revenue'!G22</f>
        <v>0</v>
      </c>
      <c r="H80" s="7">
        <f>(1-'Game Assumptions'!$B$7*IF('Event Tracker'!H$4=1,2,1))*'Utility Revenue'!H22</f>
        <v>0</v>
      </c>
      <c r="I80" s="7">
        <f>(1-'Game Assumptions'!$B$7*IF('Event Tracker'!I$4=1,2,1))*'Utility Revenue'!I22</f>
        <v>0</v>
      </c>
      <c r="J80" s="7">
        <f>(1-'Game Assumptions'!$B$7*IF('Event Tracker'!J$4=1,2,1))*'Utility Revenue'!J22</f>
        <v>0</v>
      </c>
      <c r="K80" s="7">
        <f>(1-'Game Assumptions'!$B$7*IF('Event Tracker'!K$4=1,2,1))*'Utility Revenue'!K22</f>
        <v>0</v>
      </c>
      <c r="L80" s="7">
        <f>(1-'Game Assumptions'!$B$7*IF('Event Tracker'!L$4=1,2,1))*'Utility Revenue'!L22</f>
        <v>0</v>
      </c>
    </row>
    <row r="81" spans="1:12" x14ac:dyDescent="0.25">
      <c r="A81" t="s">
        <v>291</v>
      </c>
      <c r="B81" s="7">
        <f>(1-'Game Assumptions'!$B$7*IF('Event Tracker'!B$4=1,2,1))*'Utility Revenue'!B23</f>
        <v>0</v>
      </c>
      <c r="C81" s="7">
        <f>(1-'Game Assumptions'!$B$7*IF('Event Tracker'!C$4=1,2,1))*'Utility Revenue'!C23</f>
        <v>0</v>
      </c>
      <c r="D81" s="7">
        <f>(1-'Game Assumptions'!$B$7*IF('Event Tracker'!D$4=1,2,1))*'Utility Revenue'!D23</f>
        <v>0</v>
      </c>
      <c r="E81" s="7">
        <f>(1-'Game Assumptions'!$B$7*IF('Event Tracker'!E$4=1,2,1))*'Utility Revenue'!E23</f>
        <v>0</v>
      </c>
      <c r="F81" s="7">
        <f>(1-'Game Assumptions'!$B$7*IF('Event Tracker'!F$4=1,2,1))*'Utility Revenue'!F23</f>
        <v>0</v>
      </c>
      <c r="G81" s="7">
        <f>(1-'Game Assumptions'!$B$7*IF('Event Tracker'!G$4=1,2,1))*'Utility Revenue'!G23</f>
        <v>0</v>
      </c>
      <c r="H81" s="7">
        <f>(1-'Game Assumptions'!$B$7*IF('Event Tracker'!H$4=1,2,1))*'Utility Revenue'!H23</f>
        <v>0</v>
      </c>
      <c r="I81" s="7">
        <f>(1-'Game Assumptions'!$B$7*IF('Event Tracker'!I$4=1,2,1))*'Utility Revenue'!I23</f>
        <v>0</v>
      </c>
      <c r="J81" s="7">
        <f>(1-'Game Assumptions'!$B$7*IF('Event Tracker'!J$4=1,2,1))*'Utility Revenue'!J23</f>
        <v>0</v>
      </c>
      <c r="K81" s="7">
        <f>(1-'Game Assumptions'!$B$7*IF('Event Tracker'!K$4=1,2,1))*'Utility Revenue'!K23</f>
        <v>0</v>
      </c>
      <c r="L81" s="7">
        <f>(1-'Game Assumptions'!$B$7*IF('Event Tracker'!L$4=1,2,1))*'Utility Revenue'!L23</f>
        <v>0</v>
      </c>
    </row>
    <row r="82" spans="1:12" x14ac:dyDescent="0.25">
      <c r="A82" s="12" t="s">
        <v>67</v>
      </c>
      <c r="B82" s="7">
        <f>(1-'Game Assumptions'!$B$7*IF('Event Tracker'!B$4=1,2,1))*'Utility Revenue'!B24</f>
        <v>0</v>
      </c>
      <c r="C82" s="7">
        <f>(1-'Game Assumptions'!$B$7*IF('Event Tracker'!C$4=1,2,1))*'Utility Revenue'!C24</f>
        <v>0</v>
      </c>
      <c r="D82" s="7">
        <f>(1-'Game Assumptions'!$B$7*IF('Event Tracker'!D$4=1,2,1))*'Utility Revenue'!D24</f>
        <v>0</v>
      </c>
      <c r="E82" s="7">
        <f>(1-'Game Assumptions'!$B$7*IF('Event Tracker'!E$4=1,2,1))*'Utility Revenue'!E24</f>
        <v>0</v>
      </c>
      <c r="F82" s="7">
        <f>(1-'Game Assumptions'!$B$7*IF('Event Tracker'!F$4=1,2,1))*'Utility Revenue'!F24</f>
        <v>0</v>
      </c>
      <c r="G82" s="7">
        <f>(1-'Game Assumptions'!$B$7*IF('Event Tracker'!G$4=1,2,1))*'Utility Revenue'!G24</f>
        <v>0</v>
      </c>
      <c r="H82" s="7">
        <f>(1-'Game Assumptions'!$B$7*IF('Event Tracker'!H$4=1,2,1))*'Utility Revenue'!H24</f>
        <v>0</v>
      </c>
      <c r="I82" s="7">
        <f>(1-'Game Assumptions'!$B$7*IF('Event Tracker'!I$4=1,2,1))*'Utility Revenue'!I24</f>
        <v>0</v>
      </c>
      <c r="J82" s="7">
        <f>(1-'Game Assumptions'!$B$7*IF('Event Tracker'!J$4=1,2,1))*'Utility Revenue'!J24</f>
        <v>0</v>
      </c>
      <c r="K82" s="7">
        <f>(1-'Game Assumptions'!$B$7*IF('Event Tracker'!K$4=1,2,1))*'Utility Revenue'!K24</f>
        <v>0</v>
      </c>
      <c r="L82" s="7">
        <f>(1-'Game Assumptions'!$B$7*IF('Event Tracker'!L$4=1,2,1))*'Utility Revenue'!L24</f>
        <v>0</v>
      </c>
    </row>
    <row r="83" spans="1:12" x14ac:dyDescent="0.25">
      <c r="A83" s="12" t="s">
        <v>68</v>
      </c>
      <c r="B83" s="7">
        <f>(1-'Game Assumptions'!$B$7*IF('Event Tracker'!B$4=1,2,1))*'Utility Revenue'!B25</f>
        <v>0</v>
      </c>
      <c r="C83" s="7">
        <f>(1-'Game Assumptions'!$B$7*IF('Event Tracker'!C$4=1,2,1))*'Utility Revenue'!C25</f>
        <v>0</v>
      </c>
      <c r="D83" s="7">
        <f>(1-'Game Assumptions'!$B$7*IF('Event Tracker'!D$4=1,2,1))*'Utility Revenue'!D25</f>
        <v>0</v>
      </c>
      <c r="E83" s="7">
        <f>(1-'Game Assumptions'!$B$7*IF('Event Tracker'!E$4=1,2,1))*'Utility Revenue'!E25</f>
        <v>0</v>
      </c>
      <c r="F83" s="7">
        <f>(1-'Game Assumptions'!$B$7*IF('Event Tracker'!F$4=1,2,1))*'Utility Revenue'!F25</f>
        <v>0</v>
      </c>
      <c r="G83" s="7">
        <f>(1-'Game Assumptions'!$B$7*IF('Event Tracker'!G$4=1,2,1))*'Utility Revenue'!G25</f>
        <v>0</v>
      </c>
      <c r="H83" s="7">
        <f>(1-'Game Assumptions'!$B$7*IF('Event Tracker'!H$4=1,2,1))*'Utility Revenue'!H25</f>
        <v>0</v>
      </c>
      <c r="I83" s="7">
        <f>(1-'Game Assumptions'!$B$7*IF('Event Tracker'!I$4=1,2,1))*'Utility Revenue'!I25</f>
        <v>0</v>
      </c>
      <c r="J83" s="7">
        <f>(1-'Game Assumptions'!$B$7*IF('Event Tracker'!J$4=1,2,1))*'Utility Revenue'!J25</f>
        <v>0</v>
      </c>
      <c r="K83" s="7">
        <f>(1-'Game Assumptions'!$B$7*IF('Event Tracker'!K$4=1,2,1))*'Utility Revenue'!K25</f>
        <v>0</v>
      </c>
      <c r="L83" s="7">
        <f>(1-'Game Assumptions'!$B$7*IF('Event Tracker'!L$4=1,2,1))*'Utility Revenue'!L25</f>
        <v>0</v>
      </c>
    </row>
    <row r="84" spans="1:12" x14ac:dyDescent="0.25">
      <c r="A84" s="22" t="s">
        <v>390</v>
      </c>
      <c r="B84" s="23">
        <f>(1-'Game Assumptions'!$B$7*IF('Event Tracker'!B$4=1,2,1))*'Utility Revenue'!B26</f>
        <v>0</v>
      </c>
      <c r="C84" s="23">
        <f>(1-'Game Assumptions'!$B$7*IF('Event Tracker'!C$4=1,2,1))*'Utility Revenue'!C26</f>
        <v>69038033.665478766</v>
      </c>
      <c r="D84" s="23">
        <f>(1-'Game Assumptions'!$B$7*IF('Event Tracker'!D$4=1,2,1))*'Utility Revenue'!D26</f>
        <v>156843351.98974758</v>
      </c>
      <c r="E84" s="23">
        <f>(1-'Game Assumptions'!$B$7*IF('Event Tracker'!E$4=1,2,1))*'Utility Revenue'!E26</f>
        <v>253535367.43004245</v>
      </c>
      <c r="F84" s="23">
        <f>(1-'Game Assumptions'!$B$7*IF('Event Tracker'!F$4=1,2,1))*'Utility Revenue'!F26</f>
        <v>297310752.013318</v>
      </c>
      <c r="G84" s="23">
        <f>(1-'Game Assumptions'!$B$7*IF('Event Tracker'!G$4=1,2,1))*'Utility Revenue'!G26</f>
        <v>332972692.47469896</v>
      </c>
      <c r="H84" s="23">
        <f>(1-'Game Assumptions'!$B$7*IF('Event Tracker'!H$4=1,2,1))*'Utility Revenue'!H26</f>
        <v>373103356.24456376</v>
      </c>
      <c r="I84" s="23">
        <f>(1-'Game Assumptions'!$B$7*IF('Event Tracker'!I$4=1,2,1))*'Utility Revenue'!I26</f>
        <v>421602288.03652871</v>
      </c>
      <c r="J84" s="23">
        <f>(1-'Game Assumptions'!$B$7*IF('Event Tracker'!J$4=1,2,1))*'Utility Revenue'!J26</f>
        <v>472933918.02040333</v>
      </c>
      <c r="K84" s="23">
        <f>(1-'Game Assumptions'!$B$7*IF('Event Tracker'!K$4=1,2,1))*'Utility Revenue'!K26</f>
        <v>526202777.59814477</v>
      </c>
      <c r="L84" s="23">
        <f>(1-'Game Assumptions'!$B$7*IF('Event Tracker'!L$4=1,2,1))*'Utility Revenue'!L26</f>
        <v>580955329.5414052</v>
      </c>
    </row>
    <row r="85" spans="1:12" x14ac:dyDescent="0.25">
      <c r="A85" s="24" t="s">
        <v>77</v>
      </c>
      <c r="B85" s="31"/>
      <c r="C85" s="31"/>
      <c r="D85" s="31"/>
      <c r="E85" s="31"/>
      <c r="F85" s="31"/>
      <c r="G85" s="31"/>
      <c r="H85" s="31"/>
      <c r="I85" s="31"/>
      <c r="J85" s="31"/>
      <c r="K85" s="31"/>
      <c r="L85" s="31"/>
    </row>
    <row r="86" spans="1:12" x14ac:dyDescent="0.25">
      <c r="A86" s="4" t="s">
        <v>75</v>
      </c>
    </row>
    <row r="87" spans="1:12" x14ac:dyDescent="0.25">
      <c r="A87" t="s">
        <v>55</v>
      </c>
      <c r="B87" s="7">
        <f t="shared" ref="B87:L87" si="5">B29</f>
        <v>428736000</v>
      </c>
      <c r="C87" s="7">
        <f t="shared" si="5"/>
        <v>348394903.82374936</v>
      </c>
      <c r="D87" s="7">
        <f t="shared" si="5"/>
        <v>333899883.58310467</v>
      </c>
      <c r="E87" s="7">
        <f t="shared" si="5"/>
        <v>321182495.8767789</v>
      </c>
      <c r="F87" s="7">
        <f t="shared" si="5"/>
        <v>329068036.64277047</v>
      </c>
      <c r="G87" s="7">
        <f t="shared" si="5"/>
        <v>335330620.9775756</v>
      </c>
      <c r="H87" s="7">
        <f t="shared" si="5"/>
        <v>342487097.36657315</v>
      </c>
      <c r="I87" s="7">
        <f t="shared" si="5"/>
        <v>351317503.37168884</v>
      </c>
      <c r="J87" s="7">
        <f t="shared" si="5"/>
        <v>360714542.44644803</v>
      </c>
      <c r="K87" s="7">
        <f t="shared" si="5"/>
        <v>370499091.33588195</v>
      </c>
      <c r="L87" s="7">
        <f t="shared" si="5"/>
        <v>380580427.63524258</v>
      </c>
    </row>
    <row r="88" spans="1:12" x14ac:dyDescent="0.25">
      <c r="A88" t="s">
        <v>56</v>
      </c>
      <c r="B88" s="7">
        <f t="shared" ref="B88:L88" si="6">B30</f>
        <v>249876099.59999999</v>
      </c>
      <c r="C88" s="7">
        <f t="shared" si="6"/>
        <v>252791537.04593614</v>
      </c>
      <c r="D88" s="7">
        <f t="shared" si="6"/>
        <v>231493113.16026449</v>
      </c>
      <c r="E88" s="7">
        <f t="shared" si="6"/>
        <v>206089766.29692036</v>
      </c>
      <c r="F88" s="7">
        <f t="shared" si="6"/>
        <v>197158187.82160288</v>
      </c>
      <c r="G88" s="7">
        <f t="shared" si="6"/>
        <v>193431420.71354973</v>
      </c>
      <c r="H88" s="7">
        <f t="shared" si="6"/>
        <v>189117868.12604976</v>
      </c>
      <c r="I88" s="7">
        <f t="shared" si="6"/>
        <v>187544295.63854975</v>
      </c>
      <c r="J88" s="7">
        <f t="shared" si="6"/>
        <v>185151603.22604972</v>
      </c>
      <c r="K88" s="7">
        <f t="shared" si="6"/>
        <v>182227201.38854975</v>
      </c>
      <c r="L88" s="7">
        <f t="shared" si="6"/>
        <v>179575839.52604973</v>
      </c>
    </row>
    <row r="89" spans="1:12" x14ac:dyDescent="0.25">
      <c r="A89" s="12" t="s">
        <v>57</v>
      </c>
      <c r="B89" s="7">
        <f t="shared" ref="B89:L89" si="7">B31</f>
        <v>1168460018.4000001</v>
      </c>
      <c r="C89" s="7">
        <f t="shared" si="7"/>
        <v>1270929126.0906827</v>
      </c>
      <c r="D89" s="7">
        <f t="shared" si="7"/>
        <v>1048755157.6301558</v>
      </c>
      <c r="E89" s="7">
        <f t="shared" si="7"/>
        <v>935413641.09449947</v>
      </c>
      <c r="F89" s="7">
        <f t="shared" si="7"/>
        <v>887466625.51164365</v>
      </c>
      <c r="G89" s="7">
        <f t="shared" si="7"/>
        <v>883159987.72805071</v>
      </c>
      <c r="H89" s="7">
        <f t="shared" si="7"/>
        <v>932460608.60572433</v>
      </c>
      <c r="I89" s="7">
        <f t="shared" si="7"/>
        <v>974480806.93339789</v>
      </c>
      <c r="J89" s="7">
        <f t="shared" si="7"/>
        <v>996066289.67466581</v>
      </c>
      <c r="K89" s="7">
        <f t="shared" si="7"/>
        <v>1003877879.8244357</v>
      </c>
      <c r="L89" s="7">
        <f t="shared" si="7"/>
        <v>1012626767.5808415</v>
      </c>
    </row>
    <row r="90" spans="1:12" ht="15.75" thickBot="1" x14ac:dyDescent="0.3">
      <c r="A90" s="75" t="s">
        <v>211</v>
      </c>
      <c r="B90" s="36"/>
      <c r="C90" s="36"/>
      <c r="D90" s="36"/>
      <c r="E90" s="36"/>
      <c r="F90" s="36"/>
      <c r="G90" s="36"/>
      <c r="H90" s="36"/>
      <c r="I90" s="36"/>
      <c r="J90" s="36"/>
      <c r="K90" s="36"/>
      <c r="L90" s="36"/>
    </row>
    <row r="91" spans="1:12" ht="15.75" thickTop="1" x14ac:dyDescent="0.25">
      <c r="A91" s="71" t="s">
        <v>212</v>
      </c>
      <c r="B91" s="27">
        <f t="shared" ref="B91:L91" si="8">B33</f>
        <v>29791461.006910168</v>
      </c>
      <c r="C91" s="27">
        <f t="shared" si="8"/>
        <v>29791461.006910168</v>
      </c>
      <c r="D91" s="27">
        <f t="shared" si="8"/>
        <v>29791461.006910168</v>
      </c>
      <c r="E91" s="27">
        <f t="shared" si="8"/>
        <v>29791461.006910168</v>
      </c>
      <c r="F91" s="27">
        <f t="shared" si="8"/>
        <v>29791461.006910168</v>
      </c>
      <c r="G91" s="27">
        <f t="shared" si="8"/>
        <v>29791461.006910168</v>
      </c>
      <c r="H91" s="27">
        <f t="shared" si="8"/>
        <v>29791461.006910168</v>
      </c>
      <c r="I91" s="27">
        <f t="shared" si="8"/>
        <v>29791461.006910168</v>
      </c>
      <c r="J91" s="27">
        <f t="shared" si="8"/>
        <v>29791461.006910168</v>
      </c>
      <c r="K91" s="27">
        <f t="shared" si="8"/>
        <v>29791461.006910168</v>
      </c>
      <c r="L91" s="27">
        <f t="shared" si="8"/>
        <v>29791461.006910168</v>
      </c>
    </row>
    <row r="92" spans="1:12" x14ac:dyDescent="0.25">
      <c r="A92" s="72" t="s">
        <v>214</v>
      </c>
      <c r="B92" s="27">
        <f t="shared" ref="B92:L92" si="9">B34</f>
        <v>424000</v>
      </c>
      <c r="C92" s="27">
        <f t="shared" si="9"/>
        <v>424000</v>
      </c>
      <c r="D92" s="27">
        <f t="shared" si="9"/>
        <v>424000</v>
      </c>
      <c r="E92" s="27">
        <f t="shared" si="9"/>
        <v>424000</v>
      </c>
      <c r="F92" s="27">
        <f t="shared" si="9"/>
        <v>424000</v>
      </c>
      <c r="G92" s="27">
        <f t="shared" si="9"/>
        <v>424000</v>
      </c>
      <c r="H92" s="27">
        <f t="shared" si="9"/>
        <v>424000</v>
      </c>
      <c r="I92" s="27">
        <f t="shared" si="9"/>
        <v>424000</v>
      </c>
      <c r="J92" s="27">
        <f t="shared" si="9"/>
        <v>424000</v>
      </c>
      <c r="K92" s="27">
        <f t="shared" si="9"/>
        <v>424000</v>
      </c>
      <c r="L92" s="27">
        <f t="shared" si="9"/>
        <v>424000</v>
      </c>
    </row>
    <row r="93" spans="1:12" x14ac:dyDescent="0.25">
      <c r="A93" s="34" t="s">
        <v>85</v>
      </c>
      <c r="B93" s="41">
        <f>SUM(B89,B88,B87,B71:B84,B67:B69,B91:B92)</f>
        <v>4550908060.6146145</v>
      </c>
      <c r="C93" s="41">
        <f t="shared" ref="C93:L93" si="10">SUM(C89,C88,C87,C71:C84,C67:C69,C91:C92)</f>
        <v>4620195645.2984486</v>
      </c>
      <c r="D93" s="41">
        <f t="shared" si="10"/>
        <v>4445628681.34342</v>
      </c>
      <c r="E93" s="41">
        <f t="shared" si="10"/>
        <v>4394140014.2918711</v>
      </c>
      <c r="F93" s="41">
        <f t="shared" si="10"/>
        <v>4347113723.7301273</v>
      </c>
      <c r="G93" s="41">
        <f t="shared" si="10"/>
        <v>4331593333.4638462</v>
      </c>
      <c r="H93" s="41">
        <f t="shared" si="10"/>
        <v>4377616226.6776752</v>
      </c>
      <c r="I93" s="41">
        <f t="shared" si="10"/>
        <v>4435350248.0037212</v>
      </c>
      <c r="J93" s="41">
        <f t="shared" si="10"/>
        <v>4476788040.0592546</v>
      </c>
      <c r="K93" s="41">
        <f t="shared" si="10"/>
        <v>4507050826.158062</v>
      </c>
      <c r="L93" s="41">
        <f t="shared" si="10"/>
        <v>4540740269.1075344</v>
      </c>
    </row>
    <row r="94" spans="1:12" ht="15.75" thickBot="1" x14ac:dyDescent="0.3">
      <c r="A94" s="40" t="s">
        <v>84</v>
      </c>
      <c r="B94" s="38">
        <f>'Resource Mix and Demand'!B65</f>
        <v>60000000</v>
      </c>
      <c r="C94" s="38">
        <f>'Resource Mix and Demand'!C65</f>
        <v>59500000</v>
      </c>
      <c r="D94" s="38">
        <f>'Resource Mix and Demand'!D65</f>
        <v>59000000</v>
      </c>
      <c r="E94" s="38">
        <f>'Resource Mix and Demand'!E65</f>
        <v>58500000</v>
      </c>
      <c r="F94" s="38">
        <f>'Resource Mix and Demand'!F65</f>
        <v>58000000</v>
      </c>
      <c r="G94" s="38">
        <f>'Resource Mix and Demand'!G65</f>
        <v>57500000</v>
      </c>
      <c r="H94" s="38">
        <f>'Resource Mix and Demand'!H65</f>
        <v>57000000</v>
      </c>
      <c r="I94" s="38">
        <f>'Resource Mix and Demand'!I65</f>
        <v>56500000</v>
      </c>
      <c r="J94" s="38">
        <f>'Resource Mix and Demand'!J65</f>
        <v>56000000</v>
      </c>
      <c r="K94" s="38">
        <f>'Resource Mix and Demand'!K65</f>
        <v>55500000</v>
      </c>
      <c r="L94" s="38">
        <f>'Resource Mix and Demand'!L65</f>
        <v>55000000</v>
      </c>
    </row>
    <row r="95" spans="1:12" ht="16.5" thickTop="1" thickBot="1" x14ac:dyDescent="0.3">
      <c r="A95" s="71" t="s">
        <v>209</v>
      </c>
      <c r="B95" s="73">
        <f>IF(OR('Event Tracker'!B3=1,'Event Tracker'!B8=1),'Utility Revenue'!B100-'Utility Revenue'!B94,0)</f>
        <v>0</v>
      </c>
      <c r="C95" s="73">
        <f>IF(OR('Event Tracker'!C3=1,'Event Tracker'!C8=1),'Utility Revenue'!C100-'Utility Revenue'!C94,0)</f>
        <v>0</v>
      </c>
      <c r="D95" s="73">
        <f>IF(OR('Event Tracker'!D3=1,'Event Tracker'!D8=1),'Utility Revenue'!D100-'Utility Revenue'!D94,0)</f>
        <v>0</v>
      </c>
      <c r="E95" s="73">
        <f>IF(OR('Event Tracker'!E3=1,'Event Tracker'!E8=1),'Utility Revenue'!E100-'Utility Revenue'!E94,0)</f>
        <v>0</v>
      </c>
      <c r="F95" s="73">
        <f>IF(OR('Event Tracker'!F3=1,'Event Tracker'!F8=1),'Utility Revenue'!F100-'Utility Revenue'!F94,0)</f>
        <v>0</v>
      </c>
      <c r="G95" s="73">
        <f>IF(OR('Event Tracker'!G3=1,'Event Tracker'!G8=1),'Utility Revenue'!G100-'Utility Revenue'!G94,0)</f>
        <v>0</v>
      </c>
      <c r="H95" s="73">
        <f>IF(OR('Event Tracker'!H3=1,'Event Tracker'!H8=1),'Utility Revenue'!H100-'Utility Revenue'!H94,0)</f>
        <v>0</v>
      </c>
      <c r="I95" s="73">
        <f>IF(OR('Event Tracker'!I3=1,'Event Tracker'!I8=1),'Utility Revenue'!I100-'Utility Revenue'!I94,0)</f>
        <v>0</v>
      </c>
      <c r="J95" s="73">
        <f>IF(OR('Event Tracker'!J3=1,'Event Tracker'!J8=1),'Utility Revenue'!J100-'Utility Revenue'!J94,0)</f>
        <v>0</v>
      </c>
      <c r="K95" s="73">
        <f>IF(OR('Event Tracker'!K3=1,'Event Tracker'!K8=1),'Utility Revenue'!K100-'Utility Revenue'!K94,0)</f>
        <v>0</v>
      </c>
      <c r="L95" s="73">
        <f>IF(OR('Event Tracker'!L3=1,'Event Tracker'!L8=1),'Utility Revenue'!L100-'Utility Revenue'!L94,0)</f>
        <v>0</v>
      </c>
    </row>
    <row r="96" spans="1:12" ht="16.5" thickTop="1" thickBot="1" x14ac:dyDescent="0.3">
      <c r="A96" s="39" t="s">
        <v>82</v>
      </c>
      <c r="B96" s="76">
        <f>B93/(SUM(B94:B95)*1000)</f>
        <v>7.5848467676910239E-2</v>
      </c>
      <c r="C96" s="76">
        <f t="shared" ref="C96:L96" si="11">C93/(SUM(C94:C95)*1000)</f>
        <v>7.7650346979805857E-2</v>
      </c>
      <c r="D96" s="76">
        <f t="shared" si="11"/>
        <v>7.5349638666837623E-2</v>
      </c>
      <c r="E96" s="76">
        <f t="shared" si="11"/>
        <v>7.5113504517809765E-2</v>
      </c>
      <c r="F96" s="76">
        <f t="shared" si="11"/>
        <v>7.4950236616036683E-2</v>
      </c>
      <c r="G96" s="76">
        <f t="shared" si="11"/>
        <v>7.533205797328428E-2</v>
      </c>
      <c r="H96" s="76">
        <f t="shared" si="11"/>
        <v>7.6800284678555708E-2</v>
      </c>
      <c r="I96" s="76">
        <f t="shared" si="11"/>
        <v>7.8501774300950816E-2</v>
      </c>
      <c r="J96" s="76">
        <f t="shared" si="11"/>
        <v>7.9942643572486691E-2</v>
      </c>
      <c r="K96" s="76">
        <f t="shared" si="11"/>
        <v>8.1208122993838949E-2</v>
      </c>
      <c r="L96" s="76">
        <f t="shared" si="11"/>
        <v>8.2558913983773352E-2</v>
      </c>
    </row>
    <row r="97" spans="1:12" ht="15.75" thickTop="1" x14ac:dyDescent="0.25">
      <c r="A97" s="39" t="s">
        <v>404</v>
      </c>
      <c r="B97" s="76">
        <f>SUM(B69,B77,B79,B81,B83,B92)/B94/1000</f>
        <v>1.2738592769560493E-2</v>
      </c>
      <c r="C97" s="76">
        <f t="shared" ref="C97:L97" si="12">SUM(C69,C77,C79,C81,C83,C92)/C94/1000</f>
        <v>1.2897382699613415E-2</v>
      </c>
      <c r="D97" s="76">
        <f t="shared" si="12"/>
        <v>1.307182299941338E-2</v>
      </c>
      <c r="E97" s="76">
        <f t="shared" si="12"/>
        <v>1.325543399361697E-2</v>
      </c>
      <c r="F97" s="76">
        <f t="shared" si="12"/>
        <v>1.3405041191570356E-2</v>
      </c>
      <c r="G97" s="76">
        <f t="shared" si="12"/>
        <v>1.355150168193589E-2</v>
      </c>
      <c r="H97" s="76">
        <f t="shared" si="12"/>
        <v>1.3703725627086816E-2</v>
      </c>
      <c r="I97" s="76">
        <f t="shared" si="12"/>
        <v>1.386467786235933E-2</v>
      </c>
      <c r="J97" s="76">
        <f t="shared" si="12"/>
        <v>1.4030565039923898E-2</v>
      </c>
      <c r="K97" s="76">
        <f t="shared" si="12"/>
        <v>1.4200863211916411E-2</v>
      </c>
      <c r="L97" s="76">
        <f t="shared" si="12"/>
        <v>1.4375356729600797E-2</v>
      </c>
    </row>
    <row r="99" spans="1:12" x14ac:dyDescent="0.25">
      <c r="A99" s="9" t="s">
        <v>74</v>
      </c>
      <c r="B99" s="9">
        <v>0</v>
      </c>
      <c r="C99" s="9">
        <v>1</v>
      </c>
      <c r="D99" s="9">
        <v>2</v>
      </c>
      <c r="E99" s="9">
        <v>3</v>
      </c>
      <c r="F99" s="9">
        <v>4</v>
      </c>
      <c r="G99" s="9">
        <v>5</v>
      </c>
      <c r="H99" s="9">
        <v>6</v>
      </c>
      <c r="I99" s="9">
        <v>7</v>
      </c>
      <c r="J99" s="9">
        <v>8</v>
      </c>
      <c r="K99" s="9">
        <v>9</v>
      </c>
      <c r="L99" s="9">
        <v>10</v>
      </c>
    </row>
    <row r="100" spans="1:12" x14ac:dyDescent="0.25">
      <c r="A100" s="45" t="s">
        <v>92</v>
      </c>
      <c r="B100" s="74">
        <f>'Resource Mix and Demand'!B67</f>
        <v>60000000</v>
      </c>
      <c r="C100" s="74">
        <f>'Resource Mix and Demand'!C67</f>
        <v>59202500</v>
      </c>
      <c r="D100" s="74">
        <f>'Resource Mix and Demand'!D67</f>
        <v>59177000</v>
      </c>
      <c r="E100" s="74">
        <f>'Resource Mix and Demand'!E67</f>
        <v>58207500</v>
      </c>
      <c r="F100" s="74">
        <f>'Resource Mix and Demand'!F67</f>
        <v>57942000</v>
      </c>
      <c r="G100" s="74">
        <f>'Resource Mix and Demand'!G67</f>
        <v>57672500</v>
      </c>
      <c r="H100" s="74">
        <f>'Resource Mix and Demand'!H67</f>
        <v>56772000</v>
      </c>
      <c r="I100" s="74">
        <f>'Resource Mix and Demand'!I67</f>
        <v>56443500</v>
      </c>
      <c r="J100" s="74">
        <f>'Resource Mix and Demand'!J67</f>
        <v>55944000</v>
      </c>
      <c r="K100" s="74">
        <f>'Resource Mix and Demand'!K67</f>
        <v>55333500</v>
      </c>
      <c r="L100" s="74">
        <f>'Resource Mix and Demand'!L67</f>
        <v>54780000</v>
      </c>
    </row>
    <row r="101" spans="1:12" x14ac:dyDescent="0.25">
      <c r="A101" s="12" t="s">
        <v>221</v>
      </c>
      <c r="B101" s="33">
        <f>'Game Assumptions'!B82</f>
        <v>5000000</v>
      </c>
      <c r="C101" s="33">
        <f>'Game Assumptions'!C82</f>
        <v>5000000</v>
      </c>
      <c r="D101" s="33">
        <f>'Game Assumptions'!D82</f>
        <v>5000000</v>
      </c>
      <c r="E101" s="33">
        <f>'Game Assumptions'!E82</f>
        <v>5000000</v>
      </c>
      <c r="F101" s="33">
        <f>'Game Assumptions'!F82</f>
        <v>5000000</v>
      </c>
      <c r="G101" s="33">
        <f>'Game Assumptions'!G82</f>
        <v>5000000</v>
      </c>
      <c r="H101" s="33">
        <f>'Game Assumptions'!H82</f>
        <v>5000000</v>
      </c>
      <c r="I101" s="33">
        <f>'Game Assumptions'!I82</f>
        <v>5000000</v>
      </c>
      <c r="J101" s="33">
        <f>'Game Assumptions'!J82</f>
        <v>5000000</v>
      </c>
      <c r="K101" s="33">
        <f>'Game Assumptions'!K82</f>
        <v>5000000</v>
      </c>
      <c r="L101" s="33">
        <f>'Game Assumptions'!L82</f>
        <v>5000000</v>
      </c>
    </row>
    <row r="102" spans="1:12" x14ac:dyDescent="0.25">
      <c r="A102" t="s">
        <v>97</v>
      </c>
      <c r="B102" s="25">
        <f>'Utility Revenue'!B96*B100*1000</f>
        <v>4550908060.6146145</v>
      </c>
      <c r="C102" s="25">
        <f>'Utility Revenue'!C96*C100*1000</f>
        <v>4597094667.0719566</v>
      </c>
      <c r="D102" s="25">
        <f>'Utility Revenue'!D96*D100*1000</f>
        <v>4458965567.3874502</v>
      </c>
      <c r="E102" s="25">
        <f>'Utility Revenue'!E96*E100*1000</f>
        <v>4372169314.2204113</v>
      </c>
      <c r="F102" s="25">
        <f>'Utility Revenue'!F96*F100*1000</f>
        <v>4342766610.0063972</v>
      </c>
      <c r="G102" s="25">
        <f>'Utility Revenue'!G96*G100*1000</f>
        <v>4344588113.4642382</v>
      </c>
      <c r="H102" s="25">
        <f>'Utility Revenue'!H96*H100*1000</f>
        <v>4360105761.7709646</v>
      </c>
      <c r="I102" s="25">
        <f>'Utility Revenue'!I96*I100*1000</f>
        <v>4430914897.7557182</v>
      </c>
      <c r="J102" s="25">
        <f>'Utility Revenue'!J96*J100*1000</f>
        <v>4472311252.0191956</v>
      </c>
      <c r="K102" s="25">
        <f>'Utility Revenue'!K96*K100*1000</f>
        <v>4493529673.6795874</v>
      </c>
      <c r="L102" s="25">
        <f>'Utility Revenue'!L96*L100*1000</f>
        <v>4522577308.0311041</v>
      </c>
    </row>
    <row r="103" spans="1:12" x14ac:dyDescent="0.25">
      <c r="A103" t="s">
        <v>98</v>
      </c>
      <c r="B103" s="7">
        <f>'Utility Revenue'!B61*B101</f>
        <v>891206827.20256793</v>
      </c>
      <c r="C103" s="7">
        <f>'Utility Revenue'!C61*C101</f>
        <v>905954872.44372356</v>
      </c>
      <c r="D103" s="7">
        <f>'Utility Revenue'!D61*D101</f>
        <v>933755021.98766184</v>
      </c>
      <c r="E103" s="7">
        <f>'Utility Revenue'!E61*E101</f>
        <v>967079550.00558722</v>
      </c>
      <c r="F103" s="7">
        <f>'Utility Revenue'!F61*F101</f>
        <v>967735137.58240008</v>
      </c>
      <c r="G103" s="7">
        <f>'Utility Revenue'!G61*G101</f>
        <v>963151947.67925346</v>
      </c>
      <c r="H103" s="7">
        <f>'Utility Revenue'!H61*H101</f>
        <v>961111730.52413917</v>
      </c>
      <c r="I103" s="7">
        <f>'Utility Revenue'!I61*I101</f>
        <v>963930727.01772499</v>
      </c>
      <c r="J103" s="7">
        <f>'Utility Revenue'!J61*J101</f>
        <v>968213381.23506021</v>
      </c>
      <c r="K103" s="7">
        <f>'Utility Revenue'!K61*K101</f>
        <v>973410397.53409481</v>
      </c>
      <c r="L103" s="7">
        <f>'Utility Revenue'!L61*L101</f>
        <v>979247257.78616369</v>
      </c>
    </row>
    <row r="104" spans="1:12" ht="15.75" thickBot="1" x14ac:dyDescent="0.3">
      <c r="A104" s="75" t="s">
        <v>402</v>
      </c>
      <c r="B104" s="75"/>
      <c r="C104" s="75"/>
      <c r="D104" s="75"/>
      <c r="E104" s="75"/>
      <c r="F104" s="75"/>
      <c r="G104" s="75"/>
      <c r="H104" s="75"/>
      <c r="I104" s="75"/>
      <c r="J104" s="75"/>
      <c r="K104" s="75"/>
      <c r="L104" s="75"/>
    </row>
    <row r="105" spans="1:12" ht="15.75" thickTop="1" x14ac:dyDescent="0.25">
      <c r="A105" t="s">
        <v>405</v>
      </c>
      <c r="B105" s="7">
        <f>IF(OR('Event Tracker'!$B$20=1,'Event Tracker'!$B$22=1),0,'Utility Revenue'!B37)</f>
        <v>5442114887.8171825</v>
      </c>
      <c r="C105" s="7">
        <f>IF(OR('Event Tracker'!$B$20=1,'Event Tracker'!$B$22=1),0,'Utility Revenue'!C37)</f>
        <v>5526150517.7421722</v>
      </c>
      <c r="D105" s="7">
        <f>IF(OR('Event Tracker'!$B$20=1,'Event Tracker'!$B$22=1),0,'Utility Revenue'!D37)</f>
        <v>5379383703.3310823</v>
      </c>
      <c r="E105" s="7">
        <f>IF(OR('Event Tracker'!$B$20=1,'Event Tracker'!$B$22=1),0,'Utility Revenue'!E37)</f>
        <v>5361219564.2974586</v>
      </c>
      <c r="F105" s="7">
        <f>IF(OR('Event Tracker'!$B$20=1,'Event Tracker'!$B$22=1),0,'Utility Revenue'!F37)</f>
        <v>5314848861.3125277</v>
      </c>
      <c r="G105" s="7">
        <f>IF(OR('Event Tracker'!$B$20=1,'Event Tracker'!$B$22=1),0,'Utility Revenue'!G37)</f>
        <v>5294745281.1431007</v>
      </c>
      <c r="H105" s="7">
        <f>IF(OR('Event Tracker'!$B$20=1,'Event Tracker'!$B$22=1),0,'Utility Revenue'!H37)</f>
        <v>5338727957.2018156</v>
      </c>
      <c r="I105" s="7">
        <f>IF(OR('Event Tracker'!$B$20=1,'Event Tracker'!$B$22=1),0,'Utility Revenue'!I37)</f>
        <v>5399280975.0214462</v>
      </c>
      <c r="J105" s="7">
        <f>IF(OR('Event Tracker'!$B$20=1,'Event Tracker'!$B$22=1),0,'Utility Revenue'!J37)</f>
        <v>5445001421.2943153</v>
      </c>
      <c r="K105" s="7">
        <f>IF(OR('Event Tracker'!$B$20=1,'Event Tracker'!$B$22=1),0,'Utility Revenue'!K37)</f>
        <v>5480461223.6921568</v>
      </c>
      <c r="L105" s="7">
        <f>IF(OR('Event Tracker'!$B$20=1,'Event Tracker'!$B$22=1),0,'Utility Revenue'!L37)</f>
        <v>5519987526.8936987</v>
      </c>
    </row>
    <row r="106" spans="1:12" x14ac:dyDescent="0.25">
      <c r="A106" t="s">
        <v>406</v>
      </c>
      <c r="B106" s="25">
        <f>IF(OR('Event Tracker'!$B$20=1,'Event Tracker'!$B$22=1),0,B149)</f>
        <v>5226018671.492589</v>
      </c>
      <c r="C106" s="25">
        <f>IF(OR('Event Tracker'!$B$20=1,'Event Tracker'!$B$22=1),0,C149)</f>
        <v>5310054301.4175797</v>
      </c>
      <c r="D106" s="25">
        <f>IF(OR('Event Tracker'!$B$20=1,'Event Tracker'!$B$22=1),0,D149)</f>
        <v>5163287487.0064888</v>
      </c>
      <c r="E106" s="25">
        <f>IF(OR('Event Tracker'!$B$20=1,'Event Tracker'!$B$22=1),0,E149)</f>
        <v>5145123347.9728651</v>
      </c>
      <c r="F106" s="25">
        <f>IF(OR('Event Tracker'!$B$20=1,'Event Tracker'!$B$22=1),0,F149)</f>
        <v>5098752644.9879341</v>
      </c>
      <c r="G106" s="25">
        <f>IF(OR('Event Tracker'!$B$20=1,'Event Tracker'!$B$22=1),0,G149)</f>
        <v>5078649064.8185072</v>
      </c>
      <c r="H106" s="25">
        <f>IF(OR('Event Tracker'!$B$20=1,'Event Tracker'!$B$22=1),0,H149)</f>
        <v>5122631740.8772221</v>
      </c>
      <c r="I106" s="25">
        <f>IF(OR('Event Tracker'!$B$20=1,'Event Tracker'!$B$22=1),0,I149)</f>
        <v>5183184758.6968536</v>
      </c>
      <c r="J106" s="25">
        <f>IF(OR('Event Tracker'!$B$20=1,'Event Tracker'!$B$22=1),0,J149)</f>
        <v>5228905204.9697208</v>
      </c>
      <c r="K106" s="25">
        <f>IF(OR('Event Tracker'!$B$20=1,'Event Tracker'!$B$22=1),0,K149)</f>
        <v>5264365007.3675632</v>
      </c>
      <c r="L106" s="25">
        <f>IF(OR('Event Tracker'!$B$20=1,'Event Tracker'!$B$22=1),0,L149)</f>
        <v>5303891310.5691051</v>
      </c>
    </row>
    <row r="107" spans="1:12" x14ac:dyDescent="0.25">
      <c r="A107" t="s">
        <v>407</v>
      </c>
      <c r="B107" s="25">
        <f>(B105-B106)/2</f>
        <v>108048108.16229677</v>
      </c>
      <c r="C107" s="25">
        <f t="shared" ref="C107:L107" si="13">(C105-C106)/2</f>
        <v>108048108.1622963</v>
      </c>
      <c r="D107" s="25">
        <f t="shared" si="13"/>
        <v>108048108.16229677</v>
      </c>
      <c r="E107" s="25">
        <f t="shared" si="13"/>
        <v>108048108.16229677</v>
      </c>
      <c r="F107" s="25">
        <f t="shared" si="13"/>
        <v>108048108.16229677</v>
      </c>
      <c r="G107" s="25">
        <f t="shared" si="13"/>
        <v>108048108.16229677</v>
      </c>
      <c r="H107" s="25">
        <f t="shared" si="13"/>
        <v>108048108.16229677</v>
      </c>
      <c r="I107" s="25">
        <f t="shared" si="13"/>
        <v>108048108.1622963</v>
      </c>
      <c r="J107" s="25">
        <f t="shared" si="13"/>
        <v>108048108.16229725</v>
      </c>
      <c r="K107" s="25">
        <f t="shared" si="13"/>
        <v>108048108.16229677</v>
      </c>
      <c r="L107" s="25">
        <f t="shared" si="13"/>
        <v>108048108.16229677</v>
      </c>
    </row>
    <row r="108" spans="1:12" x14ac:dyDescent="0.25">
      <c r="A108" s="191" t="s">
        <v>409</v>
      </c>
      <c r="B108" s="192">
        <f>SUM(B109:B111)*IF(AND('Event Tracker'!B9=1,SUM('Utility Revenue'!B109:B111)&gt;0),0.5,1)</f>
        <v>0</v>
      </c>
      <c r="C108" s="192">
        <f>SUM(C109:C111)*IF(AND('Event Tracker'!C9=1,SUM('Utility Revenue'!C109:C111)&gt;0),0.5,1)</f>
        <v>0</v>
      </c>
      <c r="D108" s="192">
        <f>SUM(D109:D111)*IF(AND('Event Tracker'!D9=1,SUM('Utility Revenue'!D109:D111)&gt;0),0.5,1)</f>
        <v>0</v>
      </c>
      <c r="E108" s="192">
        <f>SUM(E109:E111)*IF(AND('Event Tracker'!E9=1,SUM('Utility Revenue'!E109:E111)&gt;0),0.5,1)</f>
        <v>0</v>
      </c>
      <c r="F108" s="192">
        <f>SUM(F109:F111)*IF(AND('Event Tracker'!F9=1,SUM('Utility Revenue'!F109:F111)&gt;0),0.5,1)</f>
        <v>0</v>
      </c>
      <c r="G108" s="192">
        <f>SUM(G109:G111)*IF(AND('Event Tracker'!G9=1,SUM('Utility Revenue'!G109:G111)&gt;0),0.5,1)</f>
        <v>0</v>
      </c>
      <c r="H108" s="192">
        <f>SUM(H109:H111)*IF(AND('Event Tracker'!H9=1,SUM('Utility Revenue'!H109:H111)&gt;0),0.5,1)</f>
        <v>0</v>
      </c>
      <c r="I108" s="192">
        <f>SUM(I109:I111)*IF(AND('Event Tracker'!I9=1,SUM('Utility Revenue'!I109:I111)&gt;0),0.5,1)</f>
        <v>0</v>
      </c>
      <c r="J108" s="192">
        <f>SUM(J109:J111)*IF(AND('Event Tracker'!J9=1,SUM('Utility Revenue'!J109:J111)&gt;0),0.5,1)</f>
        <v>0</v>
      </c>
      <c r="K108" s="192">
        <f>SUM(K109:K111)*IF(AND('Event Tracker'!K9=1,SUM('Utility Revenue'!K109:K111)&gt;0),0.5,1)</f>
        <v>0</v>
      </c>
      <c r="L108" s="192">
        <f>SUM(L109:L111)*IF(AND('Event Tracker'!L9=1,SUM('Utility Revenue'!L109:L111)&gt;0),0.5,1)</f>
        <v>0</v>
      </c>
    </row>
    <row r="109" spans="1:12" x14ac:dyDescent="0.25">
      <c r="A109" s="17" t="s">
        <v>408</v>
      </c>
      <c r="B109" s="134"/>
      <c r="C109" s="134">
        <f>IF(OR('Event Tracker'!$B$21=1,'Event Tracker'!$B$23=1),IF('Environmental Performance'!C3&lt;'Environmental Performance'!C6,'Utility Revenue'!C107/3,IF('Environmental Performance'!C3&gt;'Environmental Performance'!B6,'Utility Revenue'!C107/3*-1,IF('Environmental Performance'!C3&gt;'Environmental Performance'!C7,'Environmental Performance'!C3-'Environmental Performance'!C7,'Environmental Performance'!C7-'Environmental Performance'!C3)*ABS(('Utility Revenue'!C107/3)/('Environmental Performance'!C7-'Environmental Performance'!B6)))),0)</f>
        <v>0</v>
      </c>
      <c r="D109" s="134">
        <f>IF(OR('Event Tracker'!$B$21=1,'Event Tracker'!$B$23=1),IF('Environmental Performance'!D3&lt;'Environmental Performance'!D6,'Utility Revenue'!D107/3,IF('Environmental Performance'!D3&gt;'Environmental Performance'!C6,'Utility Revenue'!D107/3*-1,IF('Environmental Performance'!D3&gt;'Environmental Performance'!D7,'Environmental Performance'!D3-'Environmental Performance'!D7,'Environmental Performance'!D7-'Environmental Performance'!D3)*ABS(('Utility Revenue'!D107/3)/('Environmental Performance'!D7-'Environmental Performance'!C6)))),0)</f>
        <v>0</v>
      </c>
      <c r="E109" s="134">
        <f>IF(OR('Event Tracker'!$B$21=1,'Event Tracker'!$B$23=1),IF('Environmental Performance'!E3&lt;'Environmental Performance'!E6,'Utility Revenue'!E107/3,IF('Environmental Performance'!E3&gt;'Environmental Performance'!D6,'Utility Revenue'!E107/3*-1,IF('Environmental Performance'!E3&gt;'Environmental Performance'!E7,'Environmental Performance'!E3-'Environmental Performance'!E7,'Environmental Performance'!E7-'Environmental Performance'!E3)*ABS(('Utility Revenue'!E107/3)/('Environmental Performance'!E7-'Environmental Performance'!D6)))),0)</f>
        <v>0</v>
      </c>
      <c r="F109" s="134">
        <f>IF(OR('Event Tracker'!$B$21=1,'Event Tracker'!$B$23=1),IF('Environmental Performance'!F3&lt;'Environmental Performance'!F6,'Utility Revenue'!F107/3,IF('Environmental Performance'!F3&gt;'Environmental Performance'!E6,'Utility Revenue'!F107/3*-1,IF('Environmental Performance'!F3&gt;'Environmental Performance'!F7,'Environmental Performance'!F3-'Environmental Performance'!F7,'Environmental Performance'!F7-'Environmental Performance'!F3)*ABS(('Utility Revenue'!F107/3)/('Environmental Performance'!F7-'Environmental Performance'!E6)))),0)</f>
        <v>0</v>
      </c>
      <c r="G109" s="134">
        <f>IF(OR('Event Tracker'!$B$21=1,'Event Tracker'!$B$23=1),IF('Environmental Performance'!G3&lt;'Environmental Performance'!G6,'Utility Revenue'!G107/3,IF('Environmental Performance'!G3&gt;'Environmental Performance'!F6,'Utility Revenue'!G107/3*-1,IF('Environmental Performance'!G3&gt;'Environmental Performance'!G7,'Environmental Performance'!G3-'Environmental Performance'!G7,'Environmental Performance'!G7-'Environmental Performance'!G3)*ABS(('Utility Revenue'!G107/3)/('Environmental Performance'!G7-'Environmental Performance'!F6)))),0)</f>
        <v>0</v>
      </c>
      <c r="H109" s="134">
        <f>IF(OR('Event Tracker'!$B$21=1,'Event Tracker'!$B$23=1),IF('Environmental Performance'!H3&lt;'Environmental Performance'!H6,'Utility Revenue'!H107/3,IF('Environmental Performance'!H3&gt;'Environmental Performance'!G6,'Utility Revenue'!H107/3*-1,IF('Environmental Performance'!H3&gt;'Environmental Performance'!H7,'Environmental Performance'!H3-'Environmental Performance'!H7,'Environmental Performance'!H7-'Environmental Performance'!H3)*ABS(('Utility Revenue'!H107/3)/('Environmental Performance'!H7-'Environmental Performance'!G6)))),0)</f>
        <v>0</v>
      </c>
      <c r="I109" s="134">
        <f>IF(OR('Event Tracker'!$B$21=1,'Event Tracker'!$B$23=1),IF('Environmental Performance'!I3&lt;'Environmental Performance'!I6,'Utility Revenue'!I107/3,IF('Environmental Performance'!I3&gt;'Environmental Performance'!H6,'Utility Revenue'!I107/3*-1,IF('Environmental Performance'!I3&gt;'Environmental Performance'!I7,'Environmental Performance'!I3-'Environmental Performance'!I7,'Environmental Performance'!I7-'Environmental Performance'!I3)*ABS(('Utility Revenue'!I107/3)/('Environmental Performance'!I7-'Environmental Performance'!H6)))),0)</f>
        <v>0</v>
      </c>
      <c r="J109" s="134">
        <f>IF(OR('Event Tracker'!$B$21=1,'Event Tracker'!$B$23=1),IF('Environmental Performance'!J3&lt;'Environmental Performance'!J6,'Utility Revenue'!J107/3,IF('Environmental Performance'!J3&gt;'Environmental Performance'!I6,'Utility Revenue'!J107/3*-1,IF('Environmental Performance'!J3&gt;'Environmental Performance'!J7,'Environmental Performance'!J3-'Environmental Performance'!J7,'Environmental Performance'!J7-'Environmental Performance'!J3)*ABS(('Utility Revenue'!J107/3)/('Environmental Performance'!J7-'Environmental Performance'!I6)))),0)</f>
        <v>0</v>
      </c>
      <c r="K109" s="134">
        <f>IF(OR('Event Tracker'!$B$21=1,'Event Tracker'!$B$23=1),IF('Environmental Performance'!K3&lt;'Environmental Performance'!K6,'Utility Revenue'!K107/3,IF('Environmental Performance'!K3&gt;'Environmental Performance'!J6,'Utility Revenue'!K107/3*-1,IF('Environmental Performance'!K3&gt;'Environmental Performance'!K7,'Environmental Performance'!K3-'Environmental Performance'!K7,'Environmental Performance'!K7-'Environmental Performance'!K3)*ABS(('Utility Revenue'!K107/3)/('Environmental Performance'!K7-'Environmental Performance'!J6)))),0)</f>
        <v>0</v>
      </c>
      <c r="L109" s="134">
        <f>IF(OR('Event Tracker'!$B$21=1,'Event Tracker'!$B$23=1),IF('Environmental Performance'!L3&lt;'Environmental Performance'!L6,'Utility Revenue'!L107/3,IF('Environmental Performance'!L3&gt;'Environmental Performance'!K6,'Utility Revenue'!L107/3*-1,IF('Environmental Performance'!L3&gt;'Environmental Performance'!L7,'Environmental Performance'!L3-'Environmental Performance'!L7,'Environmental Performance'!L7-'Environmental Performance'!L3)*ABS(('Utility Revenue'!L107/3)/('Environmental Performance'!L7-'Environmental Performance'!K6)))),0)</f>
        <v>0</v>
      </c>
    </row>
    <row r="110" spans="1:12" x14ac:dyDescent="0.25">
      <c r="A110" s="17" t="s">
        <v>225</v>
      </c>
      <c r="B110" s="134"/>
      <c r="C110" s="134">
        <f>IF(OR('Event Tracker'!$B$21=1,'Event Tracker'!$B$23=1),IF(SUM('Customer Bills'!C7,'Customer Bills'!C11)/12&lt;'Customer Bills'!C17,'Utility Revenue'!C107/3,IF(SUM('Customer Bills'!C7,'Customer Bills'!C11)&gt;'Customer Bills'!B17,'Utility Revenue'!C107/3*-1,IF(SUM('Customer Bills'!C7,'Customer Bills'!C11)&gt;'Customer Bills'!C18,'Customer Bills'!C18-SUM('Customer Bills'!C7,'Customer Bills'!C11),SUM('Customer Bills'!C7,'Customer Bills'!C11)-'Customer Bills'!C18)*ABS(('Utility Revenue'!C107/3)/('Customer Bills'!C18-'Customer Bills'!C17)))),0)</f>
        <v>0</v>
      </c>
      <c r="D110" s="134">
        <f>IF(OR('Event Tracker'!$B$21=1,'Event Tracker'!$B$23=1),IF(SUM('Customer Bills'!D7,'Customer Bills'!D11)/12&lt;'Customer Bills'!D17,'Utility Revenue'!D107/3,IF(SUM('Customer Bills'!D7,'Customer Bills'!D11)&gt;'Customer Bills'!C17,'Utility Revenue'!D107/3*-1,IF(SUM('Customer Bills'!D7,'Customer Bills'!D11)&gt;'Customer Bills'!D18,'Customer Bills'!D18-SUM('Customer Bills'!D7,'Customer Bills'!D11),SUM('Customer Bills'!D7,'Customer Bills'!D11)-'Customer Bills'!D18)*ABS(('Utility Revenue'!D107/3)/('Customer Bills'!D18-'Customer Bills'!D17)))),0)</f>
        <v>0</v>
      </c>
      <c r="E110" s="134">
        <f>IF(OR('Event Tracker'!$B$21=1,'Event Tracker'!$B$23=1),IF(SUM('Customer Bills'!E7,'Customer Bills'!E11)/12&lt;'Customer Bills'!E17,'Utility Revenue'!E107/3,IF(SUM('Customer Bills'!E7,'Customer Bills'!E11)&gt;'Customer Bills'!D17,'Utility Revenue'!E107/3*-1,IF(SUM('Customer Bills'!E7,'Customer Bills'!E11)&gt;'Customer Bills'!E18,'Customer Bills'!E18-SUM('Customer Bills'!E7,'Customer Bills'!E11),SUM('Customer Bills'!E7,'Customer Bills'!E11)-'Customer Bills'!E18)*ABS(('Utility Revenue'!E107/3)/('Customer Bills'!E18-'Customer Bills'!E17)))),0)</f>
        <v>0</v>
      </c>
      <c r="F110" s="134">
        <f>IF(OR('Event Tracker'!$B$21=1,'Event Tracker'!$B$23=1),IF(SUM('Customer Bills'!F7,'Customer Bills'!F11)/12&lt;'Customer Bills'!F17,'Utility Revenue'!F107/3,IF(SUM('Customer Bills'!F7,'Customer Bills'!F11)&gt;'Customer Bills'!E17,'Utility Revenue'!F107/3*-1,IF(SUM('Customer Bills'!F7,'Customer Bills'!F11)&gt;'Customer Bills'!F18,'Customer Bills'!F18-SUM('Customer Bills'!F7,'Customer Bills'!F11),SUM('Customer Bills'!F7,'Customer Bills'!F11)-'Customer Bills'!F18)*ABS(('Utility Revenue'!F107/3)/('Customer Bills'!F18-'Customer Bills'!F17)))),0)</f>
        <v>0</v>
      </c>
      <c r="G110" s="134">
        <f>IF(OR('Event Tracker'!$B$21=1,'Event Tracker'!$B$23=1),IF(SUM('Customer Bills'!G7,'Customer Bills'!G11)/12&lt;'Customer Bills'!G17,'Utility Revenue'!G107/3,IF(SUM('Customer Bills'!G7,'Customer Bills'!G11)&gt;'Customer Bills'!F17,'Utility Revenue'!G107/3*-1,IF(SUM('Customer Bills'!G7,'Customer Bills'!G11)&gt;'Customer Bills'!G18,'Customer Bills'!G18-SUM('Customer Bills'!G7,'Customer Bills'!G11),SUM('Customer Bills'!G7,'Customer Bills'!G11)-'Customer Bills'!G18)*ABS(('Utility Revenue'!G107/3)/('Customer Bills'!G18-'Customer Bills'!G17)))),0)</f>
        <v>0</v>
      </c>
      <c r="H110" s="134">
        <f>IF(OR('Event Tracker'!$B$21=1,'Event Tracker'!$B$23=1),IF(SUM('Customer Bills'!H7,'Customer Bills'!H11)/12&lt;'Customer Bills'!H17,'Utility Revenue'!H107/3,IF(SUM('Customer Bills'!H7,'Customer Bills'!H11)&gt;'Customer Bills'!G17,'Utility Revenue'!H107/3*-1,IF(SUM('Customer Bills'!H7,'Customer Bills'!H11)&gt;'Customer Bills'!H18,'Customer Bills'!H18-SUM('Customer Bills'!H7,'Customer Bills'!H11),SUM('Customer Bills'!H7,'Customer Bills'!H11)-'Customer Bills'!H18)*ABS(('Utility Revenue'!H107/3)/('Customer Bills'!H18-'Customer Bills'!H17)))),0)</f>
        <v>0</v>
      </c>
      <c r="I110" s="134">
        <f>IF(OR('Event Tracker'!$B$21=1,'Event Tracker'!$B$23=1),IF(SUM('Customer Bills'!I7,'Customer Bills'!I11)/12&lt;'Customer Bills'!I17,'Utility Revenue'!I107/3,IF(SUM('Customer Bills'!I7,'Customer Bills'!I11)&gt;'Customer Bills'!H17,'Utility Revenue'!I107/3*-1,IF(SUM('Customer Bills'!I7,'Customer Bills'!I11)&gt;'Customer Bills'!I18,'Customer Bills'!I18-SUM('Customer Bills'!I7,'Customer Bills'!I11),SUM('Customer Bills'!I7,'Customer Bills'!I11)-'Customer Bills'!I18)*ABS(('Utility Revenue'!I107/3)/('Customer Bills'!I18-'Customer Bills'!I17)))),0)</f>
        <v>0</v>
      </c>
      <c r="J110" s="134">
        <f>IF(OR('Event Tracker'!$B$21=1,'Event Tracker'!$B$23=1),IF(SUM('Customer Bills'!J7,'Customer Bills'!J11)/12&lt;'Customer Bills'!J17,'Utility Revenue'!J107/3,IF(SUM('Customer Bills'!J7,'Customer Bills'!J11)&gt;'Customer Bills'!I17,'Utility Revenue'!J107/3*-1,IF(SUM('Customer Bills'!J7,'Customer Bills'!J11)&gt;'Customer Bills'!J18,'Customer Bills'!J18-SUM('Customer Bills'!J7,'Customer Bills'!J11),SUM('Customer Bills'!J7,'Customer Bills'!J11)-'Customer Bills'!J18)*ABS(('Utility Revenue'!J107/3)/('Customer Bills'!J18-'Customer Bills'!J17)))),0)</f>
        <v>0</v>
      </c>
      <c r="K110" s="134">
        <f>IF(OR('Event Tracker'!$B$21=1,'Event Tracker'!$B$23=1),IF(SUM('Customer Bills'!K7,'Customer Bills'!K11)/12&lt;'Customer Bills'!K17,'Utility Revenue'!K107/3,IF(SUM('Customer Bills'!K7,'Customer Bills'!K11)&gt;'Customer Bills'!J17,'Utility Revenue'!K107/3*-1,IF(SUM('Customer Bills'!K7,'Customer Bills'!K11)&gt;'Customer Bills'!K18,'Customer Bills'!K18-SUM('Customer Bills'!K7,'Customer Bills'!K11),SUM('Customer Bills'!K7,'Customer Bills'!K11)-'Customer Bills'!K18)*ABS(('Utility Revenue'!K107/3)/('Customer Bills'!K18-'Customer Bills'!K17)))),0)</f>
        <v>0</v>
      </c>
      <c r="L110" s="134">
        <f>IF(OR('Event Tracker'!$B$21=1,'Event Tracker'!$B$23=1),IF(SUM('Customer Bills'!L7,'Customer Bills'!L11)/12&lt;'Customer Bills'!L17,'Utility Revenue'!L107/3,IF(SUM('Customer Bills'!L7,'Customer Bills'!L11)&gt;'Customer Bills'!K17,'Utility Revenue'!L107/3*-1,IF(SUM('Customer Bills'!L7,'Customer Bills'!L11)&gt;'Customer Bills'!L18,'Customer Bills'!L18-SUM('Customer Bills'!L7,'Customer Bills'!L11),SUM('Customer Bills'!L7,'Customer Bills'!L11)-'Customer Bills'!L18)*ABS(('Utility Revenue'!L107/3)/('Customer Bills'!L18-'Customer Bills'!L17)))),0)</f>
        <v>0</v>
      </c>
    </row>
    <row r="111" spans="1:12" x14ac:dyDescent="0.25">
      <c r="A111" s="17" t="s">
        <v>226</v>
      </c>
      <c r="B111" s="134"/>
      <c r="C111" s="134">
        <f>IF(OR('Event Tracker'!$B$21=1,'Event Tracker'!$B$23=1),IF(Reliability!C95&lt;Reliability!C98,'Utility Revenue'!C107/3,IF(Reliability!C95&gt;Reliability!B98,'Utility Revenue'!C107/3*-1,IF(Reliability!C95&gt;Reliability!C99,Reliability!C99-Reliability!C95,Reliability!C95-Reliability!C99)*ABS(('Utility Revenue'!C107/3)/(Reliability!C99-Reliability!C98)))),0)</f>
        <v>0</v>
      </c>
      <c r="D111" s="134">
        <f>IF(OR('Event Tracker'!$B$21=1,'Event Tracker'!$B$23=1),IF(Reliability!D95&lt;Reliability!D98,'Utility Revenue'!D107/3,IF(Reliability!D95&gt;Reliability!C98,'Utility Revenue'!D107/3*-1,IF(Reliability!D95&gt;Reliability!D99,Reliability!D99-Reliability!D95,Reliability!D95-Reliability!D99)*ABS(('Utility Revenue'!D107/3)/(Reliability!D99-Reliability!D98)))),0)</f>
        <v>0</v>
      </c>
      <c r="E111" s="134">
        <f>IF(OR('Event Tracker'!$B$21=1,'Event Tracker'!$B$23=1),IF(Reliability!E95&lt;Reliability!E98,'Utility Revenue'!E107/3,IF(Reliability!E95&gt;Reliability!D98,'Utility Revenue'!E107/3*-1,IF(Reliability!E95&gt;Reliability!E99,Reliability!E99-Reliability!E95,Reliability!E95-Reliability!E99)*ABS(('Utility Revenue'!E107/3)/(Reliability!E99-Reliability!E98)))),0)</f>
        <v>0</v>
      </c>
      <c r="F111" s="134">
        <f>IF(OR('Event Tracker'!$B$21=1,'Event Tracker'!$B$23=1),IF(Reliability!F95&lt;Reliability!F98,'Utility Revenue'!F107/3,IF(Reliability!F95&gt;Reliability!E98,'Utility Revenue'!F107/3*-1,IF(Reliability!F95&gt;Reliability!F99,Reliability!F99-Reliability!F95,Reliability!F95-Reliability!F99)*ABS(('Utility Revenue'!F107/3)/(Reliability!F99-Reliability!F98)))),0)</f>
        <v>0</v>
      </c>
      <c r="G111" s="134">
        <f>IF(OR('Event Tracker'!$B$21=1,'Event Tracker'!$B$23=1),IF(Reliability!G95&lt;Reliability!G98,'Utility Revenue'!G107/3,IF(Reliability!G95&gt;Reliability!F98,'Utility Revenue'!G107/3*-1,IF(Reliability!G95&gt;Reliability!G99,Reliability!G99-Reliability!G95,Reliability!G95-Reliability!G99)*ABS(('Utility Revenue'!G107/3)/(Reliability!G99-Reliability!G98)))),0)</f>
        <v>0</v>
      </c>
      <c r="H111" s="134">
        <f>IF(OR('Event Tracker'!$B$21=1,'Event Tracker'!$B$23=1),IF(Reliability!H95&lt;Reliability!H98,'Utility Revenue'!H107/3,IF(Reliability!H95&gt;Reliability!G98,'Utility Revenue'!H107/3*-1,IF(Reliability!H95&gt;Reliability!H99,Reliability!H99-Reliability!H95,Reliability!H95-Reliability!H99)*ABS(('Utility Revenue'!H107/3)/(Reliability!H99-Reliability!H98)))),0)</f>
        <v>0</v>
      </c>
      <c r="I111" s="134">
        <f>IF(OR('Event Tracker'!$B$21=1,'Event Tracker'!$B$23=1),IF(Reliability!I95&lt;Reliability!I98,'Utility Revenue'!I107/3,IF(Reliability!I95&gt;Reliability!H98,'Utility Revenue'!I107/3*-1,IF(Reliability!I95&gt;Reliability!I99,Reliability!I99-Reliability!I95,Reliability!I95-Reliability!I99)*ABS(('Utility Revenue'!I107/3)/(Reliability!I99-Reliability!I98)))),0)</f>
        <v>0</v>
      </c>
      <c r="J111" s="134">
        <f>IF(OR('Event Tracker'!$B$21=1,'Event Tracker'!$B$23=1),IF(Reliability!J95&lt;Reliability!J98,'Utility Revenue'!J107/3,IF(Reliability!J95&gt;Reliability!I98,'Utility Revenue'!J107/3*-1,IF(Reliability!J95&gt;Reliability!J99,Reliability!J99-Reliability!J95,Reliability!J95-Reliability!J99)*ABS(('Utility Revenue'!J107/3)/(Reliability!J99-Reliability!J98)))),0)</f>
        <v>0</v>
      </c>
      <c r="K111" s="134">
        <f>IF(OR('Event Tracker'!$B$21=1,'Event Tracker'!$B$23=1),IF(Reliability!K95&lt;Reliability!K98,'Utility Revenue'!K107/3,IF(Reliability!K95&gt;Reliability!J98,'Utility Revenue'!K107/3*-1,IF(Reliability!K95&gt;Reliability!K99,Reliability!K99-Reliability!K95,Reliability!K95-Reliability!K99)*ABS(('Utility Revenue'!K107/3)/(Reliability!K99-Reliability!K98)))),0)</f>
        <v>0</v>
      </c>
      <c r="L111" s="134">
        <f>IF(OR('Event Tracker'!$B$21=1,'Event Tracker'!$B$23=1),IF(Reliability!L95&lt;Reliability!L98,'Utility Revenue'!L107/3,IF(Reliability!L95&gt;Reliability!K98,'Utility Revenue'!L107/3*-1,IF(Reliability!L95&gt;Reliability!L99,Reliability!L99-Reliability!L95,Reliability!L95-Reliability!L99)*ABS(('Utility Revenue'!L107/3)/(Reliability!L99-Reliability!L98)))),0)</f>
        <v>0</v>
      </c>
    </row>
    <row r="112" spans="1:12" ht="15.75" thickBot="1" x14ac:dyDescent="0.3">
      <c r="A112" s="125" t="s">
        <v>389</v>
      </c>
      <c r="B112" s="131">
        <v>0</v>
      </c>
      <c r="C112" s="131">
        <f>'Event Tracker'!B146:L146+'Event Tracker'!C147*SUM('Utility Revenue'!C102:C103,C109:C111,C148)</f>
        <v>0</v>
      </c>
      <c r="D112" s="131">
        <f>'Event Tracker'!C146:M146+'Event Tracker'!D147*SUM('Utility Revenue'!D102:D103,D109:D111,D148)</f>
        <v>0</v>
      </c>
      <c r="E112" s="131">
        <f>'Event Tracker'!D146:N146+'Event Tracker'!E147*SUM('Utility Revenue'!E102:E103,E109:E111,E148)</f>
        <v>0</v>
      </c>
      <c r="F112" s="131">
        <f>'Event Tracker'!E146:O146+'Event Tracker'!F147*SUM('Utility Revenue'!F102:F103,F109:F111,F148)</f>
        <v>0</v>
      </c>
      <c r="G112" s="131">
        <f>'Event Tracker'!F146:P146+'Event Tracker'!G147*SUM('Utility Revenue'!G102:G103,G109:G111,G148)</f>
        <v>0</v>
      </c>
      <c r="H112" s="131">
        <f>'Event Tracker'!G146:Q146+'Event Tracker'!H147*SUM('Utility Revenue'!H102:H103,H109:H111,H148)</f>
        <v>0</v>
      </c>
      <c r="I112" s="131">
        <f>'Event Tracker'!H146:R146+'Event Tracker'!I147*SUM('Utility Revenue'!I102:I103,I109:I111,I148)</f>
        <v>0</v>
      </c>
      <c r="J112" s="131">
        <f>'Event Tracker'!I146:S146+'Event Tracker'!J147*SUM('Utility Revenue'!J102:J103,J109:J111,J148)</f>
        <v>0</v>
      </c>
      <c r="K112" s="131">
        <f>'Event Tracker'!J146:T146+'Event Tracker'!K147*SUM('Utility Revenue'!K102:K103,K109:K111,K148)</f>
        <v>0</v>
      </c>
      <c r="L112" s="131">
        <f>'Event Tracker'!K146:U146+'Event Tracker'!L147*SUM('Utility Revenue'!L102:L103,L109:L111,L148)</f>
        <v>0</v>
      </c>
    </row>
    <row r="113" spans="1:12" ht="15.75" thickTop="1" x14ac:dyDescent="0.25">
      <c r="A113" s="154" t="s">
        <v>459</v>
      </c>
      <c r="B113" s="31"/>
      <c r="C113" s="31"/>
      <c r="D113" s="31"/>
      <c r="E113" s="31"/>
      <c r="F113" s="31"/>
      <c r="G113" s="31"/>
      <c r="H113" s="31"/>
      <c r="I113" s="31"/>
      <c r="J113" s="31"/>
      <c r="K113" s="31"/>
      <c r="L113" s="31"/>
    </row>
    <row r="114" spans="1:12" x14ac:dyDescent="0.25">
      <c r="A114" s="154" t="s">
        <v>460</v>
      </c>
      <c r="B114" s="116">
        <f>IF('Event Tracker'!$B$24=1,'Game Assumptions'!$B$165*('Resource Mix and Demand'!B68-'Resource Mix and Demand'!#REF!)*1000,0)</f>
        <v>0</v>
      </c>
      <c r="C114" s="116">
        <f>IF('Event Tracker'!$B$24=1,'Game Assumptions'!$B$165*('Resource Mix and Demand'!C68-'Resource Mix and Demand'!#REF!)*1000,0)</f>
        <v>0</v>
      </c>
      <c r="D114" s="116">
        <f>IF('Event Tracker'!$B$24=1,'Game Assumptions'!$B$165*('Resource Mix and Demand'!D68-'Resource Mix and Demand'!#REF!)*1000,0)</f>
        <v>0</v>
      </c>
      <c r="E114" s="116">
        <f>IF('Event Tracker'!$B$24=1,'Game Assumptions'!$B$165*('Resource Mix and Demand'!E68-'Resource Mix and Demand'!#REF!)*1000,0)</f>
        <v>0</v>
      </c>
      <c r="F114" s="116">
        <f>IF('Event Tracker'!$B$24=1,'Game Assumptions'!$B$165*('Resource Mix and Demand'!F68-'Resource Mix and Demand'!#REF!)*1000,0)</f>
        <v>0</v>
      </c>
      <c r="G114" s="116">
        <f>IF('Event Tracker'!$B$24=1,'Game Assumptions'!$B$165*('Resource Mix and Demand'!G68-'Resource Mix and Demand'!#REF!)*1000,0)</f>
        <v>0</v>
      </c>
      <c r="H114" s="116">
        <f>IF('Event Tracker'!$B$24=1,'Game Assumptions'!$B$165*('Resource Mix and Demand'!H68-'Resource Mix and Demand'!#REF!)*1000,0)</f>
        <v>0</v>
      </c>
      <c r="I114" s="116">
        <f>IF('Event Tracker'!$B$24=1,'Game Assumptions'!$B$165*('Resource Mix and Demand'!I68-'Resource Mix and Demand'!#REF!)*1000,0)</f>
        <v>0</v>
      </c>
      <c r="J114" s="116">
        <f>IF('Event Tracker'!$B$24=1,'Game Assumptions'!$B$165*('Resource Mix and Demand'!J68-'Resource Mix and Demand'!#REF!)*1000,0)</f>
        <v>0</v>
      </c>
      <c r="K114" s="116">
        <f>IF('Event Tracker'!$B$24=1,'Game Assumptions'!$B$165*('Resource Mix and Demand'!K68-'Resource Mix and Demand'!#REF!)*1000,0)</f>
        <v>0</v>
      </c>
      <c r="L114" s="116">
        <f>IF('Event Tracker'!$B$24=1,'Game Assumptions'!$B$165*('Resource Mix and Demand'!L68-'Resource Mix and Demand'!#REF!)*1000,0)</f>
        <v>0</v>
      </c>
    </row>
    <row r="115" spans="1:12" ht="15.75" thickBot="1" x14ac:dyDescent="0.3">
      <c r="A115" s="154" t="s">
        <v>461</v>
      </c>
      <c r="B115" s="116">
        <f>IF('Event Tracker'!$B$24=1,'Game Assumptions'!$B$166*Reliability!B65*1000,0)</f>
        <v>0</v>
      </c>
      <c r="C115" s="116">
        <f>IF('Event Tracker'!$B$24=1,'Game Assumptions'!$B$166*Reliability!C65*1000,0)</f>
        <v>0</v>
      </c>
      <c r="D115" s="116">
        <f>IF('Event Tracker'!$B$24=1,'Game Assumptions'!$B$166*Reliability!D65*1000,0)</f>
        <v>0</v>
      </c>
      <c r="E115" s="116">
        <f>IF('Event Tracker'!$B$24=1,'Game Assumptions'!$B$166*Reliability!E65*1000,0)</f>
        <v>0</v>
      </c>
      <c r="F115" s="116">
        <f>IF('Event Tracker'!$B$24=1,'Game Assumptions'!$B$166*Reliability!F65*1000,0)</f>
        <v>0</v>
      </c>
      <c r="G115" s="116">
        <f>IF('Event Tracker'!$B$24=1,'Game Assumptions'!$B$166*Reliability!G65*1000,0)</f>
        <v>0</v>
      </c>
      <c r="H115" s="116">
        <f>IF('Event Tracker'!$B$24=1,'Game Assumptions'!$B$166*Reliability!H65*1000,0)</f>
        <v>0</v>
      </c>
      <c r="I115" s="116">
        <f>IF('Event Tracker'!$B$24=1,'Game Assumptions'!$B$166*Reliability!I65*1000,0)</f>
        <v>0</v>
      </c>
      <c r="J115" s="116">
        <f>IF('Event Tracker'!$B$24=1,'Game Assumptions'!$B$166*Reliability!J65*1000,0)</f>
        <v>0</v>
      </c>
      <c r="K115" s="116">
        <f>IF('Event Tracker'!$B$24=1,'Game Assumptions'!$B$166*Reliability!K65*1000,0)</f>
        <v>0</v>
      </c>
      <c r="L115" s="116">
        <f>IF('Event Tracker'!$B$24=1,'Game Assumptions'!$B$166*Reliability!L65*1000,0)</f>
        <v>0</v>
      </c>
    </row>
    <row r="116" spans="1:12" ht="15.75" thickTop="1" x14ac:dyDescent="0.25">
      <c r="A116" s="46" t="s">
        <v>99</v>
      </c>
      <c r="B116" s="47">
        <f>SUM(B102,B103,B108,B112,B114:B115)</f>
        <v>5442114887.8171825</v>
      </c>
      <c r="C116" s="47">
        <f>SUM(C102,C103,C108,C112,C114:C115)</f>
        <v>5503049539.5156803</v>
      </c>
      <c r="D116" s="47">
        <f t="shared" ref="D116:L116" si="14">SUM(D102,D103,D108,D112,D114:D115)</f>
        <v>5392720589.3751125</v>
      </c>
      <c r="E116" s="47">
        <f t="shared" si="14"/>
        <v>5339248864.2259989</v>
      </c>
      <c r="F116" s="47">
        <f t="shared" si="14"/>
        <v>5310501747.5887976</v>
      </c>
      <c r="G116" s="47">
        <f t="shared" si="14"/>
        <v>5307740061.1434917</v>
      </c>
      <c r="H116" s="47">
        <f t="shared" si="14"/>
        <v>5321217492.295104</v>
      </c>
      <c r="I116" s="47">
        <f t="shared" si="14"/>
        <v>5394845624.7734432</v>
      </c>
      <c r="J116" s="47">
        <f t="shared" si="14"/>
        <v>5440524633.2542553</v>
      </c>
      <c r="K116" s="47">
        <f t="shared" si="14"/>
        <v>5466940071.2136822</v>
      </c>
      <c r="L116" s="47">
        <f t="shared" si="14"/>
        <v>5501824565.8172674</v>
      </c>
    </row>
    <row r="118" spans="1:12" x14ac:dyDescent="0.25">
      <c r="A118" s="9" t="s">
        <v>250</v>
      </c>
      <c r="B118" s="9">
        <v>0</v>
      </c>
      <c r="C118" s="9">
        <v>1</v>
      </c>
      <c r="D118" s="9">
        <v>2</v>
      </c>
      <c r="E118" s="9">
        <v>3</v>
      </c>
      <c r="F118" s="9">
        <v>4</v>
      </c>
      <c r="G118" s="9">
        <v>5</v>
      </c>
      <c r="H118" s="9">
        <v>6</v>
      </c>
      <c r="I118" s="9">
        <v>7</v>
      </c>
      <c r="J118" s="9">
        <v>8</v>
      </c>
      <c r="K118" s="9">
        <v>9</v>
      </c>
      <c r="L118" s="9">
        <v>10</v>
      </c>
    </row>
    <row r="119" spans="1:12" x14ac:dyDescent="0.25">
      <c r="A119" s="24" t="s">
        <v>78</v>
      </c>
    </row>
    <row r="120" spans="1:12" x14ac:dyDescent="0.25">
      <c r="A120" s="4" t="s">
        <v>292</v>
      </c>
    </row>
    <row r="121" spans="1:12" x14ac:dyDescent="0.25">
      <c r="A121" s="26" t="s">
        <v>64</v>
      </c>
      <c r="B121" s="27">
        <f>PMT(IF(OR('Event Tracker'!$B$20=1,'Event Tracker'!$B$21=1),'Game Assumptions'!$B$6,'Game Assumptions'!$B$5),'Game Assumptions'!$B$14,'Game Assumptions'!$B$2)*-1*(1-1/20*B118)</f>
        <v>2037044176.4630125</v>
      </c>
      <c r="C121" s="27">
        <f>PMT(IF(OR('Event Tracker'!$B$20=1,'Event Tracker'!$B$21=1),'Game Assumptions'!$B$6,'Game Assumptions'!$B$5),'Game Assumptions'!$B$14,'Game Assumptions'!$B$2)*-1*(1-1/20*C118)</f>
        <v>1935191967.6398618</v>
      </c>
      <c r="D121" s="27">
        <f>PMT(IF(OR('Event Tracker'!$B$20=1,'Event Tracker'!$B$21=1),'Game Assumptions'!$B$6,'Game Assumptions'!$B$5),'Game Assumptions'!$B$14,'Game Assumptions'!$B$2)*-1*(1-1/20*D118)</f>
        <v>1833339758.8167112</v>
      </c>
      <c r="E121" s="27">
        <f>PMT(IF(OR('Event Tracker'!$B$20=1,'Event Tracker'!$B$21=1),'Game Assumptions'!$B$6,'Game Assumptions'!$B$5),'Game Assumptions'!$B$14,'Game Assumptions'!$B$2)*-1*(1-1/20*E118)</f>
        <v>1731487549.9935606</v>
      </c>
      <c r="F121" s="27">
        <f>PMT(IF(OR('Event Tracker'!$B$20=1,'Event Tracker'!$B$21=1),'Game Assumptions'!$B$6,'Game Assumptions'!$B$5),'Game Assumptions'!$B$14,'Game Assumptions'!$B$2)*-1*(1-1/20*F118)</f>
        <v>1629635341.1704102</v>
      </c>
      <c r="G121" s="27">
        <f>PMT(IF(OR('Event Tracker'!$B$20=1,'Event Tracker'!$B$21=1),'Game Assumptions'!$B$6,'Game Assumptions'!$B$5),'Game Assumptions'!$B$14,'Game Assumptions'!$B$2)*-1*(1-1/20*G118)</f>
        <v>1527783132.3472593</v>
      </c>
      <c r="H121" s="27">
        <f>PMT(IF(OR('Event Tracker'!$B$20=1,'Event Tracker'!$B$21=1),'Game Assumptions'!$B$6,'Game Assumptions'!$B$5),'Game Assumptions'!$B$14,'Game Assumptions'!$B$2)*-1*(1-1/20*H118)</f>
        <v>1425930923.5241086</v>
      </c>
      <c r="I121" s="27">
        <f>PMT(IF(OR('Event Tracker'!$B$20=1,'Event Tracker'!$B$21=1),'Game Assumptions'!$B$6,'Game Assumptions'!$B$5),'Game Assumptions'!$B$14,'Game Assumptions'!$B$2)*-1*(1-1/20*I118)</f>
        <v>1324078714.700958</v>
      </c>
      <c r="J121" s="27">
        <f>PMT(IF(OR('Event Tracker'!$B$20=1,'Event Tracker'!$B$21=1),'Game Assumptions'!$B$6,'Game Assumptions'!$B$5),'Game Assumptions'!$B$14,'Game Assumptions'!$B$2)*-1*(1-1/20*J118)</f>
        <v>1222226505.8778074</v>
      </c>
      <c r="K121" s="27">
        <f>PMT(IF(OR('Event Tracker'!$B$20=1,'Event Tracker'!$B$21=1),'Game Assumptions'!$B$6,'Game Assumptions'!$B$5),'Game Assumptions'!$B$14,'Game Assumptions'!$B$2)*-1*(1-1/20*K118)</f>
        <v>1120374297.054657</v>
      </c>
      <c r="L121" s="27">
        <f>PMT(IF(OR('Event Tracker'!$B$20=1,'Event Tracker'!$B$21=1),'Game Assumptions'!$B$6,'Game Assumptions'!$B$5),'Game Assumptions'!$B$14,'Game Assumptions'!$B$2)*-1*(1-1/20*L118)</f>
        <v>1018522088.2315062</v>
      </c>
    </row>
    <row r="122" spans="1:12" x14ac:dyDescent="0.25">
      <c r="A122" s="26" t="s">
        <v>65</v>
      </c>
      <c r="B122" s="27">
        <f>PMT(IF(OR('Event Tracker'!$B$20=1,'Event Tracker'!$B$21=1),'Game Assumptions'!$B$6,'Game Assumptions'!$B$5),'Game Assumptions'!$B$14,'Game Assumptions'!$B$3)*-1</f>
        <v>509261044.11575311</v>
      </c>
      <c r="C122" s="27">
        <f>PMT(IF(OR('Event Tracker'!$B$20=1,'Event Tracker'!$B$21=1),'Game Assumptions'!$B$6,'Game Assumptions'!$B$5),'Game Assumptions'!$B$14,'Game Assumptions'!$B$3)*-1</f>
        <v>509261044.11575311</v>
      </c>
      <c r="D122" s="27">
        <f>PMT(IF(OR('Event Tracker'!$B$20=1,'Event Tracker'!$B$21=1),'Game Assumptions'!$B$6,'Game Assumptions'!$B$5),'Game Assumptions'!$B$14,'Game Assumptions'!$B$3)*-1</f>
        <v>509261044.11575311</v>
      </c>
      <c r="E122" s="27">
        <f>PMT(IF(OR('Event Tracker'!$B$20=1,'Event Tracker'!$B$21=1),'Game Assumptions'!$B$6,'Game Assumptions'!$B$5),'Game Assumptions'!$B$14,'Game Assumptions'!$B$3)*-1</f>
        <v>509261044.11575311</v>
      </c>
      <c r="F122" s="27">
        <f>PMT(IF(OR('Event Tracker'!$B$20=1,'Event Tracker'!$B$21=1),'Game Assumptions'!$B$6,'Game Assumptions'!$B$5),'Game Assumptions'!$B$14,'Game Assumptions'!$B$3)*-1</f>
        <v>509261044.11575311</v>
      </c>
      <c r="G122" s="27">
        <f>PMT(IF(OR('Event Tracker'!$B$20=1,'Event Tracker'!$B$21=1),'Game Assumptions'!$B$6,'Game Assumptions'!$B$5),'Game Assumptions'!$B$14,'Game Assumptions'!$B$3)*-1</f>
        <v>509261044.11575311</v>
      </c>
      <c r="H122" s="27">
        <f>PMT(IF(OR('Event Tracker'!$B$20=1,'Event Tracker'!$B$21=1),'Game Assumptions'!$B$6,'Game Assumptions'!$B$5),'Game Assumptions'!$B$14,'Game Assumptions'!$B$3)*-1</f>
        <v>509261044.11575311</v>
      </c>
      <c r="I122" s="27">
        <f>PMT(IF(OR('Event Tracker'!$B$20=1,'Event Tracker'!$B$21=1),'Game Assumptions'!$B$6,'Game Assumptions'!$B$5),'Game Assumptions'!$B$14,'Game Assumptions'!$B$3)*-1</f>
        <v>509261044.11575311</v>
      </c>
      <c r="J122" s="27">
        <f>PMT(IF(OR('Event Tracker'!$B$20=1,'Event Tracker'!$B$21=1),'Game Assumptions'!$B$6,'Game Assumptions'!$B$5),'Game Assumptions'!$B$14,'Game Assumptions'!$B$3)*-1</f>
        <v>509261044.11575311</v>
      </c>
      <c r="K122" s="27">
        <f>PMT(IF(OR('Event Tracker'!$B$20=1,'Event Tracker'!$B$21=1),'Game Assumptions'!$B$6,'Game Assumptions'!$B$5),'Game Assumptions'!$B$14,'Game Assumptions'!$B$3)*-1</f>
        <v>509261044.11575311</v>
      </c>
      <c r="L122" s="27">
        <f>PMT(IF(OR('Event Tracker'!$B$20=1,'Event Tracker'!$B$21=1),'Game Assumptions'!$B$6,'Game Assumptions'!$B$5),'Game Assumptions'!$B$14,'Game Assumptions'!$B$3)*-1</f>
        <v>509261044.11575311</v>
      </c>
    </row>
    <row r="123" spans="1:12" x14ac:dyDescent="0.25">
      <c r="A123" s="29" t="s">
        <v>66</v>
      </c>
      <c r="B123" s="23">
        <f>PMT('Game Assumptions'!$B$6,'Game Assumptions'!$B$14,'Game Assumptions'!$B$4)*-1</f>
        <v>802425871.90691316</v>
      </c>
      <c r="C123" s="23">
        <f>PMT('Game Assumptions'!$B$6,'Game Assumptions'!$B$14,'Game Assumptions'!$B$4)*-1</f>
        <v>802425871.90691316</v>
      </c>
      <c r="D123" s="23">
        <f>PMT('Game Assumptions'!$B$6,'Game Assumptions'!$B$14,'Game Assumptions'!$B$4)*-1</f>
        <v>802425871.90691316</v>
      </c>
      <c r="E123" s="23">
        <f>PMT('Game Assumptions'!$B$6,'Game Assumptions'!$B$14,'Game Assumptions'!$B$4)*-1</f>
        <v>802425871.90691316</v>
      </c>
      <c r="F123" s="23">
        <f>PMT('Game Assumptions'!$B$6,'Game Assumptions'!$B$14,'Game Assumptions'!$B$4)*-1</f>
        <v>802425871.90691316</v>
      </c>
      <c r="G123" s="23">
        <f>PMT('Game Assumptions'!$B$6,'Game Assumptions'!$B$14,'Game Assumptions'!$B$4)*-1</f>
        <v>802425871.90691316</v>
      </c>
      <c r="H123" s="23">
        <f>PMT('Game Assumptions'!$B$6,'Game Assumptions'!$B$14,'Game Assumptions'!$B$4)*-1</f>
        <v>802425871.90691316</v>
      </c>
      <c r="I123" s="23">
        <f>PMT('Game Assumptions'!$B$6,'Game Assumptions'!$B$14,'Game Assumptions'!$B$4)*-1</f>
        <v>802425871.90691316</v>
      </c>
      <c r="J123" s="23">
        <f>PMT('Game Assumptions'!$B$6,'Game Assumptions'!$B$14,'Game Assumptions'!$B$4)*-1</f>
        <v>802425871.90691316</v>
      </c>
      <c r="K123" s="23">
        <f>PMT('Game Assumptions'!$B$6,'Game Assumptions'!$B$14,'Game Assumptions'!$B$4)*-1</f>
        <v>802425871.90691316</v>
      </c>
      <c r="L123" s="23">
        <f>PMT('Game Assumptions'!$B$6,'Game Assumptions'!$B$14,'Game Assumptions'!$B$4)*-1</f>
        <v>802425871.90691316</v>
      </c>
    </row>
    <row r="124" spans="1:12" x14ac:dyDescent="0.25">
      <c r="A124" s="4" t="s">
        <v>222</v>
      </c>
    </row>
    <row r="125" spans="1:12" x14ac:dyDescent="0.25">
      <c r="A125" t="s">
        <v>40</v>
      </c>
      <c r="B125" s="7">
        <f>PMT(IF(OR('Event Tracker'!$B$20=1,'Event Tracker'!$B$21=1),'Game Assumptions'!$B$6,'Game Assumptions'!$B$5),'Game Assumptions'!$B$14,'Game Assumptions'!$G28*'Resource Mix and Demand'!B2)*-1</f>
        <v>0</v>
      </c>
      <c r="C125" s="7">
        <f>(PMT(IF(OR('Event Tracker'!$B$20=1,'Event Tracker'!$B$21=1),'Game Assumptions'!$B$6,'Game Assumptions'!$B$5),'Game Assumptions'!$B$14,'Game Assumptions'!$G28*'Resource Mix and Demand'!C2)*-1)+B125</f>
        <v>0</v>
      </c>
      <c r="D125" s="7">
        <f>(PMT(IF(OR('Event Tracker'!$B$20=1,'Event Tracker'!$B$21=1),'Game Assumptions'!$B$6,'Game Assumptions'!$B$5),'Game Assumptions'!$B$14,'Game Assumptions'!$G28*'Resource Mix and Demand'!D2)*-1)+C125</f>
        <v>0</v>
      </c>
      <c r="E125" s="7">
        <f>(PMT(IF(OR('Event Tracker'!$B$20=1,'Event Tracker'!$B$21=1),'Game Assumptions'!$B$6,'Game Assumptions'!$B$5),'Game Assumptions'!$B$14,'Game Assumptions'!$G28*'Resource Mix and Demand'!E2)*-1)+D125</f>
        <v>0</v>
      </c>
      <c r="F125" s="7">
        <f>(PMT(IF(OR('Event Tracker'!$B$20=1,'Event Tracker'!$B$21=1),'Game Assumptions'!$B$6,'Game Assumptions'!$B$5),'Game Assumptions'!$B$14,'Game Assumptions'!$G28*'Resource Mix and Demand'!F2)*-1)+E125</f>
        <v>0</v>
      </c>
      <c r="G125" s="7">
        <f>(PMT(IF(OR('Event Tracker'!$B$20=1,'Event Tracker'!$B$21=1),'Game Assumptions'!$B$6,'Game Assumptions'!$B$5),'Game Assumptions'!$B$14,'Game Assumptions'!$G28*'Resource Mix and Demand'!G2)*-1)+F125</f>
        <v>0</v>
      </c>
      <c r="H125" s="7">
        <f>(PMT(IF(OR('Event Tracker'!$B$20=1,'Event Tracker'!$B$21=1),'Game Assumptions'!$B$6,'Game Assumptions'!$B$5),'Game Assumptions'!$B$14,'Game Assumptions'!$G28*'Resource Mix and Demand'!H2)*-1)+G125</f>
        <v>0</v>
      </c>
      <c r="I125" s="7">
        <f>(PMT(IF(OR('Event Tracker'!$B$20=1,'Event Tracker'!$B$21=1),'Game Assumptions'!$B$6,'Game Assumptions'!$B$5),'Game Assumptions'!$B$14,'Game Assumptions'!$G28*'Resource Mix and Demand'!I2)*-1)+H125</f>
        <v>0</v>
      </c>
      <c r="J125" s="7">
        <f>(PMT(IF(OR('Event Tracker'!$B$20=1,'Event Tracker'!$B$21=1),'Game Assumptions'!$B$6,'Game Assumptions'!$B$5),'Game Assumptions'!$B$14,'Game Assumptions'!$G28*'Resource Mix and Demand'!J2)*-1)+I125</f>
        <v>0</v>
      </c>
      <c r="K125" s="7">
        <f>(PMT(IF(OR('Event Tracker'!$B$20=1,'Event Tracker'!$B$21=1),'Game Assumptions'!$B$6,'Game Assumptions'!$B$5),'Game Assumptions'!$B$14,'Game Assumptions'!$G28*'Resource Mix and Demand'!K2)*-1)+J125</f>
        <v>0</v>
      </c>
      <c r="L125" s="7">
        <f>(PMT(IF(OR('Event Tracker'!$B$20=1,'Event Tracker'!$B$21=1),'Game Assumptions'!$B$6,'Game Assumptions'!$B$5),'Game Assumptions'!$B$14,'Game Assumptions'!$G28*'Resource Mix and Demand'!L2)*-1)+K125</f>
        <v>0</v>
      </c>
    </row>
    <row r="126" spans="1:12" x14ac:dyDescent="0.25">
      <c r="A126" t="s">
        <v>46</v>
      </c>
      <c r="B126" s="7">
        <f>PMT(IF(OR('Event Tracker'!$B$20=1,'Event Tracker'!$B$21=1),'Game Assumptions'!$B$6,'Game Assumptions'!$B$5),'Game Assumptions'!$B$14,'Game Assumptions'!$G29*'Resource Mix and Demand'!B3)*-1</f>
        <v>0</v>
      </c>
      <c r="C126" s="7">
        <f>(PMT(IF(OR('Event Tracker'!$B$20=1,'Event Tracker'!$B$21=1),'Game Assumptions'!$B$6,'Game Assumptions'!$B$5),'Game Assumptions'!$B$14,'Game Assumptions'!$G29*'Resource Mix and Demand'!C3)*-1)+B126</f>
        <v>34800668.771477148</v>
      </c>
      <c r="D126" s="7">
        <f>(PMT(IF(OR('Event Tracker'!$B$20=1,'Event Tracker'!$B$21=1),'Game Assumptions'!$B$6,'Game Assumptions'!$B$5),'Game Assumptions'!$B$14,'Game Assumptions'!$G29*'Resource Mix and Demand'!D3)*-1)+C126</f>
        <v>79698356.189788729</v>
      </c>
      <c r="E126" s="7">
        <f>(PMT(IF(OR('Event Tracker'!$B$20=1,'Event Tracker'!$B$21=1),'Game Assumptions'!$B$6,'Game Assumptions'!$B$5),'Game Assumptions'!$B$14,'Game Assumptions'!$G29*'Resource Mix and Demand'!E3)*-1)+D126</f>
        <v>129377190.5945003</v>
      </c>
      <c r="F126" s="7">
        <f>(PMT(IF(OR('Event Tracker'!$B$20=1,'Event Tracker'!$B$21=1),'Game Assumptions'!$B$6,'Game Assumptions'!$B$5),'Game Assumptions'!$B$14,'Game Assumptions'!$G29*'Resource Mix and Demand'!F3)*-1)+E126</f>
        <v>150586258.69017223</v>
      </c>
      <c r="G126" s="7">
        <f>(PMT(IF(OR('Event Tracker'!$B$20=1,'Event Tracker'!$B$21=1),'Game Assumptions'!$B$6,'Game Assumptions'!$B$5),'Game Assumptions'!$B$14,'Game Assumptions'!$G29*'Resource Mix and Demand'!G3)*-1)+F126</f>
        <v>167430198.95418155</v>
      </c>
      <c r="H126" s="7">
        <f>(PMT(IF(OR('Event Tracker'!$B$20=1,'Event Tracker'!$B$21=1),'Game Assumptions'!$B$6,'Game Assumptions'!$B$5),'Game Assumptions'!$B$14,'Game Assumptions'!$G29*'Resource Mix and Demand'!H3)*-1)+G126</f>
        <v>186678364.62392491</v>
      </c>
      <c r="I126" s="7">
        <f>(PMT(IF(OR('Event Tracker'!$B$20=1,'Event Tracker'!$B$21=1),'Game Assumptions'!$B$6,'Game Assumptions'!$B$5),'Game Assumptions'!$B$14,'Game Assumptions'!$G29*'Resource Mix and Demand'!I3)*-1)+H126</f>
        <v>210428756.36403793</v>
      </c>
      <c r="J126" s="7">
        <f>(PMT(IF(OR('Event Tracker'!$B$20=1,'Event Tracker'!$B$21=1),'Game Assumptions'!$B$6,'Game Assumptions'!$B$5),'Game Assumptions'!$B$14,'Game Assumptions'!$G29*'Resource Mix and Demand'!J3)*-1)+I126</f>
        <v>235703172.86237133</v>
      </c>
      <c r="K126" s="7">
        <f>(PMT(IF(OR('Event Tracker'!$B$20=1,'Event Tracker'!$B$21=1),'Game Assumptions'!$B$6,'Game Assumptions'!$B$5),'Game Assumptions'!$B$14,'Game Assumptions'!$G29*'Resource Mix and Demand'!K3)*-1)+J126</f>
        <v>262019841.53986114</v>
      </c>
      <c r="L126" s="7">
        <f>(PMT(IF(OR('Event Tracker'!$B$20=1,'Event Tracker'!$B$21=1),'Game Assumptions'!$B$6,'Game Assumptions'!$B$5),'Game Assumptions'!$B$14,'Game Assumptions'!$G29*'Resource Mix and Demand'!L3)*-1)+K126</f>
        <v>289134754.06312728</v>
      </c>
    </row>
    <row r="127" spans="1:12" x14ac:dyDescent="0.25">
      <c r="A127" t="s">
        <v>41</v>
      </c>
      <c r="B127" s="7">
        <f>PMT(IF(OR('Event Tracker'!$B$20=1,'Event Tracker'!$B$21=1),'Game Assumptions'!$B$6,'Game Assumptions'!$B$5),'Game Assumptions'!$B$14,'Game Assumptions'!$G30*'Resource Mix and Demand'!B4)*-1</f>
        <v>0</v>
      </c>
      <c r="C127" s="7">
        <f>(PMT(IF(OR('Event Tracker'!$B$20=1,'Event Tracker'!$B$21=1),'Game Assumptions'!$B$6,'Game Assumptions'!$B$5),'Game Assumptions'!$B$14,'Game Assumptions'!$G30*'Resource Mix and Demand'!C4)*-1)+B127</f>
        <v>0</v>
      </c>
      <c r="D127" s="7">
        <f>(PMT(IF(OR('Event Tracker'!$B$20=1,'Event Tracker'!$B$21=1),'Game Assumptions'!$B$6,'Game Assumptions'!$B$5),'Game Assumptions'!$B$14,'Game Assumptions'!$G30*'Resource Mix and Demand'!D4)*-1)+C127</f>
        <v>0</v>
      </c>
      <c r="E127" s="7">
        <f>(PMT(IF(OR('Event Tracker'!$B$20=1,'Event Tracker'!$B$21=1),'Game Assumptions'!$B$6,'Game Assumptions'!$B$5),'Game Assumptions'!$B$14,'Game Assumptions'!$G30*'Resource Mix and Demand'!E4)*-1)+D127</f>
        <v>0</v>
      </c>
      <c r="F127" s="7">
        <f>(PMT(IF(OR('Event Tracker'!$B$20=1,'Event Tracker'!$B$21=1),'Game Assumptions'!$B$6,'Game Assumptions'!$B$5),'Game Assumptions'!$B$14,'Game Assumptions'!$G30*'Resource Mix and Demand'!F4)*-1)+E127</f>
        <v>0</v>
      </c>
      <c r="G127" s="7">
        <f>(PMT(IF(OR('Event Tracker'!$B$20=1,'Event Tracker'!$B$21=1),'Game Assumptions'!$B$6,'Game Assumptions'!$B$5),'Game Assumptions'!$B$14,'Game Assumptions'!$G30*'Resource Mix and Demand'!G4)*-1)+F127</f>
        <v>0</v>
      </c>
      <c r="H127" s="7">
        <f>(PMT(IF(OR('Event Tracker'!$B$20=1,'Event Tracker'!$B$21=1),'Game Assumptions'!$B$6,'Game Assumptions'!$B$5),'Game Assumptions'!$B$14,'Game Assumptions'!$G30*'Resource Mix and Demand'!H4)*-1)+G127</f>
        <v>0</v>
      </c>
      <c r="I127" s="7">
        <f>(PMT(IF(OR('Event Tracker'!$B$20=1,'Event Tracker'!$B$21=1),'Game Assumptions'!$B$6,'Game Assumptions'!$B$5),'Game Assumptions'!$B$14,'Game Assumptions'!$G30*'Resource Mix and Demand'!I4)*-1)+H127</f>
        <v>0</v>
      </c>
      <c r="J127" s="7">
        <f>(PMT(IF(OR('Event Tracker'!$B$20=1,'Event Tracker'!$B$21=1),'Game Assumptions'!$B$6,'Game Assumptions'!$B$5),'Game Assumptions'!$B$14,'Game Assumptions'!$G30*'Resource Mix and Demand'!J4)*-1)+I127</f>
        <v>0</v>
      </c>
      <c r="K127" s="7">
        <f>(PMT(IF(OR('Event Tracker'!$B$20=1,'Event Tracker'!$B$21=1),'Game Assumptions'!$B$6,'Game Assumptions'!$B$5),'Game Assumptions'!$B$14,'Game Assumptions'!$G30*'Resource Mix and Demand'!K4)*-1)+J127</f>
        <v>0</v>
      </c>
      <c r="L127" s="7">
        <f>(PMT(IF(OR('Event Tracker'!$B$20=1,'Event Tracker'!$B$21=1),'Game Assumptions'!$B$6,'Game Assumptions'!$B$5),'Game Assumptions'!$B$14,'Game Assumptions'!$G30*'Resource Mix and Demand'!L4)*-1)+K127</f>
        <v>0</v>
      </c>
    </row>
    <row r="128" spans="1:12" x14ac:dyDescent="0.25">
      <c r="A128" t="s">
        <v>44</v>
      </c>
      <c r="B128" s="7">
        <f>PMT(IF(OR('Event Tracker'!$B$20=1,'Event Tracker'!$B$21=1),'Game Assumptions'!$B$6,'Game Assumptions'!$B$5),'Game Assumptions'!$B$14,'Game Assumptions'!$G31*'Resource Mix and Demand'!B5)*-1</f>
        <v>0</v>
      </c>
      <c r="C128" s="7">
        <f>(PMT(IF(OR('Event Tracker'!$B$20=1,'Event Tracker'!$B$21=1),'Game Assumptions'!$B$6,'Game Assumptions'!$B$5),'Game Assumptions'!$B$14,(('Game Assumptions'!$G31*(1-'Game Assumptions'!$B$15)^'Utility Revenue'!C118)*(1-INDEX('Game Assumptions'!$C$208:$L$208,1,MATCH('Utility Revenue'!C118,'Game Assumptions'!$C$205:$L$205,0)))*'Resource Mix and Demand'!C5)*-1)+B128)</f>
        <v>15556277.208989108</v>
      </c>
      <c r="D128" s="7">
        <f>(PMT(IF(OR('Event Tracker'!$B$20=1,'Event Tracker'!$B$21=1),'Game Assumptions'!$B$6,'Game Assumptions'!$B$5),'Game Assumptions'!$B$14,(('Game Assumptions'!$G31*(1-'Game Assumptions'!$B$15)^'Utility Revenue'!D118)*(1-INDEX('Game Assumptions'!$C$208:$L$208,1,MATCH('Utility Revenue'!D118,'Game Assumptions'!$C$205:$L$205,0)))*'Resource Mix and Demand'!D5)*-1)+C128)</f>
        <v>34421846.245656282</v>
      </c>
      <c r="E128" s="7">
        <f>(PMT(IF(OR('Event Tracker'!$B$20=1,'Event Tracker'!$B$21=1),'Game Assumptions'!$B$6,'Game Assumptions'!$B$5),'Game Assumptions'!$B$14,(('Game Assumptions'!$G31*(1-'Game Assumptions'!$B$15)^'Utility Revenue'!E118)*(1-INDEX('Game Assumptions'!$C$208:$L$208,1,MATCH('Utility Revenue'!E118,'Game Assumptions'!$C$205:$L$205,0)))*'Resource Mix and Demand'!E5)*-1)+D128)</f>
        <v>56286457.044744797</v>
      </c>
      <c r="F128" s="7">
        <f>(PMT(IF(OR('Event Tracker'!$B$20=1,'Event Tracker'!$B$21=1),'Game Assumptions'!$B$6,'Game Assumptions'!$B$5),'Game Assumptions'!$B$14,(('Game Assumptions'!$G31*(1-'Game Assumptions'!$B$15)^'Utility Revenue'!F118)*(1-INDEX('Game Assumptions'!$C$208:$L$208,1,MATCH('Utility Revenue'!F118,'Game Assumptions'!$C$205:$L$205,0)))*'Resource Mix and Demand'!F5)*-1)+E128)</f>
        <v>66410819.865694888</v>
      </c>
      <c r="G128" s="7">
        <f>(PMT(IF(OR('Event Tracker'!$B$20=1,'Event Tracker'!$B$21=1),'Game Assumptions'!$B$6,'Game Assumptions'!$B$5),'Game Assumptions'!$B$14,(('Game Assumptions'!$G31*(1-'Game Assumptions'!$B$15)^'Utility Revenue'!G118)*(1-INDEX('Game Assumptions'!$C$208:$L$208,1,MATCH('Utility Revenue'!G118,'Game Assumptions'!$C$205:$L$205,0)))*'Resource Mix and Demand'!G5)*-1)+F128)</f>
        <v>73969007.339566886</v>
      </c>
      <c r="H128" s="7">
        <f>(PMT(IF(OR('Event Tracker'!$B$20=1,'Event Tracker'!$B$21=1),'Game Assumptions'!$B$6,'Game Assumptions'!$B$5),'Game Assumptions'!$B$14,(('Game Assumptions'!$G31*(1-'Game Assumptions'!$B$15)^'Utility Revenue'!H118)*(1-INDEX('Game Assumptions'!$C$208:$L$208,1,MATCH('Utility Revenue'!H118,'Game Assumptions'!$C$205:$L$205,0)))*'Resource Mix and Demand'!H5)*-1)+G128)</f>
        <v>82087794.739488021</v>
      </c>
      <c r="I128" s="7">
        <f>(PMT(IF(OR('Event Tracker'!$B$20=1,'Event Tracker'!$B$21=1),'Game Assumptions'!$B$6,'Game Assumptions'!$B$5),'Game Assumptions'!$B$14,(('Game Assumptions'!$G31*(1-'Game Assumptions'!$B$15)^'Utility Revenue'!I118)*(1-INDEX('Game Assumptions'!$C$208:$L$208,1,MATCH('Utility Revenue'!I118,'Game Assumptions'!$C$205:$L$205,0)))*'Resource Mix and Demand'!I5)*-1)+H128)</f>
        <v>91504531.972562149</v>
      </c>
      <c r="J128" s="7">
        <f>(PMT(IF(OR('Event Tracker'!$B$20=1,'Event Tracker'!$B$21=1),'Game Assumptions'!$B$6,'Game Assumptions'!$B$5),'Game Assumptions'!$B$14,(('Game Assumptions'!$G31*(1-'Game Assumptions'!$B$15)^'Utility Revenue'!J118)*(1-INDEX('Game Assumptions'!$C$208:$L$208,1,MATCH('Utility Revenue'!J118,'Game Assumptions'!$C$205:$L$205,0)))*'Resource Mix and Demand'!J5)*-1)+I128)</f>
        <v>100924266.56048393</v>
      </c>
      <c r="K128" s="7">
        <f>(PMT(IF(OR('Event Tracker'!$B$20=1,'Event Tracker'!$B$21=1),'Game Assumptions'!$B$6,'Game Assumptions'!$B$5),'Game Assumptions'!$B$14,(('Game Assumptions'!$G31*(1-'Game Assumptions'!$B$15)^'Utility Revenue'!K118)*(1-INDEX('Game Assumptions'!$C$208:$L$208,1,MATCH('Utility Revenue'!K118,'Game Assumptions'!$C$205:$L$205,0)))*'Resource Mix and Demand'!K5)*-1)+J128)</f>
        <v>110143956.04944921</v>
      </c>
      <c r="L128" s="7">
        <f>(PMT(IF(OR('Event Tracker'!$B$20=1,'Event Tracker'!$B$21=1),'Game Assumptions'!$B$6,'Game Assumptions'!$B$5),'Game Assumptions'!$B$14,(('Game Assumptions'!$G31*(1-'Game Assumptions'!$B$15)^'Utility Revenue'!L118)*(1-INDEX('Game Assumptions'!$C$208:$L$208,1,MATCH('Utility Revenue'!L118,'Game Assumptions'!$C$205:$L$205,0)))*'Resource Mix and Demand'!L5)*-1)+K128)</f>
        <v>119073338.88379227</v>
      </c>
    </row>
    <row r="129" spans="1:12" x14ac:dyDescent="0.25">
      <c r="A129" t="s">
        <v>45</v>
      </c>
      <c r="B129" s="7">
        <f>PMT(IF(OR('Event Tracker'!$B$20=1,'Event Tracker'!$B$21=1),'Game Assumptions'!$B$6,'Game Assumptions'!$B$5),'Game Assumptions'!$B$14,'Game Assumptions'!$G32*'Resource Mix and Demand'!B6)*-1</f>
        <v>0</v>
      </c>
      <c r="C129" s="7">
        <f>(PMT(IF(OR('Event Tracker'!$B$20=1,'Event Tracker'!$B$21=1),'Game Assumptions'!$B$6,'Game Assumptions'!$B$5),'Game Assumptions'!$B$14,('Game Assumptions'!$G32*(1-'Game Assumptions'!$B$16)^'Utility Revenue'!C118-(INDEX('Game Assumptions'!$C$207:$L$207,1,MATCH('Utility Revenue'!C118,'Game Assumptions'!$C$205:$L$205,0))*8760*'Game Assumptions'!$G$59*'Game Assumptions'!$B$32))*'Resource Mix and Demand'!C6)*-1)+B129</f>
        <v>14331792.982176354</v>
      </c>
      <c r="D129" s="7">
        <f>(PMT(IF(OR('Event Tracker'!$B$20=1,'Event Tracker'!$B$21=1),'Game Assumptions'!$B$6,'Game Assumptions'!$B$5),'Game Assumptions'!$B$14,('Game Assumptions'!$G32*(1-'Game Assumptions'!$B$16)^'Utility Revenue'!D118-(INDEX('Game Assumptions'!$C$207:$L$207,1,MATCH('Utility Revenue'!D118,'Game Assumptions'!$C$205:$L$205,0))*8760*'Game Assumptions'!$G$59*'Game Assumptions'!$B$32))*'Resource Mix and Demand'!D6)*-1)+C129</f>
        <v>41423203.975888014</v>
      </c>
      <c r="E129" s="7">
        <f>(PMT(IF(OR('Event Tracker'!$B$20=1,'Event Tracker'!$B$21=1),'Game Assumptions'!$B$6,'Game Assumptions'!$B$5),'Game Assumptions'!$B$14,('Game Assumptions'!$G32*(1-'Game Assumptions'!$B$16)^'Utility Revenue'!E118-(INDEX('Game Assumptions'!$C$207:$L$207,1,MATCH('Utility Revenue'!E118,'Game Assumptions'!$C$205:$L$205,0))*8760*'Game Assumptions'!$G$59*'Game Assumptions'!$B$32))*'Resource Mix and Demand'!E6)*-1)+D129</f>
        <v>70500283.531610057</v>
      </c>
      <c r="F129" s="7">
        <f>(PMT(IF(OR('Event Tracker'!$B$20=1,'Event Tracker'!$B$21=1),'Game Assumptions'!$B$6,'Game Assumptions'!$B$5),'Game Assumptions'!$B$14,('Game Assumptions'!$G32*(1-'Game Assumptions'!$B$16)^'Utility Revenue'!F118-(INDEX('Game Assumptions'!$C$207:$L$207,1,MATCH('Utility Revenue'!F118,'Game Assumptions'!$C$205:$L$205,0))*8760*'Game Assumptions'!$G$59*'Game Assumptions'!$B$32))*'Resource Mix and Demand'!F6)*-1)+E129</f>
        <v>82541564.988371208</v>
      </c>
      <c r="G129" s="7">
        <f>(PMT(IF(OR('Event Tracker'!$B$20=1,'Event Tracker'!$B$21=1),'Game Assumptions'!$B$6,'Game Assumptions'!$B$5),'Game Assumptions'!$B$14,('Game Assumptions'!$G32*(1-'Game Assumptions'!$B$16)^'Utility Revenue'!G118-(INDEX('Game Assumptions'!$C$207:$L$207,1,MATCH('Utility Revenue'!G118,'Game Assumptions'!$C$205:$L$205,0))*8760*'Game Assumptions'!$G$59*'Game Assumptions'!$B$32))*'Resource Mix and Demand'!G6)*-1)+F129</f>
        <v>91817689.045569256</v>
      </c>
      <c r="H129" s="7">
        <f>(PMT(IF(OR('Event Tracker'!$B$20=1,'Event Tracker'!$B$21=1),'Game Assumptions'!$B$6,'Game Assumptions'!$B$5),'Game Assumptions'!$B$14,('Game Assumptions'!$G32*(1-'Game Assumptions'!$B$16)^'Utility Revenue'!H118-(INDEX('Game Assumptions'!$C$207:$L$207,1,MATCH('Utility Revenue'!H118,'Game Assumptions'!$C$205:$L$205,0))*8760*'Game Assumptions'!$G$59*'Game Assumptions'!$B$32))*'Resource Mix and Demand'!H6)*-1)+G129</f>
        <v>102099839.10859935</v>
      </c>
      <c r="I129" s="7">
        <f>(PMT(IF(OR('Event Tracker'!$B$20=1,'Event Tracker'!$B$21=1),'Game Assumptions'!$B$6,'Game Assumptions'!$B$5),'Game Assumptions'!$B$14,('Game Assumptions'!$G32*(1-'Game Assumptions'!$B$16)^'Utility Revenue'!I118-(INDEX('Game Assumptions'!$C$207:$L$207,1,MATCH('Utility Revenue'!I118,'Game Assumptions'!$C$205:$L$205,0))*8760*'Game Assumptions'!$G$59*'Game Assumptions'!$B$32))*'Resource Mix and Demand'!I6)*-1)+H129</f>
        <v>114406411.23781374</v>
      </c>
      <c r="J129" s="7">
        <f>(PMT(IF(OR('Event Tracker'!$B$20=1,'Event Tracker'!$B$21=1),'Game Assumptions'!$B$6,'Game Assumptions'!$B$5),'Game Assumptions'!$B$14,('Game Assumptions'!$G32*(1-'Game Assumptions'!$B$16)^'Utility Revenue'!J118-(INDEX('Game Assumptions'!$C$207:$L$207,1,MATCH('Utility Revenue'!J118,'Game Assumptions'!$C$205:$L$205,0))*8760*'Game Assumptions'!$G$59*'Game Assumptions'!$B$32))*'Resource Mix and Demand'!J6)*-1)+I129</f>
        <v>127109788.51563601</v>
      </c>
      <c r="K129" s="7">
        <f>(PMT(IF(OR('Event Tracker'!$B$20=1,'Event Tracker'!$B$21=1),'Game Assumptions'!$B$6,'Game Assumptions'!$B$5),'Game Assumptions'!$B$14,('Game Assumptions'!$G32*(1-'Game Assumptions'!$B$16)^'Utility Revenue'!K118-(INDEX('Game Assumptions'!$C$207:$L$207,1,MATCH('Utility Revenue'!K118,'Game Assumptions'!$C$205:$L$205,0))*8760*'Game Assumptions'!$G$59*'Game Assumptions'!$B$32))*'Resource Mix and Demand'!K6)*-1)+J129</f>
        <v>139940203.56398407</v>
      </c>
      <c r="L129" s="7">
        <f>(PMT(IF(OR('Event Tracker'!$B$20=1,'Event Tracker'!$B$21=1),'Game Assumptions'!$B$6,'Game Assumptions'!$B$5),'Game Assumptions'!$B$14,('Game Assumptions'!$G32*(1-'Game Assumptions'!$B$16)^'Utility Revenue'!L118-(INDEX('Game Assumptions'!$C$207:$L$207,1,MATCH('Utility Revenue'!L118,'Game Assumptions'!$C$205:$L$205,0))*8760*'Game Assumptions'!$G$59*'Game Assumptions'!$B$32))*'Resource Mix and Demand'!L6)*-1)+K129</f>
        <v>152763206.29121026</v>
      </c>
    </row>
    <row r="130" spans="1:12" x14ac:dyDescent="0.25">
      <c r="A130" t="s">
        <v>42</v>
      </c>
      <c r="B130" s="7">
        <f>(PMT(IF(OR('Event Tracker'!$B$20=1,'Event Tracker'!$B$21=1),'Game Assumptions'!$B$6,'Game Assumptions'!$B$5),'Game Assumptions'!$B$14,'Game Assumptions'!$G33*'Resource Mix and Demand'!B7)*-1)</f>
        <v>0</v>
      </c>
      <c r="C130" s="7">
        <f>(PMT(IF(OR('Event Tracker'!$B$20=1,'Event Tracker'!$B$21=1),'Game Assumptions'!$B$6,'Game Assumptions'!$B$5),'Game Assumptions'!$B$14,'Game Assumptions'!$G33*'Resource Mix and Demand'!C7)*-1)+B130</f>
        <v>0</v>
      </c>
      <c r="D130" s="7">
        <f>(PMT(IF(OR('Event Tracker'!$B$20=1,'Event Tracker'!$B$21=1),'Game Assumptions'!$B$6,'Game Assumptions'!$B$5),'Game Assumptions'!$B$14,'Game Assumptions'!$G33*'Resource Mix and Demand'!D7)*-1)+C130</f>
        <v>0</v>
      </c>
      <c r="E130" s="7">
        <f>(PMT(IF(OR('Event Tracker'!$B$20=1,'Event Tracker'!$B$21=1),'Game Assumptions'!$B$6,'Game Assumptions'!$B$5),'Game Assumptions'!$B$14,'Game Assumptions'!$G33*'Resource Mix and Demand'!E7)*-1)+D130</f>
        <v>0</v>
      </c>
      <c r="F130" s="7">
        <f>(PMT(IF(OR('Event Tracker'!$B$20=1,'Event Tracker'!$B$21=1),'Game Assumptions'!$B$6,'Game Assumptions'!$B$5),'Game Assumptions'!$B$14,'Game Assumptions'!$G33*'Resource Mix and Demand'!F7)*-1)+E130</f>
        <v>0</v>
      </c>
      <c r="G130" s="7">
        <f>(PMT(IF(OR('Event Tracker'!$B$20=1,'Event Tracker'!$B$21=1),'Game Assumptions'!$B$6,'Game Assumptions'!$B$5),'Game Assumptions'!$B$14,'Game Assumptions'!$G33*'Resource Mix and Demand'!G7)*-1)+F130</f>
        <v>0</v>
      </c>
      <c r="H130" s="7">
        <f>(PMT(IF(OR('Event Tracker'!$B$20=1,'Event Tracker'!$B$21=1),'Game Assumptions'!$B$6,'Game Assumptions'!$B$5),'Game Assumptions'!$B$14,'Game Assumptions'!$G33*'Resource Mix and Demand'!H7)*-1)+G130</f>
        <v>0</v>
      </c>
      <c r="I130" s="7">
        <f>(PMT(IF(OR('Event Tracker'!$B$20=1,'Event Tracker'!$B$21=1),'Game Assumptions'!$B$6,'Game Assumptions'!$B$5),'Game Assumptions'!$B$14,'Game Assumptions'!$G33*'Resource Mix and Demand'!I7)*-1)+H130</f>
        <v>0</v>
      </c>
      <c r="J130" s="7">
        <f>(PMT(IF(OR('Event Tracker'!$B$20=1,'Event Tracker'!$B$21=1),'Game Assumptions'!$B$6,'Game Assumptions'!$B$5),'Game Assumptions'!$B$14,'Game Assumptions'!$G33*'Resource Mix and Demand'!J7)*-1)+I130</f>
        <v>0</v>
      </c>
      <c r="K130" s="7">
        <f>(PMT(IF(OR('Event Tracker'!$B$20=1,'Event Tracker'!$B$21=1),'Game Assumptions'!$B$6,'Game Assumptions'!$B$5),'Game Assumptions'!$B$14,'Game Assumptions'!$G33*'Resource Mix and Demand'!K7)*-1)+J130</f>
        <v>0</v>
      </c>
      <c r="L130" s="7">
        <f>(PMT(IF(OR('Event Tracker'!$B$20=1,'Event Tracker'!$B$21=1),'Game Assumptions'!$B$6,'Game Assumptions'!$B$5),'Game Assumptions'!$B$14,'Game Assumptions'!$G33*'Resource Mix and Demand'!L7)*-1)+K130</f>
        <v>0</v>
      </c>
    </row>
    <row r="131" spans="1:12" x14ac:dyDescent="0.25">
      <c r="A131" s="12" t="s">
        <v>47</v>
      </c>
      <c r="B131" s="7">
        <f>(PMT(IF('Event Tracker'!B8=1,'Game Assumptions'!$B$6,0),'Game Assumptions'!$B$14,'Game Assumptions'!$G34*'Resource Mix and Demand'!B8)*-1)</f>
        <v>0</v>
      </c>
      <c r="C131" s="7">
        <f>(PMT(IF('Event Tracker'!C8=1,'Game Assumptions'!$B$6,0),'Game Assumptions'!$B$14,'Game Assumptions'!$G34*'Resource Mix and Demand'!C8)*-1)+B131</f>
        <v>4104939.2711580032</v>
      </c>
      <c r="D131" s="7">
        <f>(PMT(IF('Event Tracker'!D8=1,'Game Assumptions'!$B$6,0),'Game Assumptions'!$B$14,'Game Assumptions'!$G34*'Resource Mix and Demand'!D8)*-1)+C131</f>
        <v>9229321.0556797013</v>
      </c>
      <c r="E131" s="7">
        <f>(PMT(IF('Event Tracker'!E8=1,'Game Assumptions'!$B$6,0),'Game Assumptions'!$B$14,'Game Assumptions'!$G34*'Resource Mix and Demand'!E8)*-1)+D131</f>
        <v>14836429.937284155</v>
      </c>
      <c r="F131" s="7">
        <f>(PMT(IF('Event Tracker'!F8=1,'Game Assumptions'!$B$6,0),'Game Assumptions'!$B$14,'Game Assumptions'!$G34*'Resource Mix and Demand'!F8)*-1)+E131</f>
        <v>17569097.249934625</v>
      </c>
      <c r="G131" s="7">
        <f>(PMT(IF('Event Tracker'!G8=1,'Game Assumptions'!$B$6,0),'Game Assumptions'!$B$14,'Game Assumptions'!$G34*'Resource Mix and Demand'!G8)*-1)+F131</f>
        <v>19861040.716912188</v>
      </c>
      <c r="H131" s="7">
        <f>(PMT(IF('Event Tracker'!H8=1,'Game Assumptions'!$B$6,0),'Game Assumptions'!$B$14,'Game Assumptions'!$G34*'Resource Mix and Demand'!H8)*-1)+G131</f>
        <v>22395726.093758635</v>
      </c>
      <c r="I131" s="7">
        <f>(PMT(IF('Event Tracker'!I8=1,'Game Assumptions'!$B$6,0),'Game Assumptions'!$B$14,'Game Assumptions'!$G34*'Resource Mix and Demand'!I8)*-1)+H131</f>
        <v>25384977.399563547</v>
      </c>
      <c r="J131" s="7">
        <f>(PMT(IF('Event Tracker'!J8=1,'Game Assumptions'!$B$6,0),'Game Assumptions'!$B$14,'Game Assumptions'!$G34*'Resource Mix and Demand'!J8)*-1)+I131</f>
        <v>28528101.416144896</v>
      </c>
      <c r="K131" s="7">
        <f>(PMT(IF('Event Tracker'!K8=1,'Game Assumptions'!$B$6,0),'Game Assumptions'!$B$14,'Game Assumptions'!$G34*'Resource Mix and Demand'!K8)*-1)+J131</f>
        <v>31776456.11697492</v>
      </c>
      <c r="L131" s="7">
        <f>(PMT(IF('Event Tracker'!L8=1,'Game Assumptions'!$B$6,0),'Game Assumptions'!$B$14,'Game Assumptions'!$G34*'Resource Mix and Demand'!L8)*-1)+K131</f>
        <v>35105405.272552282</v>
      </c>
    </row>
    <row r="132" spans="1:12" x14ac:dyDescent="0.25">
      <c r="A132" t="s">
        <v>288</v>
      </c>
      <c r="B132" s="103">
        <f>(PMT(IF(OR('Event Tracker'!$B$20=1,'Event Tracker'!$B$21=1),'Game Assumptions'!$B$6,'Game Assumptions'!$B$5),'Game Assumptions'!$B$14,Reliability!B9*'Game Assumptions'!$G35))*-1</f>
        <v>0</v>
      </c>
      <c r="C132" s="103">
        <f>(PMT(IF(OR('Event Tracker'!$B$20=1,'Event Tracker'!$B$21=1),'Game Assumptions'!$B$6,'Game Assumptions'!$B$5),'Game Assumptions'!$B$14,Reliability!C9*'Game Assumptions'!$G35))*-1+B132</f>
        <v>0</v>
      </c>
      <c r="D132" s="103">
        <f>(PMT(IF(OR('Event Tracker'!$B$20=1,'Event Tracker'!$B$21=1),'Game Assumptions'!$B$6,'Game Assumptions'!$B$5),'Game Assumptions'!$B$14,Reliability!D9*'Game Assumptions'!$G35))*-1+C132</f>
        <v>0</v>
      </c>
      <c r="E132" s="103">
        <f>(PMT(IF(OR('Event Tracker'!$B$20=1,'Event Tracker'!$B$21=1),'Game Assumptions'!$B$6,'Game Assumptions'!$B$5),'Game Assumptions'!$B$14,Reliability!E9*'Game Assumptions'!$G35))*-1+D132</f>
        <v>0</v>
      </c>
      <c r="F132" s="103">
        <f>(PMT(IF(OR('Event Tracker'!$B$20=1,'Event Tracker'!$B$21=1),'Game Assumptions'!$B$6,'Game Assumptions'!$B$5),'Game Assumptions'!$B$14,Reliability!F9*'Game Assumptions'!$G35))*-1+E132</f>
        <v>0</v>
      </c>
      <c r="G132" s="103">
        <f>(PMT(IF(OR('Event Tracker'!$B$20=1,'Event Tracker'!$B$21=1),'Game Assumptions'!$B$6,'Game Assumptions'!$B$5),'Game Assumptions'!$B$14,Reliability!G9*'Game Assumptions'!$G35))*-1+F132</f>
        <v>0</v>
      </c>
      <c r="H132" s="103">
        <f>(PMT(IF(OR('Event Tracker'!$B$20=1,'Event Tracker'!$B$21=1),'Game Assumptions'!$B$6,'Game Assumptions'!$B$5),'Game Assumptions'!$B$14,Reliability!H9*'Game Assumptions'!$G35))*-1+G132</f>
        <v>0</v>
      </c>
      <c r="I132" s="103">
        <f>(PMT(IF(OR('Event Tracker'!$B$20=1,'Event Tracker'!$B$21=1),'Game Assumptions'!$B$6,'Game Assumptions'!$B$5),'Game Assumptions'!$B$14,Reliability!I9*'Game Assumptions'!$G35))*-1+H132</f>
        <v>0</v>
      </c>
      <c r="J132" s="103">
        <f>(PMT(IF(OR('Event Tracker'!$B$20=1,'Event Tracker'!$B$21=1),'Game Assumptions'!$B$6,'Game Assumptions'!$B$5),'Game Assumptions'!$B$14,Reliability!J9*'Game Assumptions'!$G35))*-1+I132</f>
        <v>0</v>
      </c>
      <c r="K132" s="103">
        <f>(PMT(IF(OR('Event Tracker'!$B$20=1,'Event Tracker'!$B$21=1),'Game Assumptions'!$B$6,'Game Assumptions'!$B$5),'Game Assumptions'!$B$14,Reliability!K9*'Game Assumptions'!$G35))*-1+J132</f>
        <v>0</v>
      </c>
      <c r="L132" s="103">
        <f>(PMT(IF(OR('Event Tracker'!$B$20=1,'Event Tracker'!$B$21=1),'Game Assumptions'!$B$6,'Game Assumptions'!$B$5),'Game Assumptions'!$B$14,Reliability!L9*'Game Assumptions'!$G35))*-1+K132</f>
        <v>0</v>
      </c>
    </row>
    <row r="133" spans="1:12" x14ac:dyDescent="0.25">
      <c r="A133" t="s">
        <v>289</v>
      </c>
      <c r="B133" s="103">
        <f>(PMT('Game Assumptions'!$B$6,'Game Assumptions'!$B$14,Reliability!B10*'Game Assumptions'!$G36))*-1</f>
        <v>0</v>
      </c>
      <c r="C133" s="103">
        <f>(PMT('Game Assumptions'!$B$6,'Game Assumptions'!$B$14,Reliability!C10*'Game Assumptions'!$G36))*-1+B133</f>
        <v>0</v>
      </c>
      <c r="D133" s="103">
        <f>(PMT('Game Assumptions'!$B$6,'Game Assumptions'!$B$14,Reliability!D10*'Game Assumptions'!$G36))*-1+C133</f>
        <v>0</v>
      </c>
      <c r="E133" s="103">
        <f>(PMT('Game Assumptions'!$B$6,'Game Assumptions'!$B$14,Reliability!E10*'Game Assumptions'!$G36))*-1+D133</f>
        <v>0</v>
      </c>
      <c r="F133" s="103">
        <f>(PMT('Game Assumptions'!$B$6,'Game Assumptions'!$B$14,Reliability!F10*'Game Assumptions'!$G36))*-1+E133</f>
        <v>0</v>
      </c>
      <c r="G133" s="103">
        <f>(PMT('Game Assumptions'!$B$6,'Game Assumptions'!$B$14,Reliability!G10*'Game Assumptions'!$G36))*-1+F133</f>
        <v>0</v>
      </c>
      <c r="H133" s="103">
        <f>(PMT('Game Assumptions'!$B$6,'Game Assumptions'!$B$14,Reliability!H10*'Game Assumptions'!$G36))*-1+G133</f>
        <v>0</v>
      </c>
      <c r="I133" s="103">
        <f>(PMT('Game Assumptions'!$B$6,'Game Assumptions'!$B$14,Reliability!I10*'Game Assumptions'!$G36))*-1+H133</f>
        <v>0</v>
      </c>
      <c r="J133" s="103">
        <f>(PMT('Game Assumptions'!$B$6,'Game Assumptions'!$B$14,Reliability!J10*'Game Assumptions'!$G36))*-1+I133</f>
        <v>0</v>
      </c>
      <c r="K133" s="103">
        <f>(PMT('Game Assumptions'!$B$6,'Game Assumptions'!$B$14,Reliability!K10*'Game Assumptions'!$G36))*-1+J133</f>
        <v>0</v>
      </c>
      <c r="L133" s="103">
        <f>(PMT('Game Assumptions'!$B$6,'Game Assumptions'!$B$14,Reliability!L10*'Game Assumptions'!$G36))*-1+K133</f>
        <v>0</v>
      </c>
    </row>
    <row r="134" spans="1:12" x14ac:dyDescent="0.25">
      <c r="A134" t="s">
        <v>290</v>
      </c>
      <c r="B134" s="103">
        <f>(PMT(IF(OR('Event Tracker'!$B$20=1,'Event Tracker'!$B$21=1),'Game Assumptions'!$B$6,'Game Assumptions'!$B$5),'Game Assumptions'!$B$14,Reliability!B11*'Game Assumptions'!$G37))*-1</f>
        <v>0</v>
      </c>
      <c r="C134" s="103">
        <f>(PMT(IF(OR('Event Tracker'!$B$20=1,'Event Tracker'!$B$21=1),'Game Assumptions'!$B$6,'Game Assumptions'!$B$5),'Game Assumptions'!$B$14,Reliability!C11*'Game Assumptions'!$G37))*-1+B134</f>
        <v>0</v>
      </c>
      <c r="D134" s="103">
        <f>(PMT(IF(OR('Event Tracker'!$B$20=1,'Event Tracker'!$B$21=1),'Game Assumptions'!$B$6,'Game Assumptions'!$B$5),'Game Assumptions'!$B$14,Reliability!D11*'Game Assumptions'!$G37))*-1+C134</f>
        <v>0</v>
      </c>
      <c r="E134" s="103">
        <f>(PMT(IF(OR('Event Tracker'!$B$20=1,'Event Tracker'!$B$21=1),'Game Assumptions'!$B$6,'Game Assumptions'!$B$5),'Game Assumptions'!$B$14,Reliability!E11*'Game Assumptions'!$G37))*-1+D134</f>
        <v>0</v>
      </c>
      <c r="F134" s="103">
        <f>(PMT(IF(OR('Event Tracker'!$B$20=1,'Event Tracker'!$B$21=1),'Game Assumptions'!$B$6,'Game Assumptions'!$B$5),'Game Assumptions'!$B$14,Reliability!F11*'Game Assumptions'!$G37))*-1+E134</f>
        <v>0</v>
      </c>
      <c r="G134" s="103">
        <f>(PMT(IF(OR('Event Tracker'!$B$20=1,'Event Tracker'!$B$21=1),'Game Assumptions'!$B$6,'Game Assumptions'!$B$5),'Game Assumptions'!$B$14,Reliability!G11*'Game Assumptions'!$G37))*-1+F134</f>
        <v>0</v>
      </c>
      <c r="H134" s="103">
        <f>(PMT(IF(OR('Event Tracker'!$B$20=1,'Event Tracker'!$B$21=1),'Game Assumptions'!$B$6,'Game Assumptions'!$B$5),'Game Assumptions'!$B$14,Reliability!H11*'Game Assumptions'!$G37))*-1+G134</f>
        <v>0</v>
      </c>
      <c r="I134" s="103">
        <f>(PMT(IF(OR('Event Tracker'!$B$20=1,'Event Tracker'!$B$21=1),'Game Assumptions'!$B$6,'Game Assumptions'!$B$5),'Game Assumptions'!$B$14,Reliability!I11*'Game Assumptions'!$G37))*-1+H134</f>
        <v>0</v>
      </c>
      <c r="J134" s="103">
        <f>(PMT(IF(OR('Event Tracker'!$B$20=1,'Event Tracker'!$B$21=1),'Game Assumptions'!$B$6,'Game Assumptions'!$B$5),'Game Assumptions'!$B$14,Reliability!J11*'Game Assumptions'!$G37))*-1+I134</f>
        <v>0</v>
      </c>
      <c r="K134" s="103">
        <f>(PMT(IF(OR('Event Tracker'!$B$20=1,'Event Tracker'!$B$21=1),'Game Assumptions'!$B$6,'Game Assumptions'!$B$5),'Game Assumptions'!$B$14,Reliability!K11*'Game Assumptions'!$G37))*-1+J134</f>
        <v>0</v>
      </c>
      <c r="L134" s="103">
        <f>(PMT(IF(OR('Event Tracker'!$B$20=1,'Event Tracker'!$B$21=1),'Game Assumptions'!$B$6,'Game Assumptions'!$B$5),'Game Assumptions'!$B$14,Reliability!L11*'Game Assumptions'!$G37))*-1+K134</f>
        <v>0</v>
      </c>
    </row>
    <row r="135" spans="1:12" x14ac:dyDescent="0.25">
      <c r="A135" t="s">
        <v>291</v>
      </c>
      <c r="B135" s="103">
        <f>(PMT(0,'Game Assumptions'!$B$14,Reliability!B12*'Game Assumptions'!$G38))*-1</f>
        <v>0</v>
      </c>
      <c r="C135" s="103">
        <f>(PMT(0,'Game Assumptions'!$B$14,Reliability!C12*'Game Assumptions'!$G38))*-1+B135</f>
        <v>0</v>
      </c>
      <c r="D135" s="103">
        <f>(PMT(0,'Game Assumptions'!$B$14,Reliability!D12*'Game Assumptions'!$G38))*-1+C135</f>
        <v>0</v>
      </c>
      <c r="E135" s="103">
        <f>(PMT(0,'Game Assumptions'!$B$14,Reliability!E12*'Game Assumptions'!$G38))*-1+D135</f>
        <v>0</v>
      </c>
      <c r="F135" s="103">
        <f>(PMT(0,'Game Assumptions'!$B$14,Reliability!F12*'Game Assumptions'!$G38))*-1+E135</f>
        <v>0</v>
      </c>
      <c r="G135" s="103">
        <f>(PMT(0,'Game Assumptions'!$B$14,Reliability!G12*'Game Assumptions'!$G38))*-1+F135</f>
        <v>0</v>
      </c>
      <c r="H135" s="103">
        <f>(PMT(0,'Game Assumptions'!$B$14,Reliability!H12*'Game Assumptions'!$G38))*-1+G135</f>
        <v>0</v>
      </c>
      <c r="I135" s="103">
        <f>(PMT(0,'Game Assumptions'!$B$14,Reliability!I12*'Game Assumptions'!$G38))*-1+H135</f>
        <v>0</v>
      </c>
      <c r="J135" s="103">
        <f>(PMT(0,'Game Assumptions'!$B$14,Reliability!J12*'Game Assumptions'!$G38))*-1+I135</f>
        <v>0</v>
      </c>
      <c r="K135" s="103">
        <f>(PMT(0,'Game Assumptions'!$B$14,Reliability!K12*'Game Assumptions'!$G38))*-1+J135</f>
        <v>0</v>
      </c>
      <c r="L135" s="103">
        <f>(PMT(0,'Game Assumptions'!$B$14,Reliability!L12*'Game Assumptions'!$G38))*-1+K135</f>
        <v>0</v>
      </c>
    </row>
    <row r="136" spans="1:12" s="187" customFormat="1" x14ac:dyDescent="0.25">
      <c r="A136" s="186" t="s">
        <v>67</v>
      </c>
      <c r="B136" s="188">
        <f>PMT(IF(OR('Event Tracker'!$B$20=1,'Event Tracker'!$B$21=1),'Game Assumptions'!$B$6,'Game Assumptions'!$B$5),'Game Assumptions'!$B$14,Reliability!B38*'Game Assumptions'!$B$111)*-1</f>
        <v>0</v>
      </c>
      <c r="C136" s="188">
        <f>PMT(IF(OR('Event Tracker'!$B$20=1,'Event Tracker'!$B$21=1),'Game Assumptions'!$B$6,'Game Assumptions'!$B$5),'Game Assumptions'!$B$14,Reliability!C38*'Game Assumptions'!$B$111)*-1+B136</f>
        <v>0</v>
      </c>
      <c r="D136" s="188">
        <f>PMT(IF(OR('Event Tracker'!$B$20=1,'Event Tracker'!$B$21=1),'Game Assumptions'!$B$6,'Game Assumptions'!$B$5),'Game Assumptions'!$B$14,Reliability!D38*'Game Assumptions'!$B$111)*-1+C136</f>
        <v>0</v>
      </c>
      <c r="E136" s="188">
        <f>PMT(IF(OR('Event Tracker'!$B$20=1,'Event Tracker'!$B$21=1),'Game Assumptions'!$B$6,'Game Assumptions'!$B$5),'Game Assumptions'!$B$14,Reliability!E38*'Game Assumptions'!$B$111)*-1+D136</f>
        <v>0</v>
      </c>
      <c r="F136" s="188">
        <f>PMT(IF(OR('Event Tracker'!$B$20=1,'Event Tracker'!$B$21=1),'Game Assumptions'!$B$6,'Game Assumptions'!$B$5),'Game Assumptions'!$B$14,Reliability!F38*'Game Assumptions'!$B$111)*-1+E136</f>
        <v>0</v>
      </c>
      <c r="G136" s="188">
        <f>PMT(IF(OR('Event Tracker'!$B$20=1,'Event Tracker'!$B$21=1),'Game Assumptions'!$B$6,'Game Assumptions'!$B$5),'Game Assumptions'!$B$14,Reliability!G38*'Game Assumptions'!$B$111)*-1+F136</f>
        <v>0</v>
      </c>
      <c r="H136" s="188">
        <f>PMT(IF(OR('Event Tracker'!$B$20=1,'Event Tracker'!$B$21=1),'Game Assumptions'!$B$6,'Game Assumptions'!$B$5),'Game Assumptions'!$B$14,Reliability!H38*'Game Assumptions'!$B$111)*-1+G136</f>
        <v>0</v>
      </c>
      <c r="I136" s="188">
        <f>PMT(IF(OR('Event Tracker'!$B$20=1,'Event Tracker'!$B$21=1),'Game Assumptions'!$B$6,'Game Assumptions'!$B$5),'Game Assumptions'!$B$14,Reliability!I38*'Game Assumptions'!$B$111)*-1+H136</f>
        <v>0</v>
      </c>
      <c r="J136" s="188">
        <f>PMT(IF(OR('Event Tracker'!$B$20=1,'Event Tracker'!$B$21=1),'Game Assumptions'!$B$6,'Game Assumptions'!$B$5),'Game Assumptions'!$B$14,Reliability!J38*'Game Assumptions'!$B$111)*-1+I136</f>
        <v>0</v>
      </c>
      <c r="K136" s="188">
        <f>PMT(IF(OR('Event Tracker'!$B$20=1,'Event Tracker'!$B$21=1),'Game Assumptions'!$B$6,'Game Assumptions'!$B$5),'Game Assumptions'!$B$14,Reliability!K38*'Game Assumptions'!$B$111)*-1+J136</f>
        <v>0</v>
      </c>
      <c r="L136" s="188">
        <f>PMT(IF(OR('Event Tracker'!$B$20=1,'Event Tracker'!$B$21=1),'Game Assumptions'!$B$6,'Game Assumptions'!$B$5),'Game Assumptions'!$B$14,Reliability!L38*'Game Assumptions'!$B$111)*-1+K136</f>
        <v>0</v>
      </c>
    </row>
    <row r="137" spans="1:12" x14ac:dyDescent="0.25">
      <c r="A137" s="12" t="s">
        <v>68</v>
      </c>
      <c r="B137" s="7">
        <f>PMT('Game Assumptions'!$B$6,'Game Assumptions'!$B$14,SUM('Game Assumptions'!$B$135:$B$136)*Reliability!B13)*-1</f>
        <v>0</v>
      </c>
      <c r="C137" s="103">
        <f>PMT('Game Assumptions'!$B$6,'Game Assumptions'!$B$14,SUM('Game Assumptions'!$B$135:$B$136)*Reliability!C13)*-1+B137</f>
        <v>0</v>
      </c>
      <c r="D137" s="103">
        <f>PMT('Game Assumptions'!$B$6,'Game Assumptions'!$B$14,SUM('Game Assumptions'!$B$135:$B$136)*Reliability!D13)*-1+C137</f>
        <v>0</v>
      </c>
      <c r="E137" s="103">
        <f>PMT('Game Assumptions'!$B$6,'Game Assumptions'!$B$14,SUM('Game Assumptions'!$B$135:$B$136)*Reliability!E13)*-1+D137</f>
        <v>0</v>
      </c>
      <c r="F137" s="103">
        <f>PMT('Game Assumptions'!$B$6,'Game Assumptions'!$B$14,SUM('Game Assumptions'!$B$135:$B$136)*Reliability!F13)*-1+E137</f>
        <v>0</v>
      </c>
      <c r="G137" s="103">
        <f>PMT('Game Assumptions'!$B$6,'Game Assumptions'!$B$14,SUM('Game Assumptions'!$B$135:$B$136)*Reliability!G13)*-1+F137</f>
        <v>0</v>
      </c>
      <c r="H137" s="103">
        <f>PMT('Game Assumptions'!$B$6,'Game Assumptions'!$B$14,SUM('Game Assumptions'!$B$135:$B$136)*Reliability!H13)*-1+G137</f>
        <v>0</v>
      </c>
      <c r="I137" s="103">
        <f>PMT('Game Assumptions'!$B$6,'Game Assumptions'!$B$14,SUM('Game Assumptions'!$B$135:$B$136)*Reliability!I13)*-1+H137</f>
        <v>0</v>
      </c>
      <c r="J137" s="103">
        <f>PMT('Game Assumptions'!$B$6,'Game Assumptions'!$B$14,SUM('Game Assumptions'!$B$135:$B$136)*Reliability!J13)*-1+I137</f>
        <v>0</v>
      </c>
      <c r="K137" s="103">
        <f>PMT('Game Assumptions'!$B$6,'Game Assumptions'!$B$14,SUM('Game Assumptions'!$B$135:$B$136)*Reliability!K13)*-1+J137</f>
        <v>0</v>
      </c>
      <c r="L137" s="103">
        <f>PMT('Game Assumptions'!$B$6,'Game Assumptions'!$B$14,SUM('Game Assumptions'!$B$135:$B$136)*Reliability!L13)*-1+K137</f>
        <v>0</v>
      </c>
    </row>
    <row r="138" spans="1:12" x14ac:dyDescent="0.25">
      <c r="A138" s="22" t="s">
        <v>390</v>
      </c>
      <c r="B138" s="143">
        <v>0</v>
      </c>
      <c r="C138" s="174">
        <f>(PMT('Game Assumptions'!$B$5,'Game Assumptions'!$B$14,'Game Assumptions'!$G28*'Resource Mix and Demand'!C9)*-1)+B138</f>
        <v>92050711.553971678</v>
      </c>
      <c r="D138" s="174">
        <f>(PMT('Game Assumptions'!$B$5,'Game Assumptions'!$B$14,'Game Assumptions'!$G28*'Resource Mix and Demand'!D9)*-1)+C138</f>
        <v>209124469.31966347</v>
      </c>
      <c r="E138" s="174">
        <f>(PMT('Game Assumptions'!$B$5,'Game Assumptions'!$B$14,'Game Assumptions'!$G28*'Resource Mix and Demand'!E9)*-1)+D138</f>
        <v>338047156.57338995</v>
      </c>
      <c r="F138" s="174">
        <f>(PMT('Game Assumptions'!$B$5,'Game Assumptions'!$B$14,'Game Assumptions'!$G28*'Resource Mix and Demand'!F9)*-1)+E138</f>
        <v>396414336.01775736</v>
      </c>
      <c r="G138" s="174">
        <f>(PMT('Game Assumptions'!$B$5,'Game Assumptions'!$B$14,'Game Assumptions'!$G28*'Resource Mix and Demand'!G9)*-1)+F138</f>
        <v>443963589.96626526</v>
      </c>
      <c r="H138" s="174">
        <f>(PMT('Game Assumptions'!$B$5,'Game Assumptions'!$B$14,'Game Assumptions'!$G28*'Resource Mix and Demand'!H9)*-1)+G138</f>
        <v>497471141.65941834</v>
      </c>
      <c r="I138" s="174">
        <f>(PMT('Game Assumptions'!$B$5,'Game Assumptions'!$B$14,'Game Assumptions'!$G28*'Resource Mix and Demand'!I9)*-1)+H138</f>
        <v>562136384.04870498</v>
      </c>
      <c r="J138" s="174">
        <f>(PMT('Game Assumptions'!$B$5,'Game Assumptions'!$B$14,'Game Assumptions'!$G28*'Resource Mix and Demand'!J9)*-1)+I138</f>
        <v>630578557.36053777</v>
      </c>
      <c r="K138" s="174">
        <f>(PMT('Game Assumptions'!$B$5,'Game Assumptions'!$B$14,'Game Assumptions'!$G28*'Resource Mix and Demand'!K9)*-1)+J138</f>
        <v>701603703.46419299</v>
      </c>
      <c r="L138" s="174">
        <f>(PMT('Game Assumptions'!$B$5,'Game Assumptions'!$B$14,'Game Assumptions'!$G28*'Resource Mix and Demand'!L9)*-1)+K138</f>
        <v>774607106.05520689</v>
      </c>
    </row>
    <row r="139" spans="1:12" x14ac:dyDescent="0.25">
      <c r="A139" s="34" t="s">
        <v>77</v>
      </c>
      <c r="B139" s="45"/>
      <c r="C139" s="45"/>
      <c r="D139" s="45"/>
      <c r="E139" s="45"/>
      <c r="F139" s="45"/>
      <c r="G139" s="45"/>
      <c r="H139" s="45"/>
      <c r="I139" s="45"/>
      <c r="J139" s="45"/>
      <c r="K139" s="45"/>
      <c r="L139" s="45"/>
    </row>
    <row r="140" spans="1:12" x14ac:dyDescent="0.25">
      <c r="A140" s="52" t="s">
        <v>75</v>
      </c>
      <c r="B140" s="45"/>
      <c r="C140" s="45"/>
      <c r="D140" s="45"/>
      <c r="E140" s="45"/>
      <c r="F140" s="45"/>
      <c r="G140" s="45"/>
      <c r="H140" s="45"/>
      <c r="I140" s="45"/>
      <c r="J140" s="45"/>
      <c r="K140" s="45"/>
      <c r="L140" s="45"/>
    </row>
    <row r="141" spans="1:12" x14ac:dyDescent="0.25">
      <c r="A141" t="s">
        <v>55</v>
      </c>
      <c r="B141" s="25">
        <f t="shared" ref="B141:L141" si="15">B29</f>
        <v>428736000</v>
      </c>
      <c r="C141" s="25">
        <f t="shared" si="15"/>
        <v>348394903.82374936</v>
      </c>
      <c r="D141" s="25">
        <f t="shared" si="15"/>
        <v>333899883.58310467</v>
      </c>
      <c r="E141" s="25">
        <f t="shared" si="15"/>
        <v>321182495.8767789</v>
      </c>
      <c r="F141" s="25">
        <f t="shared" si="15"/>
        <v>329068036.64277047</v>
      </c>
      <c r="G141" s="25">
        <f t="shared" si="15"/>
        <v>335330620.9775756</v>
      </c>
      <c r="H141" s="25">
        <f t="shared" si="15"/>
        <v>342487097.36657315</v>
      </c>
      <c r="I141" s="25">
        <f t="shared" si="15"/>
        <v>351317503.37168884</v>
      </c>
      <c r="J141" s="25">
        <f t="shared" si="15"/>
        <v>360714542.44644803</v>
      </c>
      <c r="K141" s="25">
        <f t="shared" si="15"/>
        <v>370499091.33588195</v>
      </c>
      <c r="L141" s="25">
        <f t="shared" si="15"/>
        <v>380580427.63524258</v>
      </c>
    </row>
    <row r="142" spans="1:12" x14ac:dyDescent="0.25">
      <c r="A142" t="s">
        <v>56</v>
      </c>
      <c r="B142" s="25">
        <f t="shared" ref="B142:L142" si="16">B30</f>
        <v>249876099.59999999</v>
      </c>
      <c r="C142" s="25">
        <f t="shared" si="16"/>
        <v>252791537.04593614</v>
      </c>
      <c r="D142" s="25">
        <f t="shared" si="16"/>
        <v>231493113.16026449</v>
      </c>
      <c r="E142" s="25">
        <f t="shared" si="16"/>
        <v>206089766.29692036</v>
      </c>
      <c r="F142" s="25">
        <f t="shared" si="16"/>
        <v>197158187.82160288</v>
      </c>
      <c r="G142" s="25">
        <f t="shared" si="16"/>
        <v>193431420.71354973</v>
      </c>
      <c r="H142" s="25">
        <f t="shared" si="16"/>
        <v>189117868.12604976</v>
      </c>
      <c r="I142" s="25">
        <f t="shared" si="16"/>
        <v>187544295.63854975</v>
      </c>
      <c r="J142" s="25">
        <f t="shared" si="16"/>
        <v>185151603.22604972</v>
      </c>
      <c r="K142" s="25">
        <f t="shared" si="16"/>
        <v>182227201.38854975</v>
      </c>
      <c r="L142" s="25">
        <f t="shared" si="16"/>
        <v>179575839.52604973</v>
      </c>
    </row>
    <row r="143" spans="1:12" x14ac:dyDescent="0.25">
      <c r="A143" s="12" t="s">
        <v>57</v>
      </c>
      <c r="B143" s="95">
        <f t="shared" ref="B143:L143" si="17">B31</f>
        <v>1168460018.4000001</v>
      </c>
      <c r="C143" s="95">
        <f t="shared" si="17"/>
        <v>1270929126.0906827</v>
      </c>
      <c r="D143" s="95">
        <f t="shared" si="17"/>
        <v>1048755157.6301558</v>
      </c>
      <c r="E143" s="95">
        <f t="shared" si="17"/>
        <v>935413641.09449947</v>
      </c>
      <c r="F143" s="95">
        <f t="shared" si="17"/>
        <v>887466625.51164365</v>
      </c>
      <c r="G143" s="95">
        <f t="shared" si="17"/>
        <v>883159987.72805071</v>
      </c>
      <c r="H143" s="95">
        <f t="shared" si="17"/>
        <v>932460608.60572433</v>
      </c>
      <c r="I143" s="95">
        <f t="shared" si="17"/>
        <v>974480806.93339789</v>
      </c>
      <c r="J143" s="95">
        <f t="shared" si="17"/>
        <v>996066289.67466581</v>
      </c>
      <c r="K143" s="95">
        <f t="shared" si="17"/>
        <v>1003877879.8244357</v>
      </c>
      <c r="L143" s="95">
        <f t="shared" si="17"/>
        <v>1012626767.5808415</v>
      </c>
    </row>
    <row r="144" spans="1:12" x14ac:dyDescent="0.25">
      <c r="A144" s="80" t="s">
        <v>211</v>
      </c>
      <c r="B144" s="35"/>
      <c r="C144" s="35"/>
      <c r="D144" s="35"/>
      <c r="E144" s="35"/>
      <c r="F144" s="35"/>
      <c r="G144" s="35"/>
      <c r="H144" s="35"/>
      <c r="I144" s="35"/>
      <c r="J144" s="35"/>
      <c r="K144" s="35"/>
      <c r="L144" s="35"/>
    </row>
    <row r="145" spans="1:12" x14ac:dyDescent="0.25">
      <c r="A145" s="71" t="s">
        <v>212</v>
      </c>
      <c r="B145" s="25">
        <f t="shared" ref="B145:L145" si="18">B33</f>
        <v>29791461.006910168</v>
      </c>
      <c r="C145" s="25">
        <f t="shared" si="18"/>
        <v>29791461.006910168</v>
      </c>
      <c r="D145" s="25">
        <f t="shared" si="18"/>
        <v>29791461.006910168</v>
      </c>
      <c r="E145" s="25">
        <f t="shared" si="18"/>
        <v>29791461.006910168</v>
      </c>
      <c r="F145" s="25">
        <f t="shared" si="18"/>
        <v>29791461.006910168</v>
      </c>
      <c r="G145" s="25">
        <f t="shared" si="18"/>
        <v>29791461.006910168</v>
      </c>
      <c r="H145" s="25">
        <f t="shared" si="18"/>
        <v>29791461.006910168</v>
      </c>
      <c r="I145" s="25">
        <f t="shared" si="18"/>
        <v>29791461.006910168</v>
      </c>
      <c r="J145" s="25">
        <f t="shared" si="18"/>
        <v>29791461.006910168</v>
      </c>
      <c r="K145" s="25">
        <f t="shared" si="18"/>
        <v>29791461.006910168</v>
      </c>
      <c r="L145" s="25">
        <f t="shared" si="18"/>
        <v>29791461.006910168</v>
      </c>
    </row>
    <row r="146" spans="1:12" x14ac:dyDescent="0.25">
      <c r="A146" s="72" t="s">
        <v>214</v>
      </c>
      <c r="B146" s="25">
        <f t="shared" ref="B146:L146" si="19">B34</f>
        <v>424000</v>
      </c>
      <c r="C146" s="25">
        <f t="shared" si="19"/>
        <v>424000</v>
      </c>
      <c r="D146" s="25">
        <f t="shared" si="19"/>
        <v>424000</v>
      </c>
      <c r="E146" s="25">
        <f t="shared" si="19"/>
        <v>424000</v>
      </c>
      <c r="F146" s="25">
        <f t="shared" si="19"/>
        <v>424000</v>
      </c>
      <c r="G146" s="25">
        <f t="shared" si="19"/>
        <v>424000</v>
      </c>
      <c r="H146" s="25">
        <f t="shared" si="19"/>
        <v>424000</v>
      </c>
      <c r="I146" s="25">
        <f t="shared" si="19"/>
        <v>424000</v>
      </c>
      <c r="J146" s="25">
        <f t="shared" si="19"/>
        <v>424000</v>
      </c>
      <c r="K146" s="25">
        <f t="shared" si="19"/>
        <v>424000</v>
      </c>
      <c r="L146" s="25">
        <f t="shared" si="19"/>
        <v>424000</v>
      </c>
    </row>
    <row r="147" spans="1:12" ht="15.75" thickBot="1" x14ac:dyDescent="0.3">
      <c r="A147" s="75" t="s">
        <v>207</v>
      </c>
      <c r="B147" s="135"/>
      <c r="C147" s="135"/>
      <c r="D147" s="135"/>
      <c r="E147" s="135"/>
      <c r="F147" s="135"/>
      <c r="G147" s="135"/>
      <c r="H147" s="135"/>
      <c r="I147" s="135"/>
      <c r="J147" s="135"/>
      <c r="K147" s="135"/>
      <c r="L147" s="135"/>
    </row>
    <row r="148" spans="1:12" ht="15.75" thickTop="1" x14ac:dyDescent="0.25">
      <c r="A148" t="s">
        <v>208</v>
      </c>
      <c r="B148" s="7">
        <f>Dispatch!B235</f>
        <v>0</v>
      </c>
      <c r="C148" s="7">
        <f>Dispatch!C235</f>
        <v>0</v>
      </c>
      <c r="D148" s="7">
        <f>Dispatch!D235</f>
        <v>0</v>
      </c>
      <c r="E148" s="7">
        <f>Dispatch!E235</f>
        <v>0</v>
      </c>
      <c r="F148" s="7">
        <f>Dispatch!F235</f>
        <v>0</v>
      </c>
      <c r="G148" s="7">
        <f>Dispatch!G235</f>
        <v>0</v>
      </c>
      <c r="H148" s="7">
        <f>Dispatch!H235</f>
        <v>0</v>
      </c>
      <c r="I148" s="7">
        <f>Dispatch!I235</f>
        <v>0</v>
      </c>
      <c r="J148" s="7">
        <f>Dispatch!J235</f>
        <v>0</v>
      </c>
      <c r="K148" s="7">
        <f>Dispatch!K235</f>
        <v>0</v>
      </c>
      <c r="L148" s="7">
        <f>Dispatch!L235</f>
        <v>0</v>
      </c>
    </row>
    <row r="149" spans="1:12" ht="15.75" thickBot="1" x14ac:dyDescent="0.3">
      <c r="A149" s="91" t="s">
        <v>249</v>
      </c>
      <c r="B149" s="92">
        <f>SUM(B121:B138,B141:B143,B145:B146,B148)</f>
        <v>5226018671.492589</v>
      </c>
      <c r="C149" s="92">
        <f t="shared" ref="C149:L149" si="20">SUM(C121:C138,C141:C143,C145:C146,C148)</f>
        <v>5310054301.4175797</v>
      </c>
      <c r="D149" s="92">
        <f t="shared" si="20"/>
        <v>5163287487.0064888</v>
      </c>
      <c r="E149" s="92">
        <f t="shared" si="20"/>
        <v>5145123347.9728651</v>
      </c>
      <c r="F149" s="92">
        <f t="shared" si="20"/>
        <v>5098752644.9879341</v>
      </c>
      <c r="G149" s="92">
        <f t="shared" si="20"/>
        <v>5078649064.8185072</v>
      </c>
      <c r="H149" s="92">
        <f t="shared" si="20"/>
        <v>5122631740.8772221</v>
      </c>
      <c r="I149" s="92">
        <f t="shared" si="20"/>
        <v>5183184758.6968536</v>
      </c>
      <c r="J149" s="92">
        <f t="shared" si="20"/>
        <v>5228905204.9697208</v>
      </c>
      <c r="K149" s="92">
        <f t="shared" si="20"/>
        <v>5264365007.3675632</v>
      </c>
      <c r="L149" s="92">
        <f t="shared" si="20"/>
        <v>5303891310.5691051</v>
      </c>
    </row>
    <row r="150" spans="1:12" ht="16.5" thickTop="1" thickBot="1" x14ac:dyDescent="0.3">
      <c r="A150" s="90" t="s">
        <v>251</v>
      </c>
      <c r="B150" s="93">
        <f t="shared" ref="B150:L150" si="21">B116-B149</f>
        <v>216096216.32459354</v>
      </c>
      <c r="C150" s="93">
        <f t="shared" si="21"/>
        <v>192995238.09810066</v>
      </c>
      <c r="D150" s="93">
        <f t="shared" si="21"/>
        <v>229433102.36862373</v>
      </c>
      <c r="E150" s="93">
        <f t="shared" si="21"/>
        <v>194125516.25313377</v>
      </c>
      <c r="F150" s="93">
        <f t="shared" si="21"/>
        <v>211749102.60086346</v>
      </c>
      <c r="G150" s="93">
        <f t="shared" si="21"/>
        <v>229090996.32498455</v>
      </c>
      <c r="H150" s="93">
        <f t="shared" si="21"/>
        <v>198585751.41788197</v>
      </c>
      <c r="I150" s="93">
        <f t="shared" si="21"/>
        <v>211660866.07658958</v>
      </c>
      <c r="J150" s="93">
        <f t="shared" si="21"/>
        <v>211619428.28453445</v>
      </c>
      <c r="K150" s="93">
        <f t="shared" si="21"/>
        <v>202575063.84611893</v>
      </c>
      <c r="L150" s="93">
        <f t="shared" si="21"/>
        <v>197933255.24816227</v>
      </c>
    </row>
    <row r="151" spans="1:12" ht="16.5" thickTop="1" thickBot="1" x14ac:dyDescent="0.3">
      <c r="A151" s="90" t="s">
        <v>371</v>
      </c>
      <c r="B151" s="120">
        <f>B150/'Game Assumptions'!$B$17</f>
        <v>0.54024054081148387</v>
      </c>
      <c r="C151" s="120">
        <f>C150/'Game Assumptions'!$B$17</f>
        <v>0.48248809524525166</v>
      </c>
      <c r="D151" s="120">
        <f>D150/'Game Assumptions'!$B$17</f>
        <v>0.57358275592155938</v>
      </c>
      <c r="E151" s="120">
        <f>E150/'Game Assumptions'!$B$17</f>
        <v>0.48531379063283442</v>
      </c>
      <c r="F151" s="120">
        <f>F150/'Game Assumptions'!$B$17</f>
        <v>0.52937275650215865</v>
      </c>
      <c r="G151" s="120">
        <f>G150/'Game Assumptions'!$B$17</f>
        <v>0.57272749081246133</v>
      </c>
      <c r="H151" s="120">
        <f>H150/'Game Assumptions'!$B$17</f>
        <v>0.49646437854470493</v>
      </c>
      <c r="I151" s="120">
        <f>I150/'Game Assumptions'!$B$17</f>
        <v>0.52915216519147401</v>
      </c>
      <c r="J151" s="120">
        <f>J150/'Game Assumptions'!$B$17</f>
        <v>0.52904857071133615</v>
      </c>
      <c r="K151" s="120">
        <f>K150/'Game Assumptions'!$B$17</f>
        <v>0.5064376596152973</v>
      </c>
      <c r="L151" s="120">
        <f>L150/'Game Assumptions'!$B$17</f>
        <v>0.49483313812040569</v>
      </c>
    </row>
    <row r="152" spans="1:12" ht="15.75" thickTop="1" x14ac:dyDescent="0.25"/>
    <row r="153" spans="1:12" x14ac:dyDescent="0.25">
      <c r="B153" s="18"/>
    </row>
    <row r="156" spans="1:12" x14ac:dyDescent="0.25">
      <c r="B156" s="6"/>
    </row>
  </sheetData>
  <conditionalFormatting sqref="A42:XFD42 A46:XFD51 A53:XFD55 A9:XFD9 B122:L123 A121:XFD121 A67:XFD67 B71:XFD76 B78:XFD80 A20:XFD22 A13:XFD18 A132:XFD134 A125:XFD130">
    <cfRule type="expression" dxfId="1" priority="3">
      <formula>$B$2="DR"</formula>
    </cfRule>
  </conditionalFormatting>
  <conditionalFormatting sqref="A71:A76 A78:A80">
    <cfRule type="expression" dxfId="0" priority="1">
      <formula>$B$2="DR"</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theme="7"/>
  </sheetPr>
  <dimension ref="A1:M208"/>
  <sheetViews>
    <sheetView zoomScale="85" zoomScaleNormal="85" workbookViewId="0">
      <selection activeCell="B6" sqref="B5:B6"/>
    </sheetView>
  </sheetViews>
  <sheetFormatPr defaultRowHeight="15" x14ac:dyDescent="0.25"/>
  <cols>
    <col min="1" max="1" width="72.28515625" customWidth="1"/>
    <col min="2" max="2" width="16.85546875" bestFit="1" customWidth="1"/>
    <col min="3" max="3" width="12" customWidth="1"/>
    <col min="4" max="5" width="9.7109375" bestFit="1" customWidth="1"/>
    <col min="6" max="6" width="37.140625" bestFit="1" customWidth="1"/>
    <col min="7" max="7" width="16" customWidth="1"/>
    <col min="8" max="9" width="9.7109375" bestFit="1" customWidth="1"/>
    <col min="10" max="10" width="27.7109375" bestFit="1" customWidth="1"/>
    <col min="11" max="11" width="11.42578125" customWidth="1"/>
    <col min="12" max="12" width="11.28515625" customWidth="1"/>
  </cols>
  <sheetData>
    <row r="1" spans="1:10" ht="19.5" thickBot="1" x14ac:dyDescent="0.35">
      <c r="A1" s="20" t="s">
        <v>14</v>
      </c>
      <c r="B1" s="20"/>
      <c r="C1" s="20"/>
      <c r="D1" s="20"/>
      <c r="E1" s="20"/>
      <c r="F1" s="20"/>
      <c r="G1" s="20"/>
    </row>
    <row r="2" spans="1:10" ht="15.75" thickBot="1" x14ac:dyDescent="0.3">
      <c r="A2" t="s">
        <v>113</v>
      </c>
      <c r="B2" s="88">
        <v>20000000000</v>
      </c>
      <c r="C2" t="s">
        <v>227</v>
      </c>
    </row>
    <row r="3" spans="1:10" ht="15.75" thickBot="1" x14ac:dyDescent="0.3">
      <c r="A3" t="s">
        <v>114</v>
      </c>
      <c r="B3" s="88">
        <v>5000000000</v>
      </c>
      <c r="C3" t="s">
        <v>227</v>
      </c>
      <c r="J3" s="89"/>
    </row>
    <row r="4" spans="1:10" ht="15.75" thickBot="1" x14ac:dyDescent="0.3">
      <c r="A4" t="s">
        <v>115</v>
      </c>
      <c r="B4" s="88">
        <v>10000000000</v>
      </c>
      <c r="C4" t="s">
        <v>227</v>
      </c>
    </row>
    <row r="5" spans="1:10" ht="15.75" thickBot="1" x14ac:dyDescent="0.3">
      <c r="A5" t="s">
        <v>248</v>
      </c>
      <c r="B5" s="104">
        <v>0.08</v>
      </c>
      <c r="C5" t="s">
        <v>227</v>
      </c>
    </row>
    <row r="6" spans="1:10" ht="15.75" thickBot="1" x14ac:dyDescent="0.3">
      <c r="A6" t="s">
        <v>286</v>
      </c>
      <c r="B6" s="81">
        <v>0.05</v>
      </c>
      <c r="C6" t="s">
        <v>227</v>
      </c>
    </row>
    <row r="7" spans="1:10" x14ac:dyDescent="0.25">
      <c r="A7" t="s">
        <v>79</v>
      </c>
      <c r="B7" s="5">
        <v>0.25</v>
      </c>
    </row>
    <row r="8" spans="1:10" x14ac:dyDescent="0.25">
      <c r="A8" t="s">
        <v>111</v>
      </c>
      <c r="B8" s="7">
        <v>5</v>
      </c>
    </row>
    <row r="9" spans="1:10" ht="15.75" thickBot="1" x14ac:dyDescent="0.3">
      <c r="A9" t="s">
        <v>205</v>
      </c>
      <c r="B9" s="7">
        <v>100</v>
      </c>
    </row>
    <row r="10" spans="1:10" ht="15.75" thickBot="1" x14ac:dyDescent="0.3">
      <c r="A10" t="s">
        <v>456</v>
      </c>
      <c r="B10" s="81">
        <v>0.02</v>
      </c>
      <c r="C10" t="s">
        <v>227</v>
      </c>
    </row>
    <row r="11" spans="1:10" ht="15.75" thickBot="1" x14ac:dyDescent="0.3">
      <c r="A11" t="s">
        <v>245</v>
      </c>
      <c r="B11" s="86">
        <v>3.3000000000000002E-2</v>
      </c>
      <c r="C11" t="s">
        <v>227</v>
      </c>
    </row>
    <row r="12" spans="1:10" ht="15.75" thickBot="1" x14ac:dyDescent="0.3">
      <c r="A12" t="s">
        <v>246</v>
      </c>
      <c r="B12" s="86">
        <v>3.3000000000000002E-2</v>
      </c>
    </row>
    <row r="13" spans="1:10" ht="15.75" thickBot="1" x14ac:dyDescent="0.3">
      <c r="A13" t="s">
        <v>247</v>
      </c>
      <c r="B13" s="87">
        <v>3.3000000000000002E-2</v>
      </c>
      <c r="C13" t="s">
        <v>325</v>
      </c>
    </row>
    <row r="14" spans="1:10" x14ac:dyDescent="0.25">
      <c r="A14" t="s">
        <v>287</v>
      </c>
      <c r="B14" s="102">
        <v>20</v>
      </c>
      <c r="C14" s="65"/>
    </row>
    <row r="15" spans="1:10" x14ac:dyDescent="0.25">
      <c r="A15" t="s">
        <v>304</v>
      </c>
      <c r="B15" s="82">
        <v>0.06</v>
      </c>
      <c r="C15" s="65"/>
    </row>
    <row r="16" spans="1:10" x14ac:dyDescent="0.25">
      <c r="A16" t="s">
        <v>305</v>
      </c>
      <c r="B16" s="82">
        <v>0.03</v>
      </c>
      <c r="C16" s="65"/>
    </row>
    <row r="17" spans="1:11" x14ac:dyDescent="0.25">
      <c r="A17" t="s">
        <v>370</v>
      </c>
      <c r="B17" s="119">
        <f>IF(OR(INDEX(BizModelSelected,1,1)=1,INDEX(BizModelSelected,2,1)=1),80*10^7,40*10^7)</f>
        <v>400000000</v>
      </c>
      <c r="C17" s="65"/>
    </row>
    <row r="18" spans="1:11" x14ac:dyDescent="0.25">
      <c r="B18" s="82"/>
      <c r="C18" s="65"/>
    </row>
    <row r="19" spans="1:11" ht="18.75" x14ac:dyDescent="0.3">
      <c r="A19" s="20" t="s">
        <v>274</v>
      </c>
      <c r="B19" s="97"/>
      <c r="C19" s="65"/>
    </row>
    <row r="20" spans="1:11" x14ac:dyDescent="0.25">
      <c r="A20" t="s">
        <v>271</v>
      </c>
      <c r="B20" s="7">
        <v>3</v>
      </c>
      <c r="C20" s="65"/>
    </row>
    <row r="21" spans="1:11" x14ac:dyDescent="0.25">
      <c r="A21" t="s">
        <v>275</v>
      </c>
      <c r="B21" s="5">
        <v>0.28000000000000003</v>
      </c>
    </row>
    <row r="22" spans="1:11" x14ac:dyDescent="0.25">
      <c r="A22" t="s">
        <v>276</v>
      </c>
      <c r="B22" s="18">
        <v>0.3</v>
      </c>
    </row>
    <row r="23" spans="1:11" ht="15.75" thickBot="1" x14ac:dyDescent="0.3">
      <c r="A23" t="s">
        <v>365</v>
      </c>
      <c r="B23" s="7">
        <v>30</v>
      </c>
    </row>
    <row r="24" spans="1:11" ht="15.75" thickBot="1" x14ac:dyDescent="0.3">
      <c r="A24" t="s">
        <v>374</v>
      </c>
      <c r="B24" s="153">
        <f>B155/8760/B75*0.05*(SUM(B85:F86)/SUM(B85:F87))</f>
        <v>359.88512800297639</v>
      </c>
    </row>
    <row r="26" spans="1:11" ht="18.75" x14ac:dyDescent="0.3">
      <c r="A26" s="20" t="s">
        <v>59</v>
      </c>
      <c r="B26" s="21"/>
      <c r="C26" s="21"/>
      <c r="D26" s="21"/>
      <c r="E26" s="21"/>
      <c r="F26" s="21"/>
      <c r="G26" s="21"/>
      <c r="H26" s="21"/>
      <c r="I26" s="21"/>
      <c r="J26" s="21"/>
      <c r="K26" s="21"/>
    </row>
    <row r="27" spans="1:11" x14ac:dyDescent="0.25">
      <c r="A27" s="9" t="s">
        <v>48</v>
      </c>
      <c r="B27" s="9"/>
      <c r="F27" s="9" t="s">
        <v>50</v>
      </c>
      <c r="G27" s="9"/>
      <c r="J27" s="9" t="s">
        <v>128</v>
      </c>
      <c r="K27" s="3"/>
    </row>
    <row r="28" spans="1:11" x14ac:dyDescent="0.25">
      <c r="A28" t="s">
        <v>7</v>
      </c>
      <c r="B28">
        <v>40</v>
      </c>
      <c r="C28" t="s">
        <v>25</v>
      </c>
      <c r="F28" t="s">
        <v>7</v>
      </c>
      <c r="G28" s="7">
        <f>AVERAGE(3000,8400)*1000</f>
        <v>5700000</v>
      </c>
      <c r="H28" t="s">
        <v>25</v>
      </c>
      <c r="J28" t="s">
        <v>7</v>
      </c>
      <c r="K28">
        <v>1.075</v>
      </c>
    </row>
    <row r="29" spans="1:11" x14ac:dyDescent="0.25">
      <c r="A29" t="s">
        <v>8</v>
      </c>
      <c r="B29">
        <v>20</v>
      </c>
      <c r="C29" t="s">
        <v>25</v>
      </c>
      <c r="F29" t="s">
        <v>8</v>
      </c>
      <c r="G29" s="7">
        <f>AVERAGE(1000,1300)*1000</f>
        <v>1150000</v>
      </c>
      <c r="H29" t="s">
        <v>25</v>
      </c>
      <c r="J29" t="s">
        <v>8</v>
      </c>
      <c r="K29">
        <v>0.60499999999999998</v>
      </c>
    </row>
    <row r="30" spans="1:11" x14ac:dyDescent="0.25">
      <c r="A30" t="s">
        <v>13</v>
      </c>
      <c r="B30">
        <v>40</v>
      </c>
      <c r="C30" t="s">
        <v>25</v>
      </c>
      <c r="F30" t="s">
        <v>13</v>
      </c>
      <c r="G30" s="7">
        <f>AVERAGE(5400,8200)*1000</f>
        <v>6800000</v>
      </c>
      <c r="H30" t="s">
        <v>25</v>
      </c>
      <c r="J30" t="s">
        <v>13</v>
      </c>
      <c r="K30">
        <v>0</v>
      </c>
    </row>
    <row r="31" spans="1:11" x14ac:dyDescent="0.25">
      <c r="A31" t="s">
        <v>9</v>
      </c>
      <c r="B31">
        <v>30</v>
      </c>
      <c r="C31" t="s">
        <v>25</v>
      </c>
      <c r="F31" t="s">
        <v>9</v>
      </c>
      <c r="G31" s="7">
        <f>AVERAGE(1750,1500,1600,1400)*1000</f>
        <v>1562500</v>
      </c>
      <c r="H31" t="s">
        <v>25</v>
      </c>
      <c r="J31" t="s">
        <v>9</v>
      </c>
      <c r="K31">
        <v>0</v>
      </c>
    </row>
    <row r="32" spans="1:11" x14ac:dyDescent="0.25">
      <c r="A32" t="s">
        <v>10</v>
      </c>
      <c r="B32">
        <v>20</v>
      </c>
      <c r="C32" t="s">
        <v>25</v>
      </c>
      <c r="F32" t="s">
        <v>10</v>
      </c>
      <c r="G32" s="7">
        <f>AVERAGE(1250,1700)*1000</f>
        <v>1475000</v>
      </c>
      <c r="H32" t="s">
        <v>25</v>
      </c>
      <c r="J32" t="s">
        <v>10</v>
      </c>
      <c r="K32">
        <v>0</v>
      </c>
    </row>
    <row r="33" spans="1:11" x14ac:dyDescent="0.25">
      <c r="A33" t="s">
        <v>11</v>
      </c>
      <c r="B33">
        <v>60</v>
      </c>
      <c r="C33" t="s">
        <v>49</v>
      </c>
      <c r="F33" t="s">
        <v>11</v>
      </c>
      <c r="G33" s="7">
        <v>2936000</v>
      </c>
      <c r="H33" t="s">
        <v>295</v>
      </c>
      <c r="J33" t="s">
        <v>11</v>
      </c>
      <c r="K33">
        <v>0</v>
      </c>
    </row>
    <row r="34" spans="1:11" x14ac:dyDescent="0.25">
      <c r="A34" t="s">
        <v>12</v>
      </c>
      <c r="B34">
        <v>10</v>
      </c>
      <c r="C34" t="s">
        <v>49</v>
      </c>
      <c r="F34" t="s">
        <v>12</v>
      </c>
      <c r="G34" s="7">
        <f>0.054*1000*8760</f>
        <v>473040</v>
      </c>
      <c r="H34" t="s">
        <v>299</v>
      </c>
      <c r="J34" t="s">
        <v>12</v>
      </c>
      <c r="K34">
        <v>0</v>
      </c>
    </row>
    <row r="35" spans="1:11" x14ac:dyDescent="0.25">
      <c r="A35" t="s">
        <v>293</v>
      </c>
      <c r="B35" t="s">
        <v>297</v>
      </c>
      <c r="F35" t="s">
        <v>293</v>
      </c>
      <c r="G35" s="7">
        <f>900*1000</f>
        <v>900000</v>
      </c>
      <c r="H35" t="s">
        <v>25</v>
      </c>
    </row>
    <row r="36" spans="1:11" x14ac:dyDescent="0.25">
      <c r="A36" t="s">
        <v>294</v>
      </c>
      <c r="B36" t="s">
        <v>297</v>
      </c>
      <c r="F36" t="s">
        <v>294</v>
      </c>
      <c r="G36" s="7">
        <f>AVERAGE(513,1263)*1000*100/25</f>
        <v>3552000</v>
      </c>
      <c r="H36" t="s">
        <v>25</v>
      </c>
    </row>
    <row r="37" spans="1:11" x14ac:dyDescent="0.25">
      <c r="A37" t="s">
        <v>148</v>
      </c>
      <c r="B37" t="s">
        <v>297</v>
      </c>
      <c r="F37" t="s">
        <v>148</v>
      </c>
      <c r="G37" s="7">
        <v>5288000</v>
      </c>
      <c r="H37" t="s">
        <v>295</v>
      </c>
    </row>
    <row r="38" spans="1:11" x14ac:dyDescent="0.25">
      <c r="A38" t="s">
        <v>278</v>
      </c>
      <c r="B38">
        <v>10</v>
      </c>
      <c r="C38" t="s">
        <v>298</v>
      </c>
      <c r="F38" t="s">
        <v>278</v>
      </c>
      <c r="G38" s="7">
        <f>2.74*1000*B38</f>
        <v>27400</v>
      </c>
      <c r="H38" t="s">
        <v>25</v>
      </c>
    </row>
    <row r="40" spans="1:11" x14ac:dyDescent="0.25">
      <c r="A40" s="9" t="s">
        <v>51</v>
      </c>
      <c r="B40" s="9"/>
      <c r="F40" s="9" t="s">
        <v>58</v>
      </c>
      <c r="G40" s="3"/>
      <c r="J40" s="9" t="s">
        <v>253</v>
      </c>
      <c r="K40" s="3"/>
    </row>
    <row r="41" spans="1:11" x14ac:dyDescent="0.25">
      <c r="A41" t="s">
        <v>7</v>
      </c>
      <c r="B41" s="19">
        <v>31188</v>
      </c>
      <c r="C41" t="s">
        <v>25</v>
      </c>
      <c r="F41" t="s">
        <v>7</v>
      </c>
      <c r="G41" s="15">
        <v>4.47</v>
      </c>
      <c r="H41" t="s">
        <v>25</v>
      </c>
      <c r="J41" t="s">
        <v>7</v>
      </c>
      <c r="K41" s="16">
        <v>4000</v>
      </c>
    </row>
    <row r="42" spans="1:11" x14ac:dyDescent="0.25">
      <c r="A42" t="s">
        <v>8</v>
      </c>
      <c r="B42" s="19">
        <v>11429</v>
      </c>
      <c r="C42" t="s">
        <v>25</v>
      </c>
      <c r="F42" t="s">
        <v>8</v>
      </c>
      <c r="G42" s="15">
        <v>6.63</v>
      </c>
      <c r="H42" t="s">
        <v>25</v>
      </c>
      <c r="J42" t="s">
        <v>8</v>
      </c>
      <c r="K42" s="16">
        <v>8000</v>
      </c>
    </row>
    <row r="43" spans="1:11" ht="15.75" thickBot="1" x14ac:dyDescent="0.3">
      <c r="A43" t="s">
        <v>13</v>
      </c>
      <c r="B43" s="19">
        <v>93280</v>
      </c>
      <c r="C43" t="s">
        <v>25</v>
      </c>
      <c r="F43" t="s">
        <v>13</v>
      </c>
      <c r="G43" s="15">
        <v>2.14</v>
      </c>
      <c r="H43" t="s">
        <v>25</v>
      </c>
      <c r="J43" t="s">
        <v>13</v>
      </c>
      <c r="K43" s="16">
        <v>2000</v>
      </c>
    </row>
    <row r="44" spans="1:11" ht="15.75" thickBot="1" x14ac:dyDescent="0.3">
      <c r="A44" t="s">
        <v>9</v>
      </c>
      <c r="B44" s="19">
        <v>24690</v>
      </c>
      <c r="C44" t="s">
        <v>25</v>
      </c>
      <c r="F44" t="s">
        <v>9</v>
      </c>
      <c r="G44" s="63">
        <v>0.01</v>
      </c>
      <c r="H44" s="4" t="s">
        <v>130</v>
      </c>
      <c r="J44" t="s">
        <v>9</v>
      </c>
      <c r="K44" s="16">
        <v>200</v>
      </c>
    </row>
    <row r="45" spans="1:11" ht="15.75" thickBot="1" x14ac:dyDescent="0.3">
      <c r="A45" t="s">
        <v>10</v>
      </c>
      <c r="B45" s="19">
        <v>39550</v>
      </c>
      <c r="C45" t="s">
        <v>25</v>
      </c>
      <c r="F45" t="s">
        <v>10</v>
      </c>
      <c r="G45" s="63">
        <v>0.02</v>
      </c>
      <c r="H45" s="4" t="s">
        <v>130</v>
      </c>
      <c r="J45" t="s">
        <v>10</v>
      </c>
      <c r="K45" s="16">
        <v>200</v>
      </c>
    </row>
    <row r="46" spans="1:11" x14ac:dyDescent="0.25">
      <c r="A46" t="s">
        <v>11</v>
      </c>
      <c r="B46" s="19">
        <v>14130</v>
      </c>
      <c r="C46" t="s">
        <v>295</v>
      </c>
      <c r="F46" t="s">
        <v>11</v>
      </c>
      <c r="G46" s="15">
        <v>7</v>
      </c>
      <c r="H46" t="s">
        <v>24</v>
      </c>
      <c r="J46" t="s">
        <v>11</v>
      </c>
      <c r="K46" s="16">
        <v>200</v>
      </c>
    </row>
    <row r="47" spans="1:11" x14ac:dyDescent="0.25">
      <c r="A47" t="s">
        <v>12</v>
      </c>
      <c r="B47" s="19">
        <v>0</v>
      </c>
      <c r="C47" t="s">
        <v>25</v>
      </c>
      <c r="F47" t="s">
        <v>12</v>
      </c>
      <c r="G47" s="15">
        <v>0</v>
      </c>
      <c r="H47" s="4"/>
      <c r="J47" t="s">
        <v>12</v>
      </c>
      <c r="K47" s="16">
        <v>200</v>
      </c>
    </row>
    <row r="48" spans="1:11" x14ac:dyDescent="0.25">
      <c r="A48" t="s">
        <v>293</v>
      </c>
      <c r="B48" s="7">
        <f>AVERAGE(5,25)*1000</f>
        <v>15000</v>
      </c>
      <c r="J48" t="s">
        <v>369</v>
      </c>
      <c r="K48" s="16">
        <v>50</v>
      </c>
    </row>
    <row r="49" spans="1:12" x14ac:dyDescent="0.25">
      <c r="A49" t="s">
        <v>294</v>
      </c>
      <c r="B49" s="7">
        <v>0</v>
      </c>
      <c r="C49" t="s">
        <v>25</v>
      </c>
    </row>
    <row r="50" spans="1:12" x14ac:dyDescent="0.25">
      <c r="A50" t="s">
        <v>148</v>
      </c>
      <c r="B50" s="7">
        <v>18000</v>
      </c>
      <c r="C50" t="s">
        <v>295</v>
      </c>
      <c r="K50" s="16"/>
    </row>
    <row r="51" spans="1:12" x14ac:dyDescent="0.25">
      <c r="A51" t="s">
        <v>278</v>
      </c>
      <c r="B51" s="7">
        <f>22.18*1000</f>
        <v>22180</v>
      </c>
      <c r="C51" t="s">
        <v>296</v>
      </c>
      <c r="K51" s="16"/>
    </row>
    <row r="52" spans="1:12" x14ac:dyDescent="0.25">
      <c r="K52" s="16"/>
    </row>
    <row r="53" spans="1:12" x14ac:dyDescent="0.25">
      <c r="A53" s="9" t="s">
        <v>63</v>
      </c>
      <c r="B53" s="9"/>
      <c r="F53" s="9" t="s">
        <v>94</v>
      </c>
      <c r="G53" s="3"/>
      <c r="H53" s="3"/>
      <c r="J53" s="9" t="s">
        <v>448</v>
      </c>
      <c r="K53" s="9"/>
    </row>
    <row r="54" spans="1:12" x14ac:dyDescent="0.25">
      <c r="A54" t="s">
        <v>7</v>
      </c>
      <c r="B54">
        <v>10.375</v>
      </c>
      <c r="C54" t="s">
        <v>25</v>
      </c>
      <c r="G54" t="s">
        <v>95</v>
      </c>
      <c r="H54" t="s">
        <v>96</v>
      </c>
      <c r="K54" t="s">
        <v>543</v>
      </c>
      <c r="L54" t="s">
        <v>544</v>
      </c>
    </row>
    <row r="55" spans="1:12" x14ac:dyDescent="0.25">
      <c r="A55" t="s">
        <v>8</v>
      </c>
      <c r="B55">
        <v>6.8</v>
      </c>
      <c r="C55" t="s">
        <v>25</v>
      </c>
      <c r="F55" t="s">
        <v>7</v>
      </c>
      <c r="G55">
        <v>0.6</v>
      </c>
      <c r="H55">
        <v>0.6</v>
      </c>
      <c r="J55" t="s">
        <v>293</v>
      </c>
      <c r="K55">
        <v>0.05</v>
      </c>
      <c r="L55">
        <v>1</v>
      </c>
    </row>
    <row r="56" spans="1:12" x14ac:dyDescent="0.25">
      <c r="A56" t="s">
        <v>13</v>
      </c>
      <c r="B56">
        <v>10.45</v>
      </c>
      <c r="C56" t="s">
        <v>25</v>
      </c>
      <c r="F56" t="s">
        <v>8</v>
      </c>
      <c r="G56">
        <v>0.6</v>
      </c>
      <c r="H56">
        <v>0.8</v>
      </c>
      <c r="J56" t="s">
        <v>294</v>
      </c>
      <c r="K56">
        <v>0.05</v>
      </c>
      <c r="L56">
        <v>1</v>
      </c>
    </row>
    <row r="57" spans="1:12" x14ac:dyDescent="0.25">
      <c r="A57" t="s">
        <v>9</v>
      </c>
      <c r="B57">
        <v>0</v>
      </c>
      <c r="C57" t="s">
        <v>25</v>
      </c>
      <c r="F57" t="s">
        <v>13</v>
      </c>
      <c r="G57">
        <v>0.9</v>
      </c>
      <c r="H57">
        <v>0.9</v>
      </c>
      <c r="J57" t="s">
        <v>148</v>
      </c>
      <c r="K57">
        <v>0.05</v>
      </c>
      <c r="L57">
        <v>1</v>
      </c>
    </row>
    <row r="58" spans="1:12" x14ac:dyDescent="0.25">
      <c r="A58" t="s">
        <v>10</v>
      </c>
      <c r="B58">
        <v>0</v>
      </c>
      <c r="C58" t="s">
        <v>25</v>
      </c>
      <c r="F58" t="s">
        <v>9</v>
      </c>
      <c r="G58">
        <v>0.25</v>
      </c>
      <c r="H58">
        <v>0.7</v>
      </c>
      <c r="J58" t="s">
        <v>278</v>
      </c>
      <c r="K58">
        <v>0.05</v>
      </c>
      <c r="L58">
        <v>1</v>
      </c>
    </row>
    <row r="59" spans="1:12" x14ac:dyDescent="0.25">
      <c r="A59" t="s">
        <v>11</v>
      </c>
      <c r="B59">
        <v>0</v>
      </c>
      <c r="C59" t="s">
        <v>25</v>
      </c>
      <c r="F59" t="s">
        <v>10</v>
      </c>
      <c r="G59">
        <v>0.3</v>
      </c>
      <c r="H59">
        <v>0.3</v>
      </c>
    </row>
    <row r="60" spans="1:12" x14ac:dyDescent="0.25">
      <c r="A60" t="s">
        <v>12</v>
      </c>
      <c r="B60">
        <v>0</v>
      </c>
      <c r="C60" t="s">
        <v>25</v>
      </c>
      <c r="F60" t="s">
        <v>11</v>
      </c>
      <c r="G60">
        <v>0.6</v>
      </c>
      <c r="H60">
        <v>0.6</v>
      </c>
    </row>
    <row r="61" spans="1:12" x14ac:dyDescent="0.25">
      <c r="F61" t="s">
        <v>12</v>
      </c>
      <c r="G61">
        <v>1</v>
      </c>
      <c r="H61">
        <v>1</v>
      </c>
    </row>
    <row r="62" spans="1:12" x14ac:dyDescent="0.25">
      <c r="F62" t="s">
        <v>369</v>
      </c>
      <c r="G62">
        <v>0.25</v>
      </c>
      <c r="H62">
        <v>0.7</v>
      </c>
    </row>
    <row r="66" spans="1:13" ht="18.75" x14ac:dyDescent="0.3">
      <c r="A66" s="20" t="s">
        <v>61</v>
      </c>
      <c r="B66" s="21"/>
      <c r="C66" s="21"/>
      <c r="D66" s="21"/>
      <c r="E66" s="21"/>
      <c r="F66" s="21"/>
      <c r="G66" s="21"/>
      <c r="H66" s="21"/>
      <c r="I66" s="21"/>
      <c r="J66" s="21"/>
      <c r="K66" s="21"/>
      <c r="L66" s="21"/>
      <c r="M66" s="21"/>
    </row>
    <row r="67" spans="1:13" x14ac:dyDescent="0.25">
      <c r="A67" s="1" t="s">
        <v>19</v>
      </c>
      <c r="B67" s="1">
        <v>0</v>
      </c>
      <c r="C67" s="1">
        <v>1</v>
      </c>
      <c r="D67" s="1">
        <v>2</v>
      </c>
      <c r="E67" s="1">
        <v>3</v>
      </c>
      <c r="F67" s="1">
        <v>4</v>
      </c>
      <c r="G67" s="1">
        <v>5</v>
      </c>
      <c r="H67" s="1">
        <v>6</v>
      </c>
      <c r="I67" s="1">
        <v>7</v>
      </c>
      <c r="J67" s="1">
        <v>8</v>
      </c>
      <c r="K67" s="1">
        <v>9</v>
      </c>
      <c r="L67" s="1">
        <v>10</v>
      </c>
      <c r="M67" s="1" t="s">
        <v>23</v>
      </c>
    </row>
    <row r="68" spans="1:13" x14ac:dyDescent="0.25">
      <c r="A68" t="s">
        <v>16</v>
      </c>
      <c r="B68">
        <v>2.34</v>
      </c>
      <c r="C68">
        <v>2.27</v>
      </c>
      <c r="D68">
        <v>2.2599999999999998</v>
      </c>
      <c r="E68">
        <v>2.25</v>
      </c>
      <c r="F68">
        <v>2.27</v>
      </c>
      <c r="G68">
        <v>2.2999999999999998</v>
      </c>
      <c r="H68">
        <v>2.34</v>
      </c>
      <c r="I68">
        <v>2.38</v>
      </c>
      <c r="J68">
        <v>2.42</v>
      </c>
      <c r="K68">
        <v>2.4500000000000002</v>
      </c>
      <c r="L68">
        <v>2.48</v>
      </c>
      <c r="M68" t="s">
        <v>24</v>
      </c>
    </row>
    <row r="69" spans="1:13" x14ac:dyDescent="0.25">
      <c r="A69" t="s">
        <v>17</v>
      </c>
      <c r="B69">
        <v>4.4000000000000004</v>
      </c>
      <c r="C69">
        <v>5.04</v>
      </c>
      <c r="D69">
        <v>4.38</v>
      </c>
      <c r="E69">
        <v>4.42</v>
      </c>
      <c r="F69">
        <v>4.4000000000000004</v>
      </c>
      <c r="G69">
        <v>4.53</v>
      </c>
      <c r="H69">
        <v>4.96</v>
      </c>
      <c r="I69">
        <v>5.39</v>
      </c>
      <c r="J69">
        <v>5.65</v>
      </c>
      <c r="K69">
        <v>5.8</v>
      </c>
      <c r="L69">
        <v>5.97</v>
      </c>
      <c r="M69" t="s">
        <v>24</v>
      </c>
    </row>
    <row r="70" spans="1:13" x14ac:dyDescent="0.25">
      <c r="A70" t="s">
        <v>18</v>
      </c>
      <c r="B70" s="10">
        <v>0.85</v>
      </c>
      <c r="C70" s="10">
        <v>0.85</v>
      </c>
      <c r="D70" s="10">
        <v>0.85</v>
      </c>
      <c r="E70" s="10">
        <v>0.85</v>
      </c>
      <c r="F70" s="10">
        <v>0.85</v>
      </c>
      <c r="G70" s="10">
        <v>0.85</v>
      </c>
      <c r="H70" s="10">
        <v>0.85</v>
      </c>
      <c r="I70" s="10">
        <v>0.85</v>
      </c>
      <c r="J70" s="10">
        <v>0.85</v>
      </c>
      <c r="K70" s="10">
        <v>0.85</v>
      </c>
      <c r="L70" s="10">
        <v>0.85</v>
      </c>
      <c r="M70" s="10" t="s">
        <v>25</v>
      </c>
    </row>
    <row r="72" spans="1:13" ht="19.5" thickBot="1" x14ac:dyDescent="0.35">
      <c r="A72" s="20" t="s">
        <v>87</v>
      </c>
      <c r="B72" s="21"/>
      <c r="C72" s="21"/>
    </row>
    <row r="73" spans="1:13" ht="15.75" thickBot="1" x14ac:dyDescent="0.3">
      <c r="A73" s="42" t="s">
        <v>88</v>
      </c>
      <c r="B73" s="48">
        <v>0.02</v>
      </c>
      <c r="C73" t="s">
        <v>100</v>
      </c>
    </row>
    <row r="74" spans="1:13" x14ac:dyDescent="0.25">
      <c r="A74" s="43" t="s">
        <v>90</v>
      </c>
      <c r="B74" s="18">
        <v>0.15</v>
      </c>
      <c r="C74" t="s">
        <v>91</v>
      </c>
    </row>
    <row r="75" spans="1:13" ht="15.75" thickBot="1" x14ac:dyDescent="0.3">
      <c r="A75" s="43" t="s">
        <v>89</v>
      </c>
      <c r="B75" s="44">
        <v>0.7</v>
      </c>
    </row>
    <row r="76" spans="1:13" ht="15.75" thickBot="1" x14ac:dyDescent="0.3">
      <c r="A76" t="s">
        <v>223</v>
      </c>
      <c r="B76" s="48">
        <v>0.05</v>
      </c>
      <c r="C76" t="s">
        <v>224</v>
      </c>
    </row>
    <row r="77" spans="1:13" ht="15.75" thickBot="1" x14ac:dyDescent="0.3">
      <c r="A77" t="s">
        <v>229</v>
      </c>
      <c r="B77" s="82">
        <v>5.8000000000000003E-2</v>
      </c>
      <c r="C77" s="65" t="s">
        <v>228</v>
      </c>
    </row>
    <row r="78" spans="1:13" ht="15.75" thickBot="1" x14ac:dyDescent="0.3">
      <c r="A78" t="s">
        <v>360</v>
      </c>
      <c r="B78" s="114">
        <v>0.03</v>
      </c>
      <c r="C78" t="s">
        <v>227</v>
      </c>
    </row>
    <row r="80" spans="1:13" ht="18.75" x14ac:dyDescent="0.3">
      <c r="A80" s="20" t="s">
        <v>76</v>
      </c>
      <c r="B80" s="20"/>
      <c r="C80" s="20"/>
      <c r="D80" s="20"/>
      <c r="E80" s="20"/>
      <c r="F80" s="20"/>
      <c r="G80" s="20"/>
      <c r="H80" s="20"/>
      <c r="I80" s="20"/>
      <c r="J80" s="20"/>
      <c r="K80" s="20"/>
      <c r="L80" s="21"/>
    </row>
    <row r="81" spans="1:12" x14ac:dyDescent="0.25">
      <c r="A81" s="9" t="s">
        <v>230</v>
      </c>
      <c r="B81" s="9">
        <v>0</v>
      </c>
      <c r="C81" s="9">
        <v>1</v>
      </c>
      <c r="D81" s="9">
        <v>2</v>
      </c>
      <c r="E81" s="9">
        <v>3</v>
      </c>
      <c r="F81" s="9">
        <v>4</v>
      </c>
      <c r="G81" s="9">
        <v>5</v>
      </c>
      <c r="H81" s="9">
        <v>6</v>
      </c>
      <c r="I81" s="9">
        <v>7</v>
      </c>
      <c r="J81" s="9">
        <v>8</v>
      </c>
      <c r="K81" s="9">
        <v>9</v>
      </c>
      <c r="L81" s="9">
        <v>10</v>
      </c>
    </row>
    <row r="82" spans="1:12" x14ac:dyDescent="0.25">
      <c r="A82" t="s">
        <v>231</v>
      </c>
      <c r="B82" s="16">
        <v>5000000</v>
      </c>
      <c r="C82" s="16">
        <v>5000000</v>
      </c>
      <c r="D82" s="16">
        <v>5000000</v>
      </c>
      <c r="E82" s="16">
        <v>5000000</v>
      </c>
      <c r="F82" s="16">
        <v>5000000</v>
      </c>
      <c r="G82" s="16">
        <v>5000000</v>
      </c>
      <c r="H82" s="16">
        <v>5000000</v>
      </c>
      <c r="I82" s="16">
        <v>5000000</v>
      </c>
      <c r="J82" s="16">
        <v>5000000</v>
      </c>
      <c r="K82" s="16">
        <v>5000000</v>
      </c>
      <c r="L82" s="16">
        <v>5000000</v>
      </c>
    </row>
    <row r="83" spans="1:12" x14ac:dyDescent="0.25">
      <c r="A83" s="16"/>
      <c r="B83" s="16"/>
      <c r="C83" s="16"/>
      <c r="D83" s="16"/>
      <c r="E83" s="16"/>
      <c r="F83" s="16"/>
      <c r="G83" s="16"/>
      <c r="H83" s="16"/>
      <c r="I83" s="16"/>
      <c r="J83" s="16"/>
      <c r="K83" s="16"/>
    </row>
    <row r="84" spans="1:12" x14ac:dyDescent="0.25">
      <c r="A84" s="83" t="s">
        <v>235</v>
      </c>
      <c r="B84" s="83">
        <v>2010</v>
      </c>
      <c r="C84" s="83">
        <v>2011</v>
      </c>
      <c r="D84" s="83">
        <v>2012</v>
      </c>
      <c r="E84" s="83">
        <v>2013</v>
      </c>
      <c r="F84" s="83">
        <v>2014</v>
      </c>
      <c r="G84" s="16"/>
      <c r="H84" s="16"/>
      <c r="I84" s="16"/>
      <c r="J84" s="16"/>
      <c r="K84" s="16"/>
    </row>
    <row r="85" spans="1:12" x14ac:dyDescent="0.25">
      <c r="A85" s="16" t="s">
        <v>232</v>
      </c>
      <c r="B85" s="16">
        <v>1445708</v>
      </c>
      <c r="C85" s="16">
        <v>1422801</v>
      </c>
      <c r="D85" s="16">
        <v>1374515</v>
      </c>
      <c r="E85" s="16">
        <v>1394812</v>
      </c>
      <c r="F85" s="16">
        <v>1407208</v>
      </c>
      <c r="G85" s="16"/>
      <c r="H85" s="16"/>
      <c r="I85" s="16"/>
      <c r="J85" s="16"/>
      <c r="K85" s="16"/>
    </row>
    <row r="86" spans="1:12" x14ac:dyDescent="0.25">
      <c r="A86" s="16" t="s">
        <v>233</v>
      </c>
      <c r="B86" s="16">
        <v>1330199</v>
      </c>
      <c r="C86" s="16">
        <v>1328057</v>
      </c>
      <c r="D86" s="16">
        <v>1327101</v>
      </c>
      <c r="E86" s="16">
        <v>1337079</v>
      </c>
      <c r="F86" s="16">
        <v>1352158</v>
      </c>
      <c r="G86" s="16"/>
      <c r="H86" s="16"/>
      <c r="I86" s="16"/>
      <c r="J86" s="16"/>
      <c r="K86" s="16"/>
    </row>
    <row r="87" spans="1:12" x14ac:dyDescent="0.25">
      <c r="A87" s="16" t="s">
        <v>234</v>
      </c>
      <c r="B87" s="16">
        <v>971221</v>
      </c>
      <c r="C87" s="16">
        <v>991316</v>
      </c>
      <c r="D87" s="16">
        <v>985714</v>
      </c>
      <c r="E87" s="16">
        <v>985352</v>
      </c>
      <c r="F87" s="16">
        <v>997576</v>
      </c>
      <c r="G87" s="16"/>
      <c r="H87" s="16"/>
      <c r="I87" s="16"/>
      <c r="J87" s="16"/>
      <c r="K87" s="16"/>
    </row>
    <row r="88" spans="1:12" x14ac:dyDescent="0.25">
      <c r="A88" s="16"/>
      <c r="B88" s="16"/>
      <c r="C88" s="16"/>
      <c r="D88" s="16"/>
      <c r="E88" s="16"/>
      <c r="F88" s="16"/>
      <c r="G88" s="16"/>
      <c r="H88" s="16"/>
      <c r="I88" s="16"/>
      <c r="J88" s="16"/>
      <c r="K88" s="16"/>
    </row>
    <row r="89" spans="1:12" x14ac:dyDescent="0.25">
      <c r="A89" s="83" t="s">
        <v>236</v>
      </c>
      <c r="B89" s="83">
        <v>2010</v>
      </c>
      <c r="C89" s="83">
        <v>2011</v>
      </c>
      <c r="D89" s="83">
        <v>2012</v>
      </c>
      <c r="E89" s="83">
        <v>2013</v>
      </c>
      <c r="F89" s="83">
        <v>2014</v>
      </c>
      <c r="G89" s="83" t="s">
        <v>95</v>
      </c>
      <c r="H89" s="16"/>
      <c r="I89" s="16"/>
      <c r="J89" s="16"/>
      <c r="K89" s="16"/>
    </row>
    <row r="90" spans="1:12" x14ac:dyDescent="0.25">
      <c r="A90" s="16" t="s">
        <v>232</v>
      </c>
      <c r="B90" s="5">
        <f>B85/SUM(B$85:B$87)</f>
        <v>0.38581761818651511</v>
      </c>
      <c r="C90" s="5">
        <f>C85/SUM(C$85:C$87)</f>
        <v>0.38020706680127647</v>
      </c>
      <c r="D90" s="5">
        <f>D85/SUM(D$85:D$87)</f>
        <v>0.37276701569970683</v>
      </c>
      <c r="E90" s="5">
        <f>E85/SUM(E$85:E$87)</f>
        <v>0.37522755439986033</v>
      </c>
      <c r="F90" s="5">
        <f>F85/SUM(F$85:F$87)</f>
        <v>0.37456207734907804</v>
      </c>
      <c r="G90" s="5">
        <f>AVERAGE(B90:F90)</f>
        <v>0.3777162664872874</v>
      </c>
      <c r="H90" s="16"/>
      <c r="I90" s="16"/>
      <c r="J90" s="16"/>
      <c r="K90" s="16"/>
    </row>
    <row r="91" spans="1:12" x14ac:dyDescent="0.25">
      <c r="A91" s="16" t="s">
        <v>233</v>
      </c>
      <c r="B91" s="5">
        <f t="shared" ref="B91:F92" si="0">B86/SUM(B$85:B$87)</f>
        <v>0.35499160957405246</v>
      </c>
      <c r="C91" s="5">
        <f t="shared" si="0"/>
        <v>0.35488916335798387</v>
      </c>
      <c r="D91" s="5">
        <f t="shared" si="0"/>
        <v>0.35990838899691646</v>
      </c>
      <c r="E91" s="5">
        <f t="shared" si="0"/>
        <v>0.35969642016946429</v>
      </c>
      <c r="F91" s="5">
        <f t="shared" si="0"/>
        <v>0.3599092027505349</v>
      </c>
      <c r="G91" s="5">
        <f>AVERAGE(B91:F91)</f>
        <v>0.35787895696979038</v>
      </c>
      <c r="H91" s="16"/>
      <c r="I91" s="16"/>
      <c r="J91" s="16"/>
      <c r="K91" s="16"/>
    </row>
    <row r="92" spans="1:12" x14ac:dyDescent="0.25">
      <c r="A92" s="16" t="s">
        <v>234</v>
      </c>
      <c r="B92" s="5">
        <f t="shared" si="0"/>
        <v>0.25919077223943243</v>
      </c>
      <c r="C92" s="5">
        <f t="shared" si="0"/>
        <v>0.26490376984073966</v>
      </c>
      <c r="D92" s="5">
        <f t="shared" si="0"/>
        <v>0.26732459530337671</v>
      </c>
      <c r="E92" s="5">
        <f t="shared" si="0"/>
        <v>0.26507602543067538</v>
      </c>
      <c r="F92" s="5">
        <f t="shared" si="0"/>
        <v>0.26552871990038707</v>
      </c>
      <c r="G92" s="5">
        <f>AVERAGE(B92:F92)</f>
        <v>0.26440477654292227</v>
      </c>
      <c r="H92" s="16"/>
      <c r="I92" s="16"/>
      <c r="J92" s="16"/>
      <c r="K92" s="16"/>
    </row>
    <row r="93" spans="1:12" x14ac:dyDescent="0.25">
      <c r="A93" s="16" t="s">
        <v>243</v>
      </c>
      <c r="B93" s="5">
        <f>SUM(B85:B86)/SUM(B85:B87)</f>
        <v>0.74080922776056757</v>
      </c>
      <c r="C93" s="5">
        <f>SUM(C85:C86)/SUM(C85:C87)</f>
        <v>0.7350962301592604</v>
      </c>
      <c r="D93" s="5">
        <f>SUM(D85:D86)/SUM(D85:D87)</f>
        <v>0.73267540469662329</v>
      </c>
      <c r="E93" s="5">
        <f>SUM(E85:E86)/SUM(E85:E87)</f>
        <v>0.73492397456932468</v>
      </c>
      <c r="F93" s="5">
        <f>SUM(F85:F86)/SUM(F85:F87)</f>
        <v>0.73447128009961293</v>
      </c>
      <c r="G93" s="5">
        <f>AVERAGE(B93:F93)</f>
        <v>0.73559522345707773</v>
      </c>
    </row>
    <row r="95" spans="1:12" ht="18.75" x14ac:dyDescent="0.3">
      <c r="A95" s="20" t="s">
        <v>135</v>
      </c>
      <c r="B95" s="20"/>
      <c r="C95" s="20"/>
      <c r="D95" s="20"/>
      <c r="E95" s="20"/>
      <c r="F95" s="20"/>
      <c r="G95" s="20"/>
      <c r="H95" s="20"/>
      <c r="I95" s="20"/>
      <c r="J95" s="20"/>
      <c r="K95" s="20"/>
    </row>
    <row r="96" spans="1:12" x14ac:dyDescent="0.25">
      <c r="A96" s="9" t="s">
        <v>136</v>
      </c>
      <c r="B96" s="9"/>
      <c r="C96" s="3"/>
    </row>
    <row r="97" spans="1:3" x14ac:dyDescent="0.25">
      <c r="A97" t="s">
        <v>137</v>
      </c>
      <c r="B97">
        <v>7.7837837837837833</v>
      </c>
      <c r="C97" s="65" t="s">
        <v>143</v>
      </c>
    </row>
    <row r="98" spans="1:3" x14ac:dyDescent="0.25">
      <c r="A98" t="s">
        <v>138</v>
      </c>
      <c r="B98">
        <v>7.7837837837837833</v>
      </c>
      <c r="C98" s="65" t="s">
        <v>143</v>
      </c>
    </row>
    <row r="99" spans="1:3" x14ac:dyDescent="0.25">
      <c r="A99" t="s">
        <v>139</v>
      </c>
      <c r="B99">
        <v>4.7058823529411766</v>
      </c>
      <c r="C99" s="65" t="s">
        <v>143</v>
      </c>
    </row>
    <row r="100" spans="1:3" x14ac:dyDescent="0.25">
      <c r="A100" t="s">
        <v>140</v>
      </c>
      <c r="B100">
        <v>3.2505643340857793</v>
      </c>
      <c r="C100" s="65" t="s">
        <v>143</v>
      </c>
    </row>
    <row r="101" spans="1:3" x14ac:dyDescent="0.25">
      <c r="A101" t="s">
        <v>141</v>
      </c>
      <c r="B101">
        <v>3.9782233435134779</v>
      </c>
      <c r="C101" s="65" t="s">
        <v>143</v>
      </c>
    </row>
    <row r="102" spans="1:3" x14ac:dyDescent="0.25">
      <c r="A102" t="s">
        <v>142</v>
      </c>
      <c r="B102">
        <v>1.6666666666666665</v>
      </c>
      <c r="C102" s="65" t="s">
        <v>143</v>
      </c>
    </row>
    <row r="104" spans="1:3" x14ac:dyDescent="0.25">
      <c r="A104" s="9" t="s">
        <v>144</v>
      </c>
      <c r="B104" s="9"/>
    </row>
    <row r="105" spans="1:3" x14ac:dyDescent="0.25">
      <c r="A105" t="s">
        <v>145</v>
      </c>
      <c r="B105">
        <v>0.186</v>
      </c>
      <c r="C105" t="s">
        <v>146</v>
      </c>
    </row>
    <row r="107" spans="1:3" x14ac:dyDescent="0.25">
      <c r="A107" s="9" t="s">
        <v>153</v>
      </c>
      <c r="B107" s="9"/>
    </row>
    <row r="108" spans="1:3" x14ac:dyDescent="0.25">
      <c r="A108" t="s">
        <v>154</v>
      </c>
      <c r="B108">
        <v>5000</v>
      </c>
      <c r="C108" t="s">
        <v>155</v>
      </c>
    </row>
    <row r="110" spans="1:3" x14ac:dyDescent="0.25">
      <c r="A110" s="9" t="s">
        <v>171</v>
      </c>
      <c r="B110" s="3"/>
    </row>
    <row r="111" spans="1:3" x14ac:dyDescent="0.25">
      <c r="A111" t="s">
        <v>172</v>
      </c>
      <c r="B111" s="7">
        <f>AVERAGE(959700,1536400/2,1343800,2150300/2,1919450,3071750/2)</f>
        <v>1267029.1666666667</v>
      </c>
      <c r="C111" t="s">
        <v>176</v>
      </c>
    </row>
    <row r="113" spans="1:3" x14ac:dyDescent="0.25">
      <c r="A113" s="9" t="s">
        <v>173</v>
      </c>
      <c r="B113" s="3"/>
    </row>
    <row r="114" spans="1:3" x14ac:dyDescent="0.25">
      <c r="A114" t="s">
        <v>174</v>
      </c>
      <c r="B114">
        <v>40</v>
      </c>
      <c r="C114" t="s">
        <v>175</v>
      </c>
    </row>
    <row r="116" spans="1:3" x14ac:dyDescent="0.25">
      <c r="A116" s="9" t="s">
        <v>215</v>
      </c>
      <c r="B116" s="3"/>
    </row>
    <row r="117" spans="1:3" x14ac:dyDescent="0.25">
      <c r="A117" t="s">
        <v>210</v>
      </c>
      <c r="B117" s="7">
        <f>(1282+24640+15517+30990)*10^3/12156</f>
        <v>5958.2922013820335</v>
      </c>
      <c r="C117" s="65" t="s">
        <v>213</v>
      </c>
    </row>
    <row r="119" spans="1:3" x14ac:dyDescent="0.25">
      <c r="A119" s="9" t="s">
        <v>216</v>
      </c>
      <c r="B119" s="3"/>
    </row>
    <row r="120" spans="1:3" x14ac:dyDescent="0.25">
      <c r="A120" t="s">
        <v>346</v>
      </c>
      <c r="B120" s="7">
        <v>424</v>
      </c>
      <c r="C120" s="65" t="s">
        <v>345</v>
      </c>
    </row>
    <row r="121" spans="1:3" x14ac:dyDescent="0.25">
      <c r="A121" t="s">
        <v>347</v>
      </c>
      <c r="B121" s="7">
        <v>7671</v>
      </c>
      <c r="C121" s="65" t="s">
        <v>348</v>
      </c>
    </row>
    <row r="123" spans="1:3" x14ac:dyDescent="0.25">
      <c r="A123" s="9" t="s">
        <v>218</v>
      </c>
      <c r="B123" s="9"/>
    </row>
    <row r="124" spans="1:3" x14ac:dyDescent="0.25">
      <c r="A124" t="s">
        <v>219</v>
      </c>
      <c r="B124">
        <v>1000</v>
      </c>
    </row>
    <row r="126" spans="1:3" x14ac:dyDescent="0.25">
      <c r="A126" s="9" t="s">
        <v>241</v>
      </c>
      <c r="B126" s="9"/>
    </row>
    <row r="127" spans="1:3" x14ac:dyDescent="0.25">
      <c r="A127" t="s">
        <v>242</v>
      </c>
      <c r="B127">
        <v>1.05</v>
      </c>
    </row>
    <row r="129" spans="1:12" ht="15.75" thickBot="1" x14ac:dyDescent="0.3">
      <c r="A129" s="9" t="s">
        <v>282</v>
      </c>
      <c r="B129" s="9"/>
    </row>
    <row r="130" spans="1:12" ht="15.75" thickBot="1" x14ac:dyDescent="0.3">
      <c r="B130" s="101">
        <v>1.1000000000000001</v>
      </c>
      <c r="C130" t="s">
        <v>227</v>
      </c>
    </row>
    <row r="132" spans="1:12" x14ac:dyDescent="0.25">
      <c r="A132" s="9" t="s">
        <v>326</v>
      </c>
      <c r="B132" s="9"/>
    </row>
    <row r="133" spans="1:12" x14ac:dyDescent="0.25">
      <c r="B133">
        <v>287</v>
      </c>
      <c r="C133" t="s">
        <v>359</v>
      </c>
    </row>
    <row r="134" spans="1:12" x14ac:dyDescent="0.25">
      <c r="A134" s="9" t="s">
        <v>349</v>
      </c>
      <c r="B134" s="3"/>
    </row>
    <row r="135" spans="1:12" x14ac:dyDescent="0.25">
      <c r="A135" t="s">
        <v>341</v>
      </c>
      <c r="B135" s="7">
        <v>94919</v>
      </c>
      <c r="C135" s="65" t="s">
        <v>350</v>
      </c>
    </row>
    <row r="136" spans="1:12" x14ac:dyDescent="0.25">
      <c r="A136" t="s">
        <v>342</v>
      </c>
      <c r="B136" s="7">
        <v>589524</v>
      </c>
      <c r="C136" s="65" t="s">
        <v>351</v>
      </c>
    </row>
    <row r="138" spans="1:12" x14ac:dyDescent="0.25">
      <c r="A138" s="9" t="s">
        <v>352</v>
      </c>
      <c r="B138" s="9"/>
    </row>
    <row r="139" spans="1:12" x14ac:dyDescent="0.25">
      <c r="A139" t="s">
        <v>353</v>
      </c>
      <c r="B139" s="7">
        <v>43063</v>
      </c>
      <c r="C139" s="65" t="s">
        <v>343</v>
      </c>
    </row>
    <row r="140" spans="1:12" x14ac:dyDescent="0.25">
      <c r="A140" t="s">
        <v>342</v>
      </c>
      <c r="B140" s="7">
        <v>237644</v>
      </c>
      <c r="C140" s="65" t="s">
        <v>344</v>
      </c>
    </row>
    <row r="142" spans="1:12" ht="18.75" x14ac:dyDescent="0.3">
      <c r="A142" s="238" t="s">
        <v>373</v>
      </c>
      <c r="B142" s="238"/>
      <c r="C142" s="238"/>
      <c r="D142" s="238"/>
      <c r="E142" s="238"/>
      <c r="F142" s="238"/>
      <c r="G142" s="238"/>
      <c r="H142" s="238"/>
      <c r="I142" s="238"/>
      <c r="J142" s="238"/>
      <c r="K142" s="238"/>
      <c r="L142" s="238"/>
    </row>
    <row r="143" spans="1:12" x14ac:dyDescent="0.25">
      <c r="A143" s="9" t="s">
        <v>379</v>
      </c>
      <c r="B143" s="9">
        <v>0</v>
      </c>
      <c r="C143" s="9">
        <v>1</v>
      </c>
      <c r="D143" s="9">
        <v>2</v>
      </c>
      <c r="E143" s="9">
        <v>3</v>
      </c>
      <c r="F143" s="9">
        <v>4</v>
      </c>
      <c r="G143" s="9">
        <v>5</v>
      </c>
      <c r="H143" s="9">
        <v>6</v>
      </c>
      <c r="I143" s="9">
        <v>7</v>
      </c>
      <c r="J143" s="9">
        <v>8</v>
      </c>
      <c r="K143" s="9">
        <v>9</v>
      </c>
      <c r="L143" s="9">
        <v>10</v>
      </c>
    </row>
    <row r="144" spans="1:12" x14ac:dyDescent="0.25">
      <c r="A144" t="s">
        <v>7</v>
      </c>
      <c r="B144" s="84">
        <v>0</v>
      </c>
      <c r="C144"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Assumptions'!$B170,'Game Assumptions'!$C170)</f>
        <v>0</v>
      </c>
      <c r="D144"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Assumptions'!$B170,'Game Assumptions'!$C170)</f>
        <v>0</v>
      </c>
      <c r="E144"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Assumptions'!$B170,'Game Assumptions'!$C170)</f>
        <v>0</v>
      </c>
      <c r="F144"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Assumptions'!$B170,'Game Assumptions'!$C170)</f>
        <v>0</v>
      </c>
      <c r="G144"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Assumptions'!$B170,'Game Assumptions'!$C170)</f>
        <v>0</v>
      </c>
      <c r="H144"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Assumptions'!$B170,'Game Assumptions'!$C170)</f>
        <v>0</v>
      </c>
      <c r="I144"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Assumptions'!$B170,'Game Assumptions'!$C170)</f>
        <v>0</v>
      </c>
      <c r="J144"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Assumptions'!$B170,'Game Assumptions'!$C170)</f>
        <v>0</v>
      </c>
      <c r="K144"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Assumptions'!$B170,'Game Assumptions'!$C170)</f>
        <v>0</v>
      </c>
      <c r="L144"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Assumptions'!$B170,'Game Assumptions'!$C170)</f>
        <v>0</v>
      </c>
    </row>
    <row r="145" spans="1:12" x14ac:dyDescent="0.25">
      <c r="A145" t="s">
        <v>8</v>
      </c>
      <c r="B145" s="84">
        <v>0</v>
      </c>
      <c r="C145"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Assumptions'!$B171,'Game Assumptions'!$C171)</f>
        <v>297.11138771841729</v>
      </c>
      <c r="D145"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Assumptions'!$B171,'Game Assumptions'!$C171)</f>
        <v>383.31488115353432</v>
      </c>
      <c r="E145"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Assumptions'!$B171,'Game Assumptions'!$C171)</f>
        <v>424.13401670932302</v>
      </c>
      <c r="F145"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Assumptions'!$B171,'Game Assumptions'!$C171)</f>
        <v>181.07283211994505</v>
      </c>
      <c r="G145"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Assumptions'!$B171,'Game Assumptions'!$C171)</f>
        <v>143.80546820375119</v>
      </c>
      <c r="H145"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Assumptions'!$B171,'Game Assumptions'!$C171)</f>
        <v>164.33158945090875</v>
      </c>
      <c r="I145"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Assumptions'!$B171,'Game Assumptions'!$C171)</f>
        <v>202.76943225138766</v>
      </c>
      <c r="J145"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Assumptions'!$B171,'Game Assumptions'!$C171)</f>
        <v>215.78082331991789</v>
      </c>
      <c r="K145"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Assumptions'!$B171,'Game Assumptions'!$C171)</f>
        <v>224.67907160747714</v>
      </c>
      <c r="L145"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Assumptions'!$B171,'Game Assumptions'!$C171)</f>
        <v>231.49409399436482</v>
      </c>
    </row>
    <row r="146" spans="1:12" x14ac:dyDescent="0.25">
      <c r="A146" t="s">
        <v>13</v>
      </c>
      <c r="B146" s="84">
        <v>0</v>
      </c>
      <c r="C146"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Assumptions'!$B172,'Game Assumptions'!$C172)</f>
        <v>0</v>
      </c>
      <c r="D146"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Assumptions'!$B172,'Game Assumptions'!$C172)</f>
        <v>0</v>
      </c>
      <c r="E146"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Assumptions'!$B172,'Game Assumptions'!$C172)</f>
        <v>0</v>
      </c>
      <c r="F146"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Assumptions'!$B172,'Game Assumptions'!$C172)</f>
        <v>0</v>
      </c>
      <c r="G146"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Assumptions'!$B172,'Game Assumptions'!$C172)</f>
        <v>0</v>
      </c>
      <c r="H146"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Assumptions'!$B172,'Game Assumptions'!$C172)</f>
        <v>0</v>
      </c>
      <c r="I146"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Assumptions'!$B172,'Game Assumptions'!$C172)</f>
        <v>0</v>
      </c>
      <c r="J146"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Assumptions'!$B172,'Game Assumptions'!$C172)</f>
        <v>0</v>
      </c>
      <c r="K146"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Assumptions'!$B172,'Game Assumptions'!$C172)</f>
        <v>0</v>
      </c>
      <c r="L146"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Assumptions'!$B172,'Game Assumptions'!$C172)</f>
        <v>0</v>
      </c>
    </row>
    <row r="147" spans="1:12" x14ac:dyDescent="0.25">
      <c r="A147" t="s">
        <v>9</v>
      </c>
      <c r="B147" s="84">
        <v>0</v>
      </c>
      <c r="C147"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Assumptions'!$B173,'Game Assumptions'!$C173)</f>
        <v>148.55569385920865</v>
      </c>
      <c r="D147"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Assumptions'!$B173,'Game Assumptions'!$C173)</f>
        <v>191.65744057676716</v>
      </c>
      <c r="E147"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Assumptions'!$B173,'Game Assumptions'!$C173)</f>
        <v>212.06700835466151</v>
      </c>
      <c r="F147"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Assumptions'!$B173,'Game Assumptions'!$C173)</f>
        <v>90.536416059972524</v>
      </c>
      <c r="G147"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Assumptions'!$B173,'Game Assumptions'!$C173)</f>
        <v>71.902734101875595</v>
      </c>
      <c r="H147"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Assumptions'!$B173,'Game Assumptions'!$C173)</f>
        <v>82.165794725454376</v>
      </c>
      <c r="I147"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Assumptions'!$B173,'Game Assumptions'!$C173)</f>
        <v>101.38471612569383</v>
      </c>
      <c r="J147"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Assumptions'!$B173,'Game Assumptions'!$C173)</f>
        <v>107.89041165995894</v>
      </c>
      <c r="K147"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Assumptions'!$B173,'Game Assumptions'!$C173)</f>
        <v>112.33953580373857</v>
      </c>
      <c r="L147"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Assumptions'!$B173,'Game Assumptions'!$C173)</f>
        <v>115.74704699718241</v>
      </c>
    </row>
    <row r="148" spans="1:12" x14ac:dyDescent="0.25">
      <c r="A148" t="s">
        <v>10</v>
      </c>
      <c r="B148" s="84">
        <v>0</v>
      </c>
      <c r="C148"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Assumptions'!$B174,'Game Assumptions'!$C174)</f>
        <v>148.55569385920865</v>
      </c>
      <c r="D148"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Assumptions'!$B174,'Game Assumptions'!$C174)</f>
        <v>191.65744057676716</v>
      </c>
      <c r="E148"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Assumptions'!$B174,'Game Assumptions'!$C174)</f>
        <v>212.06700835466151</v>
      </c>
      <c r="F148"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Assumptions'!$B174,'Game Assumptions'!$C174)</f>
        <v>90.536416059972524</v>
      </c>
      <c r="G148"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Assumptions'!$B174,'Game Assumptions'!$C174)</f>
        <v>71.902734101875595</v>
      </c>
      <c r="H148"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Assumptions'!$B174,'Game Assumptions'!$C174)</f>
        <v>82.165794725454376</v>
      </c>
      <c r="I148"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Assumptions'!$B174,'Game Assumptions'!$C174)</f>
        <v>101.38471612569383</v>
      </c>
      <c r="J148"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Assumptions'!$B174,'Game Assumptions'!$C174)</f>
        <v>107.89041165995894</v>
      </c>
      <c r="K148"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Assumptions'!$B174,'Game Assumptions'!$C174)</f>
        <v>112.33953580373857</v>
      </c>
      <c r="L148"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Assumptions'!$B174,'Game Assumptions'!$C174)</f>
        <v>115.74704699718241</v>
      </c>
    </row>
    <row r="149" spans="1:12" x14ac:dyDescent="0.25">
      <c r="A149" t="s">
        <v>11</v>
      </c>
      <c r="B149" s="84">
        <v>0</v>
      </c>
      <c r="C149"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Assumptions'!$B175,'Game Assumptions'!$C175)</f>
        <v>0</v>
      </c>
      <c r="D149"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Assumptions'!$B175,'Game Assumptions'!$C175)</f>
        <v>0</v>
      </c>
      <c r="E149"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Assumptions'!$B175,'Game Assumptions'!$C175)</f>
        <v>0</v>
      </c>
      <c r="F149"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Assumptions'!$B175,'Game Assumptions'!$C175)</f>
        <v>0</v>
      </c>
      <c r="G149"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Assumptions'!$B175,'Game Assumptions'!$C175)</f>
        <v>0</v>
      </c>
      <c r="H149"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Assumptions'!$B175,'Game Assumptions'!$C175)</f>
        <v>0</v>
      </c>
      <c r="I149"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Assumptions'!$B175,'Game Assumptions'!$C175)</f>
        <v>0</v>
      </c>
      <c r="J149"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Assumptions'!$B175,'Game Assumptions'!$C175)</f>
        <v>0</v>
      </c>
      <c r="K149"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Assumptions'!$B175,'Game Assumptions'!$C175)</f>
        <v>0</v>
      </c>
      <c r="L149"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Assumptions'!$B175,'Game Assumptions'!$C175)</f>
        <v>0</v>
      </c>
    </row>
    <row r="150" spans="1:12" x14ac:dyDescent="0.25">
      <c r="A150" t="s">
        <v>12</v>
      </c>
      <c r="B150" s="84">
        <v>0</v>
      </c>
      <c r="C150"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Assumptions'!$B176,'Game Assumptions'!$C$176)</f>
        <v>148.55569385920865</v>
      </c>
      <c r="D150"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Assumptions'!$B176,'Game Assumptions'!$C$176)</f>
        <v>191.65744057676716</v>
      </c>
      <c r="E150"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Assumptions'!$B176,'Game Assumptions'!$C$176)</f>
        <v>212.06700835466151</v>
      </c>
      <c r="F150"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Assumptions'!$B176,'Game Assumptions'!$C$176)</f>
        <v>90.536416059972524</v>
      </c>
      <c r="G150"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Assumptions'!$B176,'Game Assumptions'!$C$176)</f>
        <v>71.902734101875595</v>
      </c>
      <c r="H150"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Assumptions'!$B176,'Game Assumptions'!$C$176)</f>
        <v>82.165794725454376</v>
      </c>
      <c r="I150"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Assumptions'!$B176,'Game Assumptions'!$C$176)</f>
        <v>101.38471612569383</v>
      </c>
      <c r="J150"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Assumptions'!$B176,'Game Assumptions'!$C$176)</f>
        <v>107.89041165995894</v>
      </c>
      <c r="K150"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Assumptions'!$B176,'Game Assumptions'!$C$176)</f>
        <v>112.33953580373857</v>
      </c>
      <c r="L150"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Assumptions'!$B176,'Game Assumptions'!$C$176)</f>
        <v>115.74704699718241</v>
      </c>
    </row>
    <row r="151" spans="1:12" x14ac:dyDescent="0.25">
      <c r="A151" t="s">
        <v>369</v>
      </c>
      <c r="B151" s="84">
        <v>0</v>
      </c>
      <c r="C151" s="155">
        <f>MAX(0,IF(OR('Event Tracker'!$B$20=1,'Event Tracker'!$B$21=1),0,Reliability!C$62*(1+INDEX(Graphs!$E$83:$E$93,MATCH(Current_Round,Graphs!$B$83:$B$93,0),1)))-((Reliability!B$80-SUMPRODUCT('Resource Mix and Demand'!C$12:C$19,'Game Assumptions'!$H$55:$H$62)+SUMPRODUCT('Event Tracker'!C$87:C$94,'Game Assumptions'!$H$55:$H$62))))*IF(OR('Event Tracker'!$B$22=1,'Event Tracker'!$B$23=1),'Game Assumptions'!$B177,'Game Assumptions'!$C177)</f>
        <v>148.55569385920865</v>
      </c>
      <c r="D151" s="155">
        <f>MAX(0,IF(OR('Event Tracker'!$B$20=1,'Event Tracker'!$B$21=1),0,Reliability!D$62*(1+INDEX(Graphs!$E$83:$E$93,MATCH(Current_Round,Graphs!$B$83:$B$93,0),1)))-((Reliability!C$80-SUMPRODUCT('Resource Mix and Demand'!D$12:D$19,'Game Assumptions'!$H$55:$H$62)+SUMPRODUCT('Event Tracker'!D$87:D$94,'Game Assumptions'!$H$55:$H$62))))*IF(OR('Event Tracker'!$B$22=1,'Event Tracker'!$B$23=1),'Game Assumptions'!$B177,'Game Assumptions'!$C177)</f>
        <v>191.65744057676716</v>
      </c>
      <c r="E151" s="155">
        <f>MAX(0,IF(OR('Event Tracker'!$B$20=1,'Event Tracker'!$B$21=1),0,Reliability!E$62*(1+INDEX(Graphs!$E$83:$E$93,MATCH(Current_Round,Graphs!$B$83:$B$93,0),1)))-((Reliability!D$80-SUMPRODUCT('Resource Mix and Demand'!E$12:E$19,'Game Assumptions'!$H$55:$H$62)+SUMPRODUCT('Event Tracker'!E$87:E$94,'Game Assumptions'!$H$55:$H$62))))*IF(OR('Event Tracker'!$B$22=1,'Event Tracker'!$B$23=1),'Game Assumptions'!$B177,'Game Assumptions'!$C177)</f>
        <v>212.06700835466151</v>
      </c>
      <c r="F151" s="155">
        <f>MAX(0,IF(OR('Event Tracker'!$B$20=1,'Event Tracker'!$B$21=1),0,Reliability!F$62*(1+INDEX(Graphs!$E$83:$E$93,MATCH(Current_Round,Graphs!$B$83:$B$93,0),1)))-((Reliability!E$80-SUMPRODUCT('Resource Mix and Demand'!F$12:F$19,'Game Assumptions'!$H$55:$H$62)+SUMPRODUCT('Event Tracker'!F$87:F$94,'Game Assumptions'!$H$55:$H$62))))*IF(OR('Event Tracker'!$B$22=1,'Event Tracker'!$B$23=1),'Game Assumptions'!$B177,'Game Assumptions'!$C177)</f>
        <v>90.536416059972524</v>
      </c>
      <c r="G151" s="155">
        <f>MAX(0,IF(OR('Event Tracker'!$B$20=1,'Event Tracker'!$B$21=1),0,Reliability!G$62*(1+INDEX(Graphs!$E$83:$E$93,MATCH(Current_Round,Graphs!$B$83:$B$93,0),1)))-((Reliability!F$80-SUMPRODUCT('Resource Mix and Demand'!G$12:G$19,'Game Assumptions'!$H$55:$H$62)+SUMPRODUCT('Event Tracker'!G$87:G$94,'Game Assumptions'!$H$55:$H$62))))*IF(OR('Event Tracker'!$B$22=1,'Event Tracker'!$B$23=1),'Game Assumptions'!$B177,'Game Assumptions'!$C177)</f>
        <v>71.902734101875595</v>
      </c>
      <c r="H151" s="155">
        <f>MAX(0,IF(OR('Event Tracker'!$B$20=1,'Event Tracker'!$B$21=1),0,Reliability!H$62*(1+INDEX(Graphs!$E$83:$E$93,MATCH(Current_Round,Graphs!$B$83:$B$93,0),1)))-((Reliability!G$80-SUMPRODUCT('Resource Mix and Demand'!H$12:H$19,'Game Assumptions'!$H$55:$H$62)+SUMPRODUCT('Event Tracker'!H$87:H$94,'Game Assumptions'!$H$55:$H$62))))*IF(OR('Event Tracker'!$B$22=1,'Event Tracker'!$B$23=1),'Game Assumptions'!$B177,'Game Assumptions'!$C177)</f>
        <v>82.165794725454376</v>
      </c>
      <c r="I151" s="155">
        <f>MAX(0,IF(OR('Event Tracker'!$B$20=1,'Event Tracker'!$B$21=1),0,Reliability!I$62*(1+INDEX(Graphs!$E$83:$E$93,MATCH(Current_Round,Graphs!$B$83:$B$93,0),1)))-((Reliability!H$80-SUMPRODUCT('Resource Mix and Demand'!I$12:I$19,'Game Assumptions'!$H$55:$H$62)+SUMPRODUCT('Event Tracker'!I$87:I$94,'Game Assumptions'!$H$55:$H$62))))*IF(OR('Event Tracker'!$B$22=1,'Event Tracker'!$B$23=1),'Game Assumptions'!$B177,'Game Assumptions'!$C177)</f>
        <v>101.38471612569383</v>
      </c>
      <c r="J151" s="155">
        <f>MAX(0,IF(OR('Event Tracker'!$B$20=1,'Event Tracker'!$B$21=1),0,Reliability!J$62*(1+INDEX(Graphs!$E$83:$E$93,MATCH(Current_Round,Graphs!$B$83:$B$93,0),1)))-((Reliability!I$80-SUMPRODUCT('Resource Mix and Demand'!J$12:J$19,'Game Assumptions'!$H$55:$H$62)+SUMPRODUCT('Event Tracker'!J$87:J$94,'Game Assumptions'!$H$55:$H$62))))*IF(OR('Event Tracker'!$B$22=1,'Event Tracker'!$B$23=1),'Game Assumptions'!$B177,'Game Assumptions'!$C177)</f>
        <v>107.89041165995894</v>
      </c>
      <c r="K151" s="155">
        <f>MAX(0,IF(OR('Event Tracker'!$B$20=1,'Event Tracker'!$B$21=1),0,Reliability!K$62*(1+INDEX(Graphs!$E$83:$E$93,MATCH(Current_Round,Graphs!$B$83:$B$93,0),1)))-((Reliability!J$80-SUMPRODUCT('Resource Mix and Demand'!K$12:K$19,'Game Assumptions'!$H$55:$H$62)+SUMPRODUCT('Event Tracker'!K$87:K$94,'Game Assumptions'!$H$55:$H$62))))*IF(OR('Event Tracker'!$B$22=1,'Event Tracker'!$B$23=1),'Game Assumptions'!$B177,'Game Assumptions'!$C177)</f>
        <v>112.33953580373857</v>
      </c>
      <c r="L151" s="155">
        <f>MAX(0,IF(OR('Event Tracker'!$B$20=1,'Event Tracker'!$B$21=1),0,Reliability!L$62*(1+INDEX(Graphs!$E$83:$E$93,MATCH(Current_Round,Graphs!$B$83:$B$93,0),1)))-((Reliability!K$80-SUMPRODUCT('Resource Mix and Demand'!L$12:L$19,'Game Assumptions'!$H$55:$H$62)+SUMPRODUCT('Event Tracker'!L$87:L$94,'Game Assumptions'!$H$55:$H$62))))*IF(OR('Event Tracker'!$B$22=1,'Event Tracker'!$B$23=1),'Game Assumptions'!$B177,'Game Assumptions'!$C177)</f>
        <v>115.74704699718241</v>
      </c>
    </row>
    <row r="154" spans="1:12" x14ac:dyDescent="0.25">
      <c r="A154" s="9" t="s">
        <v>32</v>
      </c>
      <c r="B154" s="9">
        <v>0</v>
      </c>
      <c r="C154" s="9">
        <v>1</v>
      </c>
      <c r="D154" s="9">
        <v>2</v>
      </c>
      <c r="E154" s="9">
        <v>3</v>
      </c>
      <c r="F154" s="9">
        <v>4</v>
      </c>
      <c r="G154" s="9">
        <v>5</v>
      </c>
      <c r="H154" s="9">
        <v>6</v>
      </c>
      <c r="I154" s="9">
        <v>7</v>
      </c>
      <c r="J154" s="9">
        <v>8</v>
      </c>
      <c r="K154" s="9">
        <v>9</v>
      </c>
      <c r="L154" s="9">
        <v>10</v>
      </c>
    </row>
    <row r="155" spans="1:12" x14ac:dyDescent="0.25">
      <c r="A155" s="17" t="s">
        <v>62</v>
      </c>
      <c r="B155" s="84">
        <v>60000000</v>
      </c>
      <c r="C155" s="84">
        <f>B155-($B$155-$L$155)/COUNT($C$154:$L$154)</f>
        <v>59500000</v>
      </c>
      <c r="D155" s="84">
        <f t="shared" ref="D155:K155" si="1">C155-($B$155-$L$155)/COUNT($C$154:$L$154)</f>
        <v>59000000</v>
      </c>
      <c r="E155" s="84">
        <f t="shared" si="1"/>
        <v>58500000</v>
      </c>
      <c r="F155" s="84">
        <f t="shared" si="1"/>
        <v>58000000</v>
      </c>
      <c r="G155" s="84">
        <f t="shared" si="1"/>
        <v>57500000</v>
      </c>
      <c r="H155" s="84">
        <f t="shared" si="1"/>
        <v>57000000</v>
      </c>
      <c r="I155" s="84">
        <f t="shared" si="1"/>
        <v>56500000</v>
      </c>
      <c r="J155" s="84">
        <f t="shared" si="1"/>
        <v>56000000</v>
      </c>
      <c r="K155" s="84">
        <f t="shared" si="1"/>
        <v>55500000</v>
      </c>
      <c r="L155" s="84">
        <v>55000000</v>
      </c>
    </row>
    <row r="156" spans="1:12" x14ac:dyDescent="0.25">
      <c r="A156" s="17" t="s">
        <v>272</v>
      </c>
      <c r="B156" s="85">
        <f>B155</f>
        <v>60000000</v>
      </c>
      <c r="C156" s="85">
        <f ca="1">C155+C155*RANDBETWEEN(-5,5)/1000</f>
        <v>59262000</v>
      </c>
      <c r="D156" s="85">
        <f t="shared" ref="D156:L156" ca="1" si="2">D155+D155*RANDBETWEEN(-5,5)/1000</f>
        <v>59118000</v>
      </c>
      <c r="E156" s="85">
        <f t="shared" ca="1" si="2"/>
        <v>58441500</v>
      </c>
      <c r="F156" s="85">
        <f t="shared" ca="1" si="2"/>
        <v>57768000</v>
      </c>
      <c r="G156" s="85">
        <f t="shared" ca="1" si="2"/>
        <v>57557500</v>
      </c>
      <c r="H156" s="85">
        <f t="shared" ca="1" si="2"/>
        <v>56772000</v>
      </c>
      <c r="I156" s="85">
        <f t="shared" ca="1" si="2"/>
        <v>56782500</v>
      </c>
      <c r="J156" s="85">
        <f t="shared" ca="1" si="2"/>
        <v>55832000</v>
      </c>
      <c r="K156" s="85">
        <f t="shared" ca="1" si="2"/>
        <v>55389000</v>
      </c>
      <c r="L156" s="85">
        <f t="shared" ca="1" si="2"/>
        <v>54780000</v>
      </c>
    </row>
    <row r="158" spans="1:12" ht="18.75" x14ac:dyDescent="0.3">
      <c r="A158" s="238" t="s">
        <v>410</v>
      </c>
      <c r="B158" s="238"/>
      <c r="C158" s="238"/>
      <c r="D158" s="238"/>
      <c r="E158" s="238"/>
      <c r="F158" s="238"/>
      <c r="G158" s="238"/>
      <c r="H158" s="238"/>
      <c r="I158" s="238"/>
      <c r="J158" s="238"/>
      <c r="K158" s="238"/>
      <c r="L158" s="238"/>
    </row>
    <row r="159" spans="1:12" ht="16.5" customHeight="1" thickBot="1" x14ac:dyDescent="0.35">
      <c r="A159" s="133" t="s">
        <v>413</v>
      </c>
      <c r="B159" s="133"/>
      <c r="C159" s="133"/>
      <c r="D159" s="132"/>
      <c r="E159" s="132"/>
      <c r="F159" s="132"/>
      <c r="G159" s="132"/>
      <c r="H159" s="132"/>
      <c r="I159" s="132"/>
      <c r="J159" s="132"/>
      <c r="K159" s="132"/>
      <c r="L159" s="132"/>
    </row>
    <row r="160" spans="1:12" ht="15.75" thickBot="1" x14ac:dyDescent="0.3">
      <c r="A160" t="s">
        <v>411</v>
      </c>
      <c r="B160" s="101">
        <f>ROUND('Environmental Performance'!B3*0.5,0)</f>
        <v>539</v>
      </c>
      <c r="C160" t="s">
        <v>412</v>
      </c>
    </row>
    <row r="161" spans="1:12" ht="15.75" thickBot="1" x14ac:dyDescent="0.3">
      <c r="A161" t="s">
        <v>135</v>
      </c>
      <c r="B161" s="101">
        <f>ROUND(Reliability!B95*0.8,0)</f>
        <v>230</v>
      </c>
      <c r="C161" t="s">
        <v>412</v>
      </c>
    </row>
    <row r="162" spans="1:12" ht="15.75" thickBot="1" x14ac:dyDescent="0.3">
      <c r="A162" t="s">
        <v>331</v>
      </c>
      <c r="B162" s="152">
        <f>'Customer Bills'!B17</f>
        <v>95.70191479695302</v>
      </c>
      <c r="C162" t="s">
        <v>412</v>
      </c>
    </row>
    <row r="164" spans="1:12" ht="18.75" x14ac:dyDescent="0.3">
      <c r="A164" s="238" t="s">
        <v>462</v>
      </c>
      <c r="B164" s="238"/>
      <c r="C164" s="238"/>
      <c r="D164" s="238"/>
      <c r="E164" s="238"/>
      <c r="F164" s="238"/>
      <c r="G164" s="238"/>
      <c r="H164" s="238"/>
      <c r="I164" s="238"/>
      <c r="J164" s="238"/>
      <c r="K164" s="238"/>
      <c r="L164" s="238"/>
    </row>
    <row r="165" spans="1:12" x14ac:dyDescent="0.25">
      <c r="A165" t="s">
        <v>463</v>
      </c>
      <c r="B165">
        <v>1E-3</v>
      </c>
    </row>
    <row r="166" spans="1:12" x14ac:dyDescent="0.25">
      <c r="A166" t="s">
        <v>464</v>
      </c>
      <c r="B166">
        <v>1</v>
      </c>
    </row>
    <row r="168" spans="1:12" ht="18.75" x14ac:dyDescent="0.3">
      <c r="A168" s="238" t="s">
        <v>467</v>
      </c>
      <c r="B168" s="238"/>
      <c r="C168" s="238"/>
      <c r="D168" s="238"/>
      <c r="E168" s="238"/>
      <c r="F168" s="238"/>
      <c r="G168" s="238"/>
      <c r="H168" s="238"/>
      <c r="I168" s="238"/>
      <c r="J168" s="238"/>
      <c r="K168" s="238"/>
      <c r="L168" s="238"/>
    </row>
    <row r="169" spans="1:12" x14ac:dyDescent="0.25">
      <c r="A169" s="133" t="s">
        <v>468</v>
      </c>
      <c r="B169" s="133" t="s">
        <v>465</v>
      </c>
      <c r="C169" s="133" t="s">
        <v>466</v>
      </c>
    </row>
    <row r="170" spans="1:12" x14ac:dyDescent="0.25">
      <c r="A170" t="s">
        <v>7</v>
      </c>
      <c r="B170">
        <v>0</v>
      </c>
      <c r="C170">
        <f>0*(6/3.7)</f>
        <v>0</v>
      </c>
    </row>
    <row r="171" spans="1:12" x14ac:dyDescent="0.25">
      <c r="A171" t="s">
        <v>8</v>
      </c>
      <c r="B171">
        <f>0.5*4/2.6</f>
        <v>0.76923076923076916</v>
      </c>
      <c r="C171">
        <f>1/(2*$H$56+$H$58+$H$59+$H$61+$H$62)*2</f>
        <v>0.46511627906976744</v>
      </c>
      <c r="D171" t="s">
        <v>473</v>
      </c>
    </row>
    <row r="172" spans="1:12" x14ac:dyDescent="0.25">
      <c r="A172" t="s">
        <v>13</v>
      </c>
      <c r="B172">
        <v>0</v>
      </c>
      <c r="C172">
        <f>0*(6/3.7)</f>
        <v>0</v>
      </c>
    </row>
    <row r="173" spans="1:12" x14ac:dyDescent="0.25">
      <c r="A173" t="s">
        <v>9</v>
      </c>
      <c r="B173">
        <f>0.25*4/2.6</f>
        <v>0.38461538461538458</v>
      </c>
      <c r="C173">
        <f>1/(2*$H$56+$H$58+$H$59+$H$61+$H$62)</f>
        <v>0.23255813953488372</v>
      </c>
    </row>
    <row r="174" spans="1:12" x14ac:dyDescent="0.25">
      <c r="A174" t="s">
        <v>10</v>
      </c>
      <c r="B174">
        <f>0.25*4/2.6</f>
        <v>0.38461538461538458</v>
      </c>
      <c r="C174">
        <f>1/(2*$H$56+$H$58+$H$59+$H$61+$H$62)</f>
        <v>0.23255813953488372</v>
      </c>
    </row>
    <row r="175" spans="1:12" x14ac:dyDescent="0.25">
      <c r="A175" t="s">
        <v>11</v>
      </c>
      <c r="B175">
        <v>0</v>
      </c>
      <c r="C175">
        <f>0*(6/3.7)</f>
        <v>0</v>
      </c>
    </row>
    <row r="176" spans="1:12" x14ac:dyDescent="0.25">
      <c r="A176" t="s">
        <v>12</v>
      </c>
      <c r="B176">
        <v>0</v>
      </c>
      <c r="C176">
        <f>1/(2*$H$56+$H$58+$H$59+$H$61+$H$62)</f>
        <v>0.23255813953488372</v>
      </c>
    </row>
    <row r="177" spans="1:12" x14ac:dyDescent="0.25">
      <c r="A177" t="s">
        <v>369</v>
      </c>
      <c r="B177">
        <v>0</v>
      </c>
      <c r="C177">
        <f>1/(2*$H$56+$H$58+$H$59+$H$61+$H$62)</f>
        <v>0.23255813953488372</v>
      </c>
    </row>
    <row r="180" spans="1:12" x14ac:dyDescent="0.25">
      <c r="A180" s="133" t="s">
        <v>469</v>
      </c>
      <c r="B180" s="133"/>
    </row>
    <row r="181" spans="1:12" x14ac:dyDescent="0.25">
      <c r="A181" t="s">
        <v>470</v>
      </c>
      <c r="B181">
        <f>IF('Event Tracker'!B24=1,30,0)</f>
        <v>0</v>
      </c>
    </row>
    <row r="182" spans="1:12" x14ac:dyDescent="0.25">
      <c r="A182" t="s">
        <v>471</v>
      </c>
      <c r="B182">
        <f>IF('Event Tracker'!B24=1,2,0)</f>
        <v>0</v>
      </c>
    </row>
    <row r="184" spans="1:12" ht="18.75" x14ac:dyDescent="0.3">
      <c r="A184" s="238" t="s">
        <v>523</v>
      </c>
      <c r="B184" s="238"/>
      <c r="C184" s="238"/>
      <c r="D184" s="238"/>
      <c r="E184" s="238"/>
      <c r="F184" s="238"/>
      <c r="G184" s="238"/>
      <c r="H184" s="238"/>
      <c r="I184" s="238"/>
      <c r="J184" s="238"/>
      <c r="K184" s="238"/>
      <c r="L184" s="238"/>
    </row>
    <row r="185" spans="1:12" x14ac:dyDescent="0.25">
      <c r="A185" s="133" t="s">
        <v>517</v>
      </c>
      <c r="B185" s="133"/>
    </row>
    <row r="186" spans="1:12" x14ac:dyDescent="0.25">
      <c r="A186" t="s">
        <v>515</v>
      </c>
      <c r="B186">
        <f>25</f>
        <v>25</v>
      </c>
    </row>
    <row r="187" spans="1:12" x14ac:dyDescent="0.25">
      <c r="A187" t="s">
        <v>369</v>
      </c>
      <c r="B187">
        <f>10</f>
        <v>10</v>
      </c>
    </row>
    <row r="189" spans="1:12" x14ac:dyDescent="0.25">
      <c r="A189" s="133" t="s">
        <v>524</v>
      </c>
      <c r="B189" s="133"/>
    </row>
    <row r="190" spans="1:12" x14ac:dyDescent="0.25">
      <c r="A190" t="s">
        <v>525</v>
      </c>
      <c r="B190" s="18">
        <v>0.1</v>
      </c>
    </row>
    <row r="192" spans="1:12" x14ac:dyDescent="0.25">
      <c r="A192" s="189" t="s">
        <v>553</v>
      </c>
      <c r="B192" s="189"/>
    </row>
    <row r="193" spans="1:12" x14ac:dyDescent="0.25">
      <c r="A193" t="s">
        <v>554</v>
      </c>
      <c r="B193" s="18">
        <v>0.15</v>
      </c>
    </row>
    <row r="195" spans="1:12" x14ac:dyDescent="0.25">
      <c r="A195" s="179" t="s">
        <v>384</v>
      </c>
      <c r="B195" s="180">
        <v>0</v>
      </c>
      <c r="C195" s="180">
        <v>1</v>
      </c>
      <c r="D195" s="180">
        <v>2</v>
      </c>
      <c r="E195" s="180">
        <v>3</v>
      </c>
      <c r="F195" s="180">
        <v>4</v>
      </c>
      <c r="G195" s="180">
        <v>5</v>
      </c>
      <c r="H195" s="180">
        <v>6</v>
      </c>
      <c r="I195" s="180">
        <v>7</v>
      </c>
      <c r="J195" s="180">
        <v>8</v>
      </c>
      <c r="K195" s="180">
        <v>9</v>
      </c>
      <c r="L195" s="180">
        <v>10</v>
      </c>
    </row>
    <row r="196" spans="1:12" x14ac:dyDescent="0.25">
      <c r="A196" t="s">
        <v>7</v>
      </c>
      <c r="B196">
        <v>0</v>
      </c>
      <c r="C196">
        <v>0</v>
      </c>
      <c r="D196">
        <v>1000</v>
      </c>
      <c r="E196">
        <v>1000</v>
      </c>
      <c r="F196">
        <v>0</v>
      </c>
      <c r="G196">
        <v>0</v>
      </c>
      <c r="H196">
        <v>0</v>
      </c>
      <c r="I196">
        <v>0</v>
      </c>
      <c r="J196">
        <v>0</v>
      </c>
      <c r="K196">
        <v>0</v>
      </c>
      <c r="L196">
        <v>0</v>
      </c>
    </row>
    <row r="197" spans="1:12" x14ac:dyDescent="0.25">
      <c r="A197" t="s">
        <v>8</v>
      </c>
      <c r="B197">
        <v>0</v>
      </c>
      <c r="C197">
        <v>0</v>
      </c>
      <c r="D197">
        <v>0</v>
      </c>
      <c r="E197">
        <v>0</v>
      </c>
      <c r="F197">
        <v>0</v>
      </c>
      <c r="G197">
        <v>0</v>
      </c>
      <c r="H197">
        <v>0</v>
      </c>
      <c r="I197">
        <v>0</v>
      </c>
      <c r="J197">
        <v>0</v>
      </c>
      <c r="K197">
        <v>0</v>
      </c>
      <c r="L197">
        <v>0</v>
      </c>
    </row>
    <row r="198" spans="1:12" x14ac:dyDescent="0.25">
      <c r="A198" t="s">
        <v>13</v>
      </c>
      <c r="B198">
        <v>0</v>
      </c>
      <c r="C198">
        <v>1000</v>
      </c>
      <c r="D198">
        <v>0</v>
      </c>
      <c r="E198">
        <v>0</v>
      </c>
      <c r="F198">
        <v>0</v>
      </c>
      <c r="G198">
        <v>0</v>
      </c>
      <c r="H198">
        <v>0</v>
      </c>
      <c r="I198">
        <v>0</v>
      </c>
      <c r="J198">
        <v>0</v>
      </c>
      <c r="K198">
        <v>0</v>
      </c>
      <c r="L198">
        <v>0</v>
      </c>
    </row>
    <row r="199" spans="1:12" x14ac:dyDescent="0.25">
      <c r="A199" t="s">
        <v>9</v>
      </c>
      <c r="B199">
        <v>0</v>
      </c>
      <c r="C199">
        <v>0</v>
      </c>
      <c r="D199">
        <v>0</v>
      </c>
      <c r="E199">
        <v>0</v>
      </c>
      <c r="F199">
        <v>0</v>
      </c>
      <c r="G199">
        <v>0</v>
      </c>
      <c r="H199">
        <v>0</v>
      </c>
      <c r="I199">
        <v>0</v>
      </c>
      <c r="J199">
        <v>0</v>
      </c>
      <c r="K199">
        <v>0</v>
      </c>
      <c r="L199">
        <v>0</v>
      </c>
    </row>
    <row r="200" spans="1:12" x14ac:dyDescent="0.25">
      <c r="A200" t="s">
        <v>10</v>
      </c>
      <c r="B200">
        <v>0</v>
      </c>
      <c r="C200">
        <v>0</v>
      </c>
      <c r="D200">
        <v>0</v>
      </c>
      <c r="E200">
        <v>0</v>
      </c>
      <c r="F200">
        <v>0</v>
      </c>
      <c r="G200">
        <v>0</v>
      </c>
      <c r="H200">
        <v>0</v>
      </c>
      <c r="I200">
        <v>0</v>
      </c>
      <c r="J200">
        <v>0</v>
      </c>
      <c r="K200">
        <v>0</v>
      </c>
      <c r="L200">
        <v>0</v>
      </c>
    </row>
    <row r="201" spans="1:12" x14ac:dyDescent="0.25">
      <c r="A201" t="s">
        <v>11</v>
      </c>
      <c r="B201">
        <v>0</v>
      </c>
      <c r="C201">
        <v>0</v>
      </c>
      <c r="D201">
        <v>0</v>
      </c>
      <c r="E201">
        <v>0</v>
      </c>
      <c r="F201">
        <v>0</v>
      </c>
      <c r="G201">
        <v>0</v>
      </c>
      <c r="H201">
        <v>0</v>
      </c>
      <c r="I201">
        <v>0</v>
      </c>
      <c r="J201">
        <v>0</v>
      </c>
      <c r="K201">
        <v>0</v>
      </c>
      <c r="L201">
        <v>0</v>
      </c>
    </row>
    <row r="202" spans="1:12" x14ac:dyDescent="0.25">
      <c r="A202" t="s">
        <v>12</v>
      </c>
      <c r="B202">
        <v>0</v>
      </c>
      <c r="C202">
        <v>0</v>
      </c>
      <c r="D202">
        <v>0</v>
      </c>
      <c r="E202">
        <v>0</v>
      </c>
      <c r="F202">
        <v>0</v>
      </c>
      <c r="G202">
        <v>0</v>
      </c>
      <c r="H202">
        <v>0</v>
      </c>
      <c r="I202">
        <v>0</v>
      </c>
      <c r="J202">
        <v>0</v>
      </c>
      <c r="K202">
        <v>0</v>
      </c>
      <c r="L202">
        <v>0</v>
      </c>
    </row>
    <row r="203" spans="1:12" x14ac:dyDescent="0.25">
      <c r="A203" t="s">
        <v>369</v>
      </c>
      <c r="B203">
        <v>0</v>
      </c>
      <c r="C203">
        <v>0</v>
      </c>
      <c r="D203">
        <v>0</v>
      </c>
      <c r="E203">
        <v>0</v>
      </c>
      <c r="F203">
        <v>0</v>
      </c>
      <c r="G203">
        <v>0</v>
      </c>
      <c r="H203">
        <v>0</v>
      </c>
      <c r="I203">
        <v>0</v>
      </c>
      <c r="J203">
        <v>0</v>
      </c>
      <c r="K203">
        <v>0</v>
      </c>
      <c r="L203">
        <v>0</v>
      </c>
    </row>
    <row r="205" spans="1:12" x14ac:dyDescent="0.25">
      <c r="A205" s="9" t="s">
        <v>539</v>
      </c>
      <c r="B205" s="180">
        <v>0</v>
      </c>
      <c r="C205" s="180">
        <v>1</v>
      </c>
      <c r="D205" s="180">
        <v>2</v>
      </c>
      <c r="E205" s="180">
        <v>3</v>
      </c>
      <c r="F205" s="180">
        <v>4</v>
      </c>
      <c r="G205" s="180">
        <v>5</v>
      </c>
      <c r="H205" s="180">
        <v>6</v>
      </c>
      <c r="I205" s="180">
        <v>7</v>
      </c>
      <c r="J205" s="180">
        <v>8</v>
      </c>
      <c r="K205" s="180">
        <v>9</v>
      </c>
      <c r="L205" s="180">
        <v>10</v>
      </c>
    </row>
    <row r="206" spans="1:12" x14ac:dyDescent="0.25">
      <c r="A206" t="s">
        <v>540</v>
      </c>
      <c r="B206">
        <v>2015</v>
      </c>
      <c r="C206">
        <v>2017</v>
      </c>
      <c r="D206">
        <v>2019</v>
      </c>
      <c r="E206">
        <v>2021</v>
      </c>
      <c r="F206">
        <v>2023</v>
      </c>
      <c r="G206">
        <v>2025</v>
      </c>
      <c r="H206">
        <v>2027</v>
      </c>
      <c r="I206">
        <v>2029</v>
      </c>
      <c r="J206">
        <v>2031</v>
      </c>
      <c r="K206">
        <v>2033</v>
      </c>
      <c r="L206">
        <v>2035</v>
      </c>
    </row>
    <row r="207" spans="1:12" x14ac:dyDescent="0.25">
      <c r="A207" t="s">
        <v>541</v>
      </c>
      <c r="B207">
        <v>23</v>
      </c>
      <c r="C207">
        <f>B207*0.4</f>
        <v>9.2000000000000011</v>
      </c>
      <c r="D207">
        <v>0</v>
      </c>
      <c r="E207">
        <v>0</v>
      </c>
      <c r="F207">
        <v>0</v>
      </c>
      <c r="G207">
        <v>0</v>
      </c>
      <c r="H207">
        <v>0</v>
      </c>
      <c r="I207">
        <v>0</v>
      </c>
      <c r="J207">
        <v>0</v>
      </c>
      <c r="K207">
        <v>0</v>
      </c>
      <c r="L207">
        <v>0</v>
      </c>
    </row>
    <row r="208" spans="1:12" x14ac:dyDescent="0.25">
      <c r="A208" t="s">
        <v>542</v>
      </c>
      <c r="B208" s="18">
        <v>0.3</v>
      </c>
      <c r="C208" s="18">
        <v>0.3</v>
      </c>
      <c r="D208" s="18">
        <v>0.3</v>
      </c>
      <c r="E208" s="18">
        <v>0.22</v>
      </c>
      <c r="F208" s="18">
        <v>0.1</v>
      </c>
      <c r="G208" s="18">
        <v>0.1</v>
      </c>
      <c r="H208" s="18">
        <v>0.1</v>
      </c>
      <c r="I208" s="18">
        <v>0.1</v>
      </c>
      <c r="J208" s="18">
        <v>0.1</v>
      </c>
      <c r="K208" s="18">
        <v>0.1</v>
      </c>
      <c r="L208" s="18">
        <v>0.1</v>
      </c>
    </row>
  </sheetData>
  <mergeCells count="5">
    <mergeCell ref="A142:L142"/>
    <mergeCell ref="A158:L158"/>
    <mergeCell ref="A164:L164"/>
    <mergeCell ref="A168:L168"/>
    <mergeCell ref="A184:L184"/>
  </mergeCells>
  <hyperlinks>
    <hyperlink ref="C97" r:id="rId1" xr:uid="{00000000-0004-0000-0800-000000000000}"/>
    <hyperlink ref="C98:C102" r:id="rId2" display="http://energyenvironment.pnnl.gov/ei/pdf/NWPP%20report.pdf" xr:uid="{00000000-0004-0000-0800-000001000000}"/>
    <hyperlink ref="C117" r:id="rId3" xr:uid="{00000000-0004-0000-0800-000002000000}"/>
    <hyperlink ref="C77" r:id="rId4" xr:uid="{00000000-0004-0000-0800-000003000000}"/>
    <hyperlink ref="C135" r:id="rId5" xr:uid="{00000000-0004-0000-0800-000004000000}"/>
    <hyperlink ref="C136" r:id="rId6" xr:uid="{00000000-0004-0000-0800-000005000000}"/>
    <hyperlink ref="C120" r:id="rId7" xr:uid="{00000000-0004-0000-0800-000006000000}"/>
    <hyperlink ref="C121" r:id="rId8" xr:uid="{00000000-0004-0000-0800-000007000000}"/>
    <hyperlink ref="C139" r:id="rId9" xr:uid="{00000000-0004-0000-0800-000008000000}"/>
    <hyperlink ref="C140" r:id="rId10" xr:uid="{00000000-0004-0000-0800-000009000000}"/>
  </hyperlinks>
  <pageMargins left="0.7" right="0.7" top="0.75" bottom="0.75" header="0.3" footer="0.3"/>
  <pageSetup orientation="portrait"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theme="6"/>
  </sheetPr>
  <dimension ref="A1:O91"/>
  <sheetViews>
    <sheetView topLeftCell="A10" zoomScale="85" zoomScaleNormal="85" workbookViewId="0">
      <selection activeCell="B55" sqref="B55:L55"/>
    </sheetView>
  </sheetViews>
  <sheetFormatPr defaultRowHeight="15" x14ac:dyDescent="0.25"/>
  <cols>
    <col min="1" max="1" width="65.140625" customWidth="1"/>
    <col min="2" max="2" width="26.140625" customWidth="1"/>
    <col min="3" max="3" width="14.5703125" bestFit="1" customWidth="1"/>
    <col min="4" max="4" width="13.7109375" bestFit="1" customWidth="1"/>
    <col min="5" max="5" width="26.140625" customWidth="1"/>
    <col min="6" max="6" width="14.140625" bestFit="1" customWidth="1"/>
    <col min="7" max="7" width="19.7109375" bestFit="1" customWidth="1"/>
    <col min="8" max="8" width="25.140625" customWidth="1"/>
    <col min="9" max="9" width="25.140625" bestFit="1" customWidth="1"/>
    <col min="10" max="10" width="18.5703125" customWidth="1"/>
    <col min="11" max="11" width="13.85546875" customWidth="1"/>
    <col min="12" max="12" width="11.5703125" bestFit="1" customWidth="1"/>
    <col min="14" max="14" width="20.28515625" customWidth="1"/>
  </cols>
  <sheetData>
    <row r="1" spans="1:15" ht="15.75" thickBot="1" x14ac:dyDescent="0.3">
      <c r="A1" s="9" t="s">
        <v>52</v>
      </c>
      <c r="B1" s="9">
        <v>0</v>
      </c>
      <c r="C1" s="9">
        <v>1</v>
      </c>
      <c r="D1" s="9">
        <v>2</v>
      </c>
      <c r="E1" s="9">
        <v>3</v>
      </c>
      <c r="F1" s="9">
        <v>4</v>
      </c>
      <c r="G1" s="9">
        <v>5</v>
      </c>
      <c r="H1" s="9">
        <v>6</v>
      </c>
      <c r="I1" s="9">
        <v>7</v>
      </c>
      <c r="J1" s="9">
        <v>8</v>
      </c>
      <c r="K1" s="9">
        <v>9</v>
      </c>
      <c r="L1" s="9">
        <v>10</v>
      </c>
      <c r="N1" s="110" t="s">
        <v>329</v>
      </c>
      <c r="O1" s="100">
        <f>'Event Tracker'!$P$1</f>
        <v>0</v>
      </c>
    </row>
    <row r="2" spans="1:15" x14ac:dyDescent="0.25">
      <c r="A2" t="s">
        <v>7</v>
      </c>
      <c r="B2" s="84">
        <v>0</v>
      </c>
      <c r="C2" s="84">
        <f>IF(OR('Initial Setup'!$B$3='Event Tracker'!$A$20,'Initial Setup'!$B$3='Event Tracker'!$A$21),'Event Tracker'!C32,'Event Tracker'!C42/8760/'Game Assumptions'!$G55+'Event Tracker'!C32+'Game Assumptions'!C144)</f>
        <v>0</v>
      </c>
      <c r="D2" s="84">
        <f>IF(OR('Initial Setup'!$B$3='Event Tracker'!$A$20,'Initial Setup'!$B$3='Event Tracker'!$A$21),'Event Tracker'!D32,'Event Tracker'!D42/8760/'Game Assumptions'!$G55+'Event Tracker'!D32+'Game Assumptions'!D144)</f>
        <v>0</v>
      </c>
      <c r="E2" s="84">
        <f>IF(OR('Initial Setup'!$B$3='Event Tracker'!$A$20,'Initial Setup'!$B$3='Event Tracker'!$A$21),'Event Tracker'!E32,'Event Tracker'!E42/8760/'Game Assumptions'!$G55+'Event Tracker'!E32+'Game Assumptions'!E144)</f>
        <v>0</v>
      </c>
      <c r="F2" s="84">
        <f>IF(OR('Initial Setup'!$B$3='Event Tracker'!$A$20,'Initial Setup'!$B$3='Event Tracker'!$A$21),'Event Tracker'!F32,'Event Tracker'!F42/8760/'Game Assumptions'!$G55+'Event Tracker'!F32+'Game Assumptions'!F144)</f>
        <v>0</v>
      </c>
      <c r="G2" s="84">
        <f>IF(OR('Initial Setup'!$B$3='Event Tracker'!$A$20,'Initial Setup'!$B$3='Event Tracker'!$A$21),'Event Tracker'!G32,'Event Tracker'!G42/8760/'Game Assumptions'!$G55+'Event Tracker'!G32+'Game Assumptions'!G144)</f>
        <v>0</v>
      </c>
      <c r="H2" s="84">
        <f>IF(OR('Initial Setup'!$B$3='Event Tracker'!$A$20,'Initial Setup'!$B$3='Event Tracker'!$A$21),'Event Tracker'!H32,'Event Tracker'!H42/8760/'Game Assumptions'!$G55+'Event Tracker'!H32+'Game Assumptions'!H144)</f>
        <v>0</v>
      </c>
      <c r="I2" s="84">
        <f>IF(OR('Initial Setup'!$B$3='Event Tracker'!$A$20,'Initial Setup'!$B$3='Event Tracker'!$A$21),'Event Tracker'!I32,'Event Tracker'!I42/8760/'Game Assumptions'!$G55+'Event Tracker'!I32+'Game Assumptions'!I144)</f>
        <v>0</v>
      </c>
      <c r="J2" s="84">
        <f>IF(OR('Initial Setup'!$B$3='Event Tracker'!$A$20,'Initial Setup'!$B$3='Event Tracker'!$A$21),'Event Tracker'!J32,'Event Tracker'!J42/8760/'Game Assumptions'!$G55+'Event Tracker'!J32+'Game Assumptions'!J144)</f>
        <v>0</v>
      </c>
      <c r="K2" s="84">
        <f>IF(OR('Initial Setup'!$B$3='Event Tracker'!$A$20,'Initial Setup'!$B$3='Event Tracker'!$A$21),'Event Tracker'!K32,'Event Tracker'!K42/8760/'Game Assumptions'!$G55+'Event Tracker'!K32+'Game Assumptions'!K144)</f>
        <v>0</v>
      </c>
      <c r="L2" s="84">
        <f>IF(OR('Initial Setup'!$B$3='Event Tracker'!$A$20,'Initial Setup'!$B$3='Event Tracker'!$A$21),'Event Tracker'!L32,'Event Tracker'!L42/8760/'Game Assumptions'!$G55+'Event Tracker'!L32+'Game Assumptions'!L144)</f>
        <v>0</v>
      </c>
    </row>
    <row r="3" spans="1:15" x14ac:dyDescent="0.25">
      <c r="A3" t="s">
        <v>8</v>
      </c>
      <c r="B3" s="84">
        <v>0</v>
      </c>
      <c r="C3" s="84">
        <f>IF(OR('Initial Setup'!$B$3='Event Tracker'!$A$20,'Initial Setup'!$B$3='Event Tracker'!$A$21),'Event Tracker'!C33,'Event Tracker'!C43/8760/'Game Assumptions'!$G56+'Event Tracker'!C33+'Game Assumptions'!C145)</f>
        <v>297.11138771841729</v>
      </c>
      <c r="D3" s="84">
        <f>IF(OR('Initial Setup'!$B$3='Event Tracker'!$A$20,'Initial Setup'!$B$3='Event Tracker'!$A$21),'Event Tracker'!D33,'Event Tracker'!D43/8760/'Game Assumptions'!$G56+'Event Tracker'!D33+'Game Assumptions'!D145)</f>
        <v>383.31488115353432</v>
      </c>
      <c r="E3" s="84">
        <f>IF(OR('Initial Setup'!$B$3='Event Tracker'!$A$20,'Initial Setup'!$B$3='Event Tracker'!$A$21),'Event Tracker'!E33,'Event Tracker'!E43/8760/'Game Assumptions'!$G56+'Event Tracker'!E33+'Game Assumptions'!E145)</f>
        <v>424.13401670932302</v>
      </c>
      <c r="F3" s="84">
        <f>IF(OR('Initial Setup'!$B$3='Event Tracker'!$A$20,'Initial Setup'!$B$3='Event Tracker'!$A$21),'Event Tracker'!F33,'Event Tracker'!F43/8760/'Game Assumptions'!$G56+'Event Tracker'!F33+'Game Assumptions'!F145)</f>
        <v>181.07283211994505</v>
      </c>
      <c r="G3" s="84">
        <f>IF(OR('Initial Setup'!$B$3='Event Tracker'!$A$20,'Initial Setup'!$B$3='Event Tracker'!$A$21),'Event Tracker'!G33,'Event Tracker'!G43/8760/'Game Assumptions'!$G56+'Event Tracker'!G33+'Game Assumptions'!G145)</f>
        <v>143.80546820375119</v>
      </c>
      <c r="H3" s="84">
        <f>IF(OR('Initial Setup'!$B$3='Event Tracker'!$A$20,'Initial Setup'!$B$3='Event Tracker'!$A$21),'Event Tracker'!H33,'Event Tracker'!H43/8760/'Game Assumptions'!$G56+'Event Tracker'!H33+'Game Assumptions'!H145)</f>
        <v>164.33158945090875</v>
      </c>
      <c r="I3" s="84">
        <f>IF(OR('Initial Setup'!$B$3='Event Tracker'!$A$20,'Initial Setup'!$B$3='Event Tracker'!$A$21),'Event Tracker'!I33,'Event Tracker'!I43/8760/'Game Assumptions'!$G56+'Event Tracker'!I33+'Game Assumptions'!I145)</f>
        <v>202.76943225138766</v>
      </c>
      <c r="J3" s="84">
        <f>IF(OR('Initial Setup'!$B$3='Event Tracker'!$A$20,'Initial Setup'!$B$3='Event Tracker'!$A$21),'Event Tracker'!J33,'Event Tracker'!J43/8760/'Game Assumptions'!$G56+'Event Tracker'!J33+'Game Assumptions'!J145)</f>
        <v>215.78082331991789</v>
      </c>
      <c r="K3" s="84">
        <f>IF(OR('Initial Setup'!$B$3='Event Tracker'!$A$20,'Initial Setup'!$B$3='Event Tracker'!$A$21),'Event Tracker'!K33,'Event Tracker'!K43/8760/'Game Assumptions'!$G56+'Event Tracker'!K33+'Game Assumptions'!K145)</f>
        <v>224.67907160747714</v>
      </c>
      <c r="L3" s="84">
        <f>IF(OR('Initial Setup'!$B$3='Event Tracker'!$A$20,'Initial Setup'!$B$3='Event Tracker'!$A$21),'Event Tracker'!L33,'Event Tracker'!L43/8760/'Game Assumptions'!$G56+'Event Tracker'!L33+'Game Assumptions'!L145)</f>
        <v>231.49409399436482</v>
      </c>
    </row>
    <row r="4" spans="1:15" x14ac:dyDescent="0.25">
      <c r="A4" t="s">
        <v>13</v>
      </c>
      <c r="B4" s="84">
        <v>0</v>
      </c>
      <c r="C4" s="84">
        <f>IF(OR('Initial Setup'!$B$3='Event Tracker'!$A$20,'Initial Setup'!$B$3='Event Tracker'!$A$21),'Event Tracker'!C34,'Event Tracker'!C44/8760/'Game Assumptions'!$G57+'Event Tracker'!C34+'Game Assumptions'!C146)</f>
        <v>0</v>
      </c>
      <c r="D4" s="84">
        <f>IF(OR('Initial Setup'!$B$3='Event Tracker'!$A$20,'Initial Setup'!$B$3='Event Tracker'!$A$21),'Event Tracker'!D34,'Event Tracker'!D44/8760/'Game Assumptions'!$G57+'Event Tracker'!D34+'Game Assumptions'!D146)</f>
        <v>0</v>
      </c>
      <c r="E4" s="84">
        <f>IF(OR('Initial Setup'!$B$3='Event Tracker'!$A$20,'Initial Setup'!$B$3='Event Tracker'!$A$21),'Event Tracker'!E34,'Event Tracker'!E44/8760/'Game Assumptions'!$G57+'Event Tracker'!E34+'Game Assumptions'!E146)</f>
        <v>0</v>
      </c>
      <c r="F4" s="84">
        <f>IF(OR('Initial Setup'!$B$3='Event Tracker'!$A$20,'Initial Setup'!$B$3='Event Tracker'!$A$21),'Event Tracker'!F34,'Event Tracker'!F44/8760/'Game Assumptions'!$G57+'Event Tracker'!F34+'Game Assumptions'!F146)</f>
        <v>0</v>
      </c>
      <c r="G4" s="84">
        <f>IF(OR('Initial Setup'!$B$3='Event Tracker'!$A$20,'Initial Setup'!$B$3='Event Tracker'!$A$21),'Event Tracker'!G34,'Event Tracker'!G44/8760/'Game Assumptions'!$G57+'Event Tracker'!G34+'Game Assumptions'!G146)</f>
        <v>0</v>
      </c>
      <c r="H4" s="84">
        <f>IF(OR('Initial Setup'!$B$3='Event Tracker'!$A$20,'Initial Setup'!$B$3='Event Tracker'!$A$21),'Event Tracker'!H34,'Event Tracker'!H44/8760/'Game Assumptions'!$G57+'Event Tracker'!H34+'Game Assumptions'!H146)</f>
        <v>0</v>
      </c>
      <c r="I4" s="84">
        <f>IF(OR('Initial Setup'!$B$3='Event Tracker'!$A$20,'Initial Setup'!$B$3='Event Tracker'!$A$21),'Event Tracker'!I34,'Event Tracker'!I44/8760/'Game Assumptions'!$G57+'Event Tracker'!I34+'Game Assumptions'!I146)</f>
        <v>0</v>
      </c>
      <c r="J4" s="84">
        <f>IF(OR('Initial Setup'!$B$3='Event Tracker'!$A$20,'Initial Setup'!$B$3='Event Tracker'!$A$21),'Event Tracker'!J34,'Event Tracker'!J44/8760/'Game Assumptions'!$G57+'Event Tracker'!J34+'Game Assumptions'!J146)</f>
        <v>0</v>
      </c>
      <c r="K4" s="84">
        <f>IF(OR('Initial Setup'!$B$3='Event Tracker'!$A$20,'Initial Setup'!$B$3='Event Tracker'!$A$21),'Event Tracker'!K34,'Event Tracker'!K44/8760/'Game Assumptions'!$G57+'Event Tracker'!K34+'Game Assumptions'!K146)</f>
        <v>0</v>
      </c>
      <c r="L4" s="84">
        <f>IF(OR('Initial Setup'!$B$3='Event Tracker'!$A$20,'Initial Setup'!$B$3='Event Tracker'!$A$21),'Event Tracker'!L34,'Event Tracker'!L44/8760/'Game Assumptions'!$G57+'Event Tracker'!L34+'Game Assumptions'!L146)</f>
        <v>0</v>
      </c>
    </row>
    <row r="5" spans="1:15" x14ac:dyDescent="0.25">
      <c r="A5" t="s">
        <v>9</v>
      </c>
      <c r="B5" s="84">
        <v>0</v>
      </c>
      <c r="C5" s="84">
        <f>IF(OR('Initial Setup'!$B$3='Event Tracker'!$A$20,'Initial Setup'!$B$3='Event Tracker'!$A$21),'Event Tracker'!C35,'Event Tracker'!C45/8760/'Game Assumptions'!$G58+'Event Tracker'!C35+'Game Assumptions'!C147)</f>
        <v>148.55569385920865</v>
      </c>
      <c r="D5" s="84">
        <f>IF(OR('Initial Setup'!$B$3='Event Tracker'!$A$20,'Initial Setup'!$B$3='Event Tracker'!$A$21),'Event Tracker'!D35,'Event Tracker'!D45/8760/'Game Assumptions'!$G58+'Event Tracker'!D35+'Game Assumptions'!D147)</f>
        <v>191.65744057676716</v>
      </c>
      <c r="E5" s="84">
        <f>IF(OR('Initial Setup'!$B$3='Event Tracker'!$A$20,'Initial Setup'!$B$3='Event Tracker'!$A$21),'Event Tracker'!E35,'Event Tracker'!E45/8760/'Game Assumptions'!$G58+'Event Tracker'!E35+'Game Assumptions'!E147)</f>
        <v>212.06700835466151</v>
      </c>
      <c r="F5" s="84">
        <f>IF(OR('Initial Setup'!$B$3='Event Tracker'!$A$20,'Initial Setup'!$B$3='Event Tracker'!$A$21),'Event Tracker'!F35,'Event Tracker'!F45/8760/'Game Assumptions'!$G58+'Event Tracker'!F35+'Game Assumptions'!F147)</f>
        <v>90.536416059972524</v>
      </c>
      <c r="G5" s="84">
        <f>IF(OR('Initial Setup'!$B$3='Event Tracker'!$A$20,'Initial Setup'!$B$3='Event Tracker'!$A$21),'Event Tracker'!G35,'Event Tracker'!G45/8760/'Game Assumptions'!$G58+'Event Tracker'!G35+'Game Assumptions'!G147)</f>
        <v>71.902734101875595</v>
      </c>
      <c r="H5" s="84">
        <f>IF(OR('Initial Setup'!$B$3='Event Tracker'!$A$20,'Initial Setup'!$B$3='Event Tracker'!$A$21),'Event Tracker'!H35,'Event Tracker'!H45/8760/'Game Assumptions'!$G58+'Event Tracker'!H35+'Game Assumptions'!H147)</f>
        <v>82.165794725454376</v>
      </c>
      <c r="I5" s="84">
        <f>IF(OR('Initial Setup'!$B$3='Event Tracker'!$A$20,'Initial Setup'!$B$3='Event Tracker'!$A$21),'Event Tracker'!I35,'Event Tracker'!I45/8760/'Game Assumptions'!$G58+'Event Tracker'!I35+'Game Assumptions'!I147)</f>
        <v>101.38471612569383</v>
      </c>
      <c r="J5" s="84">
        <f>IF(OR('Initial Setup'!$B$3='Event Tracker'!$A$20,'Initial Setup'!$B$3='Event Tracker'!$A$21),'Event Tracker'!J35,'Event Tracker'!J45/8760/'Game Assumptions'!$G58+'Event Tracker'!J35+'Game Assumptions'!J147)</f>
        <v>107.89041165995894</v>
      </c>
      <c r="K5" s="84">
        <f>IF(OR('Initial Setup'!$B$3='Event Tracker'!$A$20,'Initial Setup'!$B$3='Event Tracker'!$A$21),'Event Tracker'!K35,'Event Tracker'!K45/8760/'Game Assumptions'!$G58+'Event Tracker'!K35+'Game Assumptions'!K147)</f>
        <v>112.33953580373857</v>
      </c>
      <c r="L5" s="84">
        <f>IF(OR('Initial Setup'!$B$3='Event Tracker'!$A$20,'Initial Setup'!$B$3='Event Tracker'!$A$21),'Event Tracker'!L35,'Event Tracker'!L45/8760/'Game Assumptions'!$G58+'Event Tracker'!L35+'Game Assumptions'!L147)</f>
        <v>115.74704699718241</v>
      </c>
    </row>
    <row r="6" spans="1:15" x14ac:dyDescent="0.25">
      <c r="A6" t="s">
        <v>10</v>
      </c>
      <c r="B6" s="84">
        <v>0</v>
      </c>
      <c r="C6" s="84">
        <f>IF(OR('Initial Setup'!$B$3='Event Tracker'!$A$20,'Initial Setup'!$B$3='Event Tracker'!$A$21),'Event Tracker'!C36,'Event Tracker'!C46/8760/'Game Assumptions'!$G59+'Event Tracker'!C36+'Game Assumptions'!C148)</f>
        <v>148.55569385920865</v>
      </c>
      <c r="D6" s="84">
        <f>IF(OR('Initial Setup'!$B$3='Event Tracker'!$A$20,'Initial Setup'!$B$3='Event Tracker'!$A$21),'Event Tracker'!D36,'Event Tracker'!D46/8760/'Game Assumptions'!$G59+'Event Tracker'!D36+'Game Assumptions'!D148)</f>
        <v>191.65744057676716</v>
      </c>
      <c r="E6" s="84">
        <f>IF(OR('Initial Setup'!$B$3='Event Tracker'!$A$20,'Initial Setup'!$B$3='Event Tracker'!$A$21),'Event Tracker'!E36,'Event Tracker'!E46/8760/'Game Assumptions'!$G59+'Event Tracker'!E36+'Game Assumptions'!E148)</f>
        <v>212.06700835466151</v>
      </c>
      <c r="F6" s="84">
        <f>IF(OR('Initial Setup'!$B$3='Event Tracker'!$A$20,'Initial Setup'!$B$3='Event Tracker'!$A$21),'Event Tracker'!F36,'Event Tracker'!F46/8760/'Game Assumptions'!$G59+'Event Tracker'!F36+'Game Assumptions'!F148)</f>
        <v>90.536416059972524</v>
      </c>
      <c r="G6" s="84">
        <f>IF(OR('Initial Setup'!$B$3='Event Tracker'!$A$20,'Initial Setup'!$B$3='Event Tracker'!$A$21),'Event Tracker'!G36,'Event Tracker'!G46/8760/'Game Assumptions'!$G59+'Event Tracker'!G36+'Game Assumptions'!G148)</f>
        <v>71.902734101875595</v>
      </c>
      <c r="H6" s="84">
        <f>IF(OR('Initial Setup'!$B$3='Event Tracker'!$A$20,'Initial Setup'!$B$3='Event Tracker'!$A$21),'Event Tracker'!H36,'Event Tracker'!H46/8760/'Game Assumptions'!$G59+'Event Tracker'!H36+'Game Assumptions'!H148)</f>
        <v>82.165794725454376</v>
      </c>
      <c r="I6" s="84">
        <f>IF(OR('Initial Setup'!$B$3='Event Tracker'!$A$20,'Initial Setup'!$B$3='Event Tracker'!$A$21),'Event Tracker'!I36,'Event Tracker'!I46/8760/'Game Assumptions'!$G59+'Event Tracker'!I36+'Game Assumptions'!I148)</f>
        <v>101.38471612569383</v>
      </c>
      <c r="J6" s="84">
        <f>IF(OR('Initial Setup'!$B$3='Event Tracker'!$A$20,'Initial Setup'!$B$3='Event Tracker'!$A$21),'Event Tracker'!J36,'Event Tracker'!J46/8760/'Game Assumptions'!$G59+'Event Tracker'!J36+'Game Assumptions'!J148)</f>
        <v>107.89041165995894</v>
      </c>
      <c r="K6" s="84">
        <f>IF(OR('Initial Setup'!$B$3='Event Tracker'!$A$20,'Initial Setup'!$B$3='Event Tracker'!$A$21),'Event Tracker'!K36,'Event Tracker'!K46/8760/'Game Assumptions'!$G59+'Event Tracker'!K36+'Game Assumptions'!K148)</f>
        <v>112.33953580373857</v>
      </c>
      <c r="L6" s="84">
        <f>IF(OR('Initial Setup'!$B$3='Event Tracker'!$A$20,'Initial Setup'!$B$3='Event Tracker'!$A$21),'Event Tracker'!L36,'Event Tracker'!L46/8760/'Game Assumptions'!$G59+'Event Tracker'!L36+'Game Assumptions'!L148)</f>
        <v>115.74704699718241</v>
      </c>
    </row>
    <row r="7" spans="1:15" x14ac:dyDescent="0.25">
      <c r="A7" t="s">
        <v>11</v>
      </c>
      <c r="B7" s="84">
        <v>0</v>
      </c>
      <c r="C7" s="84">
        <f>IF(OR('Initial Setup'!$B$3='Event Tracker'!$A$20,'Initial Setup'!$B$3='Event Tracker'!$A$21),'Event Tracker'!C37,'Event Tracker'!C47/8760/'Game Assumptions'!$G60+'Event Tracker'!C37+'Game Assumptions'!C149)</f>
        <v>0</v>
      </c>
      <c r="D7" s="84">
        <f>IF(OR('Initial Setup'!$B$3='Event Tracker'!$A$20,'Initial Setup'!$B$3='Event Tracker'!$A$21),'Event Tracker'!D37,'Event Tracker'!D47/8760/'Game Assumptions'!$G60+'Event Tracker'!D37+'Game Assumptions'!D149)</f>
        <v>0</v>
      </c>
      <c r="E7" s="84">
        <f>IF(OR('Initial Setup'!$B$3='Event Tracker'!$A$20,'Initial Setup'!$B$3='Event Tracker'!$A$21),'Event Tracker'!E37,'Event Tracker'!E47/8760/'Game Assumptions'!$G60+'Event Tracker'!E37+'Game Assumptions'!E149)</f>
        <v>0</v>
      </c>
      <c r="F7" s="84">
        <f>IF(OR('Initial Setup'!$B$3='Event Tracker'!$A$20,'Initial Setup'!$B$3='Event Tracker'!$A$21),'Event Tracker'!F37,'Event Tracker'!F47/8760/'Game Assumptions'!$G60+'Event Tracker'!F37+'Game Assumptions'!F149)</f>
        <v>0</v>
      </c>
      <c r="G7" s="84">
        <f>IF(OR('Initial Setup'!$B$3='Event Tracker'!$A$20,'Initial Setup'!$B$3='Event Tracker'!$A$21),'Event Tracker'!G37,'Event Tracker'!G47/8760/'Game Assumptions'!$G60+'Event Tracker'!G37+'Game Assumptions'!G149)</f>
        <v>0</v>
      </c>
      <c r="H7" s="84">
        <f>IF(OR('Initial Setup'!$B$3='Event Tracker'!$A$20,'Initial Setup'!$B$3='Event Tracker'!$A$21),'Event Tracker'!H37,'Event Tracker'!H47/8760/'Game Assumptions'!$G60+'Event Tracker'!H37+'Game Assumptions'!H149)</f>
        <v>0</v>
      </c>
      <c r="I7" s="84">
        <f>IF(OR('Initial Setup'!$B$3='Event Tracker'!$A$20,'Initial Setup'!$B$3='Event Tracker'!$A$21),'Event Tracker'!I37,'Event Tracker'!I47/8760/'Game Assumptions'!$G60+'Event Tracker'!I37+'Game Assumptions'!I149)</f>
        <v>0</v>
      </c>
      <c r="J7" s="84">
        <f>IF(OR('Initial Setup'!$B$3='Event Tracker'!$A$20,'Initial Setup'!$B$3='Event Tracker'!$A$21),'Event Tracker'!J37,'Event Tracker'!J47/8760/'Game Assumptions'!$G60+'Event Tracker'!J37+'Game Assumptions'!J149)</f>
        <v>0</v>
      </c>
      <c r="K7" s="84">
        <f>IF(OR('Initial Setup'!$B$3='Event Tracker'!$A$20,'Initial Setup'!$B$3='Event Tracker'!$A$21),'Event Tracker'!K37,'Event Tracker'!K47/8760/'Game Assumptions'!$G60+'Event Tracker'!K37+'Game Assumptions'!K149)</f>
        <v>0</v>
      </c>
      <c r="L7" s="84">
        <f>IF(OR('Initial Setup'!$B$3='Event Tracker'!$A$20,'Initial Setup'!$B$3='Event Tracker'!$A$21),'Event Tracker'!L37,'Event Tracker'!L47/8760/'Game Assumptions'!$G60+'Event Tracker'!L37+'Game Assumptions'!L149)</f>
        <v>0</v>
      </c>
    </row>
    <row r="8" spans="1:15" x14ac:dyDescent="0.25">
      <c r="A8" t="s">
        <v>12</v>
      </c>
      <c r="B8" s="84">
        <v>0</v>
      </c>
      <c r="C8" s="84">
        <f>IF(OR('Initial Setup'!$B$3='Event Tracker'!$A$20,'Initial Setup'!$B$3='Event Tracker'!$A$21),'Event Tracker'!C38,'Event Tracker'!C48/8760/'Game Assumptions'!$G61+'Event Tracker'!C38+'Game Assumptions'!C150)+'Game Assumptions'!$B$186</f>
        <v>173.55569385920865</v>
      </c>
      <c r="D8" s="84">
        <f>IF(OR('Initial Setup'!$B$3='Event Tracker'!$A$20,'Initial Setup'!$B$3='Event Tracker'!$A$21),'Event Tracker'!D38,'Event Tracker'!D48/8760/'Game Assumptions'!$G61+'Event Tracker'!D38+'Game Assumptions'!D150)+'Game Assumptions'!$B$186</f>
        <v>216.65744057676716</v>
      </c>
      <c r="E8" s="84">
        <f>IF(OR('Initial Setup'!$B$3='Event Tracker'!$A$20,'Initial Setup'!$B$3='Event Tracker'!$A$21),'Event Tracker'!E38,'Event Tracker'!E48/8760/'Game Assumptions'!$G61+'Event Tracker'!E38+'Game Assumptions'!E150)+'Game Assumptions'!$B$186</f>
        <v>237.06700835466151</v>
      </c>
      <c r="F8" s="84">
        <f>IF(OR('Initial Setup'!$B$3='Event Tracker'!$A$20,'Initial Setup'!$B$3='Event Tracker'!$A$21),'Event Tracker'!F38,'Event Tracker'!F48/8760/'Game Assumptions'!$G61+'Event Tracker'!F38+'Game Assumptions'!F150)+'Game Assumptions'!$B$186</f>
        <v>115.53641605997252</v>
      </c>
      <c r="G8" s="84">
        <f>IF(OR('Initial Setup'!$B$3='Event Tracker'!$A$20,'Initial Setup'!$B$3='Event Tracker'!$A$21),'Event Tracker'!G38,'Event Tracker'!G48/8760/'Game Assumptions'!$G61+'Event Tracker'!G38+'Game Assumptions'!G150)+'Game Assumptions'!$B$186</f>
        <v>96.902734101875595</v>
      </c>
      <c r="H8" s="84">
        <f>IF(OR('Initial Setup'!$B$3='Event Tracker'!$A$20,'Initial Setup'!$B$3='Event Tracker'!$A$21),'Event Tracker'!H38,'Event Tracker'!H48/8760/'Game Assumptions'!$G61+'Event Tracker'!H38+'Game Assumptions'!H150)+'Game Assumptions'!$B$186</f>
        <v>107.16579472545438</v>
      </c>
      <c r="I8" s="84">
        <f>IF(OR('Initial Setup'!$B$3='Event Tracker'!$A$20,'Initial Setup'!$B$3='Event Tracker'!$A$21),'Event Tracker'!I38,'Event Tracker'!I48/8760/'Game Assumptions'!$G61+'Event Tracker'!I38+'Game Assumptions'!I150)+'Game Assumptions'!$B$186</f>
        <v>126.38471612569383</v>
      </c>
      <c r="J8" s="84">
        <f>IF(OR('Initial Setup'!$B$3='Event Tracker'!$A$20,'Initial Setup'!$B$3='Event Tracker'!$A$21),'Event Tracker'!J38,'Event Tracker'!J48/8760/'Game Assumptions'!$G61+'Event Tracker'!J38+'Game Assumptions'!J150)+'Game Assumptions'!$B$186</f>
        <v>132.89041165995894</v>
      </c>
      <c r="K8" s="84">
        <f>IF(OR('Initial Setup'!$B$3='Event Tracker'!$A$20,'Initial Setup'!$B$3='Event Tracker'!$A$21),'Event Tracker'!K38,'Event Tracker'!K48/8760/'Game Assumptions'!$G61+'Event Tracker'!K38+'Game Assumptions'!K150)+'Game Assumptions'!$B$186</f>
        <v>137.33953580373856</v>
      </c>
      <c r="L8" s="84">
        <f>IF(OR('Initial Setup'!$B$3='Event Tracker'!$A$20,'Initial Setup'!$B$3='Event Tracker'!$A$21),'Event Tracker'!L38,'Event Tracker'!L48/8760/'Game Assumptions'!$G61+'Event Tracker'!L38+'Game Assumptions'!L150)+'Game Assumptions'!$B$186</f>
        <v>140.74704699718239</v>
      </c>
    </row>
    <row r="9" spans="1:15" x14ac:dyDescent="0.25">
      <c r="A9" t="s">
        <v>369</v>
      </c>
      <c r="B9" s="16">
        <v>0</v>
      </c>
      <c r="C9" s="84">
        <f>IF(OR('Initial Setup'!$B$3='Event Tracker'!$A$20,'Initial Setup'!$B$3='Event Tracker'!$A$21),'Event Tracker'!C39,'Event Tracker'!C49/8760/'Game Assumptions'!$G62+'Event Tracker'!C39+'Game Assumptions'!C151)+'Game Assumptions'!$B$187</f>
        <v>158.55569385920865</v>
      </c>
      <c r="D9" s="84">
        <f>IF(OR('Initial Setup'!$B$3='Event Tracker'!$A$20,'Initial Setup'!$B$3='Event Tracker'!$A$21),'Event Tracker'!D39,'Event Tracker'!D49/8760/'Game Assumptions'!$G62+'Event Tracker'!D39+'Game Assumptions'!D151)+'Game Assumptions'!$B$187</f>
        <v>201.65744057676716</v>
      </c>
      <c r="E9" s="84">
        <f>IF(OR('Initial Setup'!$B$3='Event Tracker'!$A$20,'Initial Setup'!$B$3='Event Tracker'!$A$21),'Event Tracker'!E39,'Event Tracker'!E49/8760/'Game Assumptions'!$G62+'Event Tracker'!E39+'Game Assumptions'!E151)+'Game Assumptions'!$B$187</f>
        <v>222.06700835466151</v>
      </c>
      <c r="F9" s="84">
        <f>IF(OR('Initial Setup'!$B$3='Event Tracker'!$A$20,'Initial Setup'!$B$3='Event Tracker'!$A$21),'Event Tracker'!F39,'Event Tracker'!F49/8760/'Game Assumptions'!$G62+'Event Tracker'!F39+'Game Assumptions'!F151)+'Game Assumptions'!$B$187</f>
        <v>100.53641605997252</v>
      </c>
      <c r="G9" s="84">
        <f>IF(OR('Initial Setup'!$B$3='Event Tracker'!$A$20,'Initial Setup'!$B$3='Event Tracker'!$A$21),'Event Tracker'!G39,'Event Tracker'!G49/8760/'Game Assumptions'!$G62+'Event Tracker'!G39+'Game Assumptions'!G151)+'Game Assumptions'!$B$187</f>
        <v>81.902734101875595</v>
      </c>
      <c r="H9" s="84">
        <f>IF(OR('Initial Setup'!$B$3='Event Tracker'!$A$20,'Initial Setup'!$B$3='Event Tracker'!$A$21),'Event Tracker'!H39,'Event Tracker'!H49/8760/'Game Assumptions'!$G62+'Event Tracker'!H39+'Game Assumptions'!H151)+'Game Assumptions'!$B$187</f>
        <v>92.165794725454376</v>
      </c>
      <c r="I9" s="84">
        <f>IF(OR('Initial Setup'!$B$3='Event Tracker'!$A$20,'Initial Setup'!$B$3='Event Tracker'!$A$21),'Event Tracker'!I39,'Event Tracker'!I49/8760/'Game Assumptions'!$G62+'Event Tracker'!I39+'Game Assumptions'!I151)+'Game Assumptions'!$B$187</f>
        <v>111.38471612569383</v>
      </c>
      <c r="J9" s="84">
        <f>IF(OR('Initial Setup'!$B$3='Event Tracker'!$A$20,'Initial Setup'!$B$3='Event Tracker'!$A$21),'Event Tracker'!J39,'Event Tracker'!J49/8760/'Game Assumptions'!$G62+'Event Tracker'!J39+'Game Assumptions'!J151)+'Game Assumptions'!$B$187</f>
        <v>117.89041165995894</v>
      </c>
      <c r="K9" s="84">
        <f>IF(OR('Initial Setup'!$B$3='Event Tracker'!$A$20,'Initial Setup'!$B$3='Event Tracker'!$A$21),'Event Tracker'!K39,'Event Tracker'!K49/8760/'Game Assumptions'!$G62+'Event Tracker'!K39+'Game Assumptions'!K151)+'Game Assumptions'!$B$187</f>
        <v>122.33953580373857</v>
      </c>
      <c r="L9" s="84">
        <f>IF(OR('Initial Setup'!$B$3='Event Tracker'!$A$20,'Initial Setup'!$B$3='Event Tracker'!$A$21),'Event Tracker'!L39,'Event Tracker'!L49/8760/'Game Assumptions'!$G62+'Event Tracker'!L39+'Game Assumptions'!L151)+'Game Assumptions'!$B$187</f>
        <v>125.74704699718241</v>
      </c>
    </row>
    <row r="11" spans="1:15" x14ac:dyDescent="0.25">
      <c r="A11" s="9" t="s">
        <v>53</v>
      </c>
      <c r="B11" s="9">
        <v>0</v>
      </c>
      <c r="C11" s="9">
        <v>1</v>
      </c>
      <c r="D11" s="9">
        <v>2</v>
      </c>
      <c r="E11" s="9">
        <v>3</v>
      </c>
      <c r="F11" s="9">
        <v>4</v>
      </c>
      <c r="G11" s="9">
        <v>5</v>
      </c>
      <c r="H11" s="9">
        <v>6</v>
      </c>
      <c r="I11" s="9">
        <v>7</v>
      </c>
      <c r="J11" s="9">
        <v>8</v>
      </c>
      <c r="K11" s="9">
        <v>9</v>
      </c>
      <c r="L11" s="9">
        <v>10</v>
      </c>
    </row>
    <row r="12" spans="1:15" x14ac:dyDescent="0.25">
      <c r="A12" t="s">
        <v>7</v>
      </c>
      <c r="B12" s="84">
        <v>0</v>
      </c>
      <c r="C12" s="84">
        <f>'Game Assumptions'!C196+'Event Tracker'!C136</f>
        <v>0</v>
      </c>
      <c r="D12" s="84">
        <f>'Game Assumptions'!D196+'Event Tracker'!D136</f>
        <v>1000</v>
      </c>
      <c r="E12" s="84">
        <f>'Game Assumptions'!E196+'Event Tracker'!E136</f>
        <v>1000</v>
      </c>
      <c r="F12" s="84">
        <f>'Game Assumptions'!F196+'Event Tracker'!F136</f>
        <v>0</v>
      </c>
      <c r="G12" s="84">
        <f>'Game Assumptions'!G196+'Event Tracker'!G136</f>
        <v>0</v>
      </c>
      <c r="H12" s="84">
        <f>'Game Assumptions'!H196+'Event Tracker'!H136</f>
        <v>0</v>
      </c>
      <c r="I12" s="84">
        <f>'Game Assumptions'!I196+'Event Tracker'!I136</f>
        <v>0</v>
      </c>
      <c r="J12" s="84">
        <f>'Game Assumptions'!J196+'Event Tracker'!J136</f>
        <v>0</v>
      </c>
      <c r="K12" s="84">
        <f>'Game Assumptions'!K196+'Event Tracker'!K136</f>
        <v>0</v>
      </c>
      <c r="L12" s="84">
        <f>'Game Assumptions'!L196+'Event Tracker'!L136</f>
        <v>0</v>
      </c>
    </row>
    <row r="13" spans="1:15" x14ac:dyDescent="0.25">
      <c r="A13" t="s">
        <v>8</v>
      </c>
      <c r="B13" s="84">
        <v>0</v>
      </c>
      <c r="C13" s="84">
        <f>'Game Assumptions'!C197+'Event Tracker'!C137</f>
        <v>0</v>
      </c>
      <c r="D13" s="84">
        <f>'Game Assumptions'!D197+'Event Tracker'!D137</f>
        <v>0</v>
      </c>
      <c r="E13" s="84">
        <f>'Game Assumptions'!E197+'Event Tracker'!E137</f>
        <v>0</v>
      </c>
      <c r="F13" s="84">
        <f>'Game Assumptions'!F197+'Event Tracker'!F137</f>
        <v>0</v>
      </c>
      <c r="G13" s="84">
        <f>'Game Assumptions'!G197+'Event Tracker'!G137</f>
        <v>0</v>
      </c>
      <c r="H13" s="84">
        <f>'Game Assumptions'!H197+'Event Tracker'!H137</f>
        <v>0</v>
      </c>
      <c r="I13" s="84">
        <f>'Game Assumptions'!I197+'Event Tracker'!I137</f>
        <v>0</v>
      </c>
      <c r="J13" s="84">
        <f>'Game Assumptions'!J197+'Event Tracker'!J137</f>
        <v>0</v>
      </c>
      <c r="K13" s="84">
        <f>'Game Assumptions'!K197+'Event Tracker'!K137</f>
        <v>0</v>
      </c>
      <c r="L13" s="84">
        <f>'Game Assumptions'!L197+'Event Tracker'!L137</f>
        <v>0</v>
      </c>
    </row>
    <row r="14" spans="1:15" x14ac:dyDescent="0.25">
      <c r="A14" t="s">
        <v>13</v>
      </c>
      <c r="B14" s="84">
        <v>0</v>
      </c>
      <c r="C14" s="84">
        <f>'Game Assumptions'!C198+'Event Tracker'!C138</f>
        <v>1000</v>
      </c>
      <c r="D14" s="84">
        <f>'Game Assumptions'!D198+'Event Tracker'!D138</f>
        <v>0</v>
      </c>
      <c r="E14" s="84">
        <f>'Game Assumptions'!E198+'Event Tracker'!E138</f>
        <v>0</v>
      </c>
      <c r="F14" s="84">
        <f>'Game Assumptions'!F198+'Event Tracker'!F138</f>
        <v>0</v>
      </c>
      <c r="G14" s="84">
        <f>'Game Assumptions'!G198+'Event Tracker'!G138</f>
        <v>0</v>
      </c>
      <c r="H14" s="84">
        <f>'Game Assumptions'!H198+'Event Tracker'!H138</f>
        <v>0</v>
      </c>
      <c r="I14" s="84">
        <f>'Game Assumptions'!I198+'Event Tracker'!I138</f>
        <v>0</v>
      </c>
      <c r="J14" s="84">
        <f>'Game Assumptions'!J198+'Event Tracker'!J138</f>
        <v>0</v>
      </c>
      <c r="K14" s="84">
        <f>'Game Assumptions'!K198+'Event Tracker'!K138</f>
        <v>0</v>
      </c>
      <c r="L14" s="84">
        <f>'Game Assumptions'!L198+'Event Tracker'!L138</f>
        <v>0</v>
      </c>
    </row>
    <row r="15" spans="1:15" x14ac:dyDescent="0.25">
      <c r="A15" t="s">
        <v>9</v>
      </c>
      <c r="B15" s="84">
        <v>0</v>
      </c>
      <c r="C15" s="84">
        <f>'Game Assumptions'!C199+'Event Tracker'!C139</f>
        <v>0</v>
      </c>
      <c r="D15" s="84">
        <f>'Game Assumptions'!D199+'Event Tracker'!D139</f>
        <v>0</v>
      </c>
      <c r="E15" s="84">
        <f>'Game Assumptions'!E199+'Event Tracker'!E139</f>
        <v>0</v>
      </c>
      <c r="F15" s="84">
        <f>'Game Assumptions'!F199+'Event Tracker'!F139</f>
        <v>0</v>
      </c>
      <c r="G15" s="84">
        <f>'Game Assumptions'!G199+'Event Tracker'!G139</f>
        <v>0</v>
      </c>
      <c r="H15" s="84">
        <f>'Game Assumptions'!H199+'Event Tracker'!H139</f>
        <v>0</v>
      </c>
      <c r="I15" s="84">
        <f>'Game Assumptions'!I199+'Event Tracker'!I139</f>
        <v>0</v>
      </c>
      <c r="J15" s="84">
        <f>'Game Assumptions'!J199+'Event Tracker'!J139</f>
        <v>0</v>
      </c>
      <c r="K15" s="84">
        <f>'Game Assumptions'!K199+'Event Tracker'!K139</f>
        <v>0</v>
      </c>
      <c r="L15" s="84">
        <f>'Game Assumptions'!L199+'Event Tracker'!L139</f>
        <v>0</v>
      </c>
    </row>
    <row r="16" spans="1:15" x14ac:dyDescent="0.25">
      <c r="A16" t="s">
        <v>10</v>
      </c>
      <c r="B16" s="84">
        <v>0</v>
      </c>
      <c r="C16" s="84">
        <f>'Game Assumptions'!C200+'Event Tracker'!C140</f>
        <v>0</v>
      </c>
      <c r="D16" s="84">
        <f>'Game Assumptions'!D200+'Event Tracker'!D140</f>
        <v>0</v>
      </c>
      <c r="E16" s="84">
        <f>'Game Assumptions'!E200+'Event Tracker'!E140</f>
        <v>0</v>
      </c>
      <c r="F16" s="84">
        <f>'Game Assumptions'!F200+'Event Tracker'!F140</f>
        <v>0</v>
      </c>
      <c r="G16" s="84">
        <f>'Game Assumptions'!G200+'Event Tracker'!G140</f>
        <v>0</v>
      </c>
      <c r="H16" s="84">
        <f>'Game Assumptions'!H200+'Event Tracker'!H140</f>
        <v>0</v>
      </c>
      <c r="I16" s="84">
        <f>'Game Assumptions'!I200+'Event Tracker'!I140</f>
        <v>0</v>
      </c>
      <c r="J16" s="84">
        <f>'Game Assumptions'!J200+'Event Tracker'!J140</f>
        <v>0</v>
      </c>
      <c r="K16" s="84">
        <f>'Game Assumptions'!K200+'Event Tracker'!K140</f>
        <v>0</v>
      </c>
      <c r="L16" s="84">
        <f>'Game Assumptions'!L200+'Event Tracker'!L140</f>
        <v>0</v>
      </c>
    </row>
    <row r="17" spans="1:12" x14ac:dyDescent="0.25">
      <c r="A17" t="s">
        <v>11</v>
      </c>
      <c r="B17" s="84">
        <v>0</v>
      </c>
      <c r="C17" s="84">
        <f>'Game Assumptions'!C201+'Event Tracker'!C141</f>
        <v>0</v>
      </c>
      <c r="D17" s="84">
        <f>'Game Assumptions'!D201+'Event Tracker'!D141</f>
        <v>0</v>
      </c>
      <c r="E17" s="84">
        <f>'Game Assumptions'!E201+'Event Tracker'!E141</f>
        <v>0</v>
      </c>
      <c r="F17" s="84">
        <f>'Game Assumptions'!F201+'Event Tracker'!F141</f>
        <v>0</v>
      </c>
      <c r="G17" s="84">
        <f>'Game Assumptions'!G201+'Event Tracker'!G141</f>
        <v>0</v>
      </c>
      <c r="H17" s="84">
        <f>'Game Assumptions'!H201+'Event Tracker'!H141</f>
        <v>0</v>
      </c>
      <c r="I17" s="84">
        <f>'Game Assumptions'!I201+'Event Tracker'!I141</f>
        <v>0</v>
      </c>
      <c r="J17" s="84">
        <f>'Game Assumptions'!J201+'Event Tracker'!J141</f>
        <v>0</v>
      </c>
      <c r="K17" s="84">
        <f>'Game Assumptions'!K201+'Event Tracker'!K141</f>
        <v>0</v>
      </c>
      <c r="L17" s="84">
        <f>'Game Assumptions'!L201+'Event Tracker'!L141</f>
        <v>0</v>
      </c>
    </row>
    <row r="18" spans="1:12" x14ac:dyDescent="0.25">
      <c r="A18" t="s">
        <v>12</v>
      </c>
      <c r="B18" s="84">
        <v>0</v>
      </c>
      <c r="C18" s="84">
        <f>'Game Assumptions'!C202+'Event Tracker'!C142</f>
        <v>0</v>
      </c>
      <c r="D18" s="84">
        <f>'Game Assumptions'!D202+'Event Tracker'!D142</f>
        <v>0</v>
      </c>
      <c r="E18" s="84">
        <f>'Game Assumptions'!E202+'Event Tracker'!E142</f>
        <v>0</v>
      </c>
      <c r="F18" s="84">
        <f>'Game Assumptions'!F202+'Event Tracker'!F142</f>
        <v>0</v>
      </c>
      <c r="G18" s="84">
        <f>'Game Assumptions'!G202+'Event Tracker'!G142</f>
        <v>0</v>
      </c>
      <c r="H18" s="84">
        <f>'Game Assumptions'!H202+'Event Tracker'!H142</f>
        <v>0</v>
      </c>
      <c r="I18" s="84">
        <f>'Game Assumptions'!I202+'Event Tracker'!I142</f>
        <v>0</v>
      </c>
      <c r="J18" s="84">
        <f>'Game Assumptions'!J202+'Event Tracker'!J142</f>
        <v>0</v>
      </c>
      <c r="K18" s="84">
        <f>'Game Assumptions'!K202+'Event Tracker'!K142</f>
        <v>0</v>
      </c>
      <c r="L18" s="84">
        <f>'Game Assumptions'!L202+'Event Tracker'!L142</f>
        <v>0</v>
      </c>
    </row>
    <row r="19" spans="1:12" x14ac:dyDescent="0.25">
      <c r="A19" t="s">
        <v>369</v>
      </c>
      <c r="B19" s="84">
        <v>0</v>
      </c>
      <c r="C19" s="84">
        <f>'Game Assumptions'!C203+'Event Tracker'!C143</f>
        <v>0</v>
      </c>
      <c r="D19" s="84">
        <f>'Game Assumptions'!D203+'Event Tracker'!D143</f>
        <v>0</v>
      </c>
      <c r="E19" s="84">
        <f>'Game Assumptions'!E203+'Event Tracker'!E143</f>
        <v>0</v>
      </c>
      <c r="F19" s="84">
        <f>'Game Assumptions'!F203+'Event Tracker'!F143</f>
        <v>0</v>
      </c>
      <c r="G19" s="84">
        <f>'Game Assumptions'!G203+'Event Tracker'!G143</f>
        <v>0</v>
      </c>
      <c r="H19" s="84">
        <f>'Game Assumptions'!H203+'Event Tracker'!H143</f>
        <v>0</v>
      </c>
      <c r="I19" s="84">
        <f>'Game Assumptions'!I203+'Event Tracker'!I143</f>
        <v>0</v>
      </c>
      <c r="J19" s="84">
        <f>'Game Assumptions'!J203+'Event Tracker'!J143</f>
        <v>0</v>
      </c>
      <c r="K19" s="84">
        <f>'Game Assumptions'!K203+'Event Tracker'!K143</f>
        <v>0</v>
      </c>
      <c r="L19" s="84">
        <f>'Game Assumptions'!L203+'Event Tracker'!L143</f>
        <v>0</v>
      </c>
    </row>
    <row r="21" spans="1:12" x14ac:dyDescent="0.25">
      <c r="A21" s="9" t="s">
        <v>54</v>
      </c>
      <c r="B21" s="9">
        <v>0</v>
      </c>
      <c r="C21" s="9">
        <v>1</v>
      </c>
      <c r="D21" s="9">
        <v>2</v>
      </c>
      <c r="E21" s="9">
        <v>3</v>
      </c>
      <c r="F21" s="9">
        <v>4</v>
      </c>
      <c r="G21" s="9">
        <v>5</v>
      </c>
      <c r="H21" s="9">
        <v>6</v>
      </c>
      <c r="I21" s="9">
        <v>7</v>
      </c>
      <c r="J21" s="9">
        <v>8</v>
      </c>
      <c r="K21" s="9">
        <v>9</v>
      </c>
      <c r="L21" s="9">
        <v>10</v>
      </c>
    </row>
    <row r="22" spans="1:12" x14ac:dyDescent="0.25">
      <c r="A22" t="s">
        <v>7</v>
      </c>
      <c r="B22" s="127">
        <f>'Game Assumptions'!K41</f>
        <v>4000</v>
      </c>
      <c r="C22" s="127">
        <f>INDEX($B$22:$L$29,MATCH($A22,$A$22:$A$29,0),C$21)+INDEX($B$2:$L$9,MATCH($A22,$A$2:$A$9,0),C$21+1)-INDEX($B$12:$L$19,MATCH($A22,$A$12:$A$19,0),C$21+1)+'Event Tracker'!C121</f>
        <v>4000</v>
      </c>
      <c r="D22" s="127">
        <f t="shared" ref="D22:L29" si="0">INDEX($B$22:$L$29,MATCH($A22,$A$22:$A$29,0),D$21)+INDEX($B$2:$L$9,MATCH($A22,$A$2:$A$9,0),D$21+1)-INDEX($B$12:$L$19,MATCH($A22,$A$12:$A$19,0),D$21+1)</f>
        <v>3000</v>
      </c>
      <c r="E22" s="127">
        <f t="shared" si="0"/>
        <v>2000</v>
      </c>
      <c r="F22" s="127">
        <f t="shared" si="0"/>
        <v>2000</v>
      </c>
      <c r="G22" s="127">
        <f t="shared" si="0"/>
        <v>2000</v>
      </c>
      <c r="H22" s="127">
        <f t="shared" si="0"/>
        <v>2000</v>
      </c>
      <c r="I22" s="127">
        <f t="shared" si="0"/>
        <v>2000</v>
      </c>
      <c r="J22" s="127">
        <f t="shared" si="0"/>
        <v>2000</v>
      </c>
      <c r="K22" s="127">
        <f t="shared" si="0"/>
        <v>2000</v>
      </c>
      <c r="L22" s="127">
        <f t="shared" si="0"/>
        <v>2000</v>
      </c>
    </row>
    <row r="23" spans="1:12" x14ac:dyDescent="0.25">
      <c r="A23" t="s">
        <v>8</v>
      </c>
      <c r="B23" s="127">
        <f>'Game Assumptions'!K42</f>
        <v>8000</v>
      </c>
      <c r="C23" s="127">
        <f>INDEX($B$22:$L$29,MATCH($A23,$A$22:$A$29,0),C$21)+INDEX($B$2:$L$9,MATCH($A23,$A$2:$A$9,0),C$21+1)-INDEX($B$12:$L$19,MATCH($A23,$A$12:$A$19,0),C$21+1)+'Event Tracker'!C122</f>
        <v>8297.111387718418</v>
      </c>
      <c r="D23" s="127">
        <f t="shared" si="0"/>
        <v>8680.4262688719518</v>
      </c>
      <c r="E23" s="127">
        <f t="shared" si="0"/>
        <v>9104.560285581274</v>
      </c>
      <c r="F23" s="127">
        <f t="shared" si="0"/>
        <v>9285.6331177012198</v>
      </c>
      <c r="G23" s="127">
        <f t="shared" si="0"/>
        <v>9429.4385859049708</v>
      </c>
      <c r="H23" s="127">
        <f t="shared" si="0"/>
        <v>9593.7701753558795</v>
      </c>
      <c r="I23" s="127">
        <f t="shared" si="0"/>
        <v>9796.5396076072666</v>
      </c>
      <c r="J23" s="127">
        <f t="shared" si="0"/>
        <v>10012.320430927184</v>
      </c>
      <c r="K23" s="127">
        <f t="shared" si="0"/>
        <v>10236.999502534662</v>
      </c>
      <c r="L23" s="127">
        <f t="shared" si="0"/>
        <v>10468.493596529026</v>
      </c>
    </row>
    <row r="24" spans="1:12" x14ac:dyDescent="0.25">
      <c r="A24" t="s">
        <v>13</v>
      </c>
      <c r="B24" s="127">
        <f>'Game Assumptions'!K43</f>
        <v>2000</v>
      </c>
      <c r="C24" s="127">
        <f>INDEX($B$22:$L$29,MATCH($A24,$A$22:$A$29,0),C$21)+INDEX($B$2:$L$9,MATCH($A24,$A$2:$A$9,0),C$21+1)-INDEX($B$12:$L$19,MATCH($A24,$A$12:$A$19,0),C$21+1)+'Event Tracker'!C123</f>
        <v>1000</v>
      </c>
      <c r="D24" s="127">
        <f t="shared" si="0"/>
        <v>1000</v>
      </c>
      <c r="E24" s="127">
        <f t="shared" si="0"/>
        <v>1000</v>
      </c>
      <c r="F24" s="127">
        <f t="shared" si="0"/>
        <v>1000</v>
      </c>
      <c r="G24" s="127">
        <f t="shared" si="0"/>
        <v>1000</v>
      </c>
      <c r="H24" s="127">
        <f t="shared" si="0"/>
        <v>1000</v>
      </c>
      <c r="I24" s="127">
        <f t="shared" si="0"/>
        <v>1000</v>
      </c>
      <c r="J24" s="127">
        <f t="shared" si="0"/>
        <v>1000</v>
      </c>
      <c r="K24" s="127">
        <f t="shared" si="0"/>
        <v>1000</v>
      </c>
      <c r="L24" s="127">
        <f t="shared" si="0"/>
        <v>1000</v>
      </c>
    </row>
    <row r="25" spans="1:12" x14ac:dyDescent="0.25">
      <c r="A25" t="s">
        <v>9</v>
      </c>
      <c r="B25" s="127">
        <f>'Game Assumptions'!K44</f>
        <v>200</v>
      </c>
      <c r="C25" s="127">
        <f>INDEX($B$22:$L$29,MATCH($A25,$A$22:$A$29,0),C$21)+INDEX($B$2:$L$9,MATCH($A25,$A$2:$A$9,0),C$21+1)-INDEX($B$12:$L$19,MATCH($A25,$A$12:$A$19,0),C$21+1)+'Event Tracker'!C124</f>
        <v>348.55569385920865</v>
      </c>
      <c r="D25" s="127">
        <f t="shared" si="0"/>
        <v>540.2131344359758</v>
      </c>
      <c r="E25" s="127">
        <f t="shared" si="0"/>
        <v>752.28014279063734</v>
      </c>
      <c r="F25" s="127">
        <f t="shared" si="0"/>
        <v>842.81655885060991</v>
      </c>
      <c r="G25" s="127">
        <f t="shared" si="0"/>
        <v>914.71929295248549</v>
      </c>
      <c r="H25" s="127">
        <f t="shared" si="0"/>
        <v>996.88508767793985</v>
      </c>
      <c r="I25" s="127">
        <f t="shared" si="0"/>
        <v>1098.2698038036337</v>
      </c>
      <c r="J25" s="127">
        <f t="shared" si="0"/>
        <v>1206.1602154635927</v>
      </c>
      <c r="K25" s="127">
        <f t="shared" si="0"/>
        <v>1318.4997512673312</v>
      </c>
      <c r="L25" s="127">
        <f t="shared" si="0"/>
        <v>1434.2467982645137</v>
      </c>
    </row>
    <row r="26" spans="1:12" x14ac:dyDescent="0.25">
      <c r="A26" t="s">
        <v>10</v>
      </c>
      <c r="B26" s="127">
        <f>'Game Assumptions'!K45</f>
        <v>200</v>
      </c>
      <c r="C26" s="127">
        <f>INDEX($B$22:$L$29,MATCH($A26,$A$22:$A$29,0),C$21)+INDEX($B$2:$L$9,MATCH($A26,$A$2:$A$9,0),C$21+1)-INDEX($B$12:$L$19,MATCH($A26,$A$12:$A$19,0),C$21+1)+'Event Tracker'!C125</f>
        <v>348.55569385920865</v>
      </c>
      <c r="D26" s="127">
        <f t="shared" si="0"/>
        <v>540.2131344359758</v>
      </c>
      <c r="E26" s="127">
        <f t="shared" si="0"/>
        <v>752.28014279063734</v>
      </c>
      <c r="F26" s="127">
        <f t="shared" si="0"/>
        <v>842.81655885060991</v>
      </c>
      <c r="G26" s="127">
        <f t="shared" si="0"/>
        <v>914.71929295248549</v>
      </c>
      <c r="H26" s="127">
        <f t="shared" si="0"/>
        <v>996.88508767793985</v>
      </c>
      <c r="I26" s="127">
        <f t="shared" si="0"/>
        <v>1098.2698038036337</v>
      </c>
      <c r="J26" s="127">
        <f t="shared" si="0"/>
        <v>1206.1602154635927</v>
      </c>
      <c r="K26" s="127">
        <f t="shared" si="0"/>
        <v>1318.4997512673312</v>
      </c>
      <c r="L26" s="127">
        <f t="shared" si="0"/>
        <v>1434.2467982645137</v>
      </c>
    </row>
    <row r="27" spans="1:12" x14ac:dyDescent="0.25">
      <c r="A27" t="s">
        <v>11</v>
      </c>
      <c r="B27" s="127">
        <f>'Game Assumptions'!K46</f>
        <v>200</v>
      </c>
      <c r="C27" s="127">
        <f>INDEX($B$22:$L$29,MATCH($A27,$A$22:$A$29,0),C$21)+INDEX($B$2:$L$9,MATCH($A27,$A$2:$A$9,0),C$21+1)-INDEX($B$12:$L$19,MATCH($A27,$A$12:$A$19,0),C$21+1)+'Event Tracker'!C126</f>
        <v>200</v>
      </c>
      <c r="D27" s="127">
        <f t="shared" si="0"/>
        <v>200</v>
      </c>
      <c r="E27" s="127">
        <f t="shared" si="0"/>
        <v>200</v>
      </c>
      <c r="F27" s="127">
        <f t="shared" si="0"/>
        <v>200</v>
      </c>
      <c r="G27" s="127">
        <f t="shared" si="0"/>
        <v>200</v>
      </c>
      <c r="H27" s="127">
        <f t="shared" si="0"/>
        <v>200</v>
      </c>
      <c r="I27" s="127">
        <f t="shared" si="0"/>
        <v>200</v>
      </c>
      <c r="J27" s="127">
        <f t="shared" si="0"/>
        <v>200</v>
      </c>
      <c r="K27" s="127">
        <f t="shared" si="0"/>
        <v>200</v>
      </c>
      <c r="L27" s="127">
        <f t="shared" si="0"/>
        <v>200</v>
      </c>
    </row>
    <row r="28" spans="1:12" x14ac:dyDescent="0.25">
      <c r="A28" t="s">
        <v>12</v>
      </c>
      <c r="B28" s="127">
        <f>'Game Assumptions'!K47</f>
        <v>200</v>
      </c>
      <c r="C28" s="127">
        <f>INDEX($B$22:$L$29,MATCH($A28,$A$22:$A$29,0),C$21)+INDEX($B$2:$L$9,MATCH($A28,$A$2:$A$9,0),C$21+1)-INDEX($B$12:$L$19,MATCH($A28,$A$12:$A$19,0),C$21+1)+'Event Tracker'!C127</f>
        <v>373.55569385920865</v>
      </c>
      <c r="D28" s="127">
        <f t="shared" si="0"/>
        <v>590.2131344359758</v>
      </c>
      <c r="E28" s="127">
        <f t="shared" si="0"/>
        <v>827.28014279063734</v>
      </c>
      <c r="F28" s="127">
        <f t="shared" si="0"/>
        <v>942.81655885060991</v>
      </c>
      <c r="G28" s="127">
        <f t="shared" si="0"/>
        <v>1039.7192929524856</v>
      </c>
      <c r="H28" s="127">
        <f t="shared" si="0"/>
        <v>1146.88508767794</v>
      </c>
      <c r="I28" s="127">
        <f t="shared" si="0"/>
        <v>1273.2698038036337</v>
      </c>
      <c r="J28" s="127">
        <f t="shared" si="0"/>
        <v>1406.1602154635927</v>
      </c>
      <c r="K28" s="127">
        <f t="shared" si="0"/>
        <v>1543.4997512673312</v>
      </c>
      <c r="L28" s="127">
        <f t="shared" si="0"/>
        <v>1684.2467982645137</v>
      </c>
    </row>
    <row r="29" spans="1:12" x14ac:dyDescent="0.25">
      <c r="A29" t="s">
        <v>369</v>
      </c>
      <c r="B29" s="127">
        <f>'Game Assumptions'!K48</f>
        <v>50</v>
      </c>
      <c r="C29" s="127">
        <f>INDEX($B$22:$L$29,MATCH($A29,$A$22:$A$29,0),C$21)+INDEX($B$2:$L$9,MATCH($A29,$A$2:$A$9,0),C$21+1)-INDEX($B$12:$L$19,MATCH($A29,$A$12:$A$19,0),C$21+1)+'Event Tracker'!C128</f>
        <v>208.55569385920865</v>
      </c>
      <c r="D29" s="127">
        <f t="shared" si="0"/>
        <v>410.2131344359758</v>
      </c>
      <c r="E29" s="127">
        <f t="shared" si="0"/>
        <v>632.28014279063734</v>
      </c>
      <c r="F29" s="127">
        <f t="shared" si="0"/>
        <v>732.81655885060991</v>
      </c>
      <c r="G29" s="127">
        <f t="shared" si="0"/>
        <v>814.71929295248549</v>
      </c>
      <c r="H29" s="127">
        <f t="shared" si="0"/>
        <v>906.88508767793985</v>
      </c>
      <c r="I29" s="127">
        <f t="shared" si="0"/>
        <v>1018.2698038036336</v>
      </c>
      <c r="J29" s="127">
        <f t="shared" si="0"/>
        <v>1136.1602154635925</v>
      </c>
      <c r="K29" s="127">
        <f t="shared" si="0"/>
        <v>1258.499751267331</v>
      </c>
      <c r="L29" s="127">
        <f t="shared" si="0"/>
        <v>1384.2467982645135</v>
      </c>
    </row>
    <row r="30" spans="1:12" x14ac:dyDescent="0.25">
      <c r="A30" t="s">
        <v>170</v>
      </c>
      <c r="B30" s="16">
        <f>Reliability!B19</f>
        <v>300</v>
      </c>
      <c r="C30" s="16">
        <f>Reliability!C19</f>
        <v>300</v>
      </c>
      <c r="D30" s="16">
        <f>Reliability!D19</f>
        <v>300</v>
      </c>
      <c r="E30" s="16">
        <f>Reliability!E19</f>
        <v>300</v>
      </c>
      <c r="F30" s="16">
        <f>Reliability!F19</f>
        <v>300</v>
      </c>
      <c r="G30" s="16">
        <f>Reliability!G19</f>
        <v>300</v>
      </c>
      <c r="H30" s="16">
        <f>Reliability!H19</f>
        <v>300</v>
      </c>
      <c r="I30" s="16">
        <f>Reliability!I19</f>
        <v>300</v>
      </c>
      <c r="J30" s="16">
        <f>Reliability!J19</f>
        <v>300</v>
      </c>
      <c r="K30" s="16">
        <f>Reliability!K19</f>
        <v>300</v>
      </c>
      <c r="L30" s="16">
        <f>Reliability!L19</f>
        <v>300</v>
      </c>
    </row>
    <row r="31" spans="1:12" x14ac:dyDescent="0.25">
      <c r="A31" t="s">
        <v>149</v>
      </c>
      <c r="B31" s="16">
        <f>Reliability!B20</f>
        <v>10</v>
      </c>
      <c r="C31" s="16">
        <f>Reliability!C20</f>
        <v>10</v>
      </c>
      <c r="D31" s="16">
        <f>Reliability!D20</f>
        <v>10</v>
      </c>
      <c r="E31" s="16">
        <f>Reliability!E20</f>
        <v>10</v>
      </c>
      <c r="F31" s="16">
        <f>Reliability!F20</f>
        <v>10</v>
      </c>
      <c r="G31" s="16">
        <f>Reliability!G20</f>
        <v>10</v>
      </c>
      <c r="H31" s="16">
        <f>Reliability!H20</f>
        <v>10</v>
      </c>
      <c r="I31" s="16">
        <f>Reliability!I20</f>
        <v>10</v>
      </c>
      <c r="J31" s="16">
        <f>Reliability!J20</f>
        <v>10</v>
      </c>
      <c r="K31" s="16">
        <f>Reliability!K20</f>
        <v>10</v>
      </c>
      <c r="L31" s="16">
        <f>Reliability!L20</f>
        <v>10</v>
      </c>
    </row>
    <row r="32" spans="1:12" x14ac:dyDescent="0.25">
      <c r="A32" t="s">
        <v>148</v>
      </c>
      <c r="B32" s="16">
        <f>Reliability!B21</f>
        <v>200</v>
      </c>
      <c r="C32" s="16">
        <f>Reliability!C21</f>
        <v>200</v>
      </c>
      <c r="D32" s="16">
        <f>Reliability!D21</f>
        <v>200</v>
      </c>
      <c r="E32" s="16">
        <f>Reliability!E21</f>
        <v>200</v>
      </c>
      <c r="F32" s="16">
        <f>Reliability!F21</f>
        <v>200</v>
      </c>
      <c r="G32" s="16">
        <f>Reliability!G21</f>
        <v>200</v>
      </c>
      <c r="H32" s="16">
        <f>Reliability!H21</f>
        <v>200</v>
      </c>
      <c r="I32" s="16">
        <f>Reliability!I21</f>
        <v>200</v>
      </c>
      <c r="J32" s="16">
        <f>Reliability!J21</f>
        <v>200</v>
      </c>
      <c r="K32" s="16">
        <f>Reliability!K21</f>
        <v>200</v>
      </c>
      <c r="L32" s="16">
        <f>Reliability!L21</f>
        <v>200</v>
      </c>
    </row>
    <row r="33" spans="1:12" x14ac:dyDescent="0.25">
      <c r="A33" t="s">
        <v>36</v>
      </c>
      <c r="B33" s="16">
        <f>Reliability!B22</f>
        <v>100</v>
      </c>
      <c r="C33" s="16">
        <f>Reliability!C22</f>
        <v>100</v>
      </c>
      <c r="D33" s="16">
        <f>Reliability!D22</f>
        <v>100</v>
      </c>
      <c r="E33" s="16">
        <f>Reliability!E22</f>
        <v>100</v>
      </c>
      <c r="F33" s="16">
        <f>Reliability!F22</f>
        <v>100</v>
      </c>
      <c r="G33" s="16">
        <f>Reliability!G22</f>
        <v>100</v>
      </c>
      <c r="H33" s="16">
        <f>Reliability!H22</f>
        <v>100</v>
      </c>
      <c r="I33" s="16">
        <f>Reliability!I22</f>
        <v>100</v>
      </c>
      <c r="J33" s="16">
        <f>Reliability!J22</f>
        <v>100</v>
      </c>
      <c r="K33" s="16">
        <f>Reliability!K22</f>
        <v>100</v>
      </c>
      <c r="L33" s="16">
        <f>Reliability!L22</f>
        <v>100</v>
      </c>
    </row>
    <row r="34" spans="1:12" x14ac:dyDescent="0.25">
      <c r="B34" s="2"/>
      <c r="C34" s="84"/>
      <c r="D34" s="84"/>
      <c r="E34" s="84"/>
      <c r="F34" s="84"/>
      <c r="G34" s="84"/>
      <c r="H34" s="84"/>
      <c r="I34" s="84"/>
      <c r="J34" s="84"/>
      <c r="K34" s="84"/>
      <c r="L34" s="84"/>
    </row>
    <row r="35" spans="1:12" x14ac:dyDescent="0.25">
      <c r="A35" s="9" t="s">
        <v>165</v>
      </c>
      <c r="B35" s="9">
        <v>0</v>
      </c>
      <c r="C35" s="9">
        <v>1</v>
      </c>
      <c r="D35" s="9">
        <v>2</v>
      </c>
      <c r="E35" s="9">
        <v>3</v>
      </c>
      <c r="F35" s="9">
        <v>4</v>
      </c>
      <c r="G35" s="9">
        <v>5</v>
      </c>
      <c r="H35" s="9">
        <v>6</v>
      </c>
      <c r="I35" s="9">
        <v>7</v>
      </c>
      <c r="J35" s="9">
        <v>8</v>
      </c>
      <c r="K35" s="9">
        <v>9</v>
      </c>
      <c r="L35" s="9">
        <v>10</v>
      </c>
    </row>
    <row r="36" spans="1:12" x14ac:dyDescent="0.25">
      <c r="A36" t="s">
        <v>7</v>
      </c>
      <c r="B36" s="84">
        <f>(B22*'Game Assumptions'!$G55*8760)</f>
        <v>21024000</v>
      </c>
      <c r="C36" s="84">
        <f>(C22*'Game Assumptions'!$G55*8760)</f>
        <v>21024000</v>
      </c>
      <c r="D36" s="84">
        <f>(D22*'Game Assumptions'!$G55*8760)</f>
        <v>15768000</v>
      </c>
      <c r="E36" s="84">
        <f>(E22*'Game Assumptions'!$G55*8760)</f>
        <v>10512000</v>
      </c>
      <c r="F36" s="84">
        <f>(F22*'Game Assumptions'!$G55*8760)</f>
        <v>10512000</v>
      </c>
      <c r="G36" s="84">
        <f>(G22*'Game Assumptions'!$G55*8760)</f>
        <v>10512000</v>
      </c>
      <c r="H36" s="84">
        <f>(H22*'Game Assumptions'!$G55*8760)</f>
        <v>10512000</v>
      </c>
      <c r="I36" s="84">
        <f>(I22*'Game Assumptions'!$G55*8760)</f>
        <v>10512000</v>
      </c>
      <c r="J36" s="84">
        <f>(J22*'Game Assumptions'!$G55*8760)</f>
        <v>10512000</v>
      </c>
      <c r="K36" s="84">
        <f>(K22*'Game Assumptions'!$G55*8760)</f>
        <v>10512000</v>
      </c>
      <c r="L36" s="84">
        <f>(L22*'Game Assumptions'!$G55*8760)</f>
        <v>10512000</v>
      </c>
    </row>
    <row r="37" spans="1:12" x14ac:dyDescent="0.25">
      <c r="A37" t="s">
        <v>8</v>
      </c>
      <c r="B37" s="84">
        <f>(B23*'Game Assumptions'!$G56*8760)</f>
        <v>42048000</v>
      </c>
      <c r="C37" s="84">
        <f>(C23*'Game Assumptions'!$G56*8760)</f>
        <v>43609617.453848004</v>
      </c>
      <c r="D37" s="84">
        <f>(D23*'Game Assumptions'!$G56*8760)</f>
        <v>45624320.469190978</v>
      </c>
      <c r="E37" s="84">
        <f>(E23*'Game Assumptions'!$G56*8760)</f>
        <v>47853568.861015178</v>
      </c>
      <c r="F37" s="84">
        <f>(F23*'Game Assumptions'!$G56*8760)</f>
        <v>48805287.666637607</v>
      </c>
      <c r="G37" s="84">
        <f>(G23*'Game Assumptions'!$G56*8760)</f>
        <v>49561129.207516529</v>
      </c>
      <c r="H37" s="84">
        <f>(H23*'Game Assumptions'!$G56*8760)</f>
        <v>50424856.041670501</v>
      </c>
      <c r="I37" s="84">
        <f>(I23*'Game Assumptions'!$G56*8760)</f>
        <v>51490612.177583791</v>
      </c>
      <c r="J37" s="84">
        <f>(J23*'Game Assumptions'!$G56*8760)</f>
        <v>52624756.18495328</v>
      </c>
      <c r="K37" s="84">
        <f>(K23*'Game Assumptions'!$G56*8760)</f>
        <v>53805669.385322183</v>
      </c>
      <c r="L37" s="84">
        <f>(L23*'Game Assumptions'!$G56*8760)</f>
        <v>55022402.343356557</v>
      </c>
    </row>
    <row r="38" spans="1:12" x14ac:dyDescent="0.25">
      <c r="A38" t="s">
        <v>13</v>
      </c>
      <c r="B38" s="84">
        <f>(B24*'Game Assumptions'!$G57*8760)</f>
        <v>15768000</v>
      </c>
      <c r="C38" s="84">
        <f>(C24*'Game Assumptions'!$G57*8760)</f>
        <v>7884000</v>
      </c>
      <c r="D38" s="84">
        <f>(D24*'Game Assumptions'!$G57*8760)</f>
        <v>7884000</v>
      </c>
      <c r="E38" s="84">
        <f>(E24*'Game Assumptions'!$G57*8760)</f>
        <v>7884000</v>
      </c>
      <c r="F38" s="84">
        <f>(F24*'Game Assumptions'!$G57*8760)</f>
        <v>7884000</v>
      </c>
      <c r="G38" s="84">
        <f>(G24*'Game Assumptions'!$G57*8760)</f>
        <v>7884000</v>
      </c>
      <c r="H38" s="84">
        <f>(H24*'Game Assumptions'!$G57*8760)</f>
        <v>7884000</v>
      </c>
      <c r="I38" s="84">
        <f>(I24*'Game Assumptions'!$G57*8760)</f>
        <v>7884000</v>
      </c>
      <c r="J38" s="84">
        <f>(J24*'Game Assumptions'!$G57*8760)</f>
        <v>7884000</v>
      </c>
      <c r="K38" s="84">
        <f>(K24*'Game Assumptions'!$G57*8760)</f>
        <v>7884000</v>
      </c>
      <c r="L38" s="84">
        <f>(L24*'Game Assumptions'!$G57*8760)</f>
        <v>7884000</v>
      </c>
    </row>
    <row r="39" spans="1:12" x14ac:dyDescent="0.25">
      <c r="A39" t="s">
        <v>9</v>
      </c>
      <c r="B39" s="84">
        <f>(B25*'Game Assumptions'!$G58*8760)</f>
        <v>438000</v>
      </c>
      <c r="C39" s="84">
        <f>(C25*'Game Assumptions'!$G58*8760)</f>
        <v>763336.96955166699</v>
      </c>
      <c r="D39" s="84">
        <f>(D25*'Game Assumptions'!$G58*8760)</f>
        <v>1183066.7644147871</v>
      </c>
      <c r="E39" s="84">
        <f>(E25*'Game Assumptions'!$G58*8760)</f>
        <v>1647493.5127114959</v>
      </c>
      <c r="F39" s="84">
        <f>(F25*'Game Assumptions'!$G58*8760)</f>
        <v>1845768.2638828356</v>
      </c>
      <c r="G39" s="84">
        <f>(G25*'Game Assumptions'!$G58*8760)</f>
        <v>2003235.2515659432</v>
      </c>
      <c r="H39" s="84">
        <f>(H25*'Game Assumptions'!$G58*8760)</f>
        <v>2183178.3420146881</v>
      </c>
      <c r="I39" s="84">
        <f>(I25*'Game Assumptions'!$G58*8760)</f>
        <v>2405210.8703299579</v>
      </c>
      <c r="J39" s="84">
        <f>(J25*'Game Assumptions'!$G58*8760)</f>
        <v>2641490.8718652683</v>
      </c>
      <c r="K39" s="84">
        <f>(K25*'Game Assumptions'!$G58*8760)</f>
        <v>2887514.4552754555</v>
      </c>
      <c r="L39" s="84">
        <f>(L25*'Game Assumptions'!$G58*8760)</f>
        <v>3141000.4881992852</v>
      </c>
    </row>
    <row r="40" spans="1:12" x14ac:dyDescent="0.25">
      <c r="A40" t="s">
        <v>10</v>
      </c>
      <c r="B40" s="84">
        <f>(B26*'Game Assumptions'!$G59*8760)</f>
        <v>525600</v>
      </c>
      <c r="C40" s="84">
        <f>(C26*'Game Assumptions'!$G59*8760)</f>
        <v>916004.36346200027</v>
      </c>
      <c r="D40" s="84">
        <f>(D26*'Game Assumptions'!$G59*8760)</f>
        <v>1419680.1172977444</v>
      </c>
      <c r="E40" s="84">
        <f>(E26*'Game Assumptions'!$G59*8760)</f>
        <v>1976992.2152537948</v>
      </c>
      <c r="F40" s="84">
        <f>(F26*'Game Assumptions'!$G59*8760)</f>
        <v>2214921.9166594027</v>
      </c>
      <c r="G40" s="84">
        <f>(G26*'Game Assumptions'!$G59*8760)</f>
        <v>2403882.3018791322</v>
      </c>
      <c r="H40" s="84">
        <f>(H26*'Game Assumptions'!$G59*8760)</f>
        <v>2619814.0104176258</v>
      </c>
      <c r="I40" s="84">
        <f>(I26*'Game Assumptions'!$G59*8760)</f>
        <v>2886253.0443959492</v>
      </c>
      <c r="J40" s="84">
        <f>(J26*'Game Assumptions'!$G59*8760)</f>
        <v>3169789.0462383213</v>
      </c>
      <c r="K40" s="84">
        <f>(K26*'Game Assumptions'!$G59*8760)</f>
        <v>3465017.3463305463</v>
      </c>
      <c r="L40" s="84">
        <f>(L26*'Game Assumptions'!$G59*8760)</f>
        <v>3769200.5858391416</v>
      </c>
    </row>
    <row r="41" spans="1:12" x14ac:dyDescent="0.25">
      <c r="A41" t="s">
        <v>11</v>
      </c>
      <c r="B41" s="84">
        <f>(B27*'Game Assumptions'!$G60*8760)</f>
        <v>1051200</v>
      </c>
      <c r="C41" s="84">
        <f>(C27*'Game Assumptions'!$G60*8760)</f>
        <v>1051200</v>
      </c>
      <c r="D41" s="84">
        <f>(D27*'Game Assumptions'!$G60*8760)</f>
        <v>1051200</v>
      </c>
      <c r="E41" s="84">
        <f>(E27*'Game Assumptions'!$G60*8760)</f>
        <v>1051200</v>
      </c>
      <c r="F41" s="84">
        <f>(F27*'Game Assumptions'!$G60*8760)</f>
        <v>1051200</v>
      </c>
      <c r="G41" s="84">
        <f>(G27*'Game Assumptions'!$G60*8760)</f>
        <v>1051200</v>
      </c>
      <c r="H41" s="84">
        <f>(H27*'Game Assumptions'!$G60*8760)</f>
        <v>1051200</v>
      </c>
      <c r="I41" s="84">
        <f>(I27*'Game Assumptions'!$G60*8760)</f>
        <v>1051200</v>
      </c>
      <c r="J41" s="84">
        <f>(J27*'Game Assumptions'!$G60*8760)</f>
        <v>1051200</v>
      </c>
      <c r="K41" s="84">
        <f>(K27*'Game Assumptions'!$G60*8760)</f>
        <v>1051200</v>
      </c>
      <c r="L41" s="84">
        <f>(L27*'Game Assumptions'!$G60*8760)</f>
        <v>1051200</v>
      </c>
    </row>
    <row r="42" spans="1:12" x14ac:dyDescent="0.25">
      <c r="A42" t="s">
        <v>12</v>
      </c>
      <c r="B42" s="84">
        <f>(B28*'Game Assumptions'!$G61*8760)</f>
        <v>1752000</v>
      </c>
      <c r="C42" s="84">
        <f>(C28*'Game Assumptions'!$G61*8760)</f>
        <v>3272347.878206668</v>
      </c>
      <c r="D42" s="84">
        <f>(D28*'Game Assumptions'!$G61*8760)</f>
        <v>5170267.0576591482</v>
      </c>
      <c r="E42" s="84">
        <f>(E28*'Game Assumptions'!$G61*8760)</f>
        <v>7246974.0508459834</v>
      </c>
      <c r="F42" s="84">
        <f>(F28*'Game Assumptions'!$G61*8760)</f>
        <v>8259073.0555313425</v>
      </c>
      <c r="G42" s="84">
        <f>(G28*'Game Assumptions'!$G61*8760)</f>
        <v>9107941.0062637739</v>
      </c>
      <c r="H42" s="84">
        <f>(H28*'Game Assumptions'!$G61*8760)</f>
        <v>10046713.368058754</v>
      </c>
      <c r="I42" s="84">
        <f>(I28*'Game Assumptions'!$G61*8760)</f>
        <v>11153843.481319832</v>
      </c>
      <c r="J42" s="84">
        <f>(J28*'Game Assumptions'!$G61*8760)</f>
        <v>12317963.487461073</v>
      </c>
      <c r="K42" s="84">
        <f>(K28*'Game Assumptions'!$G61*8760)</f>
        <v>13521057.821101822</v>
      </c>
      <c r="L42" s="84">
        <f>(L28*'Game Assumptions'!$G61*8760)</f>
        <v>14754001.952797141</v>
      </c>
    </row>
    <row r="43" spans="1:12" x14ac:dyDescent="0.25">
      <c r="A43" t="s">
        <v>369</v>
      </c>
      <c r="B43" s="84">
        <f>(B29*'Game Assumptions'!$G62*8760)</f>
        <v>109500</v>
      </c>
      <c r="C43" s="84">
        <f>(C29*'Game Assumptions'!$G62*8760)</f>
        <v>456736.96955166693</v>
      </c>
      <c r="D43" s="84">
        <f>(D29*'Game Assumptions'!$G62*8760)</f>
        <v>898366.76441478706</v>
      </c>
      <c r="E43" s="84">
        <f>(E29*'Game Assumptions'!$G62*8760)</f>
        <v>1384693.5127114959</v>
      </c>
      <c r="F43" s="84">
        <f>(F29*'Game Assumptions'!$G62*8760)</f>
        <v>1604868.2638828356</v>
      </c>
      <c r="G43" s="84">
        <f>(G29*'Game Assumptions'!$G62*8760)</f>
        <v>1784235.2515659432</v>
      </c>
      <c r="H43" s="84">
        <f>(H29*'Game Assumptions'!$G62*8760)</f>
        <v>1986078.3420146883</v>
      </c>
      <c r="I43" s="84">
        <f>(I29*'Game Assumptions'!$G62*8760)</f>
        <v>2230010.8703299575</v>
      </c>
      <c r="J43" s="84">
        <f>(J29*'Game Assumptions'!$G62*8760)</f>
        <v>2488190.8718652674</v>
      </c>
      <c r="K43" s="84">
        <f>(K29*'Game Assumptions'!$G62*8760)</f>
        <v>2756114.455275455</v>
      </c>
      <c r="L43" s="84">
        <f>(L29*'Game Assumptions'!$G62*8760)</f>
        <v>3031500.4881992843</v>
      </c>
    </row>
    <row r="44" spans="1:12" x14ac:dyDescent="0.25">
      <c r="A44" t="s">
        <v>170</v>
      </c>
      <c r="B44" s="84">
        <f>B30*'Game Assumptions'!$K55*8760</f>
        <v>131400</v>
      </c>
      <c r="C44" s="84">
        <f>C30*'Game Assumptions'!$K55*8760</f>
        <v>131400</v>
      </c>
      <c r="D44" s="84">
        <f>D30*'Game Assumptions'!$K55*8760</f>
        <v>131400</v>
      </c>
      <c r="E44" s="84">
        <f>E30*'Game Assumptions'!$K55*8760</f>
        <v>131400</v>
      </c>
      <c r="F44" s="84">
        <f>F30*'Game Assumptions'!$K55*8760</f>
        <v>131400</v>
      </c>
      <c r="G44" s="84">
        <f>G30*'Game Assumptions'!$K55*8760</f>
        <v>131400</v>
      </c>
      <c r="H44" s="84">
        <f>H30*'Game Assumptions'!$K55*8760</f>
        <v>131400</v>
      </c>
      <c r="I44" s="84">
        <f>I30*'Game Assumptions'!$K55*8760</f>
        <v>131400</v>
      </c>
      <c r="J44" s="84">
        <f>J30*'Game Assumptions'!$K55*8760</f>
        <v>131400</v>
      </c>
      <c r="K44" s="84">
        <f>K30*'Game Assumptions'!$K55*8760</f>
        <v>131400</v>
      </c>
      <c r="L44" s="84">
        <f>L30*'Game Assumptions'!$K55*8760</f>
        <v>131400</v>
      </c>
    </row>
    <row r="45" spans="1:12" x14ac:dyDescent="0.25">
      <c r="A45" t="s">
        <v>149</v>
      </c>
      <c r="B45" s="84">
        <f>B31*'Game Assumptions'!$K56*8760</f>
        <v>4380</v>
      </c>
      <c r="C45" s="84">
        <f>C31*'Game Assumptions'!$K56*8760</f>
        <v>4380</v>
      </c>
      <c r="D45" s="84">
        <f>D31*'Game Assumptions'!$K56*8760</f>
        <v>4380</v>
      </c>
      <c r="E45" s="84">
        <f>E31*'Game Assumptions'!$K56*8760</f>
        <v>4380</v>
      </c>
      <c r="F45" s="84">
        <f>F31*'Game Assumptions'!$K56*8760</f>
        <v>4380</v>
      </c>
      <c r="G45" s="84">
        <f>G31*'Game Assumptions'!$K56*8760</f>
        <v>4380</v>
      </c>
      <c r="H45" s="84">
        <f>H31*'Game Assumptions'!$K56*8760</f>
        <v>4380</v>
      </c>
      <c r="I45" s="84">
        <f>I31*'Game Assumptions'!$K56*8760</f>
        <v>4380</v>
      </c>
      <c r="J45" s="84">
        <f>J31*'Game Assumptions'!$K56*8760</f>
        <v>4380</v>
      </c>
      <c r="K45" s="84">
        <f>K31*'Game Assumptions'!$K56*8760</f>
        <v>4380</v>
      </c>
      <c r="L45" s="84">
        <f>L31*'Game Assumptions'!$K56*8760</f>
        <v>4380</v>
      </c>
    </row>
    <row r="46" spans="1:12" x14ac:dyDescent="0.25">
      <c r="A46" t="s">
        <v>148</v>
      </c>
      <c r="B46" s="84">
        <f>B32*'Game Assumptions'!$K57*8760</f>
        <v>87600</v>
      </c>
      <c r="C46" s="84">
        <f>C32*'Game Assumptions'!$K57*8760</f>
        <v>87600</v>
      </c>
      <c r="D46" s="84">
        <f>D32*'Game Assumptions'!$K57*8760</f>
        <v>87600</v>
      </c>
      <c r="E46" s="84">
        <f>E32*'Game Assumptions'!$K57*8760</f>
        <v>87600</v>
      </c>
      <c r="F46" s="84">
        <f>F32*'Game Assumptions'!$K57*8760</f>
        <v>87600</v>
      </c>
      <c r="G46" s="84">
        <f>G32*'Game Assumptions'!$K57*8760</f>
        <v>87600</v>
      </c>
      <c r="H46" s="84">
        <f>H32*'Game Assumptions'!$K57*8760</f>
        <v>87600</v>
      </c>
      <c r="I46" s="84">
        <f>I32*'Game Assumptions'!$K57*8760</f>
        <v>87600</v>
      </c>
      <c r="J46" s="84">
        <f>J32*'Game Assumptions'!$K57*8760</f>
        <v>87600</v>
      </c>
      <c r="K46" s="84">
        <f>K32*'Game Assumptions'!$K57*8760</f>
        <v>87600</v>
      </c>
      <c r="L46" s="84">
        <f>L32*'Game Assumptions'!$K57*8760</f>
        <v>87600</v>
      </c>
    </row>
    <row r="47" spans="1:12" x14ac:dyDescent="0.25">
      <c r="A47" t="s">
        <v>36</v>
      </c>
      <c r="B47" s="84">
        <f>B33*'Game Assumptions'!$K58*8760</f>
        <v>43800</v>
      </c>
      <c r="C47" s="84">
        <f>C33*'Game Assumptions'!$K58*8760</f>
        <v>43800</v>
      </c>
      <c r="D47" s="84">
        <f>D33*'Game Assumptions'!$K58*8760</f>
        <v>43800</v>
      </c>
      <c r="E47" s="84">
        <f>E33*'Game Assumptions'!$K58*8760</f>
        <v>43800</v>
      </c>
      <c r="F47" s="84">
        <f>F33*'Game Assumptions'!$K58*8760</f>
        <v>43800</v>
      </c>
      <c r="G47" s="84">
        <f>G33*'Game Assumptions'!$K58*8760</f>
        <v>43800</v>
      </c>
      <c r="H47" s="84">
        <f>H33*'Game Assumptions'!$K58*8760</f>
        <v>43800</v>
      </c>
      <c r="I47" s="84">
        <f>I33*'Game Assumptions'!$K58*8760</f>
        <v>43800</v>
      </c>
      <c r="J47" s="84">
        <f>J33*'Game Assumptions'!$K58*8760</f>
        <v>43800</v>
      </c>
      <c r="K47" s="84">
        <f>K33*'Game Assumptions'!$K58*8760</f>
        <v>43800</v>
      </c>
      <c r="L47" s="84">
        <f>L33*'Game Assumptions'!$K58*8760</f>
        <v>43800</v>
      </c>
    </row>
    <row r="50" spans="1:12" x14ac:dyDescent="0.25">
      <c r="A50" s="9" t="s">
        <v>166</v>
      </c>
      <c r="B50" s="9">
        <v>0</v>
      </c>
      <c r="C50" s="9">
        <v>1</v>
      </c>
      <c r="D50" s="9">
        <v>2</v>
      </c>
      <c r="E50" s="9">
        <v>3</v>
      </c>
      <c r="F50" s="9">
        <v>4</v>
      </c>
      <c r="G50" s="9">
        <v>5</v>
      </c>
      <c r="H50" s="9">
        <v>6</v>
      </c>
      <c r="I50" s="9">
        <v>7</v>
      </c>
      <c r="J50" s="9">
        <v>8</v>
      </c>
      <c r="K50" s="9">
        <v>9</v>
      </c>
      <c r="L50" s="9">
        <v>10</v>
      </c>
    </row>
    <row r="51" spans="1:12" x14ac:dyDescent="0.25">
      <c r="A51" t="s">
        <v>7</v>
      </c>
      <c r="B51" s="84">
        <f t="shared" ref="B51:L51" si="1">B36</f>
        <v>21024000</v>
      </c>
      <c r="C51" s="84">
        <f t="shared" si="1"/>
        <v>21024000</v>
      </c>
      <c r="D51" s="84">
        <f t="shared" si="1"/>
        <v>15768000</v>
      </c>
      <c r="E51" s="84">
        <f t="shared" si="1"/>
        <v>10512000</v>
      </c>
      <c r="F51" s="84">
        <f t="shared" si="1"/>
        <v>10512000</v>
      </c>
      <c r="G51" s="84">
        <f t="shared" si="1"/>
        <v>10512000</v>
      </c>
      <c r="H51" s="84">
        <f t="shared" si="1"/>
        <v>10512000</v>
      </c>
      <c r="I51" s="84">
        <f t="shared" si="1"/>
        <v>10512000</v>
      </c>
      <c r="J51" s="84">
        <f t="shared" si="1"/>
        <v>10512000</v>
      </c>
      <c r="K51" s="84">
        <f t="shared" si="1"/>
        <v>10512000</v>
      </c>
      <c r="L51" s="84">
        <f t="shared" si="1"/>
        <v>10512000</v>
      </c>
    </row>
    <row r="52" spans="1:12" x14ac:dyDescent="0.25">
      <c r="A52" t="s">
        <v>8</v>
      </c>
      <c r="B52" s="84">
        <f t="shared" ref="B52:L52" si="2">B37</f>
        <v>42048000</v>
      </c>
      <c r="C52" s="84">
        <f t="shared" si="2"/>
        <v>43609617.453848004</v>
      </c>
      <c r="D52" s="84">
        <f t="shared" si="2"/>
        <v>45624320.469190978</v>
      </c>
      <c r="E52" s="84">
        <f t="shared" si="2"/>
        <v>47853568.861015178</v>
      </c>
      <c r="F52" s="84">
        <f t="shared" si="2"/>
        <v>48805287.666637607</v>
      </c>
      <c r="G52" s="84">
        <f t="shared" si="2"/>
        <v>49561129.207516529</v>
      </c>
      <c r="H52" s="84">
        <f t="shared" si="2"/>
        <v>50424856.041670501</v>
      </c>
      <c r="I52" s="84">
        <f t="shared" si="2"/>
        <v>51490612.177583791</v>
      </c>
      <c r="J52" s="84">
        <f t="shared" si="2"/>
        <v>52624756.18495328</v>
      </c>
      <c r="K52" s="84">
        <f t="shared" si="2"/>
        <v>53805669.385322183</v>
      </c>
      <c r="L52" s="84">
        <f t="shared" si="2"/>
        <v>55022402.343356557</v>
      </c>
    </row>
    <row r="53" spans="1:12" x14ac:dyDescent="0.25">
      <c r="A53" t="s">
        <v>13</v>
      </c>
      <c r="B53" s="84">
        <f t="shared" ref="B53:L53" si="3">B38</f>
        <v>15768000</v>
      </c>
      <c r="C53" s="84">
        <f t="shared" si="3"/>
        <v>7884000</v>
      </c>
      <c r="D53" s="84">
        <f t="shared" si="3"/>
        <v>7884000</v>
      </c>
      <c r="E53" s="84">
        <f t="shared" si="3"/>
        <v>7884000</v>
      </c>
      <c r="F53" s="84">
        <f t="shared" si="3"/>
        <v>7884000</v>
      </c>
      <c r="G53" s="84">
        <f t="shared" si="3"/>
        <v>7884000</v>
      </c>
      <c r="H53" s="84">
        <f t="shared" si="3"/>
        <v>7884000</v>
      </c>
      <c r="I53" s="84">
        <f t="shared" si="3"/>
        <v>7884000</v>
      </c>
      <c r="J53" s="84">
        <f t="shared" si="3"/>
        <v>7884000</v>
      </c>
      <c r="K53" s="84">
        <f t="shared" si="3"/>
        <v>7884000</v>
      </c>
      <c r="L53" s="84">
        <f t="shared" si="3"/>
        <v>7884000</v>
      </c>
    </row>
    <row r="54" spans="1:12" x14ac:dyDescent="0.25">
      <c r="A54" t="s">
        <v>9</v>
      </c>
      <c r="B54" s="84">
        <f>MIN(B25,Reliability!B$54)*8760*'Game Assumptions'!$G$58</f>
        <v>438000</v>
      </c>
      <c r="C54" s="84">
        <f>MIN(C25,Reliability!C54)*8760*'Game Assumptions'!$G$58</f>
        <v>763336.96955166699</v>
      </c>
      <c r="D54" s="84">
        <f>MIN(D25,Reliability!D54)*8760*'Game Assumptions'!$G$58</f>
        <v>1183066.7644147871</v>
      </c>
      <c r="E54" s="84">
        <f>MIN(E25,Reliability!E54)*8760*'Game Assumptions'!$G$58</f>
        <v>1374888.3101601666</v>
      </c>
      <c r="F54" s="84">
        <f>MIN(F25,Reliability!F54)*8760*'Game Assumptions'!$G$58</f>
        <v>1374888.3101601666</v>
      </c>
      <c r="G54" s="84">
        <f>MIN(G25,Reliability!G54)*8760*'Game Assumptions'!$G$58</f>
        <v>1374888.3101601666</v>
      </c>
      <c r="H54" s="84">
        <f>MIN(H25,Reliability!H54)*8760*'Game Assumptions'!$G$58</f>
        <v>1374888.3101601666</v>
      </c>
      <c r="I54" s="84">
        <f>MIN(I25,Reliability!I54)*8760*'Game Assumptions'!$G$58</f>
        <v>1374888.3101601666</v>
      </c>
      <c r="J54" s="84">
        <f>MIN(J25,Reliability!J54)*8760*'Game Assumptions'!$G$58</f>
        <v>1374888.3101601666</v>
      </c>
      <c r="K54" s="84">
        <f>MIN(K25,Reliability!K54)*8760*'Game Assumptions'!$G$58</f>
        <v>1374888.3101601666</v>
      </c>
      <c r="L54" s="84">
        <f>MIN(L25,Reliability!L54)*8760*'Game Assumptions'!$G$58</f>
        <v>1374888.3101601666</v>
      </c>
    </row>
    <row r="55" spans="1:12" x14ac:dyDescent="0.25">
      <c r="A55" t="s">
        <v>10</v>
      </c>
      <c r="B55" s="84">
        <f>MIN(B26,Reliability!B54)*8760*'Game Assumptions'!$G$59</f>
        <v>525600</v>
      </c>
      <c r="C55" s="84">
        <f>MIN(C26,Reliability!C54)*8760*'Game Assumptions'!$G$59</f>
        <v>916004.36346200039</v>
      </c>
      <c r="D55" s="84">
        <f>MIN(D26,Reliability!D54)*8760*'Game Assumptions'!$G$59</f>
        <v>1419680.1172977444</v>
      </c>
      <c r="E55" s="84">
        <f>MIN(E26,Reliability!E54)*8760*'Game Assumptions'!$G$59</f>
        <v>1649865.9721921999</v>
      </c>
      <c r="F55" s="84">
        <f>MIN(F26,Reliability!F54)*8760*'Game Assumptions'!$G$59</f>
        <v>1649865.9721921999</v>
      </c>
      <c r="G55" s="84">
        <f>MIN(G26,Reliability!G54)*8760*'Game Assumptions'!$G$59</f>
        <v>1649865.9721921999</v>
      </c>
      <c r="H55" s="84">
        <f>MIN(H26,Reliability!H54)*8760*'Game Assumptions'!$G$59</f>
        <v>1649865.9721921999</v>
      </c>
      <c r="I55" s="84">
        <f>MIN(I26,Reliability!I54)*8760*'Game Assumptions'!$G$59</f>
        <v>1649865.9721921999</v>
      </c>
      <c r="J55" s="84">
        <f>MIN(J26,Reliability!J54)*8760*'Game Assumptions'!$G$59</f>
        <v>1649865.9721921999</v>
      </c>
      <c r="K55" s="84">
        <f>MIN(K26,Reliability!K54)*8760*'Game Assumptions'!$G$59</f>
        <v>1649865.9721921999</v>
      </c>
      <c r="L55" s="84">
        <f>MIN(L26,Reliability!L54)*8760*'Game Assumptions'!$G$59</f>
        <v>1649865.9721921999</v>
      </c>
    </row>
    <row r="56" spans="1:12" x14ac:dyDescent="0.25">
      <c r="A56" t="s">
        <v>11</v>
      </c>
      <c r="B56" s="84">
        <f t="shared" ref="B56:L56" si="4">B41</f>
        <v>1051200</v>
      </c>
      <c r="C56" s="84">
        <f t="shared" si="4"/>
        <v>1051200</v>
      </c>
      <c r="D56" s="84">
        <f t="shared" si="4"/>
        <v>1051200</v>
      </c>
      <c r="E56" s="84">
        <f t="shared" si="4"/>
        <v>1051200</v>
      </c>
      <c r="F56" s="84">
        <f t="shared" si="4"/>
        <v>1051200</v>
      </c>
      <c r="G56" s="84">
        <f t="shared" si="4"/>
        <v>1051200</v>
      </c>
      <c r="H56" s="84">
        <f t="shared" si="4"/>
        <v>1051200</v>
      </c>
      <c r="I56" s="84">
        <f t="shared" si="4"/>
        <v>1051200</v>
      </c>
      <c r="J56" s="84">
        <f t="shared" si="4"/>
        <v>1051200</v>
      </c>
      <c r="K56" s="84">
        <f t="shared" si="4"/>
        <v>1051200</v>
      </c>
      <c r="L56" s="84">
        <f t="shared" si="4"/>
        <v>1051200</v>
      </c>
    </row>
    <row r="57" spans="1:12" x14ac:dyDescent="0.25">
      <c r="A57" t="s">
        <v>12</v>
      </c>
      <c r="B57" s="84">
        <f>MIN(B42,B$68*0.15)</f>
        <v>1752000</v>
      </c>
      <c r="C57" s="84">
        <f t="shared" ref="C57:L57" si="5">MIN(C42,C$68*0.15)</f>
        <v>3272347.878206668</v>
      </c>
      <c r="D57" s="84">
        <f t="shared" si="5"/>
        <v>5170267.0576591482</v>
      </c>
      <c r="E57" s="84">
        <f t="shared" si="5"/>
        <v>7246974.0508459834</v>
      </c>
      <c r="F57" s="84">
        <f t="shared" si="5"/>
        <v>8259073.0555313425</v>
      </c>
      <c r="G57" s="84">
        <f t="shared" si="5"/>
        <v>8650875</v>
      </c>
      <c r="H57" s="84">
        <f t="shared" si="5"/>
        <v>8515800</v>
      </c>
      <c r="I57" s="84">
        <f t="shared" si="5"/>
        <v>8466525</v>
      </c>
      <c r="J57" s="84">
        <f t="shared" si="5"/>
        <v>8391600</v>
      </c>
      <c r="K57" s="84">
        <f t="shared" si="5"/>
        <v>8300025</v>
      </c>
      <c r="L57" s="84">
        <f t="shared" si="5"/>
        <v>8217000</v>
      </c>
    </row>
    <row r="58" spans="1:12" x14ac:dyDescent="0.25">
      <c r="A58" t="s">
        <v>369</v>
      </c>
      <c r="B58" s="84">
        <f>MIN(B29,Reliability!B55)*8760*'Game Assumptions'!$G$62</f>
        <v>109500</v>
      </c>
      <c r="C58" s="84">
        <f>MIN(C29,Reliability!C55)*8760*'Game Assumptions'!$G$62</f>
        <v>456736.96955166693</v>
      </c>
      <c r="D58" s="84">
        <f>MIN(D29,Reliability!D55)*8760*'Game Assumptions'!$G$62</f>
        <v>638939.47200772201</v>
      </c>
      <c r="E58" s="84">
        <f>MIN(E29,Reliability!E55)*8760*'Game Assumptions'!$G$62</f>
        <v>638939.47200772201</v>
      </c>
      <c r="F58" s="84">
        <f>MIN(F29,Reliability!F55)*8760*'Game Assumptions'!$G$62</f>
        <v>638939.47200772201</v>
      </c>
      <c r="G58" s="84">
        <f>MIN(G29,Reliability!G55)*8760*'Game Assumptions'!$G$62</f>
        <v>638939.47200772201</v>
      </c>
      <c r="H58" s="84">
        <f>MIN(H29,Reliability!H55)*8760*'Game Assumptions'!$G$62</f>
        <v>638939.47200772201</v>
      </c>
      <c r="I58" s="84">
        <f>MIN(I29,Reliability!I55)*8760*'Game Assumptions'!$G$62</f>
        <v>638939.47200772201</v>
      </c>
      <c r="J58" s="84">
        <f>MIN(J29,Reliability!J55)*8760*'Game Assumptions'!$G$62</f>
        <v>638939.47200772201</v>
      </c>
      <c r="K58" s="84">
        <f>MIN(K29,Reliability!K55)*8760*'Game Assumptions'!$G$62</f>
        <v>638939.47200772201</v>
      </c>
      <c r="L58" s="84">
        <f>MIN(L29,Reliability!L55)*8760*'Game Assumptions'!$G$62</f>
        <v>638939.47200772201</v>
      </c>
    </row>
    <row r="59" spans="1:12" x14ac:dyDescent="0.25">
      <c r="A59" t="s">
        <v>170</v>
      </c>
      <c r="B59" s="84">
        <f t="shared" ref="B59:L59" si="6">B44</f>
        <v>131400</v>
      </c>
      <c r="C59" s="84">
        <f t="shared" si="6"/>
        <v>131400</v>
      </c>
      <c r="D59" s="84">
        <f t="shared" si="6"/>
        <v>131400</v>
      </c>
      <c r="E59" s="84">
        <f t="shared" si="6"/>
        <v>131400</v>
      </c>
      <c r="F59" s="84">
        <f t="shared" si="6"/>
        <v>131400</v>
      </c>
      <c r="G59" s="84">
        <f t="shared" si="6"/>
        <v>131400</v>
      </c>
      <c r="H59" s="84">
        <f t="shared" si="6"/>
        <v>131400</v>
      </c>
      <c r="I59" s="84">
        <f t="shared" si="6"/>
        <v>131400</v>
      </c>
      <c r="J59" s="84">
        <f t="shared" si="6"/>
        <v>131400</v>
      </c>
      <c r="K59" s="84">
        <f t="shared" si="6"/>
        <v>131400</v>
      </c>
      <c r="L59" s="84">
        <f t="shared" si="6"/>
        <v>131400</v>
      </c>
    </row>
    <row r="60" spans="1:12" x14ac:dyDescent="0.25">
      <c r="A60" t="s">
        <v>149</v>
      </c>
      <c r="B60" s="84">
        <f t="shared" ref="B60:L60" si="7">B45</f>
        <v>4380</v>
      </c>
      <c r="C60" s="84">
        <f t="shared" si="7"/>
        <v>4380</v>
      </c>
      <c r="D60" s="84">
        <f t="shared" si="7"/>
        <v>4380</v>
      </c>
      <c r="E60" s="84">
        <f t="shared" si="7"/>
        <v>4380</v>
      </c>
      <c r="F60" s="84">
        <f t="shared" si="7"/>
        <v>4380</v>
      </c>
      <c r="G60" s="84">
        <f t="shared" si="7"/>
        <v>4380</v>
      </c>
      <c r="H60" s="84">
        <f t="shared" si="7"/>
        <v>4380</v>
      </c>
      <c r="I60" s="84">
        <f t="shared" si="7"/>
        <v>4380</v>
      </c>
      <c r="J60" s="84">
        <f t="shared" si="7"/>
        <v>4380</v>
      </c>
      <c r="K60" s="84">
        <f t="shared" si="7"/>
        <v>4380</v>
      </c>
      <c r="L60" s="84">
        <f t="shared" si="7"/>
        <v>4380</v>
      </c>
    </row>
    <row r="61" spans="1:12" x14ac:dyDescent="0.25">
      <c r="A61" t="s">
        <v>148</v>
      </c>
      <c r="B61" s="84">
        <f t="shared" ref="B61:L61" si="8">B46</f>
        <v>87600</v>
      </c>
      <c r="C61" s="84">
        <f t="shared" si="8"/>
        <v>87600</v>
      </c>
      <c r="D61" s="84">
        <f t="shared" si="8"/>
        <v>87600</v>
      </c>
      <c r="E61" s="84">
        <f t="shared" si="8"/>
        <v>87600</v>
      </c>
      <c r="F61" s="84">
        <f t="shared" si="8"/>
        <v>87600</v>
      </c>
      <c r="G61" s="84">
        <f t="shared" si="8"/>
        <v>87600</v>
      </c>
      <c r="H61" s="84">
        <f t="shared" si="8"/>
        <v>87600</v>
      </c>
      <c r="I61" s="84">
        <f t="shared" si="8"/>
        <v>87600</v>
      </c>
      <c r="J61" s="84">
        <f t="shared" si="8"/>
        <v>87600</v>
      </c>
      <c r="K61" s="84">
        <f t="shared" si="8"/>
        <v>87600</v>
      </c>
      <c r="L61" s="84">
        <f t="shared" si="8"/>
        <v>87600</v>
      </c>
    </row>
    <row r="62" spans="1:12" x14ac:dyDescent="0.25">
      <c r="A62" t="s">
        <v>36</v>
      </c>
      <c r="B62" s="84">
        <f t="shared" ref="B62:L62" si="9">MIN(B47,0.1*SUM(B36:B47))</f>
        <v>43800</v>
      </c>
      <c r="C62" s="84">
        <f t="shared" si="9"/>
        <v>43800</v>
      </c>
      <c r="D62" s="84">
        <f t="shared" si="9"/>
        <v>43800</v>
      </c>
      <c r="E62" s="84">
        <f t="shared" si="9"/>
        <v>43800</v>
      </c>
      <c r="F62" s="84">
        <f t="shared" si="9"/>
        <v>43800</v>
      </c>
      <c r="G62" s="84">
        <f t="shared" si="9"/>
        <v>43800</v>
      </c>
      <c r="H62" s="84">
        <f t="shared" si="9"/>
        <v>43800</v>
      </c>
      <c r="I62" s="84">
        <f t="shared" si="9"/>
        <v>43800</v>
      </c>
      <c r="J62" s="84">
        <f t="shared" si="9"/>
        <v>43800</v>
      </c>
      <c r="K62" s="84">
        <f t="shared" si="9"/>
        <v>43800</v>
      </c>
      <c r="L62" s="84">
        <f t="shared" si="9"/>
        <v>43800</v>
      </c>
    </row>
    <row r="64" spans="1:12" x14ac:dyDescent="0.25">
      <c r="A64" s="9" t="s">
        <v>32</v>
      </c>
      <c r="B64" s="9">
        <v>0</v>
      </c>
      <c r="C64" s="9">
        <v>1</v>
      </c>
      <c r="D64" s="9">
        <v>2</v>
      </c>
      <c r="E64" s="9">
        <v>3</v>
      </c>
      <c r="F64" s="9">
        <v>4</v>
      </c>
      <c r="G64" s="9">
        <v>5</v>
      </c>
      <c r="H64" s="9">
        <v>6</v>
      </c>
      <c r="I64" s="9">
        <v>7</v>
      </c>
      <c r="J64" s="9">
        <v>8</v>
      </c>
      <c r="K64" s="9">
        <v>9</v>
      </c>
      <c r="L64" s="9">
        <v>10</v>
      </c>
    </row>
    <row r="65" spans="1:12" x14ac:dyDescent="0.25">
      <c r="A65" s="17" t="s">
        <v>62</v>
      </c>
      <c r="B65" s="84">
        <f>'Game Assumptions'!B155</f>
        <v>60000000</v>
      </c>
      <c r="C65" s="84">
        <f>'Game Assumptions'!C155</f>
        <v>59500000</v>
      </c>
      <c r="D65" s="84">
        <f>'Game Assumptions'!D155</f>
        <v>59000000</v>
      </c>
      <c r="E65" s="84">
        <f>'Game Assumptions'!E155</f>
        <v>58500000</v>
      </c>
      <c r="F65" s="84">
        <f>'Game Assumptions'!F155</f>
        <v>58000000</v>
      </c>
      <c r="G65" s="84">
        <f>'Game Assumptions'!G155</f>
        <v>57500000</v>
      </c>
      <c r="H65" s="84">
        <f>'Game Assumptions'!H155</f>
        <v>57000000</v>
      </c>
      <c r="I65" s="84">
        <f>'Game Assumptions'!I155</f>
        <v>56500000</v>
      </c>
      <c r="J65" s="84">
        <f>'Game Assumptions'!J155</f>
        <v>56000000</v>
      </c>
      <c r="K65" s="84">
        <f>'Game Assumptions'!K155</f>
        <v>55500000</v>
      </c>
      <c r="L65" s="84">
        <f>'Game Assumptions'!L155</f>
        <v>55000000</v>
      </c>
    </row>
    <row r="66" spans="1:12" x14ac:dyDescent="0.25">
      <c r="A66" s="17" t="s">
        <v>449</v>
      </c>
      <c r="B66" s="84">
        <f>B65-SUM(B57:B62)</f>
        <v>57871320</v>
      </c>
      <c r="C66" s="84">
        <f t="shared" ref="C66:L66" si="10">C65-SUM(C57:C62)</f>
        <v>55503735.152241662</v>
      </c>
      <c r="D66" s="84">
        <f t="shared" si="10"/>
        <v>52923613.470333129</v>
      </c>
      <c r="E66" s="84">
        <f t="shared" si="10"/>
        <v>50346906.477146298</v>
      </c>
      <c r="F66" s="84">
        <f t="shared" si="10"/>
        <v>48834807.472460933</v>
      </c>
      <c r="G66" s="84">
        <f t="shared" si="10"/>
        <v>47943005.527992278</v>
      </c>
      <c r="H66" s="84">
        <f t="shared" si="10"/>
        <v>47578080.527992278</v>
      </c>
      <c r="I66" s="84">
        <f t="shared" si="10"/>
        <v>47127355.527992278</v>
      </c>
      <c r="J66" s="84">
        <f t="shared" si="10"/>
        <v>46702280.527992278</v>
      </c>
      <c r="K66" s="84">
        <f t="shared" si="10"/>
        <v>46293855.527992278</v>
      </c>
      <c r="L66" s="84">
        <f t="shared" si="10"/>
        <v>45876880.527992278</v>
      </c>
    </row>
    <row r="67" spans="1:12" x14ac:dyDescent="0.25">
      <c r="A67" s="17" t="s">
        <v>272</v>
      </c>
      <c r="B67" s="85">
        <v>60000000</v>
      </c>
      <c r="C67" s="85">
        <v>59202500</v>
      </c>
      <c r="D67" s="85">
        <v>59177000</v>
      </c>
      <c r="E67" s="85">
        <v>58207500</v>
      </c>
      <c r="F67" s="85">
        <v>57942000</v>
      </c>
      <c r="G67" s="85">
        <v>57672500</v>
      </c>
      <c r="H67" s="85">
        <v>56772000</v>
      </c>
      <c r="I67" s="85">
        <v>56443500</v>
      </c>
      <c r="J67" s="85">
        <v>55944000</v>
      </c>
      <c r="K67" s="85">
        <v>55333500</v>
      </c>
      <c r="L67" s="85">
        <v>54780000</v>
      </c>
    </row>
    <row r="68" spans="1:12" s="117" customFormat="1" x14ac:dyDescent="0.25">
      <c r="A68" s="117" t="s">
        <v>273</v>
      </c>
      <c r="B68" s="128">
        <f>B67+'Event Tracker'!B12*'Game Assumptions'!$B$21*'Resource Mix and Demand'!B67</f>
        <v>60000000</v>
      </c>
      <c r="C68" s="128">
        <f>C67+'Event Tracker'!C12*'Game Assumptions'!$B$21*'Resource Mix and Demand'!C67</f>
        <v>59202500</v>
      </c>
      <c r="D68" s="128">
        <f>D67+'Event Tracker'!D12*'Game Assumptions'!$B$21*'Resource Mix and Demand'!D67</f>
        <v>59177000</v>
      </c>
      <c r="E68" s="128">
        <f>E67+'Event Tracker'!E12*'Game Assumptions'!$B$21*'Resource Mix and Demand'!E67</f>
        <v>58207500</v>
      </c>
      <c r="F68" s="128">
        <f>F67+'Event Tracker'!F12*'Game Assumptions'!$B$21*'Resource Mix and Demand'!F67</f>
        <v>57942000</v>
      </c>
      <c r="G68" s="128">
        <f>G67+'Event Tracker'!G12*'Game Assumptions'!$B$21*'Resource Mix and Demand'!G67</f>
        <v>57672500</v>
      </c>
      <c r="H68" s="128">
        <f>H67+'Event Tracker'!H12*'Game Assumptions'!$B$21*'Resource Mix and Demand'!H67</f>
        <v>56772000</v>
      </c>
      <c r="I68" s="128">
        <f>I67+'Event Tracker'!I12*'Game Assumptions'!$B$21*'Resource Mix and Demand'!I67</f>
        <v>56443500</v>
      </c>
      <c r="J68" s="128">
        <f>J67+'Event Tracker'!J12*'Game Assumptions'!$B$21*'Resource Mix and Demand'!J67</f>
        <v>55944000</v>
      </c>
      <c r="K68" s="128">
        <f>K67+'Event Tracker'!K12*'Game Assumptions'!$B$21*'Resource Mix and Demand'!K67</f>
        <v>55333500</v>
      </c>
      <c r="L68" s="128">
        <f>L67+'Event Tracker'!L12*'Game Assumptions'!$B$21*'Resource Mix and Demand'!L67</f>
        <v>54780000</v>
      </c>
    </row>
    <row r="69" spans="1:12" x14ac:dyDescent="0.25">
      <c r="A69" s="17" t="s">
        <v>450</v>
      </c>
      <c r="B69" s="85">
        <f>B68-SUM(B57:B62)</f>
        <v>57871320</v>
      </c>
      <c r="C69" s="85">
        <f t="shared" ref="C69:L69" si="11">C68-SUM(C57:C62)</f>
        <v>55206235.152241662</v>
      </c>
      <c r="D69" s="85">
        <f t="shared" si="11"/>
        <v>53100613.470333129</v>
      </c>
      <c r="E69" s="85">
        <f t="shared" si="11"/>
        <v>50054406.477146298</v>
      </c>
      <c r="F69" s="85">
        <f t="shared" si="11"/>
        <v>48776807.472460933</v>
      </c>
      <c r="G69" s="85">
        <f t="shared" si="11"/>
        <v>48115505.527992278</v>
      </c>
      <c r="H69" s="85">
        <f t="shared" si="11"/>
        <v>47350080.527992278</v>
      </c>
      <c r="I69" s="85">
        <f t="shared" si="11"/>
        <v>47070855.527992278</v>
      </c>
      <c r="J69" s="85">
        <f t="shared" si="11"/>
        <v>46646280.527992278</v>
      </c>
      <c r="K69" s="85">
        <f t="shared" si="11"/>
        <v>46127355.527992278</v>
      </c>
      <c r="L69" s="85">
        <f t="shared" si="11"/>
        <v>45656880.527992278</v>
      </c>
    </row>
    <row r="70" spans="1:12" x14ac:dyDescent="0.25">
      <c r="A70" t="s">
        <v>93</v>
      </c>
      <c r="B70" s="84">
        <f t="shared" ref="B70:L70" si="12">B65/8760</f>
        <v>6849.3150684931506</v>
      </c>
      <c r="C70" s="84">
        <f t="shared" si="12"/>
        <v>6792.2374429223746</v>
      </c>
      <c r="D70" s="84">
        <f t="shared" si="12"/>
        <v>6735.1598173515986</v>
      </c>
      <c r="E70" s="84">
        <f t="shared" si="12"/>
        <v>6678.0821917808216</v>
      </c>
      <c r="F70" s="84">
        <f>F65/8760</f>
        <v>6621.0045662100456</v>
      </c>
      <c r="G70" s="84">
        <f t="shared" si="12"/>
        <v>6563.9269406392696</v>
      </c>
      <c r="H70" s="84">
        <f t="shared" si="12"/>
        <v>6506.8493150684935</v>
      </c>
      <c r="I70" s="84">
        <f t="shared" si="12"/>
        <v>6449.7716894977166</v>
      </c>
      <c r="J70" s="84">
        <f t="shared" si="12"/>
        <v>6392.6940639269405</v>
      </c>
      <c r="K70" s="84">
        <f t="shared" si="12"/>
        <v>6335.6164383561645</v>
      </c>
      <c r="L70" s="84">
        <f t="shared" si="12"/>
        <v>6278.5388127853885</v>
      </c>
    </row>
    <row r="71" spans="1:12" x14ac:dyDescent="0.25">
      <c r="A71" t="s">
        <v>237</v>
      </c>
      <c r="B71" s="84">
        <f>B70/'Game Assumptions'!$B$75</f>
        <v>9784.7358121330726</v>
      </c>
      <c r="C71" s="84">
        <f>C70/'Game Assumptions'!$B$75</f>
        <v>9703.1963470319643</v>
      </c>
      <c r="D71" s="84">
        <f>D70/'Game Assumptions'!$B$75</f>
        <v>9621.6568819308559</v>
      </c>
      <c r="E71" s="84">
        <f>E70/'Game Assumptions'!$B$75</f>
        <v>9540.1174168297457</v>
      </c>
      <c r="F71" s="84">
        <f>F70/'Game Assumptions'!$B$75</f>
        <v>9458.5779517286373</v>
      </c>
      <c r="G71" s="84">
        <f>G70/'Game Assumptions'!$B$75</f>
        <v>9377.038486627529</v>
      </c>
      <c r="H71" s="84">
        <f>H70/'Game Assumptions'!$B$75</f>
        <v>9295.4990215264206</v>
      </c>
      <c r="I71" s="84">
        <f>I70/'Game Assumptions'!$B$75</f>
        <v>9213.9595564253104</v>
      </c>
      <c r="J71" s="84">
        <f>J70/'Game Assumptions'!$B$75</f>
        <v>9132.4200913242021</v>
      </c>
      <c r="K71" s="84">
        <f>K70/'Game Assumptions'!$B$75</f>
        <v>9050.8806262230919</v>
      </c>
      <c r="L71" s="84">
        <f>L70/'Game Assumptions'!$B$75</f>
        <v>8969.3411611219835</v>
      </c>
    </row>
    <row r="72" spans="1:12" x14ac:dyDescent="0.25">
      <c r="A72" t="s">
        <v>238</v>
      </c>
      <c r="B72" s="84">
        <v>0</v>
      </c>
      <c r="C72" s="84">
        <f>IF('Event Tracker'!C5=1,'Resource Mix and Demand'!C71*'Game Assumptions'!$B$77*'Game Assumptions'!$G$93,0)</f>
        <v>0</v>
      </c>
      <c r="D72" s="84">
        <f>IF('Event Tracker'!D5=1,'Resource Mix and Demand'!D71*'Game Assumptions'!$B$77*'Game Assumptions'!$G$93,0)</f>
        <v>0</v>
      </c>
      <c r="E72" s="84">
        <f>IF('Event Tracker'!E5=1,'Resource Mix and Demand'!E71*'Game Assumptions'!$B$77*'Game Assumptions'!$G$93,0)</f>
        <v>0</v>
      </c>
      <c r="F72" s="84">
        <f>IF('Event Tracker'!F5=1,'Resource Mix and Demand'!F71*'Game Assumptions'!$B$77*'Game Assumptions'!$G$93,0)</f>
        <v>0</v>
      </c>
      <c r="G72" s="84">
        <f>IF('Event Tracker'!G5=1,'Resource Mix and Demand'!G71*'Game Assumptions'!$B$77*'Game Assumptions'!$G$93,0)</f>
        <v>0</v>
      </c>
      <c r="H72" s="84">
        <f>IF('Event Tracker'!H5=1,'Resource Mix and Demand'!H71*'Game Assumptions'!$B$77*'Game Assumptions'!$G$93,0)</f>
        <v>0</v>
      </c>
      <c r="I72" s="84">
        <f>IF('Event Tracker'!I5=1,'Resource Mix and Demand'!I71*'Game Assumptions'!$B$77*'Game Assumptions'!$G$93,0)</f>
        <v>0</v>
      </c>
      <c r="J72" s="84">
        <f>IF('Event Tracker'!J5=1,'Resource Mix and Demand'!J71*'Game Assumptions'!$B$77*'Game Assumptions'!$G$93,0)</f>
        <v>0</v>
      </c>
      <c r="K72" s="84">
        <f>IF('Event Tracker'!K5=1,'Resource Mix and Demand'!K71*'Game Assumptions'!$B$77*'Game Assumptions'!$G$93,0)</f>
        <v>0</v>
      </c>
      <c r="L72" s="84">
        <f>IF('Event Tracker'!L5=1,'Resource Mix and Demand'!L71*'Game Assumptions'!$B$77*'Game Assumptions'!$G$93,0)</f>
        <v>0</v>
      </c>
    </row>
    <row r="73" spans="1:12" x14ac:dyDescent="0.25">
      <c r="B73" s="84"/>
      <c r="C73" s="84"/>
      <c r="D73" s="84"/>
      <c r="E73" s="84"/>
      <c r="F73" s="84"/>
      <c r="G73" s="84"/>
      <c r="H73" s="84"/>
      <c r="I73" s="84"/>
      <c r="J73" s="84"/>
      <c r="K73" s="84"/>
      <c r="L73" s="84"/>
    </row>
    <row r="74" spans="1:12" x14ac:dyDescent="0.25">
      <c r="B74" s="84"/>
      <c r="C74" s="84"/>
      <c r="D74" s="84"/>
      <c r="E74" s="84"/>
      <c r="F74" s="84"/>
      <c r="G74" s="84"/>
      <c r="H74" s="84"/>
      <c r="I74" s="84"/>
      <c r="J74" s="84"/>
      <c r="K74" s="84"/>
      <c r="L74" s="84"/>
    </row>
    <row r="75" spans="1:12" x14ac:dyDescent="0.25">
      <c r="B75" s="84"/>
      <c r="C75" s="84"/>
      <c r="D75" s="84"/>
      <c r="E75" s="84"/>
      <c r="F75" s="84"/>
      <c r="G75" s="84"/>
      <c r="H75" s="84"/>
      <c r="I75" s="84"/>
      <c r="J75" s="84"/>
      <c r="K75" s="84"/>
      <c r="L75" s="84"/>
    </row>
    <row r="88" spans="1:1" x14ac:dyDescent="0.25">
      <c r="A88" s="6"/>
    </row>
    <row r="91" spans="1:1" x14ac:dyDescent="0.25">
      <c r="A91" s="7"/>
    </row>
  </sheetData>
  <pageMargins left="0.7" right="0.7" top="0.75" bottom="0.75" header="0.3" footer="0.3"/>
  <pageSetup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A1:O109"/>
  <sheetViews>
    <sheetView topLeftCell="A73" workbookViewId="0">
      <selection activeCell="L38" sqref="L38"/>
    </sheetView>
  </sheetViews>
  <sheetFormatPr defaultRowHeight="15" x14ac:dyDescent="0.25"/>
  <cols>
    <col min="1" max="1" width="65.5703125" customWidth="1"/>
    <col min="2" max="2" width="13.140625" bestFit="1" customWidth="1"/>
    <col min="3" max="3" width="13.42578125" bestFit="1" customWidth="1"/>
    <col min="4" max="4" width="24.5703125" bestFit="1" customWidth="1"/>
    <col min="6" max="6" width="9.140625" customWidth="1"/>
    <col min="14" max="14" width="13.7109375" bestFit="1" customWidth="1"/>
  </cols>
  <sheetData>
    <row r="1" spans="1:15" ht="15.75" thickBot="1" x14ac:dyDescent="0.3">
      <c r="A1" s="9" t="s">
        <v>331</v>
      </c>
      <c r="B1" s="3"/>
      <c r="C1" s="3"/>
      <c r="D1" s="3"/>
      <c r="E1" s="3"/>
      <c r="F1" s="3"/>
      <c r="G1" s="3"/>
      <c r="H1" s="3"/>
      <c r="I1" s="3"/>
      <c r="J1" s="3"/>
      <c r="K1" s="3"/>
      <c r="N1" s="110" t="s">
        <v>264</v>
      </c>
      <c r="O1" s="100">
        <f>Current_Round</f>
        <v>0</v>
      </c>
    </row>
    <row r="2" spans="1:15" x14ac:dyDescent="0.25">
      <c r="A2" t="s">
        <v>333</v>
      </c>
      <c r="B2" t="s">
        <v>335</v>
      </c>
      <c r="C2" t="s">
        <v>332</v>
      </c>
      <c r="D2" t="s">
        <v>334</v>
      </c>
      <c r="E2" t="s">
        <v>431</v>
      </c>
    </row>
    <row r="3" spans="1:15" x14ac:dyDescent="0.25">
      <c r="A3">
        <v>2015</v>
      </c>
      <c r="B3">
        <v>0</v>
      </c>
      <c r="C3" s="49">
        <f>IF(COUNT($B$3:$B3)&lt;=$O$1+1,INDEX('Customer Bills'!$B$13:$L$13,1,MATCH(Graphs!B3,'Customer Bills'!$B$2:$L$2,0)),NA())</f>
        <v>95.70191479695302</v>
      </c>
      <c r="D3" s="15">
        <f>IF(C3="","",IF(OR(COUNT($C$3:$C3)-1=$O$1,COUNT($C$3:$C4)-1=$O$1),C3,NA()))</f>
        <v>95.70191479695302</v>
      </c>
      <c r="E3">
        <f>INDEX('Customer Bills'!$B$17:$G$17,1,MATCH(Graphs!B3,'Customer Bills'!$B$16:$G$16,0))</f>
        <v>95.70191479695302</v>
      </c>
    </row>
    <row r="4" spans="1:15" x14ac:dyDescent="0.25">
      <c r="A4">
        <v>2017</v>
      </c>
      <c r="B4">
        <v>1</v>
      </c>
      <c r="C4" s="49" t="e">
        <f>IF(COUNT($B$3:$B4)&lt;=$O$1+1,INDEX('Customer Bills'!$B$13:$L$13,1,MATCH(Graphs!B4,'Customer Bills'!$B$2:$L$2,0)),NA())</f>
        <v>#N/A</v>
      </c>
      <c r="D4" s="15" t="e">
        <f>IF(C4="","",IF(OR(COUNT($C$3:$C4)-1=$O$1,COUNT($C$3:$C5)-1=$O$1),C4,NA()))</f>
        <v>#N/A</v>
      </c>
      <c r="E4">
        <f>INDEX('Customer Bills'!$B$17:$G$17,1,MATCH(Graphs!B4,'Customer Bills'!$B$16:$G$16,0))</f>
        <v>95.70191479695302</v>
      </c>
    </row>
    <row r="5" spans="1:15" x14ac:dyDescent="0.25">
      <c r="A5">
        <v>2019</v>
      </c>
      <c r="B5">
        <v>2</v>
      </c>
      <c r="C5" s="49" t="e">
        <f>IF(COUNT($B$3:$B5)&lt;=$O$1+1,INDEX('Customer Bills'!$B$13:$L$13,1,MATCH(Graphs!B5,'Customer Bills'!$B$2:$L$2,0)),NA())</f>
        <v>#N/A</v>
      </c>
      <c r="D5" s="15" t="e">
        <f>IF(C5="","",IF(OR(COUNT($C$3:$C5)-1=$O$1,COUNT($C$3:$C6)-1=$O$1),C5,NA()))</f>
        <v>#N/A</v>
      </c>
      <c r="E5">
        <f>INDEX('Customer Bills'!$B$17:$G$17,1,MATCH(Graphs!B5,'Customer Bills'!$B$16:$G$16,0))</f>
        <v>95.70191479695302</v>
      </c>
    </row>
    <row r="6" spans="1:15" x14ac:dyDescent="0.25">
      <c r="A6">
        <v>2021</v>
      </c>
      <c r="B6">
        <v>3</v>
      </c>
      <c r="C6" s="49" t="e">
        <f>IF(COUNT($B$3:$B6)&lt;=$O$1+1,INDEX('Customer Bills'!$B$13:$L$13,1,MATCH(Graphs!B6,'Customer Bills'!$B$2:$L$2,0)),NA())</f>
        <v>#N/A</v>
      </c>
      <c r="D6" s="15" t="e">
        <f>IF(C6="","",IF(OR(COUNT($C$3:$C6)-1=$O$1,COUNT($C$3:$C7)-1=$O$1),C6,NA()))</f>
        <v>#N/A</v>
      </c>
      <c r="E6">
        <f>INDEX('Customer Bills'!$B$17:$G$17,1,MATCH(Graphs!B6,'Customer Bills'!$B$16:$G$16,0))</f>
        <v>95.70191479695302</v>
      </c>
    </row>
    <row r="7" spans="1:15" x14ac:dyDescent="0.25">
      <c r="A7">
        <v>2023</v>
      </c>
      <c r="B7">
        <v>4</v>
      </c>
      <c r="C7" s="49" t="e">
        <f>IF(COUNT($B$3:$B7)&lt;=$O$1+1,INDEX('Customer Bills'!$B$13:$L$13,1,MATCH(Graphs!B7,'Customer Bills'!$B$2:$L$2,0)),NA())</f>
        <v>#N/A</v>
      </c>
      <c r="D7" s="15" t="e">
        <f>IF(C7="","",IF(OR(COUNT($C$3:$C7)-1=$O$1,COUNT($C$3:$C8)-1=$O$1),C7,NA()))</f>
        <v>#N/A</v>
      </c>
      <c r="E7">
        <f>INDEX('Customer Bills'!$B$17:$G$17,1,MATCH(Graphs!B7,'Customer Bills'!$B$16:$G$16,0))</f>
        <v>95.70191479695302</v>
      </c>
    </row>
    <row r="8" spans="1:15" x14ac:dyDescent="0.25">
      <c r="A8">
        <v>2025</v>
      </c>
      <c r="B8">
        <v>5</v>
      </c>
      <c r="C8" s="49" t="e">
        <f>IF(COUNT($B$3:$B8)&lt;=$O$1+1,INDEX('Customer Bills'!$B$13:$L$13,1,MATCH(Graphs!B8,'Customer Bills'!$B$2:$L$2,0)),NA())</f>
        <v>#N/A</v>
      </c>
      <c r="D8" s="15" t="e">
        <f>IF(C8="","",IF(OR(COUNT($C$3:$C8)-1=$O$1,COUNT($C$3:$C9)-1=$O$1),C8,NA()))</f>
        <v>#N/A</v>
      </c>
      <c r="E8">
        <f>INDEX('Customer Bills'!$B$17:$G$17,1,MATCH(Graphs!B8,'Customer Bills'!$B$16:$G$16,0))</f>
        <v>95.70191479695302</v>
      </c>
    </row>
    <row r="9" spans="1:15" x14ac:dyDescent="0.25">
      <c r="A9">
        <v>2027</v>
      </c>
      <c r="B9">
        <v>6</v>
      </c>
      <c r="C9" s="49" t="e">
        <f>IF(COUNT($B$3:$B9)&lt;=$O$1+1,INDEX('Customer Bills'!$B$13:$L$13,1,MATCH(Graphs!B9,'Customer Bills'!$B$2:$L$2,0)),NA())</f>
        <v>#N/A</v>
      </c>
      <c r="D9" s="15" t="e">
        <f>IF(C9="","",IF(OR(COUNT($C$3:$C9)-1=$O$1,COUNT($C$3:$C10)-1=$O$1),C9,NA()))</f>
        <v>#N/A</v>
      </c>
      <c r="E9" t="e">
        <f>INDEX('Customer Bills'!$B$17:$G$17,1,MATCH(Graphs!B9,'Customer Bills'!$B$16:$G$16,0))</f>
        <v>#N/A</v>
      </c>
    </row>
    <row r="10" spans="1:15" x14ac:dyDescent="0.25">
      <c r="A10">
        <v>2029</v>
      </c>
      <c r="B10">
        <v>7</v>
      </c>
      <c r="C10" s="49" t="e">
        <f>IF(COUNT($B$3:$B10)&lt;=$O$1+1,INDEX('Customer Bills'!$B$13:$L$13,1,MATCH(Graphs!B10,'Customer Bills'!$B$2:$L$2,0)),NA())</f>
        <v>#N/A</v>
      </c>
      <c r="D10" s="15" t="e">
        <f>IF(C10="","",IF(OR(COUNT($C$3:$C10)-1=$O$1,COUNT($C$3:$C11)-1=$O$1),C10,NA()))</f>
        <v>#N/A</v>
      </c>
      <c r="E10" t="e">
        <f>INDEX('Customer Bills'!$B$17:$G$17,1,MATCH(Graphs!B10,'Customer Bills'!$B$16:$G$16,0))</f>
        <v>#N/A</v>
      </c>
    </row>
    <row r="11" spans="1:15" x14ac:dyDescent="0.25">
      <c r="A11">
        <v>2031</v>
      </c>
      <c r="B11">
        <v>8</v>
      </c>
      <c r="C11" s="49" t="e">
        <f>IF(COUNT($B$3:$B11)&lt;=$O$1+1,INDEX('Customer Bills'!$B$13:$L$13,1,MATCH(Graphs!B11,'Customer Bills'!$B$2:$L$2,0)),NA())</f>
        <v>#N/A</v>
      </c>
      <c r="D11" s="15" t="e">
        <f>IF(C11="","",IF(OR(COUNT($C$3:$C11)-1=$O$1,COUNT($C$3:$C12)-1=$O$1),C11,NA()))</f>
        <v>#N/A</v>
      </c>
      <c r="E11" t="e">
        <f>INDEX('Customer Bills'!$B$17:$G$17,1,MATCH(Graphs!B11,'Customer Bills'!$B$16:$G$16,0))</f>
        <v>#N/A</v>
      </c>
    </row>
    <row r="12" spans="1:15" x14ac:dyDescent="0.25">
      <c r="A12">
        <v>2033</v>
      </c>
      <c r="B12">
        <v>9</v>
      </c>
      <c r="C12" s="49" t="e">
        <f>IF(COUNT($B$3:$B12)&lt;=$O$1+1,INDEX('Customer Bills'!$B$13:$L$13,1,MATCH(Graphs!B12,'Customer Bills'!$B$2:$L$2,0)),NA())</f>
        <v>#N/A</v>
      </c>
      <c r="D12" s="15" t="e">
        <f>IF(C12="","",IF(OR(COUNT($C$3:$C12)-1=$O$1,COUNT($C$3:$C13)-1=$O$1),C12,NA()))</f>
        <v>#N/A</v>
      </c>
      <c r="E12" t="e">
        <f>INDEX('Customer Bills'!$B$17:$G$17,1,MATCH(Graphs!B12,'Customer Bills'!$B$16:$G$16,0))</f>
        <v>#N/A</v>
      </c>
    </row>
    <row r="13" spans="1:15" x14ac:dyDescent="0.25">
      <c r="A13">
        <v>2035</v>
      </c>
      <c r="B13">
        <v>10</v>
      </c>
      <c r="C13" s="49" t="e">
        <f>IF(COUNT($B$3:$B13)&lt;=$O$1+1,INDEX('Customer Bills'!$B$13:$L$13,1,MATCH(Graphs!B13,'Customer Bills'!$B$2:$L$2,0)),NA())</f>
        <v>#N/A</v>
      </c>
      <c r="D13" s="15" t="e">
        <f>IF(C13="","",IF(OR(COUNT($C$3:$C13)-1=$O$1,COUNT($C$3:$C14)-1=$O$1),C13,NA()))</f>
        <v>#N/A</v>
      </c>
      <c r="E13" t="e">
        <f>INDEX('Customer Bills'!$B$17:$G$17,1,MATCH(Graphs!B13,'Customer Bills'!$B$16:$G$16,0))</f>
        <v>#N/A</v>
      </c>
    </row>
    <row r="16" spans="1:15" x14ac:dyDescent="0.25">
      <c r="A16" s="9" t="s">
        <v>337</v>
      </c>
      <c r="B16" s="3"/>
      <c r="C16" s="3"/>
      <c r="D16" s="3"/>
      <c r="E16" s="3"/>
      <c r="F16" s="3"/>
      <c r="G16" s="3"/>
      <c r="H16" s="3"/>
      <c r="I16" s="3"/>
      <c r="J16" s="3"/>
      <c r="K16" s="3"/>
    </row>
    <row r="17" spans="1:11" x14ac:dyDescent="0.25">
      <c r="A17" t="s">
        <v>333</v>
      </c>
      <c r="B17" t="s">
        <v>335</v>
      </c>
      <c r="C17" t="s">
        <v>332</v>
      </c>
      <c r="D17" t="s">
        <v>334</v>
      </c>
      <c r="E17" t="s">
        <v>431</v>
      </c>
    </row>
    <row r="18" spans="1:11" x14ac:dyDescent="0.25">
      <c r="A18">
        <v>2015</v>
      </c>
      <c r="B18">
        <v>0</v>
      </c>
      <c r="C18" s="10">
        <f>IF(COUNT($B$18:$B18)&lt;=$O$1+1,INDEX('Environmental Performance'!$B$3:$L$3,1,MATCH(Graphs!B18,'Environmental Performance'!$B$1:$L$1,0)),NA())</f>
        <v>1077.7907015393157</v>
      </c>
      <c r="D18" s="113">
        <f>IF(C18="","",IF(OR(COUNT($C$18:$C18)-1=$O$1,COUNT($C$18:$C19)-1=$O$1),C18,NA()))</f>
        <v>1077.7907015393157</v>
      </c>
      <c r="E18">
        <f>INDEX('Environmental Performance'!$B$6:$G$6,1,MATCH(Graphs!B18,'Environmental Performance'!$B$5:$G$5,0))</f>
        <v>1077.7907015393157</v>
      </c>
    </row>
    <row r="19" spans="1:11" x14ac:dyDescent="0.25">
      <c r="A19">
        <v>2017</v>
      </c>
      <c r="B19">
        <v>1</v>
      </c>
      <c r="C19" s="10" t="e">
        <f>IF(COUNT($B$18:$B19)&lt;=$O$1+1,INDEX('Environmental Performance'!$B$3:$L$3,1,MATCH(Graphs!B19,'Environmental Performance'!$B$1:$L$1,0)),NA())</f>
        <v>#N/A</v>
      </c>
      <c r="D19" s="113" t="e">
        <f>IF(C19="","",IF(OR(COUNT($C$18:$C19)-1=$O$1,COUNT($C$18:$C20)-1=$O$1),C19,NA()))</f>
        <v>#N/A</v>
      </c>
      <c r="E19">
        <f>INDEX('Environmental Performance'!$B$6:$G$6,1,MATCH(Graphs!B19,'Environmental Performance'!$B$5:$G$5,0))</f>
        <v>970.03256123145252</v>
      </c>
    </row>
    <row r="20" spans="1:11" x14ac:dyDescent="0.25">
      <c r="A20">
        <v>2019</v>
      </c>
      <c r="B20">
        <v>2</v>
      </c>
      <c r="C20" s="10" t="e">
        <f>IF(COUNT($B$18:$B20)&lt;=$O$1+1,INDEX('Environmental Performance'!$B$3:$L$3,1,MATCH(Graphs!B20,'Environmental Performance'!$B$1:$L$1,0)),NA())</f>
        <v>#N/A</v>
      </c>
      <c r="D20" s="113" t="e">
        <f>IF(C20="","",IF(OR(COUNT($C$18:$C20)-1=$O$1,COUNT($C$18:$C21)-1=$O$1),C20,NA()))</f>
        <v>#N/A</v>
      </c>
      <c r="E20">
        <f>INDEX('Environmental Performance'!$B$6:$G$6,1,MATCH(Graphs!B20,'Environmental Performance'!$B$5:$G$5,0))</f>
        <v>862.27442092358933</v>
      </c>
    </row>
    <row r="21" spans="1:11" x14ac:dyDescent="0.25">
      <c r="A21">
        <v>2021</v>
      </c>
      <c r="B21">
        <v>3</v>
      </c>
      <c r="C21" s="10" t="e">
        <f>IF(COUNT($B$18:$B21)&lt;=$O$1+1,INDEX('Environmental Performance'!$B$3:$L$3,1,MATCH(Graphs!B21,'Environmental Performance'!$B$1:$L$1,0)),NA())</f>
        <v>#N/A</v>
      </c>
      <c r="D21" s="113" t="e">
        <f>IF(C21="","",IF(OR(COUNT($C$18:$C21)-1=$O$1,COUNT($C$18:$C22)-1=$O$1),C21,NA()))</f>
        <v>#N/A</v>
      </c>
      <c r="E21">
        <f>INDEX('Environmental Performance'!$B$6:$G$6,1,MATCH(Graphs!B21,'Environmental Performance'!$B$5:$G$5,0))</f>
        <v>754.51628061572615</v>
      </c>
    </row>
    <row r="22" spans="1:11" x14ac:dyDescent="0.25">
      <c r="A22">
        <v>2023</v>
      </c>
      <c r="B22">
        <v>4</v>
      </c>
      <c r="C22" s="10" t="e">
        <f>IF(COUNT($B$18:$B22)&lt;=$O$1+1,INDEX('Environmental Performance'!$B$3:$L$3,1,MATCH(Graphs!B22,'Environmental Performance'!$B$1:$L$1,0)),NA())</f>
        <v>#N/A</v>
      </c>
      <c r="D22" s="113" t="e">
        <f>IF(C22="","",IF(OR(COUNT($C$18:$C22)-1=$O$1,COUNT($C$18:$C23)-1=$O$1),C22,NA()))</f>
        <v>#N/A</v>
      </c>
      <c r="E22">
        <f>INDEX('Environmental Performance'!$B$6:$G$6,1,MATCH(Graphs!B22,'Environmental Performance'!$B$5:$G$5,0))</f>
        <v>646.75814030786296</v>
      </c>
    </row>
    <row r="23" spans="1:11" x14ac:dyDescent="0.25">
      <c r="A23">
        <v>2025</v>
      </c>
      <c r="B23">
        <v>5</v>
      </c>
      <c r="C23" s="10" t="e">
        <f>IF(COUNT($B$18:$B23)&lt;=$O$1+1,INDEX('Environmental Performance'!$B$3:$L$3,1,MATCH(Graphs!B23,'Environmental Performance'!$B$1:$L$1,0)),NA())</f>
        <v>#N/A</v>
      </c>
      <c r="D23" s="113" t="e">
        <f>IF(C23="","",IF(OR(COUNT($C$18:$C23)-1=$O$1,COUNT($C$18:$C24)-1=$O$1),C23,NA()))</f>
        <v>#N/A</v>
      </c>
      <c r="E23">
        <f>INDEX('Environmental Performance'!$B$6:$G$6,1,MATCH(Graphs!B23,'Environmental Performance'!$B$5:$G$5,0))</f>
        <v>539</v>
      </c>
    </row>
    <row r="24" spans="1:11" x14ac:dyDescent="0.25">
      <c r="A24">
        <v>2027</v>
      </c>
      <c r="B24">
        <v>6</v>
      </c>
      <c r="C24" s="10" t="e">
        <f>IF(COUNT($B$18:$B24)&lt;=$O$1+1,INDEX('Environmental Performance'!$B$3:$L$3,1,MATCH(Graphs!B24,'Environmental Performance'!$B$1:$L$1,0)),NA())</f>
        <v>#N/A</v>
      </c>
      <c r="D24" s="113" t="e">
        <f>IF(C24="","",IF(OR(COUNT($C$18:$C24)-1=$O$1,COUNT($C$18:$C25)-1=$O$1),C24,NA()))</f>
        <v>#N/A</v>
      </c>
      <c r="E24" t="e">
        <f>INDEX('Environmental Performance'!$B$6:$G$6,1,MATCH(Graphs!B24,'Environmental Performance'!$B$5:$G$5,0))</f>
        <v>#N/A</v>
      </c>
    </row>
    <row r="25" spans="1:11" x14ac:dyDescent="0.25">
      <c r="A25">
        <v>2029</v>
      </c>
      <c r="B25">
        <v>7</v>
      </c>
      <c r="C25" s="10" t="e">
        <f>IF(COUNT($B$18:$B25)&lt;=$O$1+1,INDEX('Environmental Performance'!$B$3:$L$3,1,MATCH(Graphs!B25,'Environmental Performance'!$B$1:$L$1,0)),NA())</f>
        <v>#N/A</v>
      </c>
      <c r="D25" s="113" t="e">
        <f>IF(C25="","",IF(OR(COUNT($C$18:$C25)-1=$O$1,COUNT($C$18:$C26)-1=$O$1),C25,NA()))</f>
        <v>#N/A</v>
      </c>
      <c r="E25" t="e">
        <f>INDEX('Environmental Performance'!$B$6:$G$6,1,MATCH(Graphs!B25,'Environmental Performance'!$B$5:$G$5,0))</f>
        <v>#N/A</v>
      </c>
    </row>
    <row r="26" spans="1:11" x14ac:dyDescent="0.25">
      <c r="A26">
        <v>2031</v>
      </c>
      <c r="B26">
        <v>8</v>
      </c>
      <c r="C26" s="10" t="e">
        <f>IF(COUNT($B$18:$B26)&lt;=$O$1+1,INDEX('Environmental Performance'!$B$3:$L$3,1,MATCH(Graphs!B26,'Environmental Performance'!$B$1:$L$1,0)),NA())</f>
        <v>#N/A</v>
      </c>
      <c r="D26" s="113" t="e">
        <f>IF(C26="","",IF(OR(COUNT($C$18:$C26)-1=$O$1,COUNT($C$18:$C27)-1=$O$1),C26,NA()))</f>
        <v>#N/A</v>
      </c>
      <c r="E26" t="e">
        <f>INDEX('Environmental Performance'!$B$6:$G$6,1,MATCH(Graphs!B26,'Environmental Performance'!$B$5:$G$5,0))</f>
        <v>#N/A</v>
      </c>
    </row>
    <row r="27" spans="1:11" x14ac:dyDescent="0.25">
      <c r="A27">
        <v>2033</v>
      </c>
      <c r="B27">
        <v>9</v>
      </c>
      <c r="C27" s="10" t="e">
        <f>IF(COUNT($B$18:$B27)&lt;=$O$1+1,INDEX('Environmental Performance'!$B$3:$L$3,1,MATCH(Graphs!B27,'Environmental Performance'!$B$1:$L$1,0)),NA())</f>
        <v>#N/A</v>
      </c>
      <c r="D27" s="113" t="e">
        <f>IF(C27="","",IF(OR(COUNT($C$18:$C27)-1=$O$1,COUNT($C$18:$C28)-1=$O$1),C27,NA()))</f>
        <v>#N/A</v>
      </c>
      <c r="E27" t="e">
        <f>INDEX('Environmental Performance'!$B$6:$G$6,1,MATCH(Graphs!B27,'Environmental Performance'!$B$5:$G$5,0))</f>
        <v>#N/A</v>
      </c>
    </row>
    <row r="28" spans="1:11" x14ac:dyDescent="0.25">
      <c r="A28">
        <v>2035</v>
      </c>
      <c r="B28">
        <v>10</v>
      </c>
      <c r="C28" s="10" t="e">
        <f>IF(COUNT($B$18:$B28)&lt;=$O$1+1,INDEX('Environmental Performance'!$B$3:$L$3,1,MATCH(Graphs!B28,'Environmental Performance'!$B$1:$L$1,0)),NA())</f>
        <v>#N/A</v>
      </c>
      <c r="D28" s="113" t="e">
        <f>IF(C28="","",IF(OR(COUNT($C$18:$C28)-1=$O$1,COUNT($C$18:$C29)-1=$O$1),C28,NA()))</f>
        <v>#N/A</v>
      </c>
      <c r="E28" t="e">
        <f>INDEX('Environmental Performance'!$B$6:$G$6,1,MATCH(Graphs!B28,'Environmental Performance'!$B$5:$G$5,0))</f>
        <v>#N/A</v>
      </c>
    </row>
    <row r="32" spans="1:11" x14ac:dyDescent="0.25">
      <c r="A32" s="9" t="s">
        <v>371</v>
      </c>
      <c r="B32" s="3"/>
      <c r="C32" s="3"/>
      <c r="D32" s="3"/>
      <c r="E32" s="3"/>
      <c r="F32" s="3"/>
      <c r="G32" s="3"/>
      <c r="H32" s="3"/>
      <c r="I32" s="3"/>
      <c r="J32" s="3"/>
      <c r="K32" s="3"/>
    </row>
    <row r="33" spans="1:5" x14ac:dyDescent="0.25">
      <c r="A33" t="s">
        <v>333</v>
      </c>
      <c r="B33" t="s">
        <v>335</v>
      </c>
      <c r="C33" t="s">
        <v>332</v>
      </c>
      <c r="D33" t="s">
        <v>334</v>
      </c>
      <c r="E33" t="s">
        <v>431</v>
      </c>
    </row>
    <row r="34" spans="1:5" x14ac:dyDescent="0.25">
      <c r="A34">
        <v>2015</v>
      </c>
      <c r="B34">
        <v>0</v>
      </c>
      <c r="C34" s="121">
        <f>IF(COUNT($B$34:$B34)&lt;=$O$1+1,INDEX('Utility Revenue'!$B$151:$L$151,1,MATCH(Graphs!B34,'Utility Revenue'!$B$6:$L$6,0)),NA())</f>
        <v>0.54024054081148387</v>
      </c>
      <c r="D34" s="122">
        <f>IF(C34="","",IF(OR(COUNT($C$34:$C34)-1=$O$1,COUNT($C$34:$C35)-1=$O$1),C34,NA()))</f>
        <v>0.54024054081148387</v>
      </c>
    </row>
    <row r="35" spans="1:5" x14ac:dyDescent="0.25">
      <c r="A35">
        <v>2017</v>
      </c>
      <c r="B35">
        <v>1</v>
      </c>
      <c r="C35" s="121" t="e">
        <f>IF(COUNT($B$34:$B35)&lt;=$O$1+1,INDEX('Utility Revenue'!$B$151:$L$151,1,MATCH(Graphs!B35,'Utility Revenue'!$B$6:$L$6,0)),NA())</f>
        <v>#N/A</v>
      </c>
      <c r="D35" s="122" t="e">
        <f>IF(C35="","",IF(OR(COUNT($C$34:$C35)-1=$O$1,COUNT($C$34:$C36)-1=$O$1),C35,NA()))</f>
        <v>#N/A</v>
      </c>
    </row>
    <row r="36" spans="1:5" x14ac:dyDescent="0.25">
      <c r="A36">
        <v>2019</v>
      </c>
      <c r="B36">
        <v>2</v>
      </c>
      <c r="C36" s="121" t="e">
        <f>IF(COUNT($B$34:$B36)&lt;=$O$1+1,INDEX('Utility Revenue'!$B$151:$L$151,1,MATCH(Graphs!B36,'Utility Revenue'!$B$6:$L$6,0)),NA())</f>
        <v>#N/A</v>
      </c>
      <c r="D36" s="122" t="e">
        <f>IF(C36="","",IF(OR(COUNT($C$34:$C36)-1=$O$1,COUNT($C$34:$C37)-1=$O$1),C36,NA()))</f>
        <v>#N/A</v>
      </c>
    </row>
    <row r="37" spans="1:5" x14ac:dyDescent="0.25">
      <c r="A37">
        <v>2021</v>
      </c>
      <c r="B37">
        <v>3</v>
      </c>
      <c r="C37" s="121" t="e">
        <f>IF(COUNT($B$34:$B37)&lt;=$O$1+1,INDEX('Utility Revenue'!$B$151:$L$151,1,MATCH(Graphs!B37,'Utility Revenue'!$B$6:$L$6,0)),NA())</f>
        <v>#N/A</v>
      </c>
      <c r="D37" s="122" t="e">
        <f>IF(C37="","",IF(OR(COUNT($C$34:$C37)-1=$O$1,COUNT($C$34:$C38)-1=$O$1),C37,NA()))</f>
        <v>#N/A</v>
      </c>
    </row>
    <row r="38" spans="1:5" x14ac:dyDescent="0.25">
      <c r="A38">
        <v>2023</v>
      </c>
      <c r="B38">
        <v>4</v>
      </c>
      <c r="C38" s="121" t="e">
        <f>IF(COUNT($B$34:$B38)&lt;=$O$1+1,INDEX('Utility Revenue'!$B$151:$L$151,1,MATCH(Graphs!B38,'Utility Revenue'!$B$6:$L$6,0)),NA())</f>
        <v>#N/A</v>
      </c>
      <c r="D38" s="122" t="e">
        <f>IF(C38="","",IF(OR(COUNT($C$34:$C38)-1=$O$1,COUNT($C$34:$C39)-1=$O$1),C38,NA()))</f>
        <v>#N/A</v>
      </c>
    </row>
    <row r="39" spans="1:5" x14ac:dyDescent="0.25">
      <c r="A39">
        <v>2025</v>
      </c>
      <c r="B39">
        <v>5</v>
      </c>
      <c r="C39" s="121" t="e">
        <f>IF(COUNT($B$34:$B39)&lt;=$O$1+1,INDEX('Utility Revenue'!$B$151:$L$151,1,MATCH(Graphs!B39,'Utility Revenue'!$B$6:$L$6,0)),NA())</f>
        <v>#N/A</v>
      </c>
      <c r="D39" s="122" t="e">
        <f>IF(C39="","",IF(OR(COUNT($C$34:$C39)-1=$O$1,COUNT($C$34:$C40)-1=$O$1),C39,NA()))</f>
        <v>#N/A</v>
      </c>
    </row>
    <row r="40" spans="1:5" x14ac:dyDescent="0.25">
      <c r="A40">
        <v>2027</v>
      </c>
      <c r="B40">
        <v>6</v>
      </c>
      <c r="C40" s="121" t="e">
        <f>IF(COUNT($B$34:$B40)&lt;=$O$1+1,INDEX('Utility Revenue'!$B$151:$L$151,1,MATCH(Graphs!B40,'Utility Revenue'!$B$6:$L$6,0)),NA())</f>
        <v>#N/A</v>
      </c>
      <c r="D40" s="122" t="e">
        <f>IF(C40="","",IF(OR(COUNT($C$34:$C40)-1=$O$1,COUNT($C$34:$C41)-1=$O$1),C40,NA()))</f>
        <v>#N/A</v>
      </c>
    </row>
    <row r="41" spans="1:5" x14ac:dyDescent="0.25">
      <c r="A41">
        <v>2029</v>
      </c>
      <c r="B41">
        <v>7</v>
      </c>
      <c r="C41" s="121" t="e">
        <f>IF(COUNT($B$34:$B41)&lt;=$O$1+1,INDEX('Utility Revenue'!$B$151:$L$151,1,MATCH(Graphs!B41,'Utility Revenue'!$B$6:$L$6,0)),NA())</f>
        <v>#N/A</v>
      </c>
      <c r="D41" s="122" t="e">
        <f>IF(C41="","",IF(OR(COUNT($C$34:$C41)-1=$O$1,COUNT($C$34:$C42)-1=$O$1),C41,NA()))</f>
        <v>#N/A</v>
      </c>
    </row>
    <row r="42" spans="1:5" x14ac:dyDescent="0.25">
      <c r="A42">
        <v>2031</v>
      </c>
      <c r="B42">
        <v>8</v>
      </c>
      <c r="C42" s="121" t="e">
        <f>IF(COUNT($B$34:$B42)&lt;=$O$1+1,INDEX('Utility Revenue'!$B$151:$L$151,1,MATCH(Graphs!B42,'Utility Revenue'!$B$6:$L$6,0)),NA())</f>
        <v>#N/A</v>
      </c>
      <c r="D42" s="122" t="e">
        <f>IF(C42="","",IF(OR(COUNT($C$34:$C42)-1=$O$1,COUNT($C$34:$C43)-1=$O$1),C42,NA()))</f>
        <v>#N/A</v>
      </c>
    </row>
    <row r="43" spans="1:5" x14ac:dyDescent="0.25">
      <c r="A43">
        <v>2033</v>
      </c>
      <c r="B43">
        <v>9</v>
      </c>
      <c r="C43" s="121" t="e">
        <f>IF(COUNT($B$34:$B43)&lt;=$O$1+1,INDEX('Utility Revenue'!$B$151:$L$151,1,MATCH(Graphs!B43,'Utility Revenue'!$B$6:$L$6,0)),NA())</f>
        <v>#N/A</v>
      </c>
      <c r="D43" s="122" t="e">
        <f>IF(C43="","",IF(OR(COUNT($C$34:$C43)-1=$O$1,COUNT($C$34:$C44)-1=$O$1),C43,NA()))</f>
        <v>#N/A</v>
      </c>
    </row>
    <row r="44" spans="1:5" x14ac:dyDescent="0.25">
      <c r="A44">
        <v>2035</v>
      </c>
      <c r="B44">
        <v>10</v>
      </c>
      <c r="C44" s="121" t="e">
        <f>IF(COUNT($B$34:$B44)&lt;=$O$1+1,INDEX('Utility Revenue'!$B$151:$L$151,1,MATCH(Graphs!B44,'Utility Revenue'!$B$6:$L$6,0)),NA())</f>
        <v>#N/A</v>
      </c>
      <c r="D44" s="122" t="e">
        <f>IF(C44="","",IF(OR(COUNT($C$34:$C44)-1=$O$1,COUNT($C$34:$C45)-1=$O$1),C44,NA()))</f>
        <v>#N/A</v>
      </c>
    </row>
    <row r="49" spans="1:11" x14ac:dyDescent="0.25">
      <c r="A49" s="9" t="s">
        <v>135</v>
      </c>
      <c r="B49" s="3"/>
      <c r="C49" s="3"/>
      <c r="D49" s="3"/>
      <c r="E49" s="3"/>
      <c r="F49" s="3"/>
      <c r="G49" s="3"/>
      <c r="H49" s="3"/>
      <c r="I49" s="3"/>
      <c r="J49" s="3"/>
      <c r="K49" s="3"/>
    </row>
    <row r="50" spans="1:11" x14ac:dyDescent="0.25">
      <c r="A50" t="s">
        <v>333</v>
      </c>
      <c r="B50" t="s">
        <v>335</v>
      </c>
      <c r="C50" t="s">
        <v>332</v>
      </c>
      <c r="D50" t="s">
        <v>334</v>
      </c>
      <c r="E50" t="s">
        <v>431</v>
      </c>
    </row>
    <row r="51" spans="1:11" x14ac:dyDescent="0.25">
      <c r="A51">
        <v>2015</v>
      </c>
      <c r="B51">
        <v>0</v>
      </c>
      <c r="C51" s="16">
        <f>IF(COUNT($B$34:$B34)&lt;=$O$1+1,INDEX(Reliability!$B$95:$L$95,1,MATCH(Graphs!B34,Reliability!$B$94:$L$94,0)),NA())</f>
        <v>287</v>
      </c>
      <c r="D51" s="115">
        <f>IF(C51="","",IF(OR(COUNT($C$51:$C51)-1=$O$1,COUNT($C$51:$C52)-1=$O$1),C51,NA()))</f>
        <v>287</v>
      </c>
      <c r="E51">
        <f>INDEX(Reliability!$B$98:$G$98,1,MATCH(Graphs!B51,Reliability!$B$97:$G$97,0))</f>
        <v>287</v>
      </c>
    </row>
    <row r="52" spans="1:11" x14ac:dyDescent="0.25">
      <c r="A52">
        <v>2017</v>
      </c>
      <c r="B52">
        <v>1</v>
      </c>
      <c r="C52" s="16" t="e">
        <f>IF(COUNT($B$34:$B35)&lt;=$O$1+1,INDEX(Reliability!$B$95:$L$95,1,MATCH(Graphs!B35,Reliability!$B$94:$L$94,0)),NA())</f>
        <v>#N/A</v>
      </c>
      <c r="D52" s="115" t="e">
        <f>IF(C52="","",IF(OR(COUNT($C$51:$C52)-1=$O$1,COUNT($C$51:$C53)-1=$O$1),C52,NA()))</f>
        <v>#N/A</v>
      </c>
      <c r="E52">
        <f>INDEX(Reliability!$B$98:$G$98,1,MATCH(Graphs!B52,Reliability!$B$97:$G$97,0))</f>
        <v>275.60000000000002</v>
      </c>
    </row>
    <row r="53" spans="1:11" x14ac:dyDescent="0.25">
      <c r="A53">
        <v>2019</v>
      </c>
      <c r="B53">
        <v>2</v>
      </c>
      <c r="C53" s="16" t="e">
        <f>IF(COUNT($B$34:$B36)&lt;=$O$1+1,INDEX(Reliability!$B$95:$L$95,1,MATCH(Graphs!B36,Reliability!$B$94:$L$94,0)),NA())</f>
        <v>#N/A</v>
      </c>
      <c r="D53" s="115" t="e">
        <f>IF(C53="","",IF(OR(COUNT($C$51:$C53)-1=$O$1,COUNT($C$51:$C54)-1=$O$1),C53,NA()))</f>
        <v>#N/A</v>
      </c>
      <c r="E53">
        <f>INDEX(Reliability!$B$98:$G$98,1,MATCH(Graphs!B53,Reliability!$B$97:$G$97,0))</f>
        <v>264.20000000000005</v>
      </c>
    </row>
    <row r="54" spans="1:11" x14ac:dyDescent="0.25">
      <c r="A54">
        <v>2021</v>
      </c>
      <c r="B54">
        <v>3</v>
      </c>
      <c r="C54" s="16" t="e">
        <f>IF(COUNT($B$34:$B37)&lt;=$O$1+1,INDEX(Reliability!$B$95:$L$95,1,MATCH(Graphs!B37,Reliability!$B$94:$L$94,0)),NA())</f>
        <v>#N/A</v>
      </c>
      <c r="D54" s="115" t="e">
        <f>IF(C54="","",IF(OR(COUNT($C$51:$C54)-1=$O$1,COUNT($C$51:$C55)-1=$O$1),C54,NA()))</f>
        <v>#N/A</v>
      </c>
      <c r="E54">
        <f>INDEX(Reliability!$B$98:$G$98,1,MATCH(Graphs!B54,Reliability!$B$97:$G$97,0))</f>
        <v>252.80000000000004</v>
      </c>
    </row>
    <row r="55" spans="1:11" x14ac:dyDescent="0.25">
      <c r="A55">
        <v>2023</v>
      </c>
      <c r="B55">
        <v>4</v>
      </c>
      <c r="C55" s="16" t="e">
        <f>IF(COUNT($B$34:$B38)&lt;=$O$1+1,INDEX(Reliability!$B$95:$L$95,1,MATCH(Graphs!B38,Reliability!$B$94:$L$94,0)),NA())</f>
        <v>#N/A</v>
      </c>
      <c r="D55" s="115" t="e">
        <f>IF(C55="","",IF(OR(COUNT($C$51:$C55)-1=$O$1,COUNT($C$51:$C56)-1=$O$1),C55,NA()))</f>
        <v>#N/A</v>
      </c>
      <c r="E55">
        <f>INDEX(Reliability!$B$98:$G$98,1,MATCH(Graphs!B55,Reliability!$B$97:$G$97,0))</f>
        <v>241.40000000000003</v>
      </c>
    </row>
    <row r="56" spans="1:11" x14ac:dyDescent="0.25">
      <c r="A56">
        <v>2025</v>
      </c>
      <c r="B56">
        <v>5</v>
      </c>
      <c r="C56" s="16" t="e">
        <f>IF(COUNT($B$34:$B39)&lt;=$O$1+1,INDEX(Reliability!$B$95:$L$95,1,MATCH(Graphs!B39,Reliability!$B$94:$L$94,0)),NA())</f>
        <v>#N/A</v>
      </c>
      <c r="D56" s="115" t="e">
        <f>IF(C56="","",IF(OR(COUNT($C$51:$C56)-1=$O$1,COUNT($C$51:$C57)-1=$O$1),C56,NA()))</f>
        <v>#N/A</v>
      </c>
      <c r="E56">
        <f>INDEX(Reliability!$B$98:$G$98,1,MATCH(Graphs!B56,Reliability!$B$97:$G$97,0))</f>
        <v>230</v>
      </c>
    </row>
    <row r="57" spans="1:11" x14ac:dyDescent="0.25">
      <c r="A57">
        <v>2027</v>
      </c>
      <c r="B57">
        <v>6</v>
      </c>
      <c r="C57" s="16" t="e">
        <f>IF(COUNT($B$34:$B40)&lt;=$O$1+1,INDEX(Reliability!$B$95:$L$95,1,MATCH(Graphs!B40,Reliability!$B$94:$L$94,0)),NA())</f>
        <v>#N/A</v>
      </c>
      <c r="D57" s="115" t="e">
        <f>IF(C57="","",IF(OR(COUNT($C$51:$C57)-1=$O$1,COUNT($C$51:$C58)-1=$O$1),C57,NA()))</f>
        <v>#N/A</v>
      </c>
      <c r="E57" t="e">
        <f>INDEX(Reliability!$B$98:$G$98,1,MATCH(Graphs!B57,Reliability!$B$97:$G$97,0))</f>
        <v>#N/A</v>
      </c>
    </row>
    <row r="58" spans="1:11" x14ac:dyDescent="0.25">
      <c r="A58">
        <v>2029</v>
      </c>
      <c r="B58">
        <v>7</v>
      </c>
      <c r="C58" s="16" t="e">
        <f>IF(COUNT($B$34:$B41)&lt;=$O$1+1,INDEX(Reliability!$B$95:$L$95,1,MATCH(Graphs!B41,Reliability!$B$94:$L$94,0)),NA())</f>
        <v>#N/A</v>
      </c>
      <c r="D58" s="115" t="e">
        <f>IF(C58="","",IF(OR(COUNT($C$51:$C58)-1=$O$1,COUNT($C$51:$C59)-1=$O$1),C58,NA()))</f>
        <v>#N/A</v>
      </c>
      <c r="E58" t="e">
        <f>INDEX(Reliability!$B$98:$G$98,1,MATCH(Graphs!B58,Reliability!$B$97:$G$97,0))</f>
        <v>#N/A</v>
      </c>
    </row>
    <row r="59" spans="1:11" x14ac:dyDescent="0.25">
      <c r="A59">
        <v>2031</v>
      </c>
      <c r="B59">
        <v>8</v>
      </c>
      <c r="C59" s="16" t="e">
        <f>IF(COUNT($B$34:$B42)&lt;=$O$1+1,INDEX(Reliability!$B$95:$L$95,1,MATCH(Graphs!B42,Reliability!$B$94:$L$94,0)),NA())</f>
        <v>#N/A</v>
      </c>
      <c r="D59" s="115" t="e">
        <f>IF(C59="","",IF(OR(COUNT($C$51:$C59)-1=$O$1,COUNT($C$51:$C60)-1=$O$1),C59,NA()))</f>
        <v>#N/A</v>
      </c>
      <c r="E59" t="e">
        <f>INDEX(Reliability!$B$98:$G$98,1,MATCH(Graphs!B59,Reliability!$B$97:$G$97,0))</f>
        <v>#N/A</v>
      </c>
    </row>
    <row r="60" spans="1:11" x14ac:dyDescent="0.25">
      <c r="A60">
        <v>2033</v>
      </c>
      <c r="B60">
        <v>9</v>
      </c>
      <c r="C60" s="16" t="e">
        <f>IF(COUNT($B$34:$B43)&lt;=$O$1+1,INDEX(Reliability!$B$95:$L$95,1,MATCH(Graphs!B43,Reliability!$B$94:$L$94,0)),NA())</f>
        <v>#N/A</v>
      </c>
      <c r="D60" s="115" t="e">
        <f>IF(C60="","",IF(OR(COUNT($C$51:$C60)-1=$O$1,COUNT($C$51:$C61)-1=$O$1),C60,NA()))</f>
        <v>#N/A</v>
      </c>
      <c r="E60" t="e">
        <f>INDEX(Reliability!$B$98:$G$98,1,MATCH(Graphs!B60,Reliability!$B$97:$G$97,0))</f>
        <v>#N/A</v>
      </c>
    </row>
    <row r="61" spans="1:11" x14ac:dyDescent="0.25">
      <c r="A61">
        <v>2035</v>
      </c>
      <c r="B61">
        <v>10</v>
      </c>
      <c r="C61" s="16" t="e">
        <f>IF(COUNT($B$34:$B44)&lt;=$O$1+1,INDEX(Reliability!$B$95:$L$95,1,MATCH(Graphs!B44,Reliability!$B$94:$L$94,0)),NA())</f>
        <v>#N/A</v>
      </c>
      <c r="D61" s="115" t="e">
        <f>IF(C61="","",IF(OR(COUNT($C$51:$C61)-1=$O$1,COUNT($C$51:$C62)-1=$O$1),C61,NA()))</f>
        <v>#N/A</v>
      </c>
      <c r="E61" t="e">
        <f>INDEX(Reliability!$B$98:$G$98,1,MATCH(Graphs!B61,Reliability!$B$97:$G$97,0))</f>
        <v>#N/A</v>
      </c>
    </row>
    <row r="65" spans="1:11" x14ac:dyDescent="0.25">
      <c r="A65" s="9" t="s">
        <v>547</v>
      </c>
      <c r="B65" s="3"/>
      <c r="C65" s="3" t="str">
        <f>IF(OR('Event Tracker'!B20=1,'Event Tracker'!B21=1),"Capacity","Generation")</f>
        <v>Generation</v>
      </c>
      <c r="D65" s="3"/>
      <c r="E65" s="3"/>
      <c r="F65" s="3"/>
      <c r="G65" s="3"/>
      <c r="H65" s="3"/>
      <c r="I65" s="3"/>
      <c r="J65" s="3"/>
      <c r="K65" s="3"/>
    </row>
    <row r="66" spans="1:11" x14ac:dyDescent="0.25">
      <c r="A66" t="s">
        <v>7</v>
      </c>
      <c r="B66" s="84" t="e">
        <f>IF(OR('Event Tracker'!$B$20=1,'Event Tracker'!$B$21=1),INDEX('Resource Mix and Demand'!$C$22:$L$29,MATCH(Graphs!A66,'Resource Mix and Demand'!$A$22:$A$29,0),MATCH(Current_Round,'Resource Mix and Demand'!$C$21:$L$21,0)),INDEX(Dispatch!$C$186:$L$192,MATCH(Graphs!A66,Dispatch!$A$186:$A$192,0),MATCH(Current_Round,Dispatch!$C$185:$L$185,0)))</f>
        <v>#N/A</v>
      </c>
      <c r="C66" t="s">
        <v>16</v>
      </c>
    </row>
    <row r="67" spans="1:11" x14ac:dyDescent="0.25">
      <c r="A67" t="s">
        <v>8</v>
      </c>
      <c r="B67" s="84" t="e">
        <f>IF(OR('Event Tracker'!$B$20=1,'Event Tracker'!$B$21=1),INDEX('Resource Mix and Demand'!$C$22:$L$29,MATCH(Graphs!A67,'Resource Mix and Demand'!$A$22:$A$29,0),MATCH(Current_Round,'Resource Mix and Demand'!$C$21:$L$21,0)),INDEX(Dispatch!$C$186:$L$192,MATCH(Graphs!A67,Dispatch!$A$186:$A$192,0),MATCH(Current_Round,Dispatch!$C$185:$L$185,0)))</f>
        <v>#N/A</v>
      </c>
      <c r="C67" s="16" t="s">
        <v>17</v>
      </c>
      <c r="D67" s="115"/>
    </row>
    <row r="68" spans="1:11" x14ac:dyDescent="0.25">
      <c r="A68" t="s">
        <v>13</v>
      </c>
      <c r="B68" s="84" t="e">
        <f>IF(OR('Event Tracker'!$B$20=1,'Event Tracker'!$B$21=1),INDEX('Resource Mix and Demand'!$C$22:$L$29,MATCH(Graphs!A68,'Resource Mix and Demand'!$A$22:$A$29,0),MATCH(Current_Round,'Resource Mix and Demand'!$C$21:$L$21,0)),INDEX(Dispatch!$C$186:$L$192,MATCH(Graphs!A68,Dispatch!$A$186:$A$192,0),MATCH(Current_Round,Dispatch!$C$185:$L$185,0)))</f>
        <v>#N/A</v>
      </c>
      <c r="C68" s="16" t="s">
        <v>18</v>
      </c>
      <c r="D68" s="115"/>
    </row>
    <row r="69" spans="1:11" x14ac:dyDescent="0.25">
      <c r="A69" t="s">
        <v>9</v>
      </c>
      <c r="B69" s="84" t="e">
        <f>IF(OR('Event Tracker'!$B$20=1,'Event Tracker'!$B$21=1),INDEX('Resource Mix and Demand'!$C$22:$L$29,MATCH(Graphs!A69,'Resource Mix and Demand'!$A$22:$A$29,0),MATCH(Current_Round,'Resource Mix and Demand'!$C$21:$L$21,0)),INDEX(Dispatch!$C$186:$L$192,MATCH(Graphs!A69,Dispatch!$A$186:$A$192,0),MATCH(Current_Round,Dispatch!$C$185:$L$185,0)))</f>
        <v>#N/A</v>
      </c>
      <c r="C69" s="16" t="s">
        <v>548</v>
      </c>
      <c r="D69" s="115"/>
    </row>
    <row r="70" spans="1:11" x14ac:dyDescent="0.25">
      <c r="A70" t="s">
        <v>369</v>
      </c>
      <c r="B70" s="84" t="e">
        <f>IF(OR('Event Tracker'!$B$20=1,'Event Tracker'!$B$21=1),INDEX('Resource Mix and Demand'!$C$22:$L$29,MATCH(Graphs!A70,'Resource Mix and Demand'!$A$22:$A$29,0),MATCH(Current_Round,'Resource Mix and Demand'!$C$21:$L$21,0)),INDEX('Resource Mix and Demand'!B58:L58,1,MATCH(Current_Round,'Resource Mix and Demand'!C50:L50,0)))</f>
        <v>#N/A</v>
      </c>
      <c r="C70" s="16" t="s">
        <v>549</v>
      </c>
      <c r="D70" s="115"/>
    </row>
    <row r="71" spans="1:11" x14ac:dyDescent="0.25">
      <c r="A71" t="s">
        <v>10</v>
      </c>
      <c r="B71" s="84" t="e">
        <f>IF(OR('Event Tracker'!$B$20=1,'Event Tracker'!$B$21=1),INDEX('Resource Mix and Demand'!$C$22:$L$29,MATCH(Graphs!A71,'Resource Mix and Demand'!$A$22:$A$29,0),MATCH(Current_Round,'Resource Mix and Demand'!$C$21:$L$21,0)),INDEX(Dispatch!$C$186:$L$192,MATCH(Graphs!A71,Dispatch!$A$186:$A$192,0),MATCH(Current_Round,Dispatch!$C$185:$L$185,0)))</f>
        <v>#N/A</v>
      </c>
      <c r="C71" s="16" t="s">
        <v>367</v>
      </c>
      <c r="D71" s="115"/>
    </row>
    <row r="72" spans="1:11" x14ac:dyDescent="0.25">
      <c r="A72" t="s">
        <v>11</v>
      </c>
      <c r="B72" s="84" t="e">
        <f>IF(OR('Event Tracker'!$B$20=1,'Event Tracker'!$B$21=1),INDEX('Resource Mix and Demand'!$C$22:$L$29,MATCH(Graphs!A72,'Resource Mix and Demand'!$A$22:$A$29,0),MATCH(Current_Round,'Resource Mix and Demand'!$C$21:$L$21,0)),INDEX(Dispatch!$C$186:$L$192,MATCH(Graphs!A72,Dispatch!$A$186:$A$192,0),MATCH(Current_Round,Dispatch!$C$185:$L$185,0)))</f>
        <v>#N/A</v>
      </c>
      <c r="C72" s="16" t="s">
        <v>368</v>
      </c>
      <c r="D72" s="115"/>
    </row>
    <row r="73" spans="1:11" x14ac:dyDescent="0.25">
      <c r="A73" t="s">
        <v>12</v>
      </c>
      <c r="B73" s="84" t="e">
        <f>IF(OR('Event Tracker'!$B$20=1,'Event Tracker'!$B$21=1),INDEX('Resource Mix and Demand'!$C$22:$L$29,MATCH(Graphs!A73,'Resource Mix and Demand'!$A$22:$A$29,0),MATCH(Current_Round,'Resource Mix and Demand'!$C$21:$L$21,0)),INDEX(Dispatch!$C$186:$L$192,MATCH(Graphs!A73,Dispatch!$A$186:$A$192,0),MATCH(Current_Round,Dispatch!$C$185:$L$185,0)))</f>
        <v>#N/A</v>
      </c>
      <c r="C73" s="16" t="s">
        <v>515</v>
      </c>
      <c r="D73" s="115"/>
    </row>
    <row r="74" spans="1:11" x14ac:dyDescent="0.25">
      <c r="C74" s="16"/>
      <c r="D74" s="115"/>
    </row>
    <row r="75" spans="1:11" x14ac:dyDescent="0.25">
      <c r="C75" s="16"/>
      <c r="D75" s="115"/>
    </row>
    <row r="76" spans="1:11" x14ac:dyDescent="0.25">
      <c r="C76" s="16"/>
      <c r="D76" s="115"/>
    </row>
    <row r="77" spans="1:11" x14ac:dyDescent="0.25">
      <c r="C77" s="16"/>
      <c r="D77" s="115"/>
    </row>
    <row r="81" spans="1:12" x14ac:dyDescent="0.25">
      <c r="A81" s="9" t="s">
        <v>361</v>
      </c>
      <c r="B81" s="3"/>
      <c r="C81" s="3"/>
      <c r="D81" s="3"/>
      <c r="E81" s="3"/>
      <c r="F81" s="3"/>
      <c r="G81" s="3"/>
      <c r="H81" s="3"/>
      <c r="I81" s="3"/>
      <c r="J81" s="3"/>
      <c r="K81" s="3"/>
    </row>
    <row r="82" spans="1:12" x14ac:dyDescent="0.25">
      <c r="A82" t="s">
        <v>333</v>
      </c>
      <c r="B82" t="s">
        <v>335</v>
      </c>
      <c r="C82" t="s">
        <v>332</v>
      </c>
      <c r="D82" t="s">
        <v>334</v>
      </c>
      <c r="E82" t="s">
        <v>362</v>
      </c>
    </row>
    <row r="83" spans="1:12" x14ac:dyDescent="0.25">
      <c r="A83">
        <v>2015</v>
      </c>
      <c r="B83">
        <v>0</v>
      </c>
      <c r="C83" s="5">
        <f>IF(COUNT($B$34:$B34)&lt;=$O$1+1,INDEX(Reliability!$B$89:$L$89,1,MATCH(Graphs!B34,Reliability!$B$88:$L$88,0)),NA())</f>
        <v>0.20238299999999998</v>
      </c>
      <c r="D83" s="5">
        <f>IF(C83="","",IF(OR(COUNT($C$83:$C83)-1=$O$1,COUNT($C$83:$C84)-1=$O$1),C83,NA()))</f>
        <v>0.20238299999999998</v>
      </c>
      <c r="E83" s="18">
        <f>IF(SUM('Event Tracker'!$B$7:$L$7)=0,0.15,0.1)</f>
        <v>0.15</v>
      </c>
    </row>
    <row r="84" spans="1:12" x14ac:dyDescent="0.25">
      <c r="A84">
        <v>2017</v>
      </c>
      <c r="B84">
        <v>1</v>
      </c>
      <c r="C84" s="44" t="e">
        <f>IF(COUNT($B$34:$B35)&lt;=$O$1+1,INDEX(Reliability!$B$89:$L$89,1,MATCH(Graphs!B35,Reliability!$B$88:$L$88,0)),NA())</f>
        <v>#N/A</v>
      </c>
      <c r="D84" s="5" t="e">
        <f>IF(C84="","",IF(OR(COUNT($C$83:$C84)-1=$O$1,COUNT($C$83:$C85)-1=$O$1),C84,NA()))</f>
        <v>#N/A</v>
      </c>
      <c r="E84" s="18">
        <f>IF(SUM('Event Tracker'!$B$7:$L$7)=0,0.15,0.1)</f>
        <v>0.15</v>
      </c>
    </row>
    <row r="85" spans="1:12" x14ac:dyDescent="0.25">
      <c r="A85">
        <v>2019</v>
      </c>
      <c r="B85">
        <v>2</v>
      </c>
      <c r="C85" s="44" t="e">
        <f>IF(COUNT($B$34:$B36)&lt;=$O$1+1,INDEX(Reliability!$B$89:$L$89,1,MATCH(Graphs!B36,Reliability!$B$88:$L$88,0)),NA())</f>
        <v>#N/A</v>
      </c>
      <c r="D85" s="5" t="e">
        <f>IF(C85="","",IF(OR(COUNT($C$83:$C85)-1=$O$1,COUNT($C$83:$C86)-1=$O$1),C85,NA()))</f>
        <v>#N/A</v>
      </c>
      <c r="E85" s="18">
        <f>IF(SUM('Event Tracker'!$B$7:$L$7)=0,0.15,0.1)</f>
        <v>0.15</v>
      </c>
    </row>
    <row r="86" spans="1:12" x14ac:dyDescent="0.25">
      <c r="A86">
        <v>2021</v>
      </c>
      <c r="B86">
        <v>3</v>
      </c>
      <c r="C86" s="5" t="e">
        <f>IF(COUNT($B$34:$B37)&lt;=$O$1+1,INDEX(Reliability!$B$89:$L$89,1,MATCH(Graphs!B37,Reliability!$B$88:$L$88,0)),NA())</f>
        <v>#N/A</v>
      </c>
      <c r="D86" s="5" t="e">
        <f>IF(C86="","",IF(OR(COUNT($C$83:$C86)-1=$O$1,COUNT($C$83:$C87)-1=$O$1),C86,NA()))</f>
        <v>#N/A</v>
      </c>
      <c r="E86" s="18">
        <f>IF(SUM('Event Tracker'!$B$7:$L$7)=0,0.15,0.1)</f>
        <v>0.15</v>
      </c>
    </row>
    <row r="87" spans="1:12" x14ac:dyDescent="0.25">
      <c r="A87">
        <v>2023</v>
      </c>
      <c r="B87">
        <v>4</v>
      </c>
      <c r="C87" s="5" t="e">
        <f>IF(COUNT($B$34:$B38)&lt;=$O$1+1,INDEX(Reliability!$B$89:$L$89,1,MATCH(Graphs!B38,Reliability!$B$88:$L$88,0)),NA())</f>
        <v>#N/A</v>
      </c>
      <c r="D87" s="5" t="e">
        <f>IF(C87="","",IF(OR(COUNT($C$83:$C87)-1=$O$1,COUNT($C$83:$C88)-1=$O$1),C87,NA()))</f>
        <v>#N/A</v>
      </c>
      <c r="E87" s="18">
        <f>IF(SUM('Event Tracker'!$B$7:$L$7)=0,0.15,0.1)</f>
        <v>0.15</v>
      </c>
    </row>
    <row r="88" spans="1:12" x14ac:dyDescent="0.25">
      <c r="A88">
        <v>2025</v>
      </c>
      <c r="B88">
        <v>5</v>
      </c>
      <c r="C88" s="5" t="e">
        <f>IF(COUNT($B$34:$B39)&lt;=$O$1+1,INDEX(Reliability!$B$89:$L$89,1,MATCH(Graphs!B39,Reliability!$B$88:$L$88,0)),NA())</f>
        <v>#N/A</v>
      </c>
      <c r="D88" s="5" t="e">
        <f>IF(C88="","",IF(OR(COUNT($C$83:$C88)-1=$O$1,COUNT($C$83:$C89)-1=$O$1),C88,NA()))</f>
        <v>#N/A</v>
      </c>
      <c r="E88" s="18">
        <f>IF(SUM('Event Tracker'!$B$7:$L$7)=0,0.15,0.1)</f>
        <v>0.15</v>
      </c>
    </row>
    <row r="89" spans="1:12" x14ac:dyDescent="0.25">
      <c r="A89">
        <v>2027</v>
      </c>
      <c r="B89">
        <v>6</v>
      </c>
      <c r="C89" s="44" t="e">
        <f>IF(COUNT($B$34:$B40)&lt;=$O$1+1,INDEX(Reliability!$B$89:$L$89,1,MATCH(Graphs!B40,Reliability!$B$88:$L$88,0)),NA())</f>
        <v>#N/A</v>
      </c>
      <c r="D89" s="5" t="e">
        <f>IF(C89="","",IF(OR(COUNT($C$83:$C89)-1=$O$1,COUNT($C$83:$C90)-1=$O$1),C89,NA()))</f>
        <v>#N/A</v>
      </c>
      <c r="E89" s="18">
        <f>IF(SUM('Event Tracker'!$B$7:$L$7)=0,0.15,0.1)</f>
        <v>0.15</v>
      </c>
    </row>
    <row r="90" spans="1:12" x14ac:dyDescent="0.25">
      <c r="A90">
        <v>2029</v>
      </c>
      <c r="B90">
        <v>7</v>
      </c>
      <c r="C90" s="5" t="e">
        <f>IF(COUNT($B$34:$B41)&lt;=$O$1+1,INDEX(Reliability!$B$89:$L$89,1,MATCH(Graphs!B41,Reliability!$B$88:$L$88,0)),NA())</f>
        <v>#N/A</v>
      </c>
      <c r="D90" s="5" t="e">
        <f>IF(C90="","",IF(OR(COUNT($C$83:$C90)-1=$O$1,COUNT($C$83:$C91)-1=$O$1),C90,NA()))</f>
        <v>#N/A</v>
      </c>
      <c r="E90" s="18">
        <f>IF(SUM('Event Tracker'!$B$7:$L$7)=0,0.15,0.1)</f>
        <v>0.15</v>
      </c>
    </row>
    <row r="91" spans="1:12" x14ac:dyDescent="0.25">
      <c r="A91">
        <v>2031</v>
      </c>
      <c r="B91">
        <v>8</v>
      </c>
      <c r="C91" s="5" t="e">
        <f>IF(COUNT($B$34:$B42)&lt;=$O$1+1,INDEX(Reliability!$B$89:$L$89,1,MATCH(Graphs!B42,Reliability!$B$88:$L$88,0)),NA())</f>
        <v>#N/A</v>
      </c>
      <c r="D91" s="5" t="e">
        <f>IF(C91="","",IF(OR(COUNT($C$83:$C91)-1=$O$1,COUNT($C$83:$C92)-1=$O$1),C91,NA()))</f>
        <v>#N/A</v>
      </c>
      <c r="E91" s="18">
        <f>IF(SUM('Event Tracker'!$B$7:$L$7)=0,0.15,0.1)</f>
        <v>0.15</v>
      </c>
    </row>
    <row r="92" spans="1:12" x14ac:dyDescent="0.25">
      <c r="A92">
        <v>2033</v>
      </c>
      <c r="B92">
        <v>9</v>
      </c>
      <c r="C92" s="5" t="e">
        <f>IF(COUNT($B$34:$B43)&lt;=$O$1+1,INDEX(Reliability!$B$89:$L$89,1,MATCH(Graphs!B43,Reliability!$B$88:$L$88,0)),NA())</f>
        <v>#N/A</v>
      </c>
      <c r="D92" s="5" t="e">
        <f>IF(C92="","",IF(OR(COUNT($C$83:$C92)-1=$O$1,COUNT($C$83:$C93)-1=$O$1),C92,NA()))</f>
        <v>#N/A</v>
      </c>
      <c r="E92" s="18">
        <f>IF(SUM('Event Tracker'!$B$7:$L$7)=0,0.15,0.1)</f>
        <v>0.15</v>
      </c>
    </row>
    <row r="93" spans="1:12" x14ac:dyDescent="0.25">
      <c r="A93">
        <v>2035</v>
      </c>
      <c r="B93">
        <v>10</v>
      </c>
      <c r="C93" s="5" t="e">
        <f>IF(COUNT($B$34:$B44)&lt;=$O$1+1,INDEX(Reliability!$B$89:$L$89,1,MATCH(Graphs!B44,Reliability!$B$88:$L$88,0)),NA())</f>
        <v>#N/A</v>
      </c>
      <c r="D93" s="5" t="e">
        <f>IF(C93="","",IF(OR(COUNT($C$83:$C93)-1=$O$1,COUNT($C$83:$C94)-1=$O$1),C93,NA()))</f>
        <v>#N/A</v>
      </c>
      <c r="E93" s="18">
        <f>IF(SUM('Event Tracker'!$B$7:$L$7)=0,0.15,0.1)</f>
        <v>0.15</v>
      </c>
    </row>
    <row r="96" spans="1:12" x14ac:dyDescent="0.25">
      <c r="A96" s="9" t="s">
        <v>545</v>
      </c>
      <c r="B96" s="9">
        <v>0</v>
      </c>
      <c r="C96" s="9">
        <v>1</v>
      </c>
      <c r="D96" s="9">
        <v>2</v>
      </c>
      <c r="E96" s="9">
        <v>3</v>
      </c>
      <c r="F96" s="9">
        <v>4</v>
      </c>
      <c r="G96" s="9">
        <v>5</v>
      </c>
      <c r="H96" s="9">
        <v>6</v>
      </c>
      <c r="I96" s="9">
        <v>7</v>
      </c>
      <c r="J96" s="9">
        <v>8</v>
      </c>
      <c r="K96" s="9">
        <v>9</v>
      </c>
      <c r="L96" s="9">
        <v>10</v>
      </c>
    </row>
    <row r="97" spans="1:12" x14ac:dyDescent="0.25">
      <c r="A97" t="s">
        <v>546</v>
      </c>
      <c r="B97">
        <f>Reliability!B109</f>
        <v>0</v>
      </c>
      <c r="C97">
        <f>Reliability!C109</f>
        <v>638.78948359459719</v>
      </c>
      <c r="D97">
        <f>Reliability!D109</f>
        <v>824.1269944800988</v>
      </c>
      <c r="E97">
        <f>Reliability!E109</f>
        <v>911.88813592504448</v>
      </c>
      <c r="F97">
        <f>Reliability!F109</f>
        <v>389.30658905788187</v>
      </c>
      <c r="G97">
        <f>Reliability!G109</f>
        <v>309.18175663806505</v>
      </c>
      <c r="H97">
        <f>Reliability!H109</f>
        <v>353.31291731945385</v>
      </c>
      <c r="I97">
        <f>Reliability!I109</f>
        <v>435.95427934048348</v>
      </c>
      <c r="J97">
        <f>Reliability!J109</f>
        <v>463.92877013782345</v>
      </c>
      <c r="K97">
        <f>Reliability!K109</f>
        <v>483.06000395607589</v>
      </c>
      <c r="L97">
        <f>Reliability!L109</f>
        <v>497.71230208788438</v>
      </c>
    </row>
    <row r="99" spans="1:12" x14ac:dyDescent="0.25">
      <c r="A99" s="9" t="s">
        <v>474</v>
      </c>
      <c r="B99" s="9"/>
      <c r="C99" s="9"/>
      <c r="D99" s="9"/>
      <c r="E99" s="9"/>
      <c r="F99" s="9"/>
    </row>
    <row r="100" spans="1:12" x14ac:dyDescent="0.25">
      <c r="A100" t="s">
        <v>475</v>
      </c>
      <c r="B100">
        <v>2017</v>
      </c>
      <c r="C100">
        <v>2019</v>
      </c>
      <c r="D100">
        <v>2021</v>
      </c>
      <c r="E100">
        <v>2023</v>
      </c>
      <c r="F100">
        <v>2025</v>
      </c>
    </row>
    <row r="101" spans="1:12" x14ac:dyDescent="0.25">
      <c r="A101" t="s">
        <v>515</v>
      </c>
      <c r="B101" s="84">
        <f>'Resource Mix and Demand'!$B28+'Game Assumptions'!$B186*(Graphs!B$100-2015)/2</f>
        <v>225</v>
      </c>
      <c r="C101" s="84">
        <f>'Resource Mix and Demand'!$B28+'Game Assumptions'!$B186*(Graphs!C$100-2015)/2</f>
        <v>250</v>
      </c>
      <c r="D101" s="84">
        <f>'Resource Mix and Demand'!$B28+'Game Assumptions'!$B186*(Graphs!D$100-2015)/2</f>
        <v>275</v>
      </c>
      <c r="E101" s="84">
        <f>'Resource Mix and Demand'!$B28+'Game Assumptions'!$B186*(Graphs!E$100-2015)/2</f>
        <v>300</v>
      </c>
      <c r="F101" s="84">
        <f>'Resource Mix and Demand'!$B28+'Game Assumptions'!$B186*(Graphs!F$100-2015)/2</f>
        <v>325</v>
      </c>
    </row>
    <row r="102" spans="1:12" x14ac:dyDescent="0.25">
      <c r="A102" t="s">
        <v>369</v>
      </c>
      <c r="B102" s="84">
        <f>'Resource Mix and Demand'!$B29+'Game Assumptions'!$B187*(Graphs!B$100-2015)/2</f>
        <v>60</v>
      </c>
      <c r="C102" s="84">
        <f>'Resource Mix and Demand'!$B29+'Game Assumptions'!$B187*(Graphs!C$100-2015)/2</f>
        <v>70</v>
      </c>
      <c r="D102" s="84">
        <f>'Resource Mix and Demand'!$B29+'Game Assumptions'!$B187*(Graphs!D$100-2015)/2</f>
        <v>80</v>
      </c>
      <c r="E102" s="84">
        <f>'Resource Mix and Demand'!$B29+'Game Assumptions'!$B187*(Graphs!E$100-2015)/2</f>
        <v>90</v>
      </c>
      <c r="F102" s="84">
        <f>'Resource Mix and Demand'!$B29+'Game Assumptions'!$B187*(Graphs!F$100-2015)/2</f>
        <v>100</v>
      </c>
    </row>
    <row r="104" spans="1:12" x14ac:dyDescent="0.25">
      <c r="A104" s="9" t="s">
        <v>512</v>
      </c>
      <c r="B104" s="9"/>
    </row>
    <row r="105" spans="1:12" x14ac:dyDescent="0.25">
      <c r="A105" t="s">
        <v>397</v>
      </c>
      <c r="B105" t="str">
        <f>IFERROR(INDEX(Dispatch!$C$232:$L$233,1,Current_Round),"")</f>
        <v/>
      </c>
    </row>
    <row r="106" spans="1:12" x14ac:dyDescent="0.25">
      <c r="A106" t="s">
        <v>513</v>
      </c>
      <c r="B106" t="str">
        <f>IFERROR(INDEX(Dispatch!$C$232:$L$233,2,Current_Round),"")</f>
        <v/>
      </c>
    </row>
    <row r="109" spans="1:12" x14ac:dyDescent="0.25">
      <c r="A109" s="9"/>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theme="6"/>
  </sheetPr>
  <dimension ref="A1:N246"/>
  <sheetViews>
    <sheetView topLeftCell="A40" zoomScale="85" zoomScaleNormal="85" workbookViewId="0">
      <selection activeCell="N9" sqref="N9"/>
    </sheetView>
  </sheetViews>
  <sheetFormatPr defaultRowHeight="15" x14ac:dyDescent="0.25"/>
  <cols>
    <col min="1" max="1" width="47.5703125" customWidth="1"/>
    <col min="2" max="2" width="27.28515625" bestFit="1" customWidth="1"/>
    <col min="3" max="4" width="15.5703125" bestFit="1" customWidth="1"/>
    <col min="5" max="5" width="17.140625" bestFit="1" customWidth="1"/>
    <col min="6" max="6" width="15.5703125" bestFit="1" customWidth="1"/>
    <col min="7" max="7" width="27.28515625" bestFit="1" customWidth="1"/>
    <col min="8" max="8" width="15" customWidth="1"/>
    <col min="9" max="9" width="20.140625" bestFit="1" customWidth="1"/>
    <col min="10" max="10" width="16.28515625" customWidth="1"/>
    <col min="11" max="12" width="15.5703125" bestFit="1" customWidth="1"/>
    <col min="15" max="15" width="12.5703125" bestFit="1" customWidth="1"/>
    <col min="16" max="16" width="39" bestFit="1" customWidth="1"/>
    <col min="17" max="17" width="14" bestFit="1" customWidth="1"/>
    <col min="18" max="18" width="23.28515625" bestFit="1" customWidth="1"/>
    <col min="19" max="19" width="17" bestFit="1" customWidth="1"/>
    <col min="20" max="20" width="10.28515625" bestFit="1" customWidth="1"/>
    <col min="22" max="22" width="14" bestFit="1" customWidth="1"/>
    <col min="23" max="23" width="20" bestFit="1" customWidth="1"/>
  </cols>
  <sheetData>
    <row r="1" spans="1:14" ht="15.75" thickBot="1" x14ac:dyDescent="0.3">
      <c r="A1" s="9" t="s">
        <v>27</v>
      </c>
      <c r="B1" s="9">
        <v>0</v>
      </c>
      <c r="C1" s="9">
        <v>1</v>
      </c>
      <c r="D1" s="9">
        <v>2</v>
      </c>
      <c r="E1" s="9">
        <v>3</v>
      </c>
      <c r="F1" s="9">
        <v>4</v>
      </c>
      <c r="G1" s="9">
        <v>5</v>
      </c>
      <c r="H1" s="9">
        <v>6</v>
      </c>
      <c r="I1" s="9">
        <v>7</v>
      </c>
      <c r="J1" s="9">
        <v>8</v>
      </c>
      <c r="K1" s="9">
        <v>9</v>
      </c>
      <c r="L1" s="9">
        <v>10</v>
      </c>
      <c r="M1" s="1" t="s">
        <v>15</v>
      </c>
      <c r="N1" s="11">
        <f>'Event Tracker'!P1</f>
        <v>0</v>
      </c>
    </row>
    <row r="2" spans="1:14" x14ac:dyDescent="0.25">
      <c r="A2" t="s">
        <v>7</v>
      </c>
      <c r="B2" s="84">
        <f>'Resource Mix and Demand'!B51</f>
        <v>21024000</v>
      </c>
      <c r="C2" s="84">
        <f>'Resource Mix and Demand'!C51</f>
        <v>21024000</v>
      </c>
      <c r="D2" s="84">
        <f>'Resource Mix and Demand'!D51</f>
        <v>15768000</v>
      </c>
      <c r="E2" s="84">
        <f>'Resource Mix and Demand'!E51</f>
        <v>10512000</v>
      </c>
      <c r="F2" s="84">
        <f>'Resource Mix and Demand'!F51</f>
        <v>10512000</v>
      </c>
      <c r="G2" s="84">
        <f>'Resource Mix and Demand'!G51</f>
        <v>10512000</v>
      </c>
      <c r="H2" s="84">
        <f>'Resource Mix and Demand'!H51</f>
        <v>10512000</v>
      </c>
      <c r="I2" s="84">
        <f>'Resource Mix and Demand'!I51</f>
        <v>10512000</v>
      </c>
      <c r="J2" s="84">
        <f>'Resource Mix and Demand'!J51</f>
        <v>10512000</v>
      </c>
      <c r="K2" s="84">
        <f>'Resource Mix and Demand'!K51</f>
        <v>10512000</v>
      </c>
      <c r="L2" s="84">
        <f>'Resource Mix and Demand'!L51</f>
        <v>10512000</v>
      </c>
    </row>
    <row r="3" spans="1:14" x14ac:dyDescent="0.25">
      <c r="A3" t="s">
        <v>8</v>
      </c>
      <c r="B3" s="84">
        <f>'Resource Mix and Demand'!B52</f>
        <v>42048000</v>
      </c>
      <c r="C3" s="84">
        <f>'Resource Mix and Demand'!C52</f>
        <v>43609617.453848004</v>
      </c>
      <c r="D3" s="84">
        <f>'Resource Mix and Demand'!D52</f>
        <v>45624320.469190978</v>
      </c>
      <c r="E3" s="84">
        <f>'Resource Mix and Demand'!E52</f>
        <v>47853568.861015178</v>
      </c>
      <c r="F3" s="84">
        <f>'Resource Mix and Demand'!F52</f>
        <v>48805287.666637607</v>
      </c>
      <c r="G3" s="84">
        <f>'Resource Mix and Demand'!G52</f>
        <v>49561129.207516529</v>
      </c>
      <c r="H3" s="84">
        <f>'Resource Mix and Demand'!H52</f>
        <v>50424856.041670501</v>
      </c>
      <c r="I3" s="84">
        <f>'Resource Mix and Demand'!I52</f>
        <v>51490612.177583791</v>
      </c>
      <c r="J3" s="84">
        <f>'Resource Mix and Demand'!J52</f>
        <v>52624756.18495328</v>
      </c>
      <c r="K3" s="84">
        <f>'Resource Mix and Demand'!K52</f>
        <v>53805669.385322183</v>
      </c>
      <c r="L3" s="84">
        <f>'Resource Mix and Demand'!L52</f>
        <v>55022402.343356557</v>
      </c>
    </row>
    <row r="4" spans="1:14" x14ac:dyDescent="0.25">
      <c r="A4" t="s">
        <v>13</v>
      </c>
      <c r="B4" s="84">
        <f>'Resource Mix and Demand'!B53</f>
        <v>15768000</v>
      </c>
      <c r="C4" s="84">
        <f>'Resource Mix and Demand'!C53</f>
        <v>7884000</v>
      </c>
      <c r="D4" s="84">
        <f>'Resource Mix and Demand'!D53</f>
        <v>7884000</v>
      </c>
      <c r="E4" s="84">
        <f>'Resource Mix and Demand'!E53</f>
        <v>7884000</v>
      </c>
      <c r="F4" s="84">
        <f>'Resource Mix and Demand'!F53</f>
        <v>7884000</v>
      </c>
      <c r="G4" s="84">
        <f>'Resource Mix and Demand'!G53</f>
        <v>7884000</v>
      </c>
      <c r="H4" s="84">
        <f>'Resource Mix and Demand'!H53</f>
        <v>7884000</v>
      </c>
      <c r="I4" s="84">
        <f>'Resource Mix and Demand'!I53</f>
        <v>7884000</v>
      </c>
      <c r="J4" s="84">
        <f>'Resource Mix and Demand'!J53</f>
        <v>7884000</v>
      </c>
      <c r="K4" s="84">
        <f>'Resource Mix and Demand'!K53</f>
        <v>7884000</v>
      </c>
      <c r="L4" s="84">
        <f>'Resource Mix and Demand'!L53</f>
        <v>7884000</v>
      </c>
    </row>
    <row r="5" spans="1:14" x14ac:dyDescent="0.25">
      <c r="A5" t="s">
        <v>9</v>
      </c>
      <c r="B5" s="84">
        <f>'Resource Mix and Demand'!B54</f>
        <v>438000</v>
      </c>
      <c r="C5" s="84">
        <f>'Resource Mix and Demand'!C54</f>
        <v>763336.96955166699</v>
      </c>
      <c r="D5" s="84">
        <f>'Resource Mix and Demand'!D54</f>
        <v>1183066.7644147871</v>
      </c>
      <c r="E5" s="84">
        <f>'Resource Mix and Demand'!E54</f>
        <v>1374888.3101601666</v>
      </c>
      <c r="F5" s="84">
        <f>'Resource Mix and Demand'!F54</f>
        <v>1374888.3101601666</v>
      </c>
      <c r="G5" s="84">
        <f>'Resource Mix and Demand'!G54</f>
        <v>1374888.3101601666</v>
      </c>
      <c r="H5" s="84">
        <f>'Resource Mix and Demand'!H54</f>
        <v>1374888.3101601666</v>
      </c>
      <c r="I5" s="84">
        <f>'Resource Mix and Demand'!I54</f>
        <v>1374888.3101601666</v>
      </c>
      <c r="J5" s="84">
        <f>'Resource Mix and Demand'!J54</f>
        <v>1374888.3101601666</v>
      </c>
      <c r="K5" s="84">
        <f>'Resource Mix and Demand'!K54</f>
        <v>1374888.3101601666</v>
      </c>
      <c r="L5" s="84">
        <f>'Resource Mix and Demand'!L54</f>
        <v>1374888.3101601666</v>
      </c>
    </row>
    <row r="6" spans="1:14" x14ac:dyDescent="0.25">
      <c r="A6" t="s">
        <v>10</v>
      </c>
      <c r="B6" s="84">
        <f>'Resource Mix and Demand'!B55</f>
        <v>525600</v>
      </c>
      <c r="C6" s="84">
        <f>'Resource Mix and Demand'!C55</f>
        <v>916004.36346200039</v>
      </c>
      <c r="D6" s="84">
        <f>'Resource Mix and Demand'!D55</f>
        <v>1419680.1172977444</v>
      </c>
      <c r="E6" s="84">
        <f>'Resource Mix and Demand'!E55</f>
        <v>1649865.9721921999</v>
      </c>
      <c r="F6" s="84">
        <f>'Resource Mix and Demand'!F55</f>
        <v>1649865.9721921999</v>
      </c>
      <c r="G6" s="84">
        <f>'Resource Mix and Demand'!G55</f>
        <v>1649865.9721921999</v>
      </c>
      <c r="H6" s="84">
        <f>'Resource Mix and Demand'!H55</f>
        <v>1649865.9721921999</v>
      </c>
      <c r="I6" s="84">
        <f>'Resource Mix and Demand'!I55</f>
        <v>1649865.9721921999</v>
      </c>
      <c r="J6" s="84">
        <f>'Resource Mix and Demand'!J55</f>
        <v>1649865.9721921999</v>
      </c>
      <c r="K6" s="84">
        <f>'Resource Mix and Demand'!K55</f>
        <v>1649865.9721921999</v>
      </c>
      <c r="L6" s="84">
        <f>'Resource Mix and Demand'!L55</f>
        <v>1649865.9721921999</v>
      </c>
    </row>
    <row r="7" spans="1:14" x14ac:dyDescent="0.25">
      <c r="A7" t="s">
        <v>11</v>
      </c>
      <c r="B7" s="84">
        <f>'Resource Mix and Demand'!B56</f>
        <v>1051200</v>
      </c>
      <c r="C7" s="84">
        <f>'Resource Mix and Demand'!C56</f>
        <v>1051200</v>
      </c>
      <c r="D7" s="84">
        <f>'Resource Mix and Demand'!D56</f>
        <v>1051200</v>
      </c>
      <c r="E7" s="84">
        <f>'Resource Mix and Demand'!E56</f>
        <v>1051200</v>
      </c>
      <c r="F7" s="84">
        <f>'Resource Mix and Demand'!F56</f>
        <v>1051200</v>
      </c>
      <c r="G7" s="84">
        <f>'Resource Mix and Demand'!G56</f>
        <v>1051200</v>
      </c>
      <c r="H7" s="84">
        <f>'Resource Mix and Demand'!H56</f>
        <v>1051200</v>
      </c>
      <c r="I7" s="84">
        <f>'Resource Mix and Demand'!I56</f>
        <v>1051200</v>
      </c>
      <c r="J7" s="84">
        <f>'Resource Mix and Demand'!J56</f>
        <v>1051200</v>
      </c>
      <c r="K7" s="84">
        <f>'Resource Mix and Demand'!K56</f>
        <v>1051200</v>
      </c>
      <c r="L7" s="84">
        <f>'Resource Mix and Demand'!L56</f>
        <v>1051200</v>
      </c>
    </row>
    <row r="8" spans="1:14" x14ac:dyDescent="0.25">
      <c r="A8" t="s">
        <v>12</v>
      </c>
      <c r="B8" s="84">
        <f>MIN('Resource Mix and Demand'!B57,B144*'Game Assumptions'!$B$193)</f>
        <v>1752000</v>
      </c>
      <c r="C8" s="84">
        <f>MIN('Resource Mix and Demand'!C57,C144*'Game Assumptions'!$B$193)</f>
        <v>3272347.878206668</v>
      </c>
      <c r="D8" s="84">
        <f>MIN('Resource Mix and Demand'!D57,D144*'Game Assumptions'!$B$193)</f>
        <v>5170267.0576591482</v>
      </c>
      <c r="E8" s="84">
        <f>MIN('Resource Mix and Demand'!E57,E144*'Game Assumptions'!$B$193)</f>
        <v>7246974.0508459834</v>
      </c>
      <c r="F8" s="84">
        <f>MIN('Resource Mix and Demand'!F57,F144*'Game Assumptions'!$B$193)</f>
        <v>7316521.1208691401</v>
      </c>
      <c r="G8" s="84">
        <f>MIN('Resource Mix and Demand'!G57,G144*'Game Assumptions'!$B$193)</f>
        <v>7217325.8291988419</v>
      </c>
      <c r="H8" s="84">
        <f>MIN('Resource Mix and Demand'!H57,H144*'Game Assumptions'!$B$193)</f>
        <v>7102512.0791988419</v>
      </c>
      <c r="I8" s="84">
        <f>MIN('Resource Mix and Demand'!I57,I144*'Game Assumptions'!$B$193)</f>
        <v>7060628.3291988419</v>
      </c>
      <c r="J8" s="84">
        <f>MIN('Resource Mix and Demand'!J57,J144*'Game Assumptions'!$B$193)</f>
        <v>6996942.0791988419</v>
      </c>
      <c r="K8" s="84">
        <f>MIN('Resource Mix and Demand'!K57,K144*'Game Assumptions'!$B$193)</f>
        <v>6919103.3291988419</v>
      </c>
      <c r="L8" s="84">
        <f>MIN('Resource Mix and Demand'!L57,L144*'Game Assumptions'!$B$193)</f>
        <v>6848532.0791988419</v>
      </c>
    </row>
    <row r="10" spans="1:14" x14ac:dyDescent="0.25">
      <c r="A10" s="9" t="s">
        <v>422</v>
      </c>
      <c r="B10" s="9">
        <v>0</v>
      </c>
      <c r="C10" s="9">
        <v>1</v>
      </c>
      <c r="D10" s="9">
        <v>2</v>
      </c>
      <c r="E10" s="9">
        <v>3</v>
      </c>
      <c r="F10" s="9">
        <v>4</v>
      </c>
      <c r="G10" s="9">
        <v>5</v>
      </c>
      <c r="H10" s="9">
        <v>6</v>
      </c>
      <c r="I10" s="9">
        <v>7</v>
      </c>
      <c r="J10" s="9">
        <v>8</v>
      </c>
      <c r="K10" s="9">
        <v>9</v>
      </c>
      <c r="L10" s="9">
        <v>10</v>
      </c>
    </row>
    <row r="11" spans="1:14" x14ac:dyDescent="0.25">
      <c r="A11" t="s">
        <v>7</v>
      </c>
      <c r="B11" s="84">
        <f>IF(OR('Initial Setup'!$B$3='Event Tracker'!$A$22,'Initial Setup'!$B$3='Event Tracker'!$A$23,'Initial Setup'!$B$3='Event Tracker'!$A$24),'Event Tracker'!B42,0)</f>
        <v>0</v>
      </c>
      <c r="C11" s="84">
        <f>IF(OR('Initial Setup'!$B$3='Event Tracker'!$A$22,'Initial Setup'!$B$3='Event Tracker'!$A$23,'Initial Setup'!$B$3='Event Tracker'!$A$24),'Event Tracker'!C42,0)</f>
        <v>0</v>
      </c>
      <c r="D11" s="84">
        <f>IF(OR('Initial Setup'!$B$3='Event Tracker'!$A$22,'Initial Setup'!$B$3='Event Tracker'!$A$23,'Initial Setup'!$B$3='Event Tracker'!$A$24),'Event Tracker'!D42,0)</f>
        <v>0</v>
      </c>
      <c r="E11" s="84">
        <f>IF(OR('Initial Setup'!$B$3='Event Tracker'!$A$22,'Initial Setup'!$B$3='Event Tracker'!$A$23,'Initial Setup'!$B$3='Event Tracker'!$A$24),'Event Tracker'!E42,0)</f>
        <v>0</v>
      </c>
      <c r="F11" s="84">
        <f>IF(OR('Initial Setup'!$B$3='Event Tracker'!$A$22,'Initial Setup'!$B$3='Event Tracker'!$A$23,'Initial Setup'!$B$3='Event Tracker'!$A$24),'Event Tracker'!F42,0)</f>
        <v>0</v>
      </c>
      <c r="G11" s="84">
        <f>IF(OR('Initial Setup'!$B$3='Event Tracker'!$A$22,'Initial Setup'!$B$3='Event Tracker'!$A$23,'Initial Setup'!$B$3='Event Tracker'!$A$24),'Event Tracker'!G42,0)</f>
        <v>0</v>
      </c>
      <c r="H11" s="84">
        <f>IF(OR('Initial Setup'!$B$3='Event Tracker'!$A$22,'Initial Setup'!$B$3='Event Tracker'!$A$23,'Initial Setup'!$B$3='Event Tracker'!$A$24),'Event Tracker'!H42,0)</f>
        <v>0</v>
      </c>
      <c r="I11" s="84">
        <f>IF(OR('Initial Setup'!$B$3='Event Tracker'!$A$22,'Initial Setup'!$B$3='Event Tracker'!$A$23,'Initial Setup'!$B$3='Event Tracker'!$A$24),'Event Tracker'!I42,0)</f>
        <v>0</v>
      </c>
      <c r="J11" s="84">
        <f>IF(OR('Initial Setup'!$B$3='Event Tracker'!$A$22,'Initial Setup'!$B$3='Event Tracker'!$A$23,'Initial Setup'!$B$3='Event Tracker'!$A$24),'Event Tracker'!J42,0)</f>
        <v>0</v>
      </c>
      <c r="K11" s="84">
        <f>IF(OR('Initial Setup'!$B$3='Event Tracker'!$A$22,'Initial Setup'!$B$3='Event Tracker'!$A$23,'Initial Setup'!$B$3='Event Tracker'!$A$24),'Event Tracker'!K42,0)</f>
        <v>0</v>
      </c>
      <c r="L11" s="84">
        <f>IF(OR('Initial Setup'!$B$3='Event Tracker'!$A$22,'Initial Setup'!$B$3='Event Tracker'!$A$23,'Initial Setup'!$B$3='Event Tracker'!$A$24),'Event Tracker'!L42,0)</f>
        <v>0</v>
      </c>
    </row>
    <row r="12" spans="1:14" x14ac:dyDescent="0.25">
      <c r="A12" t="s">
        <v>8</v>
      </c>
      <c r="B12" s="84">
        <f>IF(OR('Initial Setup'!$B$3='Event Tracker'!$A$22,'Initial Setup'!$B$3='Event Tracker'!$A$23,'Initial Setup'!$B$3='Event Tracker'!$A$24),'Event Tracker'!B43,0)</f>
        <v>0</v>
      </c>
      <c r="C12" s="84">
        <f>IF(OR('Initial Setup'!$B$3='Event Tracker'!$A$22,'Initial Setup'!$B$3='Event Tracker'!$A$23,'Initial Setup'!$B$3='Event Tracker'!$A$24),'Event Tracker'!C43,0)</f>
        <v>0</v>
      </c>
      <c r="D12" s="84">
        <f>IF(OR('Initial Setup'!$B$3='Event Tracker'!$A$22,'Initial Setup'!$B$3='Event Tracker'!$A$23,'Initial Setup'!$B$3='Event Tracker'!$A$24),'Event Tracker'!D43,0)</f>
        <v>0</v>
      </c>
      <c r="E12" s="84">
        <f>IF(OR('Initial Setup'!$B$3='Event Tracker'!$A$22,'Initial Setup'!$B$3='Event Tracker'!$A$23,'Initial Setup'!$B$3='Event Tracker'!$A$24),'Event Tracker'!E43,0)</f>
        <v>0</v>
      </c>
      <c r="F12" s="84">
        <f>IF(OR('Initial Setup'!$B$3='Event Tracker'!$A$22,'Initial Setup'!$B$3='Event Tracker'!$A$23,'Initial Setup'!$B$3='Event Tracker'!$A$24),'Event Tracker'!F43,0)</f>
        <v>0</v>
      </c>
      <c r="G12" s="84">
        <f>IF(OR('Initial Setup'!$B$3='Event Tracker'!$A$22,'Initial Setup'!$B$3='Event Tracker'!$A$23,'Initial Setup'!$B$3='Event Tracker'!$A$24),'Event Tracker'!G43,0)</f>
        <v>0</v>
      </c>
      <c r="H12" s="84">
        <f>IF(OR('Initial Setup'!$B$3='Event Tracker'!$A$22,'Initial Setup'!$B$3='Event Tracker'!$A$23,'Initial Setup'!$B$3='Event Tracker'!$A$24),'Event Tracker'!H43,0)</f>
        <v>0</v>
      </c>
      <c r="I12" s="84">
        <f>IF(OR('Initial Setup'!$B$3='Event Tracker'!$A$22,'Initial Setup'!$B$3='Event Tracker'!$A$23,'Initial Setup'!$B$3='Event Tracker'!$A$24),'Event Tracker'!I43,0)</f>
        <v>0</v>
      </c>
      <c r="J12" s="84">
        <f>IF(OR('Initial Setup'!$B$3='Event Tracker'!$A$22,'Initial Setup'!$B$3='Event Tracker'!$A$23,'Initial Setup'!$B$3='Event Tracker'!$A$24),'Event Tracker'!J43,0)</f>
        <v>0</v>
      </c>
      <c r="K12" s="84">
        <f>IF(OR('Initial Setup'!$B$3='Event Tracker'!$A$22,'Initial Setup'!$B$3='Event Tracker'!$A$23,'Initial Setup'!$B$3='Event Tracker'!$A$24),'Event Tracker'!K43,0)</f>
        <v>0</v>
      </c>
      <c r="L12" s="84">
        <f>IF(OR('Initial Setup'!$B$3='Event Tracker'!$A$22,'Initial Setup'!$B$3='Event Tracker'!$A$23,'Initial Setup'!$B$3='Event Tracker'!$A$24),'Event Tracker'!L43,0)</f>
        <v>0</v>
      </c>
    </row>
    <row r="13" spans="1:14" x14ac:dyDescent="0.25">
      <c r="A13" t="s">
        <v>13</v>
      </c>
      <c r="B13" s="84">
        <f>IF(OR('Initial Setup'!$B$3='Event Tracker'!$A$22,'Initial Setup'!$B$3='Event Tracker'!$A$23,'Initial Setup'!$B$3='Event Tracker'!$A$24),'Event Tracker'!B44,0)</f>
        <v>0</v>
      </c>
      <c r="C13" s="84">
        <f>IF(OR('Initial Setup'!$B$3='Event Tracker'!$A$22,'Initial Setup'!$B$3='Event Tracker'!$A$23,'Initial Setup'!$B$3='Event Tracker'!$A$24),'Event Tracker'!C44,0)</f>
        <v>0</v>
      </c>
      <c r="D13" s="84">
        <f>IF(OR('Initial Setup'!$B$3='Event Tracker'!$A$22,'Initial Setup'!$B$3='Event Tracker'!$A$23,'Initial Setup'!$B$3='Event Tracker'!$A$24),'Event Tracker'!D44,0)</f>
        <v>0</v>
      </c>
      <c r="E13" s="84">
        <f>IF(OR('Initial Setup'!$B$3='Event Tracker'!$A$22,'Initial Setup'!$B$3='Event Tracker'!$A$23,'Initial Setup'!$B$3='Event Tracker'!$A$24),'Event Tracker'!E44,0)</f>
        <v>0</v>
      </c>
      <c r="F13" s="84">
        <f>IF(OR('Initial Setup'!$B$3='Event Tracker'!$A$22,'Initial Setup'!$B$3='Event Tracker'!$A$23,'Initial Setup'!$B$3='Event Tracker'!$A$24),'Event Tracker'!F44,0)</f>
        <v>0</v>
      </c>
      <c r="G13" s="84">
        <f>IF(OR('Initial Setup'!$B$3='Event Tracker'!$A$22,'Initial Setup'!$B$3='Event Tracker'!$A$23,'Initial Setup'!$B$3='Event Tracker'!$A$24),'Event Tracker'!G44,0)</f>
        <v>0</v>
      </c>
      <c r="H13" s="84">
        <f>IF(OR('Initial Setup'!$B$3='Event Tracker'!$A$22,'Initial Setup'!$B$3='Event Tracker'!$A$23,'Initial Setup'!$B$3='Event Tracker'!$A$24),'Event Tracker'!H44,0)</f>
        <v>0</v>
      </c>
      <c r="I13" s="84">
        <f>IF(OR('Initial Setup'!$B$3='Event Tracker'!$A$22,'Initial Setup'!$B$3='Event Tracker'!$A$23,'Initial Setup'!$B$3='Event Tracker'!$A$24),'Event Tracker'!I44,0)</f>
        <v>0</v>
      </c>
      <c r="J13" s="84">
        <f>IF(OR('Initial Setup'!$B$3='Event Tracker'!$A$22,'Initial Setup'!$B$3='Event Tracker'!$A$23,'Initial Setup'!$B$3='Event Tracker'!$A$24),'Event Tracker'!J44,0)</f>
        <v>0</v>
      </c>
      <c r="K13" s="84">
        <f>IF(OR('Initial Setup'!$B$3='Event Tracker'!$A$22,'Initial Setup'!$B$3='Event Tracker'!$A$23,'Initial Setup'!$B$3='Event Tracker'!$A$24),'Event Tracker'!K44,0)</f>
        <v>0</v>
      </c>
      <c r="L13" s="84">
        <f>IF(OR('Initial Setup'!$B$3='Event Tracker'!$A$22,'Initial Setup'!$B$3='Event Tracker'!$A$23,'Initial Setup'!$B$3='Event Tracker'!$A$24),'Event Tracker'!L44,0)</f>
        <v>0</v>
      </c>
    </row>
    <row r="14" spans="1:14" x14ac:dyDescent="0.25">
      <c r="A14" t="s">
        <v>9</v>
      </c>
      <c r="B14" s="84">
        <f>IF(OR('Initial Setup'!$B$3='Event Tracker'!$A$22,'Initial Setup'!$B$3='Event Tracker'!$A$23,'Initial Setup'!$B$3='Event Tracker'!$A$24),MIN('Event Tracker'!B45,Reliability!B54*8760*'Game Assumptions'!$G$58),0)</f>
        <v>0</v>
      </c>
      <c r="C14" s="84">
        <f>IF(OR('Initial Setup'!$B$3='Event Tracker'!$A$22,'Initial Setup'!$B$3='Event Tracker'!$A$23,'Initial Setup'!$B$3='Event Tracker'!$A$24),MIN('Event Tracker'!C45,Reliability!C54*8760*'Game Assumptions'!$G$58),0)</f>
        <v>0</v>
      </c>
      <c r="D14" s="84">
        <f>IF(OR('Initial Setup'!$B$3='Event Tracker'!$A$22,'Initial Setup'!$B$3='Event Tracker'!$A$23,'Initial Setup'!$B$3='Event Tracker'!$A$24),MIN('Event Tracker'!D45,Reliability!D54*8760*'Game Assumptions'!$G$58),0)</f>
        <v>0</v>
      </c>
      <c r="E14" s="84">
        <f>IF(OR('Initial Setup'!$B$3='Event Tracker'!$A$22,'Initial Setup'!$B$3='Event Tracker'!$A$23,'Initial Setup'!$B$3='Event Tracker'!$A$24),MIN('Event Tracker'!E45,Reliability!E54*8760*'Game Assumptions'!$G$58),0)</f>
        <v>0</v>
      </c>
      <c r="F14" s="84">
        <f>IF(OR('Initial Setup'!$B$3='Event Tracker'!$A$22,'Initial Setup'!$B$3='Event Tracker'!$A$23,'Initial Setup'!$B$3='Event Tracker'!$A$24),MIN('Event Tracker'!F45,Reliability!F54*8760*'Game Assumptions'!$G$58),0)</f>
        <v>0</v>
      </c>
      <c r="G14" s="84">
        <f>IF(OR('Initial Setup'!$B$3='Event Tracker'!$A$22,'Initial Setup'!$B$3='Event Tracker'!$A$23,'Initial Setup'!$B$3='Event Tracker'!$A$24),MIN('Event Tracker'!G45,Reliability!G54*8760*'Game Assumptions'!$G$58),0)</f>
        <v>0</v>
      </c>
      <c r="H14" s="84">
        <f>IF(OR('Initial Setup'!$B$3='Event Tracker'!$A$22,'Initial Setup'!$B$3='Event Tracker'!$A$23,'Initial Setup'!$B$3='Event Tracker'!$A$24),MIN('Event Tracker'!H45,Reliability!H54*8760*'Game Assumptions'!$G$58),0)</f>
        <v>0</v>
      </c>
      <c r="I14" s="84">
        <f>IF(OR('Initial Setup'!$B$3='Event Tracker'!$A$22,'Initial Setup'!$B$3='Event Tracker'!$A$23,'Initial Setup'!$B$3='Event Tracker'!$A$24),MIN('Event Tracker'!I45,Reliability!I54*8760*'Game Assumptions'!$G$58),0)</f>
        <v>0</v>
      </c>
      <c r="J14" s="84">
        <f>IF(OR('Initial Setup'!$B$3='Event Tracker'!$A$22,'Initial Setup'!$B$3='Event Tracker'!$A$23,'Initial Setup'!$B$3='Event Tracker'!$A$24),MIN('Event Tracker'!J45,Reliability!J54*8760*'Game Assumptions'!$G$58),0)</f>
        <v>0</v>
      </c>
      <c r="K14" s="84">
        <f>IF(OR('Initial Setup'!$B$3='Event Tracker'!$A$22,'Initial Setup'!$B$3='Event Tracker'!$A$23,'Initial Setup'!$B$3='Event Tracker'!$A$24),MIN('Event Tracker'!K45,Reliability!K54*8760*'Game Assumptions'!$G$58),0)</f>
        <v>0</v>
      </c>
      <c r="L14" s="84">
        <f>IF(OR('Initial Setup'!$B$3='Event Tracker'!$A$22,'Initial Setup'!$B$3='Event Tracker'!$A$23,'Initial Setup'!$B$3='Event Tracker'!$A$24),MIN('Event Tracker'!L45,Reliability!L54*8760*'Game Assumptions'!$G$58),0)</f>
        <v>0</v>
      </c>
    </row>
    <row r="15" spans="1:14" x14ac:dyDescent="0.25">
      <c r="A15" t="s">
        <v>10</v>
      </c>
      <c r="B15" s="84">
        <f>IF(OR('Initial Setup'!$B$3='Event Tracker'!$A$22,'Initial Setup'!$B$3='Event Tracker'!$A$23,'Initial Setup'!$B$3='Event Tracker'!$A$24),MIN('Event Tracker'!B46,Reliability!B54*8760*'Game Assumptions'!$G$59),0)</f>
        <v>0</v>
      </c>
      <c r="C15" s="84">
        <f>IF(OR('Initial Setup'!$B$3='Event Tracker'!$A$22,'Initial Setup'!$B$3='Event Tracker'!$A$23,'Initial Setup'!$B$3='Event Tracker'!$A$24),MIN('Event Tracker'!C46,Reliability!C54*8760*'Game Assumptions'!$G$59),0)</f>
        <v>0</v>
      </c>
      <c r="D15" s="84">
        <f>IF(OR('Initial Setup'!$B$3='Event Tracker'!$A$22,'Initial Setup'!$B$3='Event Tracker'!$A$23,'Initial Setup'!$B$3='Event Tracker'!$A$24),MIN('Event Tracker'!D46,Reliability!D54*8760*'Game Assumptions'!$G$59),0)</f>
        <v>0</v>
      </c>
      <c r="E15" s="84">
        <f>IF(OR('Initial Setup'!$B$3='Event Tracker'!$A$22,'Initial Setup'!$B$3='Event Tracker'!$A$23,'Initial Setup'!$B$3='Event Tracker'!$A$24),MIN('Event Tracker'!E46,Reliability!E54*8760*'Game Assumptions'!$G$59),0)</f>
        <v>0</v>
      </c>
      <c r="F15" s="84">
        <f>IF(OR('Initial Setup'!$B$3='Event Tracker'!$A$22,'Initial Setup'!$B$3='Event Tracker'!$A$23,'Initial Setup'!$B$3='Event Tracker'!$A$24),MIN('Event Tracker'!F46,Reliability!F54*8760*'Game Assumptions'!$G$59),0)</f>
        <v>0</v>
      </c>
      <c r="G15" s="84">
        <f>IF(OR('Initial Setup'!$B$3='Event Tracker'!$A$22,'Initial Setup'!$B$3='Event Tracker'!$A$23,'Initial Setup'!$B$3='Event Tracker'!$A$24),MIN('Event Tracker'!G46,Reliability!G54*8760*'Game Assumptions'!$G$59),0)</f>
        <v>0</v>
      </c>
      <c r="H15" s="84">
        <f>IF(OR('Initial Setup'!$B$3='Event Tracker'!$A$22,'Initial Setup'!$B$3='Event Tracker'!$A$23,'Initial Setup'!$B$3='Event Tracker'!$A$24),MIN('Event Tracker'!H46,Reliability!H54*8760*'Game Assumptions'!$G$59),0)</f>
        <v>0</v>
      </c>
      <c r="I15" s="84">
        <f>IF(OR('Initial Setup'!$B$3='Event Tracker'!$A$22,'Initial Setup'!$B$3='Event Tracker'!$A$23,'Initial Setup'!$B$3='Event Tracker'!$A$24),MIN('Event Tracker'!I46,Reliability!I54*8760*'Game Assumptions'!$G$59),0)</f>
        <v>0</v>
      </c>
      <c r="J15" s="84">
        <f>IF(OR('Initial Setup'!$B$3='Event Tracker'!$A$22,'Initial Setup'!$B$3='Event Tracker'!$A$23,'Initial Setup'!$B$3='Event Tracker'!$A$24),MIN('Event Tracker'!J46,Reliability!J54*8760*'Game Assumptions'!$G$59),0)</f>
        <v>0</v>
      </c>
      <c r="K15" s="84">
        <f>IF(OR('Initial Setup'!$B$3='Event Tracker'!$A$22,'Initial Setup'!$B$3='Event Tracker'!$A$23,'Initial Setup'!$B$3='Event Tracker'!$A$24),MIN('Event Tracker'!K46,Reliability!K54*8760*'Game Assumptions'!$G$59),0)</f>
        <v>0</v>
      </c>
      <c r="L15" s="84">
        <f>IF(OR('Initial Setup'!$B$3='Event Tracker'!$A$22,'Initial Setup'!$B$3='Event Tracker'!$A$23,'Initial Setup'!$B$3='Event Tracker'!$A$24),MIN('Event Tracker'!L46,Reliability!L54*8760*'Game Assumptions'!$G$59),0)</f>
        <v>0</v>
      </c>
    </row>
    <row r="16" spans="1:14" x14ac:dyDescent="0.25">
      <c r="A16" t="s">
        <v>11</v>
      </c>
      <c r="B16" s="84">
        <f>IF(OR('Initial Setup'!$B$3='Event Tracker'!$A$22,'Initial Setup'!$B$3='Event Tracker'!$A$23,'Initial Setup'!$B$3='Event Tracker'!$A$24),'Event Tracker'!B47,0)</f>
        <v>0</v>
      </c>
      <c r="C16" s="84">
        <f>IF(OR('Initial Setup'!$B$3='Event Tracker'!$A$22,'Initial Setup'!$B$3='Event Tracker'!$A$23,'Initial Setup'!$B$3='Event Tracker'!$A$24),'Event Tracker'!C47,0)</f>
        <v>0</v>
      </c>
      <c r="D16" s="84">
        <f>IF(OR('Initial Setup'!$B$3='Event Tracker'!$A$22,'Initial Setup'!$B$3='Event Tracker'!$A$23,'Initial Setup'!$B$3='Event Tracker'!$A$24),'Event Tracker'!D47,0)</f>
        <v>0</v>
      </c>
      <c r="E16" s="84">
        <f>IF(OR('Initial Setup'!$B$3='Event Tracker'!$A$22,'Initial Setup'!$B$3='Event Tracker'!$A$23,'Initial Setup'!$B$3='Event Tracker'!$A$24),'Event Tracker'!E47,0)</f>
        <v>0</v>
      </c>
      <c r="F16" s="84">
        <f>IF(OR('Initial Setup'!$B$3='Event Tracker'!$A$22,'Initial Setup'!$B$3='Event Tracker'!$A$23,'Initial Setup'!$B$3='Event Tracker'!$A$24),'Event Tracker'!F47,0)</f>
        <v>0</v>
      </c>
      <c r="G16" s="84">
        <f>IF(OR('Initial Setup'!$B$3='Event Tracker'!$A$22,'Initial Setup'!$B$3='Event Tracker'!$A$23,'Initial Setup'!$B$3='Event Tracker'!$A$24),'Event Tracker'!G47,0)</f>
        <v>0</v>
      </c>
      <c r="H16" s="84">
        <f>IF(OR('Initial Setup'!$B$3='Event Tracker'!$A$22,'Initial Setup'!$B$3='Event Tracker'!$A$23,'Initial Setup'!$B$3='Event Tracker'!$A$24),'Event Tracker'!H47,0)</f>
        <v>0</v>
      </c>
      <c r="I16" s="84">
        <f>IF(OR('Initial Setup'!$B$3='Event Tracker'!$A$22,'Initial Setup'!$B$3='Event Tracker'!$A$23,'Initial Setup'!$B$3='Event Tracker'!$A$24),'Event Tracker'!I47,0)</f>
        <v>0</v>
      </c>
      <c r="J16" s="84">
        <f>IF(OR('Initial Setup'!$B$3='Event Tracker'!$A$22,'Initial Setup'!$B$3='Event Tracker'!$A$23,'Initial Setup'!$B$3='Event Tracker'!$A$24),'Event Tracker'!J47,0)</f>
        <v>0</v>
      </c>
      <c r="K16" s="84">
        <f>IF(OR('Initial Setup'!$B$3='Event Tracker'!$A$22,'Initial Setup'!$B$3='Event Tracker'!$A$23,'Initial Setup'!$B$3='Event Tracker'!$A$24),'Event Tracker'!K47,0)</f>
        <v>0</v>
      </c>
      <c r="L16" s="84">
        <f>IF(OR('Initial Setup'!$B$3='Event Tracker'!$A$22,'Initial Setup'!$B$3='Event Tracker'!$A$23,'Initial Setup'!$B$3='Event Tracker'!$A$24),'Event Tracker'!L47,0)</f>
        <v>0</v>
      </c>
    </row>
    <row r="17" spans="1:12" x14ac:dyDescent="0.25">
      <c r="A17" t="s">
        <v>12</v>
      </c>
      <c r="B17" s="84">
        <f>IF(OR('Initial Setup'!$B$3='Event Tracker'!$A$22,'Initial Setup'!$B$3='Event Tracker'!$A$23,'Initial Setup'!$B$3='Event Tracker'!$A$24),MIN('Event Tracker'!B48,B144*'Game Assumptions'!$B$193),0)</f>
        <v>0</v>
      </c>
      <c r="C17" s="84">
        <f>IF(OR('Initial Setup'!$B$3='Event Tracker'!$A$22,'Initial Setup'!$B$3='Event Tracker'!$A$23,'Initial Setup'!$B$3='Event Tracker'!$A$24),MIN('Event Tracker'!C48,C144*'Game Assumptions'!$B$193),0)</f>
        <v>0</v>
      </c>
      <c r="D17" s="84">
        <f>IF(OR('Initial Setup'!$B$3='Event Tracker'!$A$22,'Initial Setup'!$B$3='Event Tracker'!$A$23,'Initial Setup'!$B$3='Event Tracker'!$A$24),MIN('Event Tracker'!D48,D144*'Game Assumptions'!$B$193),0)</f>
        <v>0</v>
      </c>
      <c r="E17" s="84">
        <f>IF(OR('Initial Setup'!$B$3='Event Tracker'!$A$22,'Initial Setup'!$B$3='Event Tracker'!$A$23,'Initial Setup'!$B$3='Event Tracker'!$A$24),MIN('Event Tracker'!E48,E144*'Game Assumptions'!$B$193),0)</f>
        <v>0</v>
      </c>
      <c r="F17" s="84">
        <f>IF(OR('Initial Setup'!$B$3='Event Tracker'!$A$22,'Initial Setup'!$B$3='Event Tracker'!$A$23,'Initial Setup'!$B$3='Event Tracker'!$A$24),MIN('Event Tracker'!F48,F144*'Game Assumptions'!$B$193),0)</f>
        <v>0</v>
      </c>
      <c r="G17" s="84">
        <f>IF(OR('Initial Setup'!$B$3='Event Tracker'!$A$22,'Initial Setup'!$B$3='Event Tracker'!$A$23,'Initial Setup'!$B$3='Event Tracker'!$A$24),MIN('Event Tracker'!G48,G144*'Game Assumptions'!$B$193),0)</f>
        <v>0</v>
      </c>
      <c r="H17" s="84">
        <f>IF(OR('Initial Setup'!$B$3='Event Tracker'!$A$22,'Initial Setup'!$B$3='Event Tracker'!$A$23,'Initial Setup'!$B$3='Event Tracker'!$A$24),MIN('Event Tracker'!H48,H144*'Game Assumptions'!$B$193),0)</f>
        <v>0</v>
      </c>
      <c r="I17" s="84">
        <f>IF(OR('Initial Setup'!$B$3='Event Tracker'!$A$22,'Initial Setup'!$B$3='Event Tracker'!$A$23,'Initial Setup'!$B$3='Event Tracker'!$A$24),MIN('Event Tracker'!I48,I144*'Game Assumptions'!$B$193),0)</f>
        <v>0</v>
      </c>
      <c r="J17" s="84">
        <f>IF(OR('Initial Setup'!$B$3='Event Tracker'!$A$22,'Initial Setup'!$B$3='Event Tracker'!$A$23,'Initial Setup'!$B$3='Event Tracker'!$A$24),MIN('Event Tracker'!J48,J144*'Game Assumptions'!$B$193),0)</f>
        <v>0</v>
      </c>
      <c r="K17" s="84">
        <f>IF(OR('Initial Setup'!$B$3='Event Tracker'!$A$22,'Initial Setup'!$B$3='Event Tracker'!$A$23,'Initial Setup'!$B$3='Event Tracker'!$A$24),MIN('Event Tracker'!K48,K144*'Game Assumptions'!$B$193),0)</f>
        <v>0</v>
      </c>
      <c r="L17" s="84">
        <f>IF(OR('Initial Setup'!$B$3='Event Tracker'!$A$22,'Initial Setup'!$B$3='Event Tracker'!$A$23,'Initial Setup'!$B$3='Event Tracker'!$A$24),MIN('Event Tracker'!L48,L144*'Game Assumptions'!$B$193),0)</f>
        <v>0</v>
      </c>
    </row>
    <row r="20" spans="1:12" x14ac:dyDescent="0.25">
      <c r="A20" s="9" t="s">
        <v>20</v>
      </c>
      <c r="B20" s="9">
        <v>0</v>
      </c>
      <c r="C20" s="9">
        <v>1</v>
      </c>
      <c r="D20" s="9">
        <v>2</v>
      </c>
      <c r="E20" s="9">
        <v>3</v>
      </c>
      <c r="F20" s="9">
        <v>4</v>
      </c>
      <c r="G20" s="9">
        <v>5</v>
      </c>
      <c r="H20" s="9">
        <v>6</v>
      </c>
      <c r="I20" s="9">
        <v>7</v>
      </c>
      <c r="J20" s="9">
        <v>8</v>
      </c>
      <c r="K20" s="9">
        <v>9</v>
      </c>
      <c r="L20" s="9">
        <v>10</v>
      </c>
    </row>
    <row r="21" spans="1:12" x14ac:dyDescent="0.25">
      <c r="A21" t="s">
        <v>21</v>
      </c>
      <c r="B21" s="15">
        <f>IF(SUM('Event Tracker'!$B$14:'Event Tracker'!B14)&gt;0,'Game Assumptions'!$B$23,0)</f>
        <v>0</v>
      </c>
      <c r="C21" s="15">
        <f>IF(SUM('Event Tracker'!$B$14:'Event Tracker'!C14)&gt;0,'Game Assumptions'!$B$23,0)</f>
        <v>0</v>
      </c>
      <c r="D21" s="15">
        <f>IF(SUM('Event Tracker'!$B$14:'Event Tracker'!D14)&gt;0,'Game Assumptions'!$B$23,0)</f>
        <v>0</v>
      </c>
      <c r="E21" s="15">
        <f>IF(SUM('Event Tracker'!$B$14:'Event Tracker'!E14)&gt;0,'Game Assumptions'!$B$23,0)</f>
        <v>0</v>
      </c>
      <c r="F21" s="15">
        <f>IF(SUM('Event Tracker'!$B$14:'Event Tracker'!F14)&gt;0,'Game Assumptions'!$B$23,0)</f>
        <v>0</v>
      </c>
      <c r="G21" s="15">
        <f>IF(SUM('Event Tracker'!$B$14:'Event Tracker'!G14)&gt;0,'Game Assumptions'!$B$23,0)</f>
        <v>0</v>
      </c>
      <c r="H21" s="15">
        <f>IF(SUM('Event Tracker'!$B$14:'Event Tracker'!H14)&gt;0,'Game Assumptions'!$B$23,0)</f>
        <v>0</v>
      </c>
      <c r="I21" s="15">
        <f>IF(SUM('Event Tracker'!$B$14:'Event Tracker'!I14)&gt;0,'Game Assumptions'!$B$23,0)</f>
        <v>0</v>
      </c>
      <c r="J21" s="15">
        <f>IF(SUM('Event Tracker'!$B$14:'Event Tracker'!J14)&gt;0,'Game Assumptions'!$B$23,0)</f>
        <v>0</v>
      </c>
      <c r="K21" s="15">
        <f>IF(SUM('Event Tracker'!$B$14:'Event Tracker'!K14)&gt;0,'Game Assumptions'!$B$23,0)</f>
        <v>0</v>
      </c>
      <c r="L21" s="15">
        <f>IF(SUM('Event Tracker'!$B$14:'Event Tracker'!L14)&gt;0,'Game Assumptions'!$B$23,0)</f>
        <v>0</v>
      </c>
    </row>
    <row r="23" spans="1:12" x14ac:dyDescent="0.25">
      <c r="A23" s="9" t="s">
        <v>22</v>
      </c>
      <c r="B23" s="9">
        <v>0</v>
      </c>
      <c r="C23" s="9">
        <v>1</v>
      </c>
      <c r="D23" s="9">
        <v>2</v>
      </c>
      <c r="E23" s="9">
        <v>3</v>
      </c>
      <c r="F23" s="9">
        <v>4</v>
      </c>
      <c r="G23" s="9">
        <v>5</v>
      </c>
      <c r="H23" s="9">
        <v>6</v>
      </c>
      <c r="I23" s="9">
        <v>7</v>
      </c>
      <c r="J23" s="9">
        <v>8</v>
      </c>
      <c r="K23" s="9">
        <v>9</v>
      </c>
      <c r="L23" s="9">
        <v>10</v>
      </c>
    </row>
    <row r="24" spans="1:12" x14ac:dyDescent="0.25">
      <c r="A24" t="s">
        <v>7</v>
      </c>
      <c r="B24" s="15">
        <f>B$21*'Game Assumptions'!$K28</f>
        <v>0</v>
      </c>
      <c r="C24" s="15">
        <f>C$21*'Game Assumptions'!$K28</f>
        <v>0</v>
      </c>
      <c r="D24" s="15">
        <f>D$21*'Game Assumptions'!$K28</f>
        <v>0</v>
      </c>
      <c r="E24" s="15">
        <f>E$21*'Game Assumptions'!$K28</f>
        <v>0</v>
      </c>
      <c r="F24" s="15">
        <f>F$21*'Game Assumptions'!$K28</f>
        <v>0</v>
      </c>
      <c r="G24" s="15">
        <f>G$21*'Game Assumptions'!$K28</f>
        <v>0</v>
      </c>
      <c r="H24" s="15">
        <f>H$21*'Game Assumptions'!$K28</f>
        <v>0</v>
      </c>
      <c r="I24" s="15">
        <f>I$21*'Game Assumptions'!$K28</f>
        <v>0</v>
      </c>
      <c r="J24" s="15">
        <f>J$21*'Game Assumptions'!$K28</f>
        <v>0</v>
      </c>
      <c r="K24" s="15">
        <f>K$21*'Game Assumptions'!$K28</f>
        <v>0</v>
      </c>
      <c r="L24" s="15">
        <f>L$21*'Game Assumptions'!$K28</f>
        <v>0</v>
      </c>
    </row>
    <row r="25" spans="1:12" x14ac:dyDescent="0.25">
      <c r="A25" t="s">
        <v>8</v>
      </c>
      <c r="B25" s="15">
        <f>B$21*'Game Assumptions'!$K29</f>
        <v>0</v>
      </c>
      <c r="C25" s="15">
        <f>C$21*'Game Assumptions'!$K29</f>
        <v>0</v>
      </c>
      <c r="D25" s="15">
        <f>D$21*'Game Assumptions'!$K29</f>
        <v>0</v>
      </c>
      <c r="E25" s="15">
        <f>E$21*'Game Assumptions'!$K29</f>
        <v>0</v>
      </c>
      <c r="F25" s="15">
        <f>F$21*'Game Assumptions'!$K29</f>
        <v>0</v>
      </c>
      <c r="G25" s="15">
        <f>G$21*'Game Assumptions'!$K29</f>
        <v>0</v>
      </c>
      <c r="H25" s="15">
        <f>H$21*'Game Assumptions'!$K29</f>
        <v>0</v>
      </c>
      <c r="I25" s="15">
        <f>I$21*'Game Assumptions'!$K29</f>
        <v>0</v>
      </c>
      <c r="J25" s="15">
        <f>J$21*'Game Assumptions'!$K29</f>
        <v>0</v>
      </c>
      <c r="K25" s="15">
        <f>K$21*'Game Assumptions'!$K29</f>
        <v>0</v>
      </c>
      <c r="L25" s="15">
        <f>L$21*'Game Assumptions'!$K29</f>
        <v>0</v>
      </c>
    </row>
    <row r="26" spans="1:12" x14ac:dyDescent="0.25">
      <c r="A26" t="s">
        <v>13</v>
      </c>
      <c r="B26" s="15">
        <f>B$21*'Game Assumptions'!$K30</f>
        <v>0</v>
      </c>
      <c r="C26" s="15">
        <f>C$21*'Game Assumptions'!$K30</f>
        <v>0</v>
      </c>
      <c r="D26" s="15">
        <f>D$21*'Game Assumptions'!$K30</f>
        <v>0</v>
      </c>
      <c r="E26" s="15">
        <f>E$21*'Game Assumptions'!$K30</f>
        <v>0</v>
      </c>
      <c r="F26" s="15">
        <f>F$21*'Game Assumptions'!$K30</f>
        <v>0</v>
      </c>
      <c r="G26" s="15">
        <f>G$21*'Game Assumptions'!$K30</f>
        <v>0</v>
      </c>
      <c r="H26" s="15">
        <f>H$21*'Game Assumptions'!$K30</f>
        <v>0</v>
      </c>
      <c r="I26" s="15">
        <f>I$21*'Game Assumptions'!$K30</f>
        <v>0</v>
      </c>
      <c r="J26" s="15">
        <f>J$21*'Game Assumptions'!$K30</f>
        <v>0</v>
      </c>
      <c r="K26" s="15">
        <f>K$21*'Game Assumptions'!$K30</f>
        <v>0</v>
      </c>
      <c r="L26" s="15">
        <f>L$21*'Game Assumptions'!$K30</f>
        <v>0</v>
      </c>
    </row>
    <row r="27" spans="1:12" x14ac:dyDescent="0.25">
      <c r="A27" t="s">
        <v>9</v>
      </c>
      <c r="B27" s="15">
        <f>B$21*'Game Assumptions'!$K31</f>
        <v>0</v>
      </c>
      <c r="C27" s="15">
        <f>C$21*'Game Assumptions'!$K31</f>
        <v>0</v>
      </c>
      <c r="D27" s="15">
        <f>D$21*'Game Assumptions'!$K31</f>
        <v>0</v>
      </c>
      <c r="E27" s="15">
        <f>E$21*'Game Assumptions'!$K31</f>
        <v>0</v>
      </c>
      <c r="F27" s="15">
        <f>F$21*'Game Assumptions'!$K31</f>
        <v>0</v>
      </c>
      <c r="G27" s="15">
        <f>G$21*'Game Assumptions'!$K31</f>
        <v>0</v>
      </c>
      <c r="H27" s="15">
        <f>H$21*'Game Assumptions'!$K31</f>
        <v>0</v>
      </c>
      <c r="I27" s="15">
        <f>I$21*'Game Assumptions'!$K31</f>
        <v>0</v>
      </c>
      <c r="J27" s="15">
        <f>J$21*'Game Assumptions'!$K31</f>
        <v>0</v>
      </c>
      <c r="K27" s="15">
        <f>K$21*'Game Assumptions'!$K31</f>
        <v>0</v>
      </c>
      <c r="L27" s="15">
        <f>L$21*'Game Assumptions'!$K31</f>
        <v>0</v>
      </c>
    </row>
    <row r="28" spans="1:12" x14ac:dyDescent="0.25">
      <c r="A28" t="s">
        <v>10</v>
      </c>
      <c r="B28" s="15">
        <f>B$21*'Game Assumptions'!$K32</f>
        <v>0</v>
      </c>
      <c r="C28" s="15">
        <f>C$21*'Game Assumptions'!$K32</f>
        <v>0</v>
      </c>
      <c r="D28" s="15">
        <f>D$21*'Game Assumptions'!$K32</f>
        <v>0</v>
      </c>
      <c r="E28" s="15">
        <f>E$21*'Game Assumptions'!$K32</f>
        <v>0</v>
      </c>
      <c r="F28" s="15">
        <f>F$21*'Game Assumptions'!$K32</f>
        <v>0</v>
      </c>
      <c r="G28" s="15">
        <f>G$21*'Game Assumptions'!$K32</f>
        <v>0</v>
      </c>
      <c r="H28" s="15">
        <f>H$21*'Game Assumptions'!$K32</f>
        <v>0</v>
      </c>
      <c r="I28" s="15">
        <f>I$21*'Game Assumptions'!$K32</f>
        <v>0</v>
      </c>
      <c r="J28" s="15">
        <f>J$21*'Game Assumptions'!$K32</f>
        <v>0</v>
      </c>
      <c r="K28" s="15">
        <f>K$21*'Game Assumptions'!$K32</f>
        <v>0</v>
      </c>
      <c r="L28" s="15">
        <f>L$21*'Game Assumptions'!$K32</f>
        <v>0</v>
      </c>
    </row>
    <row r="29" spans="1:12" x14ac:dyDescent="0.25">
      <c r="A29" t="s">
        <v>11</v>
      </c>
      <c r="B29" s="15">
        <f>B$21*'Game Assumptions'!$K33</f>
        <v>0</v>
      </c>
      <c r="C29" s="15">
        <f>C$21*'Game Assumptions'!$K33</f>
        <v>0</v>
      </c>
      <c r="D29" s="15">
        <f>D$21*'Game Assumptions'!$K33</f>
        <v>0</v>
      </c>
      <c r="E29" s="15">
        <f>E$21*'Game Assumptions'!$K33</f>
        <v>0</v>
      </c>
      <c r="F29" s="15">
        <f>F$21*'Game Assumptions'!$K33</f>
        <v>0</v>
      </c>
      <c r="G29" s="15">
        <f>G$21*'Game Assumptions'!$K33</f>
        <v>0</v>
      </c>
      <c r="H29" s="15">
        <f>H$21*'Game Assumptions'!$K33</f>
        <v>0</v>
      </c>
      <c r="I29" s="15">
        <f>I$21*'Game Assumptions'!$K33</f>
        <v>0</v>
      </c>
      <c r="J29" s="15">
        <f>J$21*'Game Assumptions'!$K33</f>
        <v>0</v>
      </c>
      <c r="K29" s="15">
        <f>K$21*'Game Assumptions'!$K33</f>
        <v>0</v>
      </c>
      <c r="L29" s="15">
        <f>L$21*'Game Assumptions'!$K33</f>
        <v>0</v>
      </c>
    </row>
    <row r="30" spans="1:12" x14ac:dyDescent="0.25">
      <c r="A30" t="s">
        <v>12</v>
      </c>
      <c r="B30" s="15">
        <f>B$21*'Game Assumptions'!$K34</f>
        <v>0</v>
      </c>
      <c r="C30" s="15">
        <f>C$21*'Game Assumptions'!$K34</f>
        <v>0</v>
      </c>
      <c r="D30" s="15">
        <f>D$21*'Game Assumptions'!$K34</f>
        <v>0</v>
      </c>
      <c r="E30" s="15">
        <f>E$21*'Game Assumptions'!$K34</f>
        <v>0</v>
      </c>
      <c r="F30" s="15">
        <f>F$21*'Game Assumptions'!$K34</f>
        <v>0</v>
      </c>
      <c r="G30" s="15">
        <f>G$21*'Game Assumptions'!$K34</f>
        <v>0</v>
      </c>
      <c r="H30" s="15">
        <f>H$21*'Game Assumptions'!$K34</f>
        <v>0</v>
      </c>
      <c r="I30" s="15">
        <f>I$21*'Game Assumptions'!$K34</f>
        <v>0</v>
      </c>
      <c r="J30" s="15">
        <f>J$21*'Game Assumptions'!$K34</f>
        <v>0</v>
      </c>
      <c r="K30" s="15">
        <f>K$21*'Game Assumptions'!$K34</f>
        <v>0</v>
      </c>
      <c r="L30" s="15">
        <f>L$21*'Game Assumptions'!$K34</f>
        <v>0</v>
      </c>
    </row>
    <row r="32" spans="1:12" x14ac:dyDescent="0.25">
      <c r="A32" s="9" t="s">
        <v>269</v>
      </c>
      <c r="B32" s="9">
        <v>0</v>
      </c>
      <c r="C32" s="9">
        <v>1</v>
      </c>
      <c r="D32" s="9">
        <v>2</v>
      </c>
      <c r="E32" s="9">
        <v>3</v>
      </c>
      <c r="F32" s="9">
        <v>4</v>
      </c>
      <c r="G32" s="9">
        <v>5</v>
      </c>
      <c r="H32" s="9">
        <v>6</v>
      </c>
      <c r="I32" s="9">
        <v>7</v>
      </c>
      <c r="J32" s="9">
        <v>8</v>
      </c>
      <c r="K32" s="9">
        <v>9</v>
      </c>
      <c r="L32" s="9">
        <v>10</v>
      </c>
    </row>
    <row r="33" spans="1:12" x14ac:dyDescent="0.25">
      <c r="A33" t="s">
        <v>270</v>
      </c>
      <c r="B33" s="15">
        <f>INDEX('Event Tracker'!$B$13:$L$13,1,MATCH(Dispatch!B32,'Event Tracker'!$B$11:$L$11,0))*'Game Assumptions'!$B$55*'Game Assumptions'!$B$20</f>
        <v>0</v>
      </c>
      <c r="C33" s="15">
        <f>INDEX('Event Tracker'!$B$13:$L$13,1,MATCH(Dispatch!C32,'Event Tracker'!$B$11:$L$11,0))*'Game Assumptions'!$B$55*'Game Assumptions'!$B$20</f>
        <v>0</v>
      </c>
      <c r="D33" s="15">
        <f>INDEX('Event Tracker'!$B$13:$L$13,1,MATCH(Dispatch!D32,'Event Tracker'!$B$11:$L$11,0))*'Game Assumptions'!$B$55*'Game Assumptions'!$B$20</f>
        <v>0</v>
      </c>
      <c r="E33" s="15">
        <f>INDEX('Event Tracker'!$B$13:$L$13,1,MATCH(Dispatch!E32,'Event Tracker'!$B$11:$L$11,0))*'Game Assumptions'!$B$55*'Game Assumptions'!$B$20</f>
        <v>0</v>
      </c>
      <c r="F33" s="15">
        <f>INDEX('Event Tracker'!$B$13:$L$13,1,MATCH(Dispatch!F32,'Event Tracker'!$B$11:$L$11,0))*'Game Assumptions'!$B$55*'Game Assumptions'!$B$20</f>
        <v>0</v>
      </c>
      <c r="G33" s="15">
        <f>INDEX('Event Tracker'!$B$13:$L$13,1,MATCH(Dispatch!G32,'Event Tracker'!$B$11:$L$11,0))*'Game Assumptions'!$B$55*'Game Assumptions'!$B$20</f>
        <v>0</v>
      </c>
      <c r="H33" s="15">
        <f>INDEX('Event Tracker'!$B$13:$L$13,1,MATCH(Dispatch!H32,'Event Tracker'!$B$11:$L$11,0))*'Game Assumptions'!$B$55*'Game Assumptions'!$B$20</f>
        <v>0</v>
      </c>
      <c r="I33" s="15">
        <f>INDEX('Event Tracker'!$B$13:$L$13,1,MATCH(Dispatch!I32,'Event Tracker'!$B$11:$L$11,0))*'Game Assumptions'!$B$55*'Game Assumptions'!$B$20</f>
        <v>0</v>
      </c>
      <c r="J33" s="15">
        <f>INDEX('Event Tracker'!$B$13:$L$13,1,MATCH(Dispatch!J32,'Event Tracker'!$B$11:$L$11,0))*'Game Assumptions'!$B$55*'Game Assumptions'!$B$20</f>
        <v>0</v>
      </c>
      <c r="K33" s="15">
        <f>INDEX('Event Tracker'!$B$13:$L$13,1,MATCH(Dispatch!K32,'Event Tracker'!$B$11:$L$11,0))*'Game Assumptions'!$B$55*'Game Assumptions'!$B$20</f>
        <v>0</v>
      </c>
      <c r="L33" s="15">
        <f>INDEX('Event Tracker'!$B$13:$L$13,1,MATCH(Dispatch!L32,'Event Tracker'!$B$11:$L$11,0))*'Game Assumptions'!$B$55*'Game Assumptions'!$B$20</f>
        <v>0</v>
      </c>
    </row>
    <row r="34" spans="1:12" x14ac:dyDescent="0.25">
      <c r="B34" s="15"/>
      <c r="C34" s="15"/>
      <c r="D34" s="15"/>
      <c r="E34" s="15"/>
      <c r="F34" s="15"/>
      <c r="G34" s="15"/>
      <c r="H34" s="15"/>
      <c r="I34" s="15"/>
      <c r="J34" s="15"/>
      <c r="K34" s="15"/>
      <c r="L34" s="15"/>
    </row>
    <row r="35" spans="1:12" x14ac:dyDescent="0.25">
      <c r="A35" s="9" t="s">
        <v>127</v>
      </c>
      <c r="B35" s="9">
        <v>0</v>
      </c>
      <c r="C35" s="9">
        <v>1</v>
      </c>
      <c r="D35" s="9">
        <v>2</v>
      </c>
      <c r="E35" s="9">
        <v>3</v>
      </c>
      <c r="F35" s="9">
        <v>4</v>
      </c>
      <c r="G35" s="9">
        <v>5</v>
      </c>
      <c r="H35" s="9">
        <v>6</v>
      </c>
      <c r="I35" s="9">
        <v>7</v>
      </c>
      <c r="J35" s="9">
        <v>8</v>
      </c>
      <c r="K35" s="9">
        <v>9</v>
      </c>
      <c r="L35" s="9">
        <v>10</v>
      </c>
    </row>
    <row r="36" spans="1:12" x14ac:dyDescent="0.25">
      <c r="A36" t="s">
        <v>7</v>
      </c>
      <c r="B36" s="49">
        <f>'Game Assumptions'!$G41+'Game Assumptions'!B68*'Game Assumptions'!$B54</f>
        <v>28.747499999999999</v>
      </c>
      <c r="C36" s="49">
        <f>'Game Assumptions'!$G41+'Game Assumptions'!C68*'Game Assumptions'!$B54</f>
        <v>28.021249999999998</v>
      </c>
      <c r="D36" s="49">
        <f>'Game Assumptions'!$G41+'Game Assumptions'!D68*'Game Assumptions'!$B54</f>
        <v>27.917499999999997</v>
      </c>
      <c r="E36" s="49">
        <f>'Game Assumptions'!$G41+'Game Assumptions'!E68*'Game Assumptions'!$B54</f>
        <v>27.813749999999999</v>
      </c>
      <c r="F36" s="49">
        <f>'Game Assumptions'!$G41+'Game Assumptions'!F68*'Game Assumptions'!$B54</f>
        <v>28.021249999999998</v>
      </c>
      <c r="G36" s="49">
        <f>'Game Assumptions'!$G41+'Game Assumptions'!G68*'Game Assumptions'!$B54</f>
        <v>28.332499999999996</v>
      </c>
      <c r="H36" s="49">
        <f>'Game Assumptions'!$G41+'Game Assumptions'!H68*'Game Assumptions'!$B54</f>
        <v>28.747499999999999</v>
      </c>
      <c r="I36" s="49">
        <f>'Game Assumptions'!$G41+'Game Assumptions'!I68*'Game Assumptions'!$B54</f>
        <v>29.162499999999998</v>
      </c>
      <c r="J36" s="49">
        <f>'Game Assumptions'!$G41+'Game Assumptions'!J68*'Game Assumptions'!$B54</f>
        <v>29.577499999999997</v>
      </c>
      <c r="K36" s="49">
        <f>'Game Assumptions'!$G41+'Game Assumptions'!K68*'Game Assumptions'!$B54</f>
        <v>29.888750000000002</v>
      </c>
      <c r="L36" s="49">
        <f>'Game Assumptions'!$G41+'Game Assumptions'!L68*'Game Assumptions'!$B54</f>
        <v>30.2</v>
      </c>
    </row>
    <row r="37" spans="1:12" x14ac:dyDescent="0.25">
      <c r="A37" t="s">
        <v>8</v>
      </c>
      <c r="B37" s="49">
        <f>'Game Assumptions'!$G42+'Game Assumptions'!B69*'Game Assumptions'!$B55+B33</f>
        <v>36.550000000000004</v>
      </c>
      <c r="C37" s="49">
        <f>'Game Assumptions'!$G42+'Game Assumptions'!C69*'Game Assumptions'!$B55+C33</f>
        <v>40.902000000000001</v>
      </c>
      <c r="D37" s="49">
        <f>'Game Assumptions'!$G42+'Game Assumptions'!D69*'Game Assumptions'!$B55+D33</f>
        <v>36.414000000000001</v>
      </c>
      <c r="E37" s="49">
        <f>'Game Assumptions'!$G42+'Game Assumptions'!E69*'Game Assumptions'!$B55+E33</f>
        <v>36.686</v>
      </c>
      <c r="F37" s="49">
        <f>'Game Assumptions'!$G42+'Game Assumptions'!F69*'Game Assumptions'!$B55+F33</f>
        <v>36.550000000000004</v>
      </c>
      <c r="G37" s="49">
        <f>'Game Assumptions'!$G42+'Game Assumptions'!G69*'Game Assumptions'!$B55+G33</f>
        <v>37.434000000000005</v>
      </c>
      <c r="H37" s="49">
        <f>'Game Assumptions'!$G42+'Game Assumptions'!H69*'Game Assumptions'!$B55+H33</f>
        <v>40.358000000000004</v>
      </c>
      <c r="I37" s="49">
        <f>'Game Assumptions'!$G42+'Game Assumptions'!I69*'Game Assumptions'!$B55+I33</f>
        <v>43.281999999999996</v>
      </c>
      <c r="J37" s="49">
        <f>'Game Assumptions'!$G42+'Game Assumptions'!J69*'Game Assumptions'!$B55+J33</f>
        <v>45.050000000000004</v>
      </c>
      <c r="K37" s="49">
        <f>'Game Assumptions'!$G42+'Game Assumptions'!K69*'Game Assumptions'!$B55+K33</f>
        <v>46.07</v>
      </c>
      <c r="L37" s="49">
        <f>'Game Assumptions'!$G42+'Game Assumptions'!L69*'Game Assumptions'!$B55+L33</f>
        <v>47.225999999999999</v>
      </c>
    </row>
    <row r="38" spans="1:12" x14ac:dyDescent="0.25">
      <c r="A38" t="s">
        <v>13</v>
      </c>
      <c r="B38" s="49">
        <f>'Game Assumptions'!$G43+'Game Assumptions'!B70*'Game Assumptions'!$B56</f>
        <v>11.022499999999999</v>
      </c>
      <c r="C38" s="49">
        <f>'Game Assumptions'!$G43+'Game Assumptions'!C70*'Game Assumptions'!$B56</f>
        <v>11.022499999999999</v>
      </c>
      <c r="D38" s="49">
        <f>'Game Assumptions'!$G43+'Game Assumptions'!D70*'Game Assumptions'!$B56</f>
        <v>11.022499999999999</v>
      </c>
      <c r="E38" s="49">
        <f>'Game Assumptions'!$G43+'Game Assumptions'!E70*'Game Assumptions'!$B56</f>
        <v>11.022499999999999</v>
      </c>
      <c r="F38" s="49">
        <f>'Game Assumptions'!$G43+'Game Assumptions'!F70*'Game Assumptions'!$B56</f>
        <v>11.022499999999999</v>
      </c>
      <c r="G38" s="49">
        <f>'Game Assumptions'!$G43+'Game Assumptions'!G70*'Game Assumptions'!$B56</f>
        <v>11.022499999999999</v>
      </c>
      <c r="H38" s="49">
        <f>'Game Assumptions'!$G43+'Game Assumptions'!H70*'Game Assumptions'!$B56</f>
        <v>11.022499999999999</v>
      </c>
      <c r="I38" s="49">
        <f>'Game Assumptions'!$G43+'Game Assumptions'!I70*'Game Assumptions'!$B56</f>
        <v>11.022499999999999</v>
      </c>
      <c r="J38" s="49">
        <f>'Game Assumptions'!$G43+'Game Assumptions'!J70*'Game Assumptions'!$B56</f>
        <v>11.022499999999999</v>
      </c>
      <c r="K38" s="49">
        <f>'Game Assumptions'!$G43+'Game Assumptions'!K70*'Game Assumptions'!$B56</f>
        <v>11.022499999999999</v>
      </c>
      <c r="L38" s="49">
        <f>'Game Assumptions'!$G43+'Game Assumptions'!L70*'Game Assumptions'!$B56</f>
        <v>11.022499999999999</v>
      </c>
    </row>
    <row r="39" spans="1:12" x14ac:dyDescent="0.25">
      <c r="A39" t="s">
        <v>9</v>
      </c>
      <c r="B39" s="49">
        <f>'Game Assumptions'!$G44</f>
        <v>0.01</v>
      </c>
      <c r="C39" s="49">
        <f>'Game Assumptions'!$G44</f>
        <v>0.01</v>
      </c>
      <c r="D39" s="49">
        <f>'Game Assumptions'!$G44</f>
        <v>0.01</v>
      </c>
      <c r="E39" s="49">
        <f>'Game Assumptions'!$G44</f>
        <v>0.01</v>
      </c>
      <c r="F39" s="49">
        <f>'Game Assumptions'!$G44</f>
        <v>0.01</v>
      </c>
      <c r="G39" s="49">
        <f>'Game Assumptions'!$G44</f>
        <v>0.01</v>
      </c>
      <c r="H39" s="49">
        <f>'Game Assumptions'!$G44</f>
        <v>0.01</v>
      </c>
      <c r="I39" s="49">
        <f>'Game Assumptions'!$G44</f>
        <v>0.01</v>
      </c>
      <c r="J39" s="49">
        <f>'Game Assumptions'!$G44</f>
        <v>0.01</v>
      </c>
      <c r="K39" s="49">
        <f>'Game Assumptions'!$G44</f>
        <v>0.01</v>
      </c>
      <c r="L39" s="49">
        <f>'Game Assumptions'!$G44</f>
        <v>0.01</v>
      </c>
    </row>
    <row r="40" spans="1:12" x14ac:dyDescent="0.25">
      <c r="A40" t="s">
        <v>10</v>
      </c>
      <c r="B40" s="49">
        <f>'Game Assumptions'!$G45</f>
        <v>0.02</v>
      </c>
      <c r="C40" s="49">
        <f>'Game Assumptions'!$G45</f>
        <v>0.02</v>
      </c>
      <c r="D40" s="49">
        <f>'Game Assumptions'!$G45</f>
        <v>0.02</v>
      </c>
      <c r="E40" s="49">
        <f>'Game Assumptions'!$G45</f>
        <v>0.02</v>
      </c>
      <c r="F40" s="49">
        <f>'Game Assumptions'!$G45</f>
        <v>0.02</v>
      </c>
      <c r="G40" s="49">
        <f>'Game Assumptions'!$G45</f>
        <v>0.02</v>
      </c>
      <c r="H40" s="49">
        <f>'Game Assumptions'!$G45</f>
        <v>0.02</v>
      </c>
      <c r="I40" s="49">
        <f>'Game Assumptions'!$G45</f>
        <v>0.02</v>
      </c>
      <c r="J40" s="49">
        <f>'Game Assumptions'!$G45</f>
        <v>0.02</v>
      </c>
      <c r="K40" s="49">
        <f>'Game Assumptions'!$G45</f>
        <v>0.02</v>
      </c>
      <c r="L40" s="49">
        <f>'Game Assumptions'!$G45</f>
        <v>0.02</v>
      </c>
    </row>
    <row r="41" spans="1:12" x14ac:dyDescent="0.25">
      <c r="A41" t="s">
        <v>11</v>
      </c>
      <c r="B41" s="49">
        <f>'Game Assumptions'!$G46</f>
        <v>7</v>
      </c>
      <c r="C41" s="49">
        <f>'Game Assumptions'!$G46</f>
        <v>7</v>
      </c>
      <c r="D41" s="49">
        <f>'Game Assumptions'!$G46</f>
        <v>7</v>
      </c>
      <c r="E41" s="49">
        <f>'Game Assumptions'!$G46</f>
        <v>7</v>
      </c>
      <c r="F41" s="49">
        <f>'Game Assumptions'!$G46</f>
        <v>7</v>
      </c>
      <c r="G41" s="49">
        <f>'Game Assumptions'!$G46</f>
        <v>7</v>
      </c>
      <c r="H41" s="49">
        <f>'Game Assumptions'!$G46</f>
        <v>7</v>
      </c>
      <c r="I41" s="49">
        <f>'Game Assumptions'!$G46</f>
        <v>7</v>
      </c>
      <c r="J41" s="49">
        <f>'Game Assumptions'!$G46</f>
        <v>7</v>
      </c>
      <c r="K41" s="49">
        <f>'Game Assumptions'!$G46</f>
        <v>7</v>
      </c>
      <c r="L41" s="49">
        <f>'Game Assumptions'!$G46</f>
        <v>7</v>
      </c>
    </row>
    <row r="42" spans="1:12" x14ac:dyDescent="0.25">
      <c r="A42" t="s">
        <v>12</v>
      </c>
      <c r="B42" s="49">
        <f>'Game Assumptions'!$G47</f>
        <v>0</v>
      </c>
      <c r="C42" s="49">
        <f>'Game Assumptions'!$G47</f>
        <v>0</v>
      </c>
      <c r="D42" s="49">
        <f>'Game Assumptions'!$G47</f>
        <v>0</v>
      </c>
      <c r="E42" s="49">
        <f>'Game Assumptions'!$G47</f>
        <v>0</v>
      </c>
      <c r="F42" s="49">
        <f>'Game Assumptions'!$G47</f>
        <v>0</v>
      </c>
      <c r="G42" s="49">
        <f>'Game Assumptions'!$G47</f>
        <v>0</v>
      </c>
      <c r="H42" s="49">
        <f>'Game Assumptions'!$G47</f>
        <v>0</v>
      </c>
      <c r="I42" s="49">
        <f>'Game Assumptions'!$G47</f>
        <v>0</v>
      </c>
      <c r="J42" s="49">
        <f>'Game Assumptions'!$G47</f>
        <v>0</v>
      </c>
      <c r="K42" s="49">
        <f>'Game Assumptions'!$G47</f>
        <v>0</v>
      </c>
      <c r="L42" s="49">
        <f>'Game Assumptions'!$G47</f>
        <v>0</v>
      </c>
    </row>
    <row r="44" spans="1:12" x14ac:dyDescent="0.25">
      <c r="A44" s="9" t="s">
        <v>26</v>
      </c>
      <c r="B44" s="9">
        <v>0</v>
      </c>
      <c r="C44" s="9">
        <v>1</v>
      </c>
      <c r="D44" s="9">
        <v>2</v>
      </c>
      <c r="E44" s="9">
        <v>3</v>
      </c>
      <c r="F44" s="9">
        <v>4</v>
      </c>
      <c r="G44" s="9">
        <v>5</v>
      </c>
      <c r="H44" s="9">
        <v>6</v>
      </c>
      <c r="I44" s="9">
        <v>7</v>
      </c>
      <c r="J44" s="9">
        <v>8</v>
      </c>
      <c r="K44" s="9">
        <v>9</v>
      </c>
      <c r="L44" s="9">
        <v>10</v>
      </c>
    </row>
    <row r="45" spans="1:12" x14ac:dyDescent="0.25">
      <c r="A45" t="s">
        <v>7</v>
      </c>
      <c r="B45" s="15">
        <f t="shared" ref="B45:L45" si="0">B36+B24</f>
        <v>28.747499999999999</v>
      </c>
      <c r="C45" s="15">
        <f t="shared" si="0"/>
        <v>28.021249999999998</v>
      </c>
      <c r="D45" s="15">
        <f t="shared" si="0"/>
        <v>27.917499999999997</v>
      </c>
      <c r="E45" s="15">
        <f t="shared" si="0"/>
        <v>27.813749999999999</v>
      </c>
      <c r="F45" s="15">
        <f t="shared" si="0"/>
        <v>28.021249999999998</v>
      </c>
      <c r="G45" s="15">
        <f t="shared" si="0"/>
        <v>28.332499999999996</v>
      </c>
      <c r="H45" s="15">
        <f t="shared" si="0"/>
        <v>28.747499999999999</v>
      </c>
      <c r="I45" s="15">
        <f t="shared" si="0"/>
        <v>29.162499999999998</v>
      </c>
      <c r="J45" s="15">
        <f t="shared" si="0"/>
        <v>29.577499999999997</v>
      </c>
      <c r="K45" s="15">
        <f t="shared" si="0"/>
        <v>29.888750000000002</v>
      </c>
      <c r="L45" s="15">
        <f t="shared" si="0"/>
        <v>30.2</v>
      </c>
    </row>
    <row r="46" spans="1:12" x14ac:dyDescent="0.25">
      <c r="A46" t="s">
        <v>8</v>
      </c>
      <c r="B46" s="15">
        <f t="shared" ref="B46:L46" si="1">B37+B25</f>
        <v>36.550000000000004</v>
      </c>
      <c r="C46" s="15">
        <f t="shared" si="1"/>
        <v>40.902000000000001</v>
      </c>
      <c r="D46" s="15">
        <f t="shared" si="1"/>
        <v>36.414000000000001</v>
      </c>
      <c r="E46" s="15">
        <f t="shared" si="1"/>
        <v>36.686</v>
      </c>
      <c r="F46" s="15">
        <f t="shared" si="1"/>
        <v>36.550000000000004</v>
      </c>
      <c r="G46" s="15">
        <f t="shared" si="1"/>
        <v>37.434000000000005</v>
      </c>
      <c r="H46" s="15">
        <f t="shared" si="1"/>
        <v>40.358000000000004</v>
      </c>
      <c r="I46" s="15">
        <f t="shared" si="1"/>
        <v>43.281999999999996</v>
      </c>
      <c r="J46" s="15">
        <f t="shared" si="1"/>
        <v>45.050000000000004</v>
      </c>
      <c r="K46" s="15">
        <f t="shared" si="1"/>
        <v>46.07</v>
      </c>
      <c r="L46" s="15">
        <f t="shared" si="1"/>
        <v>47.225999999999999</v>
      </c>
    </row>
    <row r="47" spans="1:12" x14ac:dyDescent="0.25">
      <c r="A47" t="s">
        <v>13</v>
      </c>
      <c r="B47" s="15">
        <f t="shared" ref="B47:L47" si="2">B38+B26</f>
        <v>11.022499999999999</v>
      </c>
      <c r="C47" s="15">
        <f t="shared" si="2"/>
        <v>11.022499999999999</v>
      </c>
      <c r="D47" s="15">
        <f t="shared" si="2"/>
        <v>11.022499999999999</v>
      </c>
      <c r="E47" s="15">
        <f t="shared" si="2"/>
        <v>11.022499999999999</v>
      </c>
      <c r="F47" s="15">
        <f t="shared" si="2"/>
        <v>11.022499999999999</v>
      </c>
      <c r="G47" s="15">
        <f t="shared" si="2"/>
        <v>11.022499999999999</v>
      </c>
      <c r="H47" s="15">
        <f t="shared" si="2"/>
        <v>11.022499999999999</v>
      </c>
      <c r="I47" s="15">
        <f t="shared" si="2"/>
        <v>11.022499999999999</v>
      </c>
      <c r="J47" s="15">
        <f t="shared" si="2"/>
        <v>11.022499999999999</v>
      </c>
      <c r="K47" s="15">
        <f t="shared" si="2"/>
        <v>11.022499999999999</v>
      </c>
      <c r="L47" s="15">
        <f t="shared" si="2"/>
        <v>11.022499999999999</v>
      </c>
    </row>
    <row r="48" spans="1:12" x14ac:dyDescent="0.25">
      <c r="A48" t="s">
        <v>9</v>
      </c>
      <c r="B48" s="15">
        <f t="shared" ref="B48:L48" si="3">B39+B27</f>
        <v>0.01</v>
      </c>
      <c r="C48" s="15">
        <f t="shared" si="3"/>
        <v>0.01</v>
      </c>
      <c r="D48" s="15">
        <f t="shared" si="3"/>
        <v>0.01</v>
      </c>
      <c r="E48" s="15">
        <f t="shared" si="3"/>
        <v>0.01</v>
      </c>
      <c r="F48" s="15">
        <f t="shared" si="3"/>
        <v>0.01</v>
      </c>
      <c r="G48" s="15">
        <f t="shared" si="3"/>
        <v>0.01</v>
      </c>
      <c r="H48" s="15">
        <f t="shared" si="3"/>
        <v>0.01</v>
      </c>
      <c r="I48" s="15">
        <f t="shared" si="3"/>
        <v>0.01</v>
      </c>
      <c r="J48" s="15">
        <f t="shared" si="3"/>
        <v>0.01</v>
      </c>
      <c r="K48" s="15">
        <f t="shared" si="3"/>
        <v>0.01</v>
      </c>
      <c r="L48" s="15">
        <f t="shared" si="3"/>
        <v>0.01</v>
      </c>
    </row>
    <row r="49" spans="1:12" x14ac:dyDescent="0.25">
      <c r="A49" t="s">
        <v>10</v>
      </c>
      <c r="B49" s="15">
        <f t="shared" ref="B49:L49" si="4">B40+B28</f>
        <v>0.02</v>
      </c>
      <c r="C49" s="15">
        <f t="shared" si="4"/>
        <v>0.02</v>
      </c>
      <c r="D49" s="15">
        <f t="shared" si="4"/>
        <v>0.02</v>
      </c>
      <c r="E49" s="15">
        <f t="shared" si="4"/>
        <v>0.02</v>
      </c>
      <c r="F49" s="15">
        <f t="shared" si="4"/>
        <v>0.02</v>
      </c>
      <c r="G49" s="15">
        <f t="shared" si="4"/>
        <v>0.02</v>
      </c>
      <c r="H49" s="15">
        <f t="shared" si="4"/>
        <v>0.02</v>
      </c>
      <c r="I49" s="15">
        <f t="shared" si="4"/>
        <v>0.02</v>
      </c>
      <c r="J49" s="15">
        <f t="shared" si="4"/>
        <v>0.02</v>
      </c>
      <c r="K49" s="15">
        <f t="shared" si="4"/>
        <v>0.02</v>
      </c>
      <c r="L49" s="15">
        <f t="shared" si="4"/>
        <v>0.02</v>
      </c>
    </row>
    <row r="50" spans="1:12" x14ac:dyDescent="0.25">
      <c r="A50" t="s">
        <v>11</v>
      </c>
      <c r="B50" s="15">
        <f t="shared" ref="B50:L50" si="5">B41+B29</f>
        <v>7</v>
      </c>
      <c r="C50" s="15">
        <f t="shared" si="5"/>
        <v>7</v>
      </c>
      <c r="D50" s="15">
        <f t="shared" si="5"/>
        <v>7</v>
      </c>
      <c r="E50" s="15">
        <f t="shared" si="5"/>
        <v>7</v>
      </c>
      <c r="F50" s="15">
        <f t="shared" si="5"/>
        <v>7</v>
      </c>
      <c r="G50" s="15">
        <f t="shared" si="5"/>
        <v>7</v>
      </c>
      <c r="H50" s="15">
        <f t="shared" si="5"/>
        <v>7</v>
      </c>
      <c r="I50" s="15">
        <f t="shared" si="5"/>
        <v>7</v>
      </c>
      <c r="J50" s="15">
        <f t="shared" si="5"/>
        <v>7</v>
      </c>
      <c r="K50" s="15">
        <f t="shared" si="5"/>
        <v>7</v>
      </c>
      <c r="L50" s="15">
        <f t="shared" si="5"/>
        <v>7</v>
      </c>
    </row>
    <row r="51" spans="1:12" x14ac:dyDescent="0.25">
      <c r="A51" t="s">
        <v>12</v>
      </c>
      <c r="B51" s="15">
        <f>B42+B30</f>
        <v>0</v>
      </c>
      <c r="C51" s="15">
        <f t="shared" ref="C51:L51" si="6">C42+C30</f>
        <v>0</v>
      </c>
      <c r="D51" s="15">
        <f t="shared" si="6"/>
        <v>0</v>
      </c>
      <c r="E51" s="15">
        <f t="shared" si="6"/>
        <v>0</v>
      </c>
      <c r="F51" s="15">
        <f t="shared" si="6"/>
        <v>0</v>
      </c>
      <c r="G51" s="15">
        <f t="shared" si="6"/>
        <v>0</v>
      </c>
      <c r="H51" s="15">
        <f t="shared" si="6"/>
        <v>0</v>
      </c>
      <c r="I51" s="15">
        <f t="shared" si="6"/>
        <v>0</v>
      </c>
      <c r="J51" s="15">
        <f t="shared" si="6"/>
        <v>0</v>
      </c>
      <c r="K51" s="15">
        <f t="shared" si="6"/>
        <v>0</v>
      </c>
      <c r="L51" s="15">
        <f t="shared" si="6"/>
        <v>0</v>
      </c>
    </row>
    <row r="53" spans="1:12" x14ac:dyDescent="0.25">
      <c r="A53" s="9" t="s">
        <v>117</v>
      </c>
      <c r="B53" s="9">
        <v>0</v>
      </c>
      <c r="C53" s="9">
        <v>1</v>
      </c>
      <c r="D53" s="9">
        <v>2</v>
      </c>
      <c r="E53" s="9">
        <v>3</v>
      </c>
      <c r="F53" s="9">
        <v>4</v>
      </c>
      <c r="G53" s="9">
        <v>5</v>
      </c>
      <c r="H53" s="9">
        <v>6</v>
      </c>
      <c r="I53" s="9">
        <v>7</v>
      </c>
      <c r="J53" s="9">
        <v>8</v>
      </c>
      <c r="K53" s="9">
        <v>9</v>
      </c>
      <c r="L53" s="9">
        <v>10</v>
      </c>
    </row>
    <row r="54" spans="1:12" x14ac:dyDescent="0.25">
      <c r="A54" t="s">
        <v>7</v>
      </c>
      <c r="B54">
        <f>RANK(B45,B$45:B$51,1)</f>
        <v>6</v>
      </c>
      <c r="C54">
        <f t="shared" ref="C54:L54" si="7">RANK(C45,C$45:C$51,1)</f>
        <v>6</v>
      </c>
      <c r="D54">
        <f t="shared" si="7"/>
        <v>6</v>
      </c>
      <c r="E54">
        <f t="shared" si="7"/>
        <v>6</v>
      </c>
      <c r="F54">
        <f t="shared" si="7"/>
        <v>6</v>
      </c>
      <c r="G54">
        <f t="shared" si="7"/>
        <v>6</v>
      </c>
      <c r="H54">
        <f t="shared" si="7"/>
        <v>6</v>
      </c>
      <c r="I54">
        <f t="shared" si="7"/>
        <v>6</v>
      </c>
      <c r="J54">
        <f t="shared" si="7"/>
        <v>6</v>
      </c>
      <c r="K54">
        <f t="shared" si="7"/>
        <v>6</v>
      </c>
      <c r="L54">
        <f t="shared" si="7"/>
        <v>6</v>
      </c>
    </row>
    <row r="55" spans="1:12" x14ac:dyDescent="0.25">
      <c r="A55" t="s">
        <v>8</v>
      </c>
      <c r="B55">
        <f t="shared" ref="B55:L60" si="8">RANK(B46,B$45:B$51,1)</f>
        <v>7</v>
      </c>
      <c r="C55">
        <f t="shared" si="8"/>
        <v>7</v>
      </c>
      <c r="D55">
        <f t="shared" si="8"/>
        <v>7</v>
      </c>
      <c r="E55">
        <f t="shared" si="8"/>
        <v>7</v>
      </c>
      <c r="F55">
        <f t="shared" si="8"/>
        <v>7</v>
      </c>
      <c r="G55">
        <f t="shared" si="8"/>
        <v>7</v>
      </c>
      <c r="H55">
        <f t="shared" si="8"/>
        <v>7</v>
      </c>
      <c r="I55">
        <f t="shared" si="8"/>
        <v>7</v>
      </c>
      <c r="J55">
        <f t="shared" si="8"/>
        <v>7</v>
      </c>
      <c r="K55">
        <f t="shared" si="8"/>
        <v>7</v>
      </c>
      <c r="L55">
        <f t="shared" si="8"/>
        <v>7</v>
      </c>
    </row>
    <row r="56" spans="1:12" x14ac:dyDescent="0.25">
      <c r="A56" t="s">
        <v>13</v>
      </c>
      <c r="B56">
        <f t="shared" si="8"/>
        <v>5</v>
      </c>
      <c r="C56">
        <f t="shared" si="8"/>
        <v>5</v>
      </c>
      <c r="D56">
        <f t="shared" si="8"/>
        <v>5</v>
      </c>
      <c r="E56">
        <f t="shared" si="8"/>
        <v>5</v>
      </c>
      <c r="F56">
        <f t="shared" si="8"/>
        <v>5</v>
      </c>
      <c r="G56">
        <f t="shared" si="8"/>
        <v>5</v>
      </c>
      <c r="H56">
        <f t="shared" si="8"/>
        <v>5</v>
      </c>
      <c r="I56">
        <f t="shared" si="8"/>
        <v>5</v>
      </c>
      <c r="J56">
        <f t="shared" si="8"/>
        <v>5</v>
      </c>
      <c r="K56">
        <f t="shared" si="8"/>
        <v>5</v>
      </c>
      <c r="L56">
        <f t="shared" si="8"/>
        <v>5</v>
      </c>
    </row>
    <row r="57" spans="1:12" x14ac:dyDescent="0.25">
      <c r="A57" t="s">
        <v>9</v>
      </c>
      <c r="B57">
        <f t="shared" si="8"/>
        <v>2</v>
      </c>
      <c r="C57">
        <f t="shared" si="8"/>
        <v>2</v>
      </c>
      <c r="D57">
        <f t="shared" si="8"/>
        <v>2</v>
      </c>
      <c r="E57">
        <f t="shared" si="8"/>
        <v>2</v>
      </c>
      <c r="F57">
        <f t="shared" si="8"/>
        <v>2</v>
      </c>
      <c r="G57">
        <f t="shared" si="8"/>
        <v>2</v>
      </c>
      <c r="H57">
        <f t="shared" si="8"/>
        <v>2</v>
      </c>
      <c r="I57">
        <f t="shared" si="8"/>
        <v>2</v>
      </c>
      <c r="J57">
        <f t="shared" si="8"/>
        <v>2</v>
      </c>
      <c r="K57">
        <f t="shared" si="8"/>
        <v>2</v>
      </c>
      <c r="L57">
        <f t="shared" si="8"/>
        <v>2</v>
      </c>
    </row>
    <row r="58" spans="1:12" x14ac:dyDescent="0.25">
      <c r="A58" t="s">
        <v>10</v>
      </c>
      <c r="B58">
        <f t="shared" si="8"/>
        <v>3</v>
      </c>
      <c r="C58">
        <f t="shared" si="8"/>
        <v>3</v>
      </c>
      <c r="D58">
        <f t="shared" si="8"/>
        <v>3</v>
      </c>
      <c r="E58">
        <f t="shared" si="8"/>
        <v>3</v>
      </c>
      <c r="F58">
        <f t="shared" si="8"/>
        <v>3</v>
      </c>
      <c r="G58">
        <f t="shared" si="8"/>
        <v>3</v>
      </c>
      <c r="H58">
        <f t="shared" si="8"/>
        <v>3</v>
      </c>
      <c r="I58">
        <f t="shared" si="8"/>
        <v>3</v>
      </c>
      <c r="J58">
        <f t="shared" si="8"/>
        <v>3</v>
      </c>
      <c r="K58">
        <f t="shared" si="8"/>
        <v>3</v>
      </c>
      <c r="L58">
        <f t="shared" si="8"/>
        <v>3</v>
      </c>
    </row>
    <row r="59" spans="1:12" x14ac:dyDescent="0.25">
      <c r="A59" t="s">
        <v>11</v>
      </c>
      <c r="B59">
        <f t="shared" si="8"/>
        <v>4</v>
      </c>
      <c r="C59">
        <f t="shared" si="8"/>
        <v>4</v>
      </c>
      <c r="D59">
        <f t="shared" si="8"/>
        <v>4</v>
      </c>
      <c r="E59">
        <f t="shared" si="8"/>
        <v>4</v>
      </c>
      <c r="F59">
        <f t="shared" si="8"/>
        <v>4</v>
      </c>
      <c r="G59">
        <f t="shared" si="8"/>
        <v>4</v>
      </c>
      <c r="H59">
        <f t="shared" si="8"/>
        <v>4</v>
      </c>
      <c r="I59">
        <f t="shared" si="8"/>
        <v>4</v>
      </c>
      <c r="J59">
        <f t="shared" si="8"/>
        <v>4</v>
      </c>
      <c r="K59">
        <f t="shared" si="8"/>
        <v>4</v>
      </c>
      <c r="L59">
        <f t="shared" si="8"/>
        <v>4</v>
      </c>
    </row>
    <row r="60" spans="1:12" x14ac:dyDescent="0.25">
      <c r="A60" t="s">
        <v>12</v>
      </c>
      <c r="B60">
        <f t="shared" si="8"/>
        <v>1</v>
      </c>
      <c r="C60">
        <f t="shared" si="8"/>
        <v>1</v>
      </c>
      <c r="D60">
        <f t="shared" si="8"/>
        <v>1</v>
      </c>
      <c r="E60">
        <f t="shared" si="8"/>
        <v>1</v>
      </c>
      <c r="F60">
        <f t="shared" si="8"/>
        <v>1</v>
      </c>
      <c r="G60">
        <f t="shared" si="8"/>
        <v>1</v>
      </c>
      <c r="H60">
        <f t="shared" si="8"/>
        <v>1</v>
      </c>
      <c r="I60">
        <f t="shared" si="8"/>
        <v>1</v>
      </c>
      <c r="J60">
        <f t="shared" si="8"/>
        <v>1</v>
      </c>
      <c r="K60">
        <f t="shared" si="8"/>
        <v>1</v>
      </c>
      <c r="L60">
        <f t="shared" si="8"/>
        <v>1</v>
      </c>
    </row>
    <row r="62" spans="1:12" x14ac:dyDescent="0.25">
      <c r="A62" s="9" t="s">
        <v>118</v>
      </c>
      <c r="B62" s="9">
        <v>0</v>
      </c>
      <c r="C62" s="9">
        <v>1</v>
      </c>
      <c r="D62" s="9">
        <v>2</v>
      </c>
      <c r="E62" s="9">
        <v>3</v>
      </c>
      <c r="F62" s="9">
        <v>4</v>
      </c>
      <c r="G62" s="9">
        <v>5</v>
      </c>
      <c r="H62" s="9">
        <v>6</v>
      </c>
      <c r="I62" s="9">
        <v>7</v>
      </c>
      <c r="J62" s="9">
        <v>8</v>
      </c>
      <c r="K62" s="9">
        <v>9</v>
      </c>
      <c r="L62" s="9">
        <v>10</v>
      </c>
    </row>
    <row r="63" spans="1:12" x14ac:dyDescent="0.25">
      <c r="A63">
        <v>1</v>
      </c>
      <c r="B63" t="str">
        <f t="shared" ref="B63:L69" si="9">INDEX($A$54:$A$60,MATCH($A63,B$54:B$60,0))</f>
        <v>EE</v>
      </c>
      <c r="C63" t="str">
        <f t="shared" si="9"/>
        <v>EE</v>
      </c>
      <c r="D63" t="str">
        <f t="shared" si="9"/>
        <v>EE</v>
      </c>
      <c r="E63" t="str">
        <f t="shared" si="9"/>
        <v>EE</v>
      </c>
      <c r="F63" t="str">
        <f t="shared" si="9"/>
        <v>EE</v>
      </c>
      <c r="G63" t="str">
        <f t="shared" si="9"/>
        <v>EE</v>
      </c>
      <c r="H63" t="str">
        <f t="shared" si="9"/>
        <v>EE</v>
      </c>
      <c r="I63" t="str">
        <f t="shared" si="9"/>
        <v>EE</v>
      </c>
      <c r="J63" t="str">
        <f t="shared" si="9"/>
        <v>EE</v>
      </c>
      <c r="K63" t="str">
        <f t="shared" si="9"/>
        <v>EE</v>
      </c>
      <c r="L63" t="str">
        <f t="shared" si="9"/>
        <v>EE</v>
      </c>
    </row>
    <row r="64" spans="1:12" x14ac:dyDescent="0.25">
      <c r="A64">
        <v>2</v>
      </c>
      <c r="B64" t="str">
        <f t="shared" si="9"/>
        <v>solar</v>
      </c>
      <c r="C64" t="str">
        <f t="shared" si="9"/>
        <v>solar</v>
      </c>
      <c r="D64" t="str">
        <f t="shared" si="9"/>
        <v>solar</v>
      </c>
      <c r="E64" t="str">
        <f t="shared" si="9"/>
        <v>solar</v>
      </c>
      <c r="F64" t="str">
        <f t="shared" si="9"/>
        <v>solar</v>
      </c>
      <c r="G64" t="str">
        <f t="shared" si="9"/>
        <v>solar</v>
      </c>
      <c r="H64" t="str">
        <f t="shared" si="9"/>
        <v>solar</v>
      </c>
      <c r="I64" t="str">
        <f t="shared" si="9"/>
        <v>solar</v>
      </c>
      <c r="J64" t="str">
        <f t="shared" si="9"/>
        <v>solar</v>
      </c>
      <c r="K64" t="str">
        <f t="shared" si="9"/>
        <v>solar</v>
      </c>
      <c r="L64" t="str">
        <f t="shared" si="9"/>
        <v>solar</v>
      </c>
    </row>
    <row r="65" spans="1:12" x14ac:dyDescent="0.25">
      <c r="A65">
        <v>3</v>
      </c>
      <c r="B65" t="str">
        <f t="shared" si="9"/>
        <v>wind</v>
      </c>
      <c r="C65" t="str">
        <f t="shared" si="9"/>
        <v>wind</v>
      </c>
      <c r="D65" t="str">
        <f t="shared" si="9"/>
        <v>wind</v>
      </c>
      <c r="E65" t="str">
        <f t="shared" si="9"/>
        <v>wind</v>
      </c>
      <c r="F65" t="str">
        <f t="shared" si="9"/>
        <v>wind</v>
      </c>
      <c r="G65" t="str">
        <f t="shared" si="9"/>
        <v>wind</v>
      </c>
      <c r="H65" t="str">
        <f t="shared" si="9"/>
        <v>wind</v>
      </c>
      <c r="I65" t="str">
        <f t="shared" si="9"/>
        <v>wind</v>
      </c>
      <c r="J65" t="str">
        <f t="shared" si="9"/>
        <v>wind</v>
      </c>
      <c r="K65" t="str">
        <f t="shared" si="9"/>
        <v>wind</v>
      </c>
      <c r="L65" t="str">
        <f t="shared" si="9"/>
        <v>wind</v>
      </c>
    </row>
    <row r="66" spans="1:12" x14ac:dyDescent="0.25">
      <c r="A66">
        <v>4</v>
      </c>
      <c r="B66" t="str">
        <f t="shared" si="9"/>
        <v>hydro</v>
      </c>
      <c r="C66" t="str">
        <f t="shared" si="9"/>
        <v>hydro</v>
      </c>
      <c r="D66" t="str">
        <f t="shared" si="9"/>
        <v>hydro</v>
      </c>
      <c r="E66" t="str">
        <f t="shared" si="9"/>
        <v>hydro</v>
      </c>
      <c r="F66" t="str">
        <f t="shared" si="9"/>
        <v>hydro</v>
      </c>
      <c r="G66" t="str">
        <f t="shared" si="9"/>
        <v>hydro</v>
      </c>
      <c r="H66" t="str">
        <f t="shared" si="9"/>
        <v>hydro</v>
      </c>
      <c r="I66" t="str">
        <f t="shared" si="9"/>
        <v>hydro</v>
      </c>
      <c r="J66" t="str">
        <f t="shared" si="9"/>
        <v>hydro</v>
      </c>
      <c r="K66" t="str">
        <f t="shared" si="9"/>
        <v>hydro</v>
      </c>
      <c r="L66" t="str">
        <f t="shared" si="9"/>
        <v>hydro</v>
      </c>
    </row>
    <row r="67" spans="1:12" x14ac:dyDescent="0.25">
      <c r="A67">
        <v>5</v>
      </c>
      <c r="B67" t="str">
        <f t="shared" si="9"/>
        <v>nuclear</v>
      </c>
      <c r="C67" t="str">
        <f t="shared" si="9"/>
        <v>nuclear</v>
      </c>
      <c r="D67" t="str">
        <f t="shared" si="9"/>
        <v>nuclear</v>
      </c>
      <c r="E67" t="str">
        <f t="shared" si="9"/>
        <v>nuclear</v>
      </c>
      <c r="F67" t="str">
        <f t="shared" si="9"/>
        <v>nuclear</v>
      </c>
      <c r="G67" t="str">
        <f t="shared" si="9"/>
        <v>nuclear</v>
      </c>
      <c r="H67" t="str">
        <f t="shared" si="9"/>
        <v>nuclear</v>
      </c>
      <c r="I67" t="str">
        <f t="shared" si="9"/>
        <v>nuclear</v>
      </c>
      <c r="J67" t="str">
        <f t="shared" si="9"/>
        <v>nuclear</v>
      </c>
      <c r="K67" t="str">
        <f t="shared" si="9"/>
        <v>nuclear</v>
      </c>
      <c r="L67" t="str">
        <f t="shared" si="9"/>
        <v>nuclear</v>
      </c>
    </row>
    <row r="68" spans="1:12" x14ac:dyDescent="0.25">
      <c r="A68">
        <v>6</v>
      </c>
      <c r="B68" t="str">
        <f t="shared" si="9"/>
        <v>coal</v>
      </c>
      <c r="C68" t="str">
        <f t="shared" si="9"/>
        <v>coal</v>
      </c>
      <c r="D68" t="str">
        <f t="shared" si="9"/>
        <v>coal</v>
      </c>
      <c r="E68" t="str">
        <f t="shared" si="9"/>
        <v>coal</v>
      </c>
      <c r="F68" t="str">
        <f t="shared" si="9"/>
        <v>coal</v>
      </c>
      <c r="G68" t="str">
        <f t="shared" si="9"/>
        <v>coal</v>
      </c>
      <c r="H68" t="str">
        <f t="shared" si="9"/>
        <v>coal</v>
      </c>
      <c r="I68" t="str">
        <f t="shared" si="9"/>
        <v>coal</v>
      </c>
      <c r="J68" t="str">
        <f t="shared" si="9"/>
        <v>coal</v>
      </c>
      <c r="K68" t="str">
        <f t="shared" si="9"/>
        <v>coal</v>
      </c>
      <c r="L68" t="str">
        <f t="shared" si="9"/>
        <v>coal</v>
      </c>
    </row>
    <row r="69" spans="1:12" x14ac:dyDescent="0.25">
      <c r="A69">
        <v>7</v>
      </c>
      <c r="B69" t="str">
        <f t="shared" si="9"/>
        <v>natural gas</v>
      </c>
      <c r="C69" t="str">
        <f t="shared" si="9"/>
        <v>natural gas</v>
      </c>
      <c r="D69" t="str">
        <f t="shared" si="9"/>
        <v>natural gas</v>
      </c>
      <c r="E69" t="str">
        <f t="shared" si="9"/>
        <v>natural gas</v>
      </c>
      <c r="F69" t="str">
        <f t="shared" si="9"/>
        <v>natural gas</v>
      </c>
      <c r="G69" t="str">
        <f t="shared" si="9"/>
        <v>natural gas</v>
      </c>
      <c r="H69" t="str">
        <f t="shared" si="9"/>
        <v>natural gas</v>
      </c>
      <c r="I69" t="str">
        <f t="shared" si="9"/>
        <v>natural gas</v>
      </c>
      <c r="J69" t="str">
        <f t="shared" si="9"/>
        <v>natural gas</v>
      </c>
      <c r="K69" t="str">
        <f t="shared" si="9"/>
        <v>natural gas</v>
      </c>
      <c r="L69" t="str">
        <f t="shared" si="9"/>
        <v>natural gas</v>
      </c>
    </row>
    <row r="71" spans="1:12" x14ac:dyDescent="0.25">
      <c r="A71" s="9" t="s">
        <v>119</v>
      </c>
      <c r="B71" s="9">
        <v>0</v>
      </c>
      <c r="C71" s="9">
        <v>1</v>
      </c>
      <c r="D71" s="9">
        <v>2</v>
      </c>
      <c r="E71" s="9">
        <v>3</v>
      </c>
      <c r="F71" s="9">
        <v>4</v>
      </c>
      <c r="G71" s="9">
        <v>5</v>
      </c>
      <c r="H71" s="9">
        <v>6</v>
      </c>
      <c r="I71" s="9">
        <v>7</v>
      </c>
      <c r="J71" s="9">
        <v>8</v>
      </c>
      <c r="K71" s="9">
        <v>9</v>
      </c>
      <c r="L71" s="9">
        <v>10</v>
      </c>
    </row>
    <row r="72" spans="1:12" x14ac:dyDescent="0.25">
      <c r="A72">
        <v>1</v>
      </c>
      <c r="B72" s="33">
        <f t="shared" ref="B72:L72" si="10">INDEX(B$2:B$8,MATCH(B63,$A$2:$A$8,0),1)</f>
        <v>1752000</v>
      </c>
      <c r="C72" s="33">
        <f t="shared" si="10"/>
        <v>3272347.878206668</v>
      </c>
      <c r="D72" s="33">
        <f t="shared" si="10"/>
        <v>5170267.0576591482</v>
      </c>
      <c r="E72" s="33">
        <f t="shared" si="10"/>
        <v>7246974.0508459834</v>
      </c>
      <c r="F72" s="33">
        <f t="shared" si="10"/>
        <v>7316521.1208691401</v>
      </c>
      <c r="G72" s="33">
        <f t="shared" si="10"/>
        <v>7217325.8291988419</v>
      </c>
      <c r="H72" s="33">
        <f t="shared" si="10"/>
        <v>7102512.0791988419</v>
      </c>
      <c r="I72" s="33">
        <f t="shared" si="10"/>
        <v>7060628.3291988419</v>
      </c>
      <c r="J72" s="33">
        <f t="shared" si="10"/>
        <v>6996942.0791988419</v>
      </c>
      <c r="K72" s="33">
        <f t="shared" si="10"/>
        <v>6919103.3291988419</v>
      </c>
      <c r="L72" s="33">
        <f t="shared" si="10"/>
        <v>6848532.0791988419</v>
      </c>
    </row>
    <row r="73" spans="1:12" x14ac:dyDescent="0.25">
      <c r="A73">
        <v>2</v>
      </c>
      <c r="B73" s="33">
        <f t="shared" ref="B73:L78" si="11">INDEX(B$2:B$8,MATCH(B64,$A$2:$A$8,0),1)+B72</f>
        <v>2190000</v>
      </c>
      <c r="C73" s="33">
        <f t="shared" si="11"/>
        <v>4035684.8477583351</v>
      </c>
      <c r="D73" s="33">
        <f t="shared" si="11"/>
        <v>6353333.8220739355</v>
      </c>
      <c r="E73" s="33">
        <f t="shared" si="11"/>
        <v>8621862.36100615</v>
      </c>
      <c r="F73" s="33">
        <f t="shared" si="11"/>
        <v>8691409.4310293067</v>
      </c>
      <c r="G73" s="33">
        <f t="shared" si="11"/>
        <v>8592214.1393590085</v>
      </c>
      <c r="H73" s="33">
        <f t="shared" si="11"/>
        <v>8477400.3893590085</v>
      </c>
      <c r="I73" s="33">
        <f t="shared" si="11"/>
        <v>8435516.6393590085</v>
      </c>
      <c r="J73" s="33">
        <f t="shared" si="11"/>
        <v>8371830.3893590085</v>
      </c>
      <c r="K73" s="33">
        <f t="shared" si="11"/>
        <v>8293991.6393590085</v>
      </c>
      <c r="L73" s="33">
        <f t="shared" si="11"/>
        <v>8223420.3893590085</v>
      </c>
    </row>
    <row r="74" spans="1:12" x14ac:dyDescent="0.25">
      <c r="A74">
        <v>3</v>
      </c>
      <c r="B74" s="33">
        <f t="shared" si="11"/>
        <v>2715600</v>
      </c>
      <c r="C74" s="33">
        <f t="shared" si="11"/>
        <v>4951689.2112203352</v>
      </c>
      <c r="D74" s="33">
        <f t="shared" si="11"/>
        <v>7773013.9393716799</v>
      </c>
      <c r="E74" s="33">
        <f t="shared" si="11"/>
        <v>10271728.33319835</v>
      </c>
      <c r="F74" s="33">
        <f t="shared" si="11"/>
        <v>10341275.403221507</v>
      </c>
      <c r="G74" s="33">
        <f t="shared" si="11"/>
        <v>10242080.111551208</v>
      </c>
      <c r="H74" s="33">
        <f t="shared" si="11"/>
        <v>10127266.361551208</v>
      </c>
      <c r="I74" s="33">
        <f t="shared" si="11"/>
        <v>10085382.611551208</v>
      </c>
      <c r="J74" s="33">
        <f t="shared" si="11"/>
        <v>10021696.361551208</v>
      </c>
      <c r="K74" s="33">
        <f t="shared" si="11"/>
        <v>9943857.6115512084</v>
      </c>
      <c r="L74" s="33">
        <f t="shared" si="11"/>
        <v>9873286.3615512084</v>
      </c>
    </row>
    <row r="75" spans="1:12" x14ac:dyDescent="0.25">
      <c r="A75">
        <v>4</v>
      </c>
      <c r="B75" s="33">
        <f t="shared" si="11"/>
        <v>3766800</v>
      </c>
      <c r="C75" s="33">
        <f t="shared" si="11"/>
        <v>6002889.2112203352</v>
      </c>
      <c r="D75" s="33">
        <f t="shared" si="11"/>
        <v>8824213.939371679</v>
      </c>
      <c r="E75" s="33">
        <f t="shared" si="11"/>
        <v>11322928.33319835</v>
      </c>
      <c r="F75" s="33">
        <f t="shared" si="11"/>
        <v>11392475.403221507</v>
      </c>
      <c r="G75" s="33">
        <f t="shared" si="11"/>
        <v>11293280.111551208</v>
      </c>
      <c r="H75" s="33">
        <f t="shared" si="11"/>
        <v>11178466.361551208</v>
      </c>
      <c r="I75" s="33">
        <f t="shared" si="11"/>
        <v>11136582.611551208</v>
      </c>
      <c r="J75" s="33">
        <f t="shared" si="11"/>
        <v>11072896.361551208</v>
      </c>
      <c r="K75" s="33">
        <f t="shared" si="11"/>
        <v>10995057.611551208</v>
      </c>
      <c r="L75" s="33">
        <f t="shared" si="11"/>
        <v>10924486.361551208</v>
      </c>
    </row>
    <row r="76" spans="1:12" x14ac:dyDescent="0.25">
      <c r="A76">
        <v>5</v>
      </c>
      <c r="B76" s="33">
        <f t="shared" si="11"/>
        <v>19534800</v>
      </c>
      <c r="C76" s="33">
        <f t="shared" si="11"/>
        <v>13886889.211220335</v>
      </c>
      <c r="D76" s="33">
        <f t="shared" si="11"/>
        <v>16708213.939371679</v>
      </c>
      <c r="E76" s="33">
        <f t="shared" si="11"/>
        <v>19206928.33319835</v>
      </c>
      <c r="F76" s="33">
        <f t="shared" si="11"/>
        <v>19276475.403221507</v>
      </c>
      <c r="G76" s="33">
        <f t="shared" si="11"/>
        <v>19177280.11155121</v>
      </c>
      <c r="H76" s="33">
        <f t="shared" si="11"/>
        <v>19062466.36155121</v>
      </c>
      <c r="I76" s="33">
        <f t="shared" si="11"/>
        <v>19020582.61155121</v>
      </c>
      <c r="J76" s="33">
        <f t="shared" si="11"/>
        <v>18956896.36155121</v>
      </c>
      <c r="K76" s="33">
        <f t="shared" si="11"/>
        <v>18879057.61155121</v>
      </c>
      <c r="L76" s="33">
        <f t="shared" si="11"/>
        <v>18808486.36155121</v>
      </c>
    </row>
    <row r="77" spans="1:12" x14ac:dyDescent="0.25">
      <c r="A77">
        <v>6</v>
      </c>
      <c r="B77" s="33">
        <f t="shared" si="11"/>
        <v>40558800</v>
      </c>
      <c r="C77" s="33">
        <f t="shared" si="11"/>
        <v>34910889.211220339</v>
      </c>
      <c r="D77" s="33">
        <f t="shared" si="11"/>
        <v>32476213.939371679</v>
      </c>
      <c r="E77" s="33">
        <f t="shared" si="11"/>
        <v>29718928.33319835</v>
      </c>
      <c r="F77" s="33">
        <f t="shared" si="11"/>
        <v>29788475.403221507</v>
      </c>
      <c r="G77" s="33">
        <f t="shared" si="11"/>
        <v>29689280.11155121</v>
      </c>
      <c r="H77" s="33">
        <f t="shared" si="11"/>
        <v>29574466.36155121</v>
      </c>
      <c r="I77" s="33">
        <f t="shared" si="11"/>
        <v>29532582.61155121</v>
      </c>
      <c r="J77" s="33">
        <f t="shared" si="11"/>
        <v>29468896.36155121</v>
      </c>
      <c r="K77" s="33">
        <f t="shared" si="11"/>
        <v>29391057.61155121</v>
      </c>
      <c r="L77" s="33">
        <f t="shared" si="11"/>
        <v>29320486.36155121</v>
      </c>
    </row>
    <row r="78" spans="1:12" x14ac:dyDescent="0.25">
      <c r="A78">
        <v>7</v>
      </c>
      <c r="B78" s="33">
        <f t="shared" si="11"/>
        <v>82606800</v>
      </c>
      <c r="C78" s="33">
        <f t="shared" si="11"/>
        <v>78520506.665068343</v>
      </c>
      <c r="D78" s="33">
        <f t="shared" si="11"/>
        <v>78100534.40856266</v>
      </c>
      <c r="E78" s="33">
        <f t="shared" si="11"/>
        <v>77572497.194213524</v>
      </c>
      <c r="F78" s="33">
        <f t="shared" si="11"/>
        <v>78593763.069859117</v>
      </c>
      <c r="G78" s="33">
        <f t="shared" si="11"/>
        <v>79250409.319067746</v>
      </c>
      <c r="H78" s="33">
        <f t="shared" si="11"/>
        <v>79999322.403221712</v>
      </c>
      <c r="I78" s="33">
        <f t="shared" si="11"/>
        <v>81023194.789135009</v>
      </c>
      <c r="J78" s="33">
        <f t="shared" si="11"/>
        <v>82093652.546504498</v>
      </c>
      <c r="K78" s="33">
        <f t="shared" si="11"/>
        <v>83196726.996873394</v>
      </c>
      <c r="L78" s="33">
        <f t="shared" si="11"/>
        <v>84342888.704907775</v>
      </c>
    </row>
    <row r="81" spans="1:12" ht="18.75" x14ac:dyDescent="0.3">
      <c r="A81" s="20" t="s">
        <v>124</v>
      </c>
      <c r="B81" s="20"/>
      <c r="C81" s="20"/>
      <c r="D81" s="20"/>
      <c r="E81" s="20"/>
      <c r="F81" s="20"/>
      <c r="G81" s="20"/>
      <c r="H81" s="20"/>
      <c r="I81" s="20"/>
      <c r="J81" s="20"/>
      <c r="K81" s="20"/>
      <c r="L81" s="20"/>
    </row>
    <row r="82" spans="1:12" x14ac:dyDescent="0.25">
      <c r="A82" s="9" t="s">
        <v>255</v>
      </c>
      <c r="B82" s="9">
        <v>0</v>
      </c>
      <c r="C82" s="9">
        <v>1</v>
      </c>
      <c r="D82" s="9">
        <v>2</v>
      </c>
      <c r="E82" s="9">
        <v>3</v>
      </c>
      <c r="F82" s="9">
        <v>4</v>
      </c>
      <c r="G82" s="9">
        <v>5</v>
      </c>
      <c r="H82" s="9">
        <v>6</v>
      </c>
      <c r="I82" s="9">
        <v>7</v>
      </c>
      <c r="J82" s="9">
        <v>8</v>
      </c>
      <c r="K82" s="9">
        <v>9</v>
      </c>
      <c r="L82" s="9">
        <v>10</v>
      </c>
    </row>
    <row r="83" spans="1:12" x14ac:dyDescent="0.25">
      <c r="A83" t="s">
        <v>121</v>
      </c>
      <c r="B83" s="84">
        <f>'Resource Mix and Demand'!B66</f>
        <v>57871320</v>
      </c>
      <c r="C83" s="84">
        <f>'Resource Mix and Demand'!C66</f>
        <v>55503735.152241662</v>
      </c>
      <c r="D83" s="84">
        <f>'Resource Mix and Demand'!D66</f>
        <v>52923613.470333129</v>
      </c>
      <c r="E83" s="84">
        <f>'Resource Mix and Demand'!E66</f>
        <v>50346906.477146298</v>
      </c>
      <c r="F83" s="84">
        <f>'Resource Mix and Demand'!F66</f>
        <v>48834807.472460933</v>
      </c>
      <c r="G83" s="84">
        <f>'Resource Mix and Demand'!G66</f>
        <v>47943005.527992278</v>
      </c>
      <c r="H83" s="84">
        <f>'Resource Mix and Demand'!H66</f>
        <v>47578080.527992278</v>
      </c>
      <c r="I83" s="84">
        <f>'Resource Mix and Demand'!I66</f>
        <v>47127355.527992278</v>
      </c>
      <c r="J83" s="84">
        <f>'Resource Mix and Demand'!J66</f>
        <v>46702280.527992278</v>
      </c>
      <c r="K83" s="84">
        <f>'Resource Mix and Demand'!K66</f>
        <v>46293855.527992278</v>
      </c>
      <c r="L83" s="84">
        <f>'Resource Mix and Demand'!L66</f>
        <v>45876880.527992278</v>
      </c>
    </row>
    <row r="85" spans="1:12" x14ac:dyDescent="0.25">
      <c r="A85" s="9" t="s">
        <v>430</v>
      </c>
      <c r="B85" s="9">
        <v>0</v>
      </c>
      <c r="C85" s="9">
        <v>1</v>
      </c>
      <c r="D85" s="9">
        <v>2</v>
      </c>
      <c r="E85" s="9">
        <v>3</v>
      </c>
      <c r="F85" s="9">
        <v>4</v>
      </c>
      <c r="G85" s="9">
        <v>5</v>
      </c>
      <c r="H85" s="9">
        <v>6</v>
      </c>
      <c r="I85" s="9">
        <v>7</v>
      </c>
      <c r="J85" s="9">
        <v>8</v>
      </c>
      <c r="K85" s="9">
        <v>9</v>
      </c>
      <c r="L85" s="9">
        <v>10</v>
      </c>
    </row>
    <row r="86" spans="1:12" x14ac:dyDescent="0.25">
      <c r="A86">
        <v>1</v>
      </c>
      <c r="B86">
        <f>INDEX(B$11:B$17,MATCH(B63,$A$11:$A$17,0),1)</f>
        <v>0</v>
      </c>
      <c r="C86">
        <f t="shared" ref="C86:L86" si="12">INDEX(C$11:C$17,MATCH(C63,$A$11:$A$17,0),1)</f>
        <v>0</v>
      </c>
      <c r="D86">
        <f t="shared" si="12"/>
        <v>0</v>
      </c>
      <c r="E86">
        <f t="shared" si="12"/>
        <v>0</v>
      </c>
      <c r="F86">
        <f t="shared" si="12"/>
        <v>0</v>
      </c>
      <c r="G86">
        <f t="shared" si="12"/>
        <v>0</v>
      </c>
      <c r="H86">
        <f t="shared" si="12"/>
        <v>0</v>
      </c>
      <c r="I86">
        <f t="shared" si="12"/>
        <v>0</v>
      </c>
      <c r="J86">
        <f t="shared" si="12"/>
        <v>0</v>
      </c>
      <c r="K86">
        <f t="shared" si="12"/>
        <v>0</v>
      </c>
      <c r="L86">
        <f t="shared" si="12"/>
        <v>0</v>
      </c>
    </row>
    <row r="87" spans="1:12" x14ac:dyDescent="0.25">
      <c r="A87">
        <v>2</v>
      </c>
      <c r="B87">
        <f t="shared" ref="B87:L92" si="13">INDEX(B$11:B$17,MATCH(B64,$A$11:$A$17,0),1)</f>
        <v>0</v>
      </c>
      <c r="C87">
        <f t="shared" si="13"/>
        <v>0</v>
      </c>
      <c r="D87">
        <f t="shared" si="13"/>
        <v>0</v>
      </c>
      <c r="E87">
        <f t="shared" si="13"/>
        <v>0</v>
      </c>
      <c r="F87">
        <f t="shared" si="13"/>
        <v>0</v>
      </c>
      <c r="G87">
        <f t="shared" si="13"/>
        <v>0</v>
      </c>
      <c r="H87">
        <f t="shared" si="13"/>
        <v>0</v>
      </c>
      <c r="I87">
        <f t="shared" si="13"/>
        <v>0</v>
      </c>
      <c r="J87">
        <f t="shared" si="13"/>
        <v>0</v>
      </c>
      <c r="K87">
        <f t="shared" si="13"/>
        <v>0</v>
      </c>
      <c r="L87">
        <f t="shared" si="13"/>
        <v>0</v>
      </c>
    </row>
    <row r="88" spans="1:12" x14ac:dyDescent="0.25">
      <c r="A88">
        <v>3</v>
      </c>
      <c r="B88">
        <f t="shared" si="13"/>
        <v>0</v>
      </c>
      <c r="C88">
        <f t="shared" si="13"/>
        <v>0</v>
      </c>
      <c r="D88">
        <f t="shared" si="13"/>
        <v>0</v>
      </c>
      <c r="E88">
        <f t="shared" si="13"/>
        <v>0</v>
      </c>
      <c r="F88">
        <f t="shared" si="13"/>
        <v>0</v>
      </c>
      <c r="G88">
        <f t="shared" si="13"/>
        <v>0</v>
      </c>
      <c r="H88">
        <f t="shared" si="13"/>
        <v>0</v>
      </c>
      <c r="I88">
        <f t="shared" si="13"/>
        <v>0</v>
      </c>
      <c r="J88">
        <f t="shared" si="13"/>
        <v>0</v>
      </c>
      <c r="K88">
        <f t="shared" si="13"/>
        <v>0</v>
      </c>
      <c r="L88">
        <f t="shared" si="13"/>
        <v>0</v>
      </c>
    </row>
    <row r="89" spans="1:12" x14ac:dyDescent="0.25">
      <c r="A89">
        <v>4</v>
      </c>
      <c r="B89">
        <f t="shared" si="13"/>
        <v>0</v>
      </c>
      <c r="C89">
        <f t="shared" si="13"/>
        <v>0</v>
      </c>
      <c r="D89">
        <f t="shared" si="13"/>
        <v>0</v>
      </c>
      <c r="E89">
        <f t="shared" si="13"/>
        <v>0</v>
      </c>
      <c r="F89">
        <f t="shared" si="13"/>
        <v>0</v>
      </c>
      <c r="G89">
        <f t="shared" si="13"/>
        <v>0</v>
      </c>
      <c r="H89">
        <f t="shared" si="13"/>
        <v>0</v>
      </c>
      <c r="I89">
        <f t="shared" si="13"/>
        <v>0</v>
      </c>
      <c r="J89">
        <f t="shared" si="13"/>
        <v>0</v>
      </c>
      <c r="K89">
        <f t="shared" si="13"/>
        <v>0</v>
      </c>
      <c r="L89">
        <f t="shared" si="13"/>
        <v>0</v>
      </c>
    </row>
    <row r="90" spans="1:12" x14ac:dyDescent="0.25">
      <c r="A90">
        <v>5</v>
      </c>
      <c r="B90">
        <f t="shared" si="13"/>
        <v>0</v>
      </c>
      <c r="C90">
        <f t="shared" si="13"/>
        <v>0</v>
      </c>
      <c r="D90">
        <f t="shared" si="13"/>
        <v>0</v>
      </c>
      <c r="E90">
        <f t="shared" si="13"/>
        <v>0</v>
      </c>
      <c r="F90">
        <f t="shared" si="13"/>
        <v>0</v>
      </c>
      <c r="G90">
        <f t="shared" si="13"/>
        <v>0</v>
      </c>
      <c r="H90">
        <f t="shared" si="13"/>
        <v>0</v>
      </c>
      <c r="I90">
        <f t="shared" si="13"/>
        <v>0</v>
      </c>
      <c r="J90">
        <f t="shared" si="13"/>
        <v>0</v>
      </c>
      <c r="K90">
        <f t="shared" si="13"/>
        <v>0</v>
      </c>
      <c r="L90">
        <f t="shared" si="13"/>
        <v>0</v>
      </c>
    </row>
    <row r="91" spans="1:12" x14ac:dyDescent="0.25">
      <c r="A91">
        <v>6</v>
      </c>
      <c r="B91">
        <f t="shared" si="13"/>
        <v>0</v>
      </c>
      <c r="C91">
        <f t="shared" si="13"/>
        <v>0</v>
      </c>
      <c r="D91">
        <f t="shared" si="13"/>
        <v>0</v>
      </c>
      <c r="E91">
        <f t="shared" si="13"/>
        <v>0</v>
      </c>
      <c r="F91">
        <f t="shared" si="13"/>
        <v>0</v>
      </c>
      <c r="G91">
        <f t="shared" si="13"/>
        <v>0</v>
      </c>
      <c r="H91">
        <f t="shared" si="13"/>
        <v>0</v>
      </c>
      <c r="I91">
        <f t="shared" si="13"/>
        <v>0</v>
      </c>
      <c r="J91">
        <f t="shared" si="13"/>
        <v>0</v>
      </c>
      <c r="K91">
        <f t="shared" si="13"/>
        <v>0</v>
      </c>
      <c r="L91">
        <f t="shared" si="13"/>
        <v>0</v>
      </c>
    </row>
    <row r="92" spans="1:12" x14ac:dyDescent="0.25">
      <c r="A92">
        <v>7</v>
      </c>
      <c r="B92">
        <f t="shared" si="13"/>
        <v>0</v>
      </c>
      <c r="C92">
        <f t="shared" si="13"/>
        <v>0</v>
      </c>
      <c r="D92">
        <f t="shared" si="13"/>
        <v>0</v>
      </c>
      <c r="E92">
        <f t="shared" si="13"/>
        <v>0</v>
      </c>
      <c r="F92">
        <f t="shared" si="13"/>
        <v>0</v>
      </c>
      <c r="G92">
        <f t="shared" si="13"/>
        <v>0</v>
      </c>
      <c r="H92">
        <f t="shared" si="13"/>
        <v>0</v>
      </c>
      <c r="I92">
        <f t="shared" si="13"/>
        <v>0</v>
      </c>
      <c r="J92">
        <f t="shared" si="13"/>
        <v>0</v>
      </c>
      <c r="K92">
        <f t="shared" si="13"/>
        <v>0</v>
      </c>
      <c r="L92">
        <f t="shared" si="13"/>
        <v>0</v>
      </c>
    </row>
    <row r="94" spans="1:12" x14ac:dyDescent="0.25">
      <c r="A94" s="9" t="s">
        <v>425</v>
      </c>
      <c r="B94" s="9">
        <v>0</v>
      </c>
      <c r="C94" s="9">
        <v>1</v>
      </c>
      <c r="D94" s="9">
        <v>2</v>
      </c>
      <c r="E94" s="9">
        <v>3</v>
      </c>
      <c r="F94" s="9">
        <v>4</v>
      </c>
      <c r="G94" s="9">
        <v>5</v>
      </c>
      <c r="H94" s="9">
        <v>6</v>
      </c>
      <c r="I94" s="9">
        <v>7</v>
      </c>
      <c r="J94" s="9">
        <v>8</v>
      </c>
      <c r="K94" s="9">
        <v>9</v>
      </c>
      <c r="L94" s="9">
        <v>10</v>
      </c>
    </row>
    <row r="95" spans="1:12" x14ac:dyDescent="0.25">
      <c r="A95">
        <v>1</v>
      </c>
      <c r="B95" s="84">
        <f>INDEX(B$2:B$8,MATCH(B63,$A$2:$A$8,0),1)-INDEX(B$11:B$17,MATCH(B63,$A$11:$A$17,0),1)</f>
        <v>1752000</v>
      </c>
      <c r="C95" s="84">
        <f t="shared" ref="C95:L95" si="14">INDEX(C$2:C$8,MATCH(C63,$A$2:$A$8,0),1)-INDEX(C$11:C$17,MATCH(C63,$A$11:$A$17,0),1)</f>
        <v>3272347.878206668</v>
      </c>
      <c r="D95" s="84">
        <f t="shared" si="14"/>
        <v>5170267.0576591482</v>
      </c>
      <c r="E95" s="84">
        <f t="shared" si="14"/>
        <v>7246974.0508459834</v>
      </c>
      <c r="F95" s="84">
        <f t="shared" si="14"/>
        <v>7316521.1208691401</v>
      </c>
      <c r="G95" s="84">
        <f t="shared" si="14"/>
        <v>7217325.8291988419</v>
      </c>
      <c r="H95" s="84">
        <f t="shared" si="14"/>
        <v>7102512.0791988419</v>
      </c>
      <c r="I95" s="84">
        <f t="shared" si="14"/>
        <v>7060628.3291988419</v>
      </c>
      <c r="J95" s="84">
        <f t="shared" si="14"/>
        <v>6996942.0791988419</v>
      </c>
      <c r="K95" s="84">
        <f t="shared" si="14"/>
        <v>6919103.3291988419</v>
      </c>
      <c r="L95" s="84">
        <f t="shared" si="14"/>
        <v>6848532.0791988419</v>
      </c>
    </row>
    <row r="96" spans="1:12" x14ac:dyDescent="0.25">
      <c r="A96">
        <v>2</v>
      </c>
      <c r="B96" s="84">
        <f t="shared" ref="B96:L101" si="15">INDEX(B$2:B$8,MATCH(B64,$A$2:$A$8,0),1)-INDEX(B$11:B$17,MATCH(B64,$A$11:$A$17,0),1)</f>
        <v>438000</v>
      </c>
      <c r="C96" s="84">
        <f t="shared" si="15"/>
        <v>763336.96955166699</v>
      </c>
      <c r="D96" s="84">
        <f t="shared" si="15"/>
        <v>1183066.7644147871</v>
      </c>
      <c r="E96" s="84">
        <f t="shared" si="15"/>
        <v>1374888.3101601666</v>
      </c>
      <c r="F96" s="84">
        <f t="shared" si="15"/>
        <v>1374888.3101601666</v>
      </c>
      <c r="G96" s="84">
        <f t="shared" si="15"/>
        <v>1374888.3101601666</v>
      </c>
      <c r="H96" s="84">
        <f t="shared" si="15"/>
        <v>1374888.3101601666</v>
      </c>
      <c r="I96" s="84">
        <f t="shared" si="15"/>
        <v>1374888.3101601666</v>
      </c>
      <c r="J96" s="84">
        <f t="shared" si="15"/>
        <v>1374888.3101601666</v>
      </c>
      <c r="K96" s="84">
        <f t="shared" si="15"/>
        <v>1374888.3101601666</v>
      </c>
      <c r="L96" s="84">
        <f t="shared" si="15"/>
        <v>1374888.3101601666</v>
      </c>
    </row>
    <row r="97" spans="1:12" x14ac:dyDescent="0.25">
      <c r="A97">
        <v>3</v>
      </c>
      <c r="B97" s="84">
        <f t="shared" si="15"/>
        <v>525600</v>
      </c>
      <c r="C97" s="84">
        <f t="shared" si="15"/>
        <v>916004.36346200039</v>
      </c>
      <c r="D97" s="84">
        <f t="shared" si="15"/>
        <v>1419680.1172977444</v>
      </c>
      <c r="E97" s="84">
        <f t="shared" si="15"/>
        <v>1649865.9721921999</v>
      </c>
      <c r="F97" s="84">
        <f t="shared" si="15"/>
        <v>1649865.9721921999</v>
      </c>
      <c r="G97" s="84">
        <f t="shared" si="15"/>
        <v>1649865.9721921999</v>
      </c>
      <c r="H97" s="84">
        <f t="shared" si="15"/>
        <v>1649865.9721921999</v>
      </c>
      <c r="I97" s="84">
        <f t="shared" si="15"/>
        <v>1649865.9721921999</v>
      </c>
      <c r="J97" s="84">
        <f t="shared" si="15"/>
        <v>1649865.9721921999</v>
      </c>
      <c r="K97" s="84">
        <f t="shared" si="15"/>
        <v>1649865.9721921999</v>
      </c>
      <c r="L97" s="84">
        <f t="shared" si="15"/>
        <v>1649865.9721921999</v>
      </c>
    </row>
    <row r="98" spans="1:12" x14ac:dyDescent="0.25">
      <c r="A98">
        <v>4</v>
      </c>
      <c r="B98" s="84">
        <f t="shared" si="15"/>
        <v>1051200</v>
      </c>
      <c r="C98" s="84">
        <f t="shared" si="15"/>
        <v>1051200</v>
      </c>
      <c r="D98" s="84">
        <f t="shared" si="15"/>
        <v>1051200</v>
      </c>
      <c r="E98" s="84">
        <f t="shared" si="15"/>
        <v>1051200</v>
      </c>
      <c r="F98" s="84">
        <f t="shared" si="15"/>
        <v>1051200</v>
      </c>
      <c r="G98" s="84">
        <f t="shared" si="15"/>
        <v>1051200</v>
      </c>
      <c r="H98" s="84">
        <f t="shared" si="15"/>
        <v>1051200</v>
      </c>
      <c r="I98" s="84">
        <f t="shared" si="15"/>
        <v>1051200</v>
      </c>
      <c r="J98" s="84">
        <f t="shared" si="15"/>
        <v>1051200</v>
      </c>
      <c r="K98" s="84">
        <f t="shared" si="15"/>
        <v>1051200</v>
      </c>
      <c r="L98" s="84">
        <f t="shared" si="15"/>
        <v>1051200</v>
      </c>
    </row>
    <row r="99" spans="1:12" x14ac:dyDescent="0.25">
      <c r="A99">
        <v>5</v>
      </c>
      <c r="B99" s="84">
        <f t="shared" si="15"/>
        <v>15768000</v>
      </c>
      <c r="C99" s="84">
        <f t="shared" si="15"/>
        <v>7884000</v>
      </c>
      <c r="D99" s="84">
        <f t="shared" si="15"/>
        <v>7884000</v>
      </c>
      <c r="E99" s="84">
        <f t="shared" si="15"/>
        <v>7884000</v>
      </c>
      <c r="F99" s="84">
        <f t="shared" si="15"/>
        <v>7884000</v>
      </c>
      <c r="G99" s="84">
        <f t="shared" si="15"/>
        <v>7884000</v>
      </c>
      <c r="H99" s="84">
        <f t="shared" si="15"/>
        <v>7884000</v>
      </c>
      <c r="I99" s="84">
        <f t="shared" si="15"/>
        <v>7884000</v>
      </c>
      <c r="J99" s="84">
        <f t="shared" si="15"/>
        <v>7884000</v>
      </c>
      <c r="K99" s="84">
        <f t="shared" si="15"/>
        <v>7884000</v>
      </c>
      <c r="L99" s="84">
        <f t="shared" si="15"/>
        <v>7884000</v>
      </c>
    </row>
    <row r="100" spans="1:12" x14ac:dyDescent="0.25">
      <c r="A100">
        <v>6</v>
      </c>
      <c r="B100" s="84">
        <f t="shared" si="15"/>
        <v>21024000</v>
      </c>
      <c r="C100" s="84">
        <f t="shared" si="15"/>
        <v>21024000</v>
      </c>
      <c r="D100" s="84">
        <f t="shared" si="15"/>
        <v>15768000</v>
      </c>
      <c r="E100" s="84">
        <f t="shared" si="15"/>
        <v>10512000</v>
      </c>
      <c r="F100" s="84">
        <f t="shared" si="15"/>
        <v>10512000</v>
      </c>
      <c r="G100" s="84">
        <f t="shared" si="15"/>
        <v>10512000</v>
      </c>
      <c r="H100" s="84">
        <f t="shared" si="15"/>
        <v>10512000</v>
      </c>
      <c r="I100" s="84">
        <f t="shared" si="15"/>
        <v>10512000</v>
      </c>
      <c r="J100" s="84">
        <f t="shared" si="15"/>
        <v>10512000</v>
      </c>
      <c r="K100" s="84">
        <f t="shared" si="15"/>
        <v>10512000</v>
      </c>
      <c r="L100" s="84">
        <f t="shared" si="15"/>
        <v>10512000</v>
      </c>
    </row>
    <row r="101" spans="1:12" x14ac:dyDescent="0.25">
      <c r="A101">
        <v>7</v>
      </c>
      <c r="B101" s="84">
        <f t="shared" si="15"/>
        <v>42048000</v>
      </c>
      <c r="C101" s="84">
        <f t="shared" si="15"/>
        <v>43609617.453848004</v>
      </c>
      <c r="D101" s="84">
        <f t="shared" si="15"/>
        <v>45624320.469190978</v>
      </c>
      <c r="E101" s="84">
        <f t="shared" si="15"/>
        <v>47853568.861015178</v>
      </c>
      <c r="F101" s="84">
        <f t="shared" si="15"/>
        <v>48805287.666637607</v>
      </c>
      <c r="G101" s="84">
        <f t="shared" si="15"/>
        <v>49561129.207516529</v>
      </c>
      <c r="H101" s="84">
        <f t="shared" si="15"/>
        <v>50424856.041670501</v>
      </c>
      <c r="I101" s="84">
        <f t="shared" si="15"/>
        <v>51490612.177583791</v>
      </c>
      <c r="J101" s="84">
        <f t="shared" si="15"/>
        <v>52624756.18495328</v>
      </c>
      <c r="K101" s="84">
        <f t="shared" si="15"/>
        <v>53805669.385322183</v>
      </c>
      <c r="L101" s="84">
        <f t="shared" si="15"/>
        <v>55022402.343356557</v>
      </c>
    </row>
    <row r="103" spans="1:12" x14ac:dyDescent="0.25">
      <c r="A103" s="9" t="s">
        <v>423</v>
      </c>
      <c r="B103" s="9">
        <v>0</v>
      </c>
      <c r="C103" s="9">
        <v>1</v>
      </c>
      <c r="D103" s="9">
        <v>2</v>
      </c>
      <c r="E103" s="9">
        <v>3</v>
      </c>
      <c r="F103" s="9">
        <v>4</v>
      </c>
      <c r="G103" s="9">
        <v>5</v>
      </c>
      <c r="H103" s="9">
        <v>6</v>
      </c>
      <c r="I103" s="9">
        <v>7</v>
      </c>
      <c r="J103" s="9">
        <v>8</v>
      </c>
      <c r="K103" s="9">
        <v>9</v>
      </c>
      <c r="L103" s="9">
        <v>10</v>
      </c>
    </row>
    <row r="104" spans="1:12" x14ac:dyDescent="0.25">
      <c r="A104" t="s">
        <v>121</v>
      </c>
      <c r="B104" s="84">
        <f>B83-SUM(B86:B92)</f>
        <v>57871320</v>
      </c>
      <c r="C104" s="84">
        <f t="shared" ref="C104:L104" si="16">C83-SUM(C86:C92)</f>
        <v>55503735.152241662</v>
      </c>
      <c r="D104" s="84">
        <f t="shared" si="16"/>
        <v>52923613.470333129</v>
      </c>
      <c r="E104" s="84">
        <f t="shared" si="16"/>
        <v>50346906.477146298</v>
      </c>
      <c r="F104" s="84">
        <f t="shared" si="16"/>
        <v>48834807.472460933</v>
      </c>
      <c r="G104" s="84">
        <f t="shared" si="16"/>
        <v>47943005.527992278</v>
      </c>
      <c r="H104" s="84">
        <f t="shared" si="16"/>
        <v>47578080.527992278</v>
      </c>
      <c r="I104" s="84">
        <f t="shared" si="16"/>
        <v>47127355.527992278</v>
      </c>
      <c r="J104" s="84">
        <f t="shared" si="16"/>
        <v>46702280.527992278</v>
      </c>
      <c r="K104" s="84">
        <f t="shared" si="16"/>
        <v>46293855.527992278</v>
      </c>
      <c r="L104" s="84">
        <f t="shared" si="16"/>
        <v>45876880.527992278</v>
      </c>
    </row>
    <row r="106" spans="1:12" x14ac:dyDescent="0.25">
      <c r="A106" s="9" t="s">
        <v>424</v>
      </c>
      <c r="B106" s="9">
        <v>0</v>
      </c>
      <c r="C106" s="9">
        <v>1</v>
      </c>
      <c r="D106" s="9">
        <v>2</v>
      </c>
      <c r="E106" s="9">
        <v>3</v>
      </c>
      <c r="F106" s="9">
        <v>4</v>
      </c>
      <c r="G106" s="9">
        <v>5</v>
      </c>
      <c r="H106" s="9">
        <v>6</v>
      </c>
      <c r="I106" s="9">
        <v>7</v>
      </c>
      <c r="J106" s="9">
        <v>8</v>
      </c>
      <c r="K106" s="9">
        <v>9</v>
      </c>
      <c r="L106" s="9">
        <v>10</v>
      </c>
    </row>
    <row r="107" spans="1:12" x14ac:dyDescent="0.25">
      <c r="A107">
        <v>1</v>
      </c>
      <c r="B107" s="16">
        <f>IF(IF(SUM(B$95:B95)-B$104&lt;0,B95,B$104-SUM(B94:B$95))&lt;0,0,IF(SUM(B$95:B95)-B$104&lt;0,B95,B$104-SUM(B94:B$95)))</f>
        <v>1752000</v>
      </c>
      <c r="C107" s="16">
        <f>IF(IF(SUM(C$95:C95)-C$104&lt;0,C95,C$104-SUM(C94:C$95))&lt;0,0,IF(SUM(C$95:C95)-C$104&lt;0,C95,C$104-SUM(C94:C$95)))</f>
        <v>3272347.878206668</v>
      </c>
      <c r="D107" s="16">
        <f>IF(IF(SUM(D$95:D95)-D$104&lt;0,D95,D$104-SUM(D94:D$95))&lt;0,0,IF(SUM(D$95:D95)-D$104&lt;0,D95,D$104-SUM(D94:D$95)))</f>
        <v>5170267.0576591482</v>
      </c>
      <c r="E107" s="16">
        <f>IF(IF(SUM(E$95:E95)-E$104&lt;0,E95,E$104-SUM(E94:E$95))&lt;0,0,IF(SUM(E$95:E95)-E$104&lt;0,E95,E$104-SUM(E94:E$95)))</f>
        <v>7246974.0508459834</v>
      </c>
      <c r="F107" s="16">
        <f>IF(IF(SUM(F$95:F95)-F$104&lt;0,F95,F$104-SUM(F94:F$95))&lt;0,0,IF(SUM(F$95:F95)-F$104&lt;0,F95,F$104-SUM(F94:F$95)))</f>
        <v>7316521.1208691401</v>
      </c>
      <c r="G107" s="16">
        <f>IF(IF(SUM(G$95:G95)-G$104&lt;0,G95,G$104-SUM(G94:G$95))&lt;0,0,IF(SUM(G$95:G95)-G$104&lt;0,G95,G$104-SUM(G94:G$95)))</f>
        <v>7217325.8291988419</v>
      </c>
      <c r="H107" s="16">
        <f>IF(IF(SUM(H$95:H95)-H$104&lt;0,H95,H$104-SUM(H94:H$95))&lt;0,0,IF(SUM(H$95:H95)-H$104&lt;0,H95,H$104-SUM(H94:H$95)))</f>
        <v>7102512.0791988419</v>
      </c>
      <c r="I107" s="16">
        <f>IF(IF(SUM(I$95:I95)-I$104&lt;0,I95,I$104-SUM(I94:I$95))&lt;0,0,IF(SUM(I$95:I95)-I$104&lt;0,I95,I$104-SUM(I94:I$95)))</f>
        <v>7060628.3291988419</v>
      </c>
      <c r="J107" s="16">
        <f>IF(IF(SUM(J$95:J95)-J$104&lt;0,J95,J$104-SUM(J94:J$95))&lt;0,0,IF(SUM(J$95:J95)-J$104&lt;0,J95,J$104-SUM(J94:J$95)))</f>
        <v>6996942.0791988419</v>
      </c>
      <c r="K107" s="16">
        <f>IF(IF(SUM(K$95:K95)-K$104&lt;0,K95,K$104-SUM(K94:K$95))&lt;0,0,IF(SUM(K$95:K95)-K$104&lt;0,K95,K$104-SUM(K94:K$95)))</f>
        <v>6919103.3291988419</v>
      </c>
      <c r="L107" s="16">
        <f>IF(IF(SUM(L$95:L95)-L$104&lt;0,L95,L$104-SUM(L94:L$95))&lt;0,0,IF(SUM(L$95:L95)-L$104&lt;0,L95,L$104-SUM(L94:L$95)))</f>
        <v>6848532.0791988419</v>
      </c>
    </row>
    <row r="108" spans="1:12" x14ac:dyDescent="0.25">
      <c r="A108">
        <v>2</v>
      </c>
      <c r="B108" s="16">
        <f>IF(IF(SUM(B$95:B96)-B$104&lt;0,B96,B$104-SUM(B$95:B95))&lt;0,0,IF(SUM(B$95:B96)-B$104&lt;0,B96,B$104-SUM(B$95:B95)))</f>
        <v>438000</v>
      </c>
      <c r="C108" s="16">
        <f>IF(IF(SUM(C$95:C96)-C$104&lt;0,C96,C$104-SUM(C$95:C95))&lt;0,0,IF(SUM(C$95:C96)-C$104&lt;0,C96,C$104-SUM(C$95:C95)))</f>
        <v>763336.96955166699</v>
      </c>
      <c r="D108" s="16">
        <f>IF(IF(SUM(D$95:D96)-D$104&lt;0,D96,D$104-SUM(D$95:D95))&lt;0,0,IF(SUM(D$95:D96)-D$104&lt;0,D96,D$104-SUM(D$95:D95)))</f>
        <v>1183066.7644147871</v>
      </c>
      <c r="E108" s="16">
        <f>IF(IF(SUM(E$95:E96)-E$104&lt;0,E96,E$104-SUM(E$95:E95))&lt;0,0,IF(SUM(E$95:E96)-E$104&lt;0,E96,E$104-SUM(E$95:E95)))</f>
        <v>1374888.3101601666</v>
      </c>
      <c r="F108" s="16">
        <f>IF(IF(SUM(F$95:F96)-F$104&lt;0,F96,F$104-SUM(F$95:F95))&lt;0,0,IF(SUM(F$95:F96)-F$104&lt;0,F96,F$104-SUM(F$95:F95)))</f>
        <v>1374888.3101601666</v>
      </c>
      <c r="G108" s="16">
        <f>IF(IF(SUM(G$95:G96)-G$104&lt;0,G96,G$104-SUM(G$95:G95))&lt;0,0,IF(SUM(G$95:G96)-G$104&lt;0,G96,G$104-SUM(G$95:G95)))</f>
        <v>1374888.3101601666</v>
      </c>
      <c r="H108" s="16">
        <f>IF(IF(SUM(H$95:H96)-H$104&lt;0,H96,H$104-SUM(H$95:H95))&lt;0,0,IF(SUM(H$95:H96)-H$104&lt;0,H96,H$104-SUM(H$95:H95)))</f>
        <v>1374888.3101601666</v>
      </c>
      <c r="I108" s="16">
        <f>IF(IF(SUM(I$95:I96)-I$104&lt;0,I96,I$104-SUM(I$95:I95))&lt;0,0,IF(SUM(I$95:I96)-I$104&lt;0,I96,I$104-SUM(I$95:I95)))</f>
        <v>1374888.3101601666</v>
      </c>
      <c r="J108" s="16">
        <f>IF(IF(SUM(J$95:J96)-J$104&lt;0,J96,J$104-SUM(J$95:J95))&lt;0,0,IF(SUM(J$95:J96)-J$104&lt;0,J96,J$104-SUM(J$95:J95)))</f>
        <v>1374888.3101601666</v>
      </c>
      <c r="K108" s="16">
        <f>IF(IF(SUM(K$95:K96)-K$104&lt;0,K96,K$104-SUM(K$95:K95))&lt;0,0,IF(SUM(K$95:K96)-K$104&lt;0,K96,K$104-SUM(K$95:K95)))</f>
        <v>1374888.3101601666</v>
      </c>
      <c r="L108" s="16">
        <f>IF(IF(SUM(L$95:L96)-L$104&lt;0,L96,L$104-SUM(L$95:L95))&lt;0,0,IF(SUM(L$95:L96)-L$104&lt;0,L96,L$104-SUM(L$95:L95)))</f>
        <v>1374888.3101601666</v>
      </c>
    </row>
    <row r="109" spans="1:12" x14ac:dyDescent="0.25">
      <c r="A109">
        <v>3</v>
      </c>
      <c r="B109" s="16">
        <f>IF(IF(SUM(B$95:B97)-B$104&lt;0,B97,B$104-SUM(B$95:B96))&lt;0,0,IF(SUM(B$95:B97)-B$104&lt;0,B97,B$104-SUM(B$95:B96)))</f>
        <v>525600</v>
      </c>
      <c r="C109" s="16">
        <f>IF(IF(SUM(C$95:C97)-C$104&lt;0,C97,C$104-SUM(C$95:C96))&lt;0,0,IF(SUM(C$95:C97)-C$104&lt;0,C97,C$104-SUM(C$95:C96)))</f>
        <v>916004.36346200039</v>
      </c>
      <c r="D109" s="16">
        <f>IF(IF(SUM(D$95:D97)-D$104&lt;0,D97,D$104-SUM(D$95:D96))&lt;0,0,IF(SUM(D$95:D97)-D$104&lt;0,D97,D$104-SUM(D$95:D96)))</f>
        <v>1419680.1172977444</v>
      </c>
      <c r="E109" s="16">
        <f>IF(IF(SUM(E$95:E97)-E$104&lt;0,E97,E$104-SUM(E$95:E96))&lt;0,0,IF(SUM(E$95:E97)-E$104&lt;0,E97,E$104-SUM(E$95:E96)))</f>
        <v>1649865.9721921999</v>
      </c>
      <c r="F109" s="16">
        <f>IF(IF(SUM(F$95:F97)-F$104&lt;0,F97,F$104-SUM(F$95:F96))&lt;0,0,IF(SUM(F$95:F97)-F$104&lt;0,F97,F$104-SUM(F$95:F96)))</f>
        <v>1649865.9721921999</v>
      </c>
      <c r="G109" s="16">
        <f>IF(IF(SUM(G$95:G97)-G$104&lt;0,G97,G$104-SUM(G$95:G96))&lt;0,0,IF(SUM(G$95:G97)-G$104&lt;0,G97,G$104-SUM(G$95:G96)))</f>
        <v>1649865.9721921999</v>
      </c>
      <c r="H109" s="16">
        <f>IF(IF(SUM(H$95:H97)-H$104&lt;0,H97,H$104-SUM(H$95:H96))&lt;0,0,IF(SUM(H$95:H97)-H$104&lt;0,H97,H$104-SUM(H$95:H96)))</f>
        <v>1649865.9721921999</v>
      </c>
      <c r="I109" s="16">
        <f>IF(IF(SUM(I$95:I97)-I$104&lt;0,I97,I$104-SUM(I$95:I96))&lt;0,0,IF(SUM(I$95:I97)-I$104&lt;0,I97,I$104-SUM(I$95:I96)))</f>
        <v>1649865.9721921999</v>
      </c>
      <c r="J109" s="16">
        <f>IF(IF(SUM(J$95:J97)-J$104&lt;0,J97,J$104-SUM(J$95:J96))&lt;0,0,IF(SUM(J$95:J97)-J$104&lt;0,J97,J$104-SUM(J$95:J96)))</f>
        <v>1649865.9721921999</v>
      </c>
      <c r="K109" s="16">
        <f>IF(IF(SUM(K$95:K97)-K$104&lt;0,K97,K$104-SUM(K$95:K96))&lt;0,0,IF(SUM(K$95:K97)-K$104&lt;0,K97,K$104-SUM(K$95:K96)))</f>
        <v>1649865.9721921999</v>
      </c>
      <c r="L109" s="16">
        <f>IF(IF(SUM(L$95:L97)-L$104&lt;0,L97,L$104-SUM(L$95:L96))&lt;0,0,IF(SUM(L$95:L97)-L$104&lt;0,L97,L$104-SUM(L$95:L96)))</f>
        <v>1649865.9721921999</v>
      </c>
    </row>
    <row r="110" spans="1:12" x14ac:dyDescent="0.25">
      <c r="A110">
        <v>4</v>
      </c>
      <c r="B110" s="16">
        <f>IF(IF(SUM(B$95:B98)-B$104&lt;0,B98,B$104-SUM(B$95:B97))&lt;0,0,IF(SUM(B$95:B98)-B$104&lt;0,B98,B$104-SUM(B$95:B97)))</f>
        <v>1051200</v>
      </c>
      <c r="C110" s="16">
        <f>IF(IF(SUM(C$95:C98)-C$104&lt;0,C98,C$104-SUM(C$95:C97))&lt;0,0,IF(SUM(C$95:C98)-C$104&lt;0,C98,C$104-SUM(C$95:C97)))</f>
        <v>1051200</v>
      </c>
      <c r="D110" s="16">
        <f>IF(IF(SUM(D$95:D98)-D$104&lt;0,D98,D$104-SUM(D$95:D97))&lt;0,0,IF(SUM(D$95:D98)-D$104&lt;0,D98,D$104-SUM(D$95:D97)))</f>
        <v>1051200</v>
      </c>
      <c r="E110" s="16">
        <f>IF(IF(SUM(E$95:E98)-E$104&lt;0,E98,E$104-SUM(E$95:E97))&lt;0,0,IF(SUM(E$95:E98)-E$104&lt;0,E98,E$104-SUM(E$95:E97)))</f>
        <v>1051200</v>
      </c>
      <c r="F110" s="16">
        <f>IF(IF(SUM(F$95:F98)-F$104&lt;0,F98,F$104-SUM(F$95:F97))&lt;0,0,IF(SUM(F$95:F98)-F$104&lt;0,F98,F$104-SUM(F$95:F97)))</f>
        <v>1051200</v>
      </c>
      <c r="G110" s="16">
        <f>IF(IF(SUM(G$95:G98)-G$104&lt;0,G98,G$104-SUM(G$95:G97))&lt;0,0,IF(SUM(G$95:G98)-G$104&lt;0,G98,G$104-SUM(G$95:G97)))</f>
        <v>1051200</v>
      </c>
      <c r="H110" s="16">
        <f>IF(IF(SUM(H$95:H98)-H$104&lt;0,H98,H$104-SUM(H$95:H97))&lt;0,0,IF(SUM(H$95:H98)-H$104&lt;0,H98,H$104-SUM(H$95:H97)))</f>
        <v>1051200</v>
      </c>
      <c r="I110" s="16">
        <f>IF(IF(SUM(I$95:I98)-I$104&lt;0,I98,I$104-SUM(I$95:I97))&lt;0,0,IF(SUM(I$95:I98)-I$104&lt;0,I98,I$104-SUM(I$95:I97)))</f>
        <v>1051200</v>
      </c>
      <c r="J110" s="16">
        <f>IF(IF(SUM(J$95:J98)-J$104&lt;0,J98,J$104-SUM(J$95:J97))&lt;0,0,IF(SUM(J$95:J98)-J$104&lt;0,J98,J$104-SUM(J$95:J97)))</f>
        <v>1051200</v>
      </c>
      <c r="K110" s="16">
        <f>IF(IF(SUM(K$95:K98)-K$104&lt;0,K98,K$104-SUM(K$95:K97))&lt;0,0,IF(SUM(K$95:K98)-K$104&lt;0,K98,K$104-SUM(K$95:K97)))</f>
        <v>1051200</v>
      </c>
      <c r="L110" s="16">
        <f>IF(IF(SUM(L$95:L98)-L$104&lt;0,L98,L$104-SUM(L$95:L97))&lt;0,0,IF(SUM(L$95:L98)-L$104&lt;0,L98,L$104-SUM(L$95:L97)))</f>
        <v>1051200</v>
      </c>
    </row>
    <row r="111" spans="1:12" x14ac:dyDescent="0.25">
      <c r="A111">
        <v>5</v>
      </c>
      <c r="B111" s="16">
        <f>IF(IF(SUM(B$95:B99)-B$104&lt;0,B99,B$104-SUM(B$95:B98))&lt;0,0,IF(SUM(B$95:B99)-B$104&lt;0,B99,B$104-SUM(B$95:B98)))</f>
        <v>15768000</v>
      </c>
      <c r="C111" s="16">
        <f>IF(IF(SUM(C$95:C99)-C$104&lt;0,C99,C$104-SUM(C$95:C98))&lt;0,0,IF(SUM(C$95:C99)-C$104&lt;0,C99,C$104-SUM(C$95:C98)))</f>
        <v>7884000</v>
      </c>
      <c r="D111" s="16">
        <f>IF(IF(SUM(D$95:D99)-D$104&lt;0,D99,D$104-SUM(D$95:D98))&lt;0,0,IF(SUM(D$95:D99)-D$104&lt;0,D99,D$104-SUM(D$95:D98)))</f>
        <v>7884000</v>
      </c>
      <c r="E111" s="16">
        <f>IF(IF(SUM(E$95:E99)-E$104&lt;0,E99,E$104-SUM(E$95:E98))&lt;0,0,IF(SUM(E$95:E99)-E$104&lt;0,E99,E$104-SUM(E$95:E98)))</f>
        <v>7884000</v>
      </c>
      <c r="F111" s="16">
        <f>IF(IF(SUM(F$95:F99)-F$104&lt;0,F99,F$104-SUM(F$95:F98))&lt;0,0,IF(SUM(F$95:F99)-F$104&lt;0,F99,F$104-SUM(F$95:F98)))</f>
        <v>7884000</v>
      </c>
      <c r="G111" s="16">
        <f>IF(IF(SUM(G$95:G99)-G$104&lt;0,G99,G$104-SUM(G$95:G98))&lt;0,0,IF(SUM(G$95:G99)-G$104&lt;0,G99,G$104-SUM(G$95:G98)))</f>
        <v>7884000</v>
      </c>
      <c r="H111" s="16">
        <f>IF(IF(SUM(H$95:H99)-H$104&lt;0,H99,H$104-SUM(H$95:H98))&lt;0,0,IF(SUM(H$95:H99)-H$104&lt;0,H99,H$104-SUM(H$95:H98)))</f>
        <v>7884000</v>
      </c>
      <c r="I111" s="16">
        <f>IF(IF(SUM(I$95:I99)-I$104&lt;0,I99,I$104-SUM(I$95:I98))&lt;0,0,IF(SUM(I$95:I99)-I$104&lt;0,I99,I$104-SUM(I$95:I98)))</f>
        <v>7884000</v>
      </c>
      <c r="J111" s="16">
        <f>IF(IF(SUM(J$95:J99)-J$104&lt;0,J99,J$104-SUM(J$95:J98))&lt;0,0,IF(SUM(J$95:J99)-J$104&lt;0,J99,J$104-SUM(J$95:J98)))</f>
        <v>7884000</v>
      </c>
      <c r="K111" s="16">
        <f>IF(IF(SUM(K$95:K99)-K$104&lt;0,K99,K$104-SUM(K$95:K98))&lt;0,0,IF(SUM(K$95:K99)-K$104&lt;0,K99,K$104-SUM(K$95:K98)))</f>
        <v>7884000</v>
      </c>
      <c r="L111" s="16">
        <f>IF(IF(SUM(L$95:L99)-L$104&lt;0,L99,L$104-SUM(L$95:L98))&lt;0,0,IF(SUM(L$95:L99)-L$104&lt;0,L99,L$104-SUM(L$95:L98)))</f>
        <v>7884000</v>
      </c>
    </row>
    <row r="112" spans="1:12" x14ac:dyDescent="0.25">
      <c r="A112">
        <v>6</v>
      </c>
      <c r="B112" s="16">
        <f>IF(IF(SUM(B$95:B100)-B$104&lt;0,B100,B$104-SUM(B$95:B99))&lt;0,0,IF(SUM(B$95:B100)-B$104&lt;0,B100,B$104-SUM(B$95:B99)))</f>
        <v>21024000</v>
      </c>
      <c r="C112" s="16">
        <f>IF(IF(SUM(C$95:C100)-C$104&lt;0,C100,C$104-SUM(C$95:C99))&lt;0,0,IF(SUM(C$95:C100)-C$104&lt;0,C100,C$104-SUM(C$95:C99)))</f>
        <v>21024000</v>
      </c>
      <c r="D112" s="16">
        <f>IF(IF(SUM(D$95:D100)-D$104&lt;0,D100,D$104-SUM(D$95:D99))&lt;0,0,IF(SUM(D$95:D100)-D$104&lt;0,D100,D$104-SUM(D$95:D99)))</f>
        <v>15768000</v>
      </c>
      <c r="E112" s="16">
        <f>IF(IF(SUM(E$95:E100)-E$104&lt;0,E100,E$104-SUM(E$95:E99))&lt;0,0,IF(SUM(E$95:E100)-E$104&lt;0,E100,E$104-SUM(E$95:E99)))</f>
        <v>10512000</v>
      </c>
      <c r="F112" s="16">
        <f>IF(IF(SUM(F$95:F100)-F$104&lt;0,F100,F$104-SUM(F$95:F99))&lt;0,0,IF(SUM(F$95:F100)-F$104&lt;0,F100,F$104-SUM(F$95:F99)))</f>
        <v>10512000</v>
      </c>
      <c r="G112" s="16">
        <f>IF(IF(SUM(G$95:G100)-G$104&lt;0,G100,G$104-SUM(G$95:G99))&lt;0,0,IF(SUM(G$95:G100)-G$104&lt;0,G100,G$104-SUM(G$95:G99)))</f>
        <v>10512000</v>
      </c>
      <c r="H112" s="16">
        <f>IF(IF(SUM(H$95:H100)-H$104&lt;0,H100,H$104-SUM(H$95:H99))&lt;0,0,IF(SUM(H$95:H100)-H$104&lt;0,H100,H$104-SUM(H$95:H99)))</f>
        <v>10512000</v>
      </c>
      <c r="I112" s="16">
        <f>IF(IF(SUM(I$95:I100)-I$104&lt;0,I100,I$104-SUM(I$95:I99))&lt;0,0,IF(SUM(I$95:I100)-I$104&lt;0,I100,I$104-SUM(I$95:I99)))</f>
        <v>10512000</v>
      </c>
      <c r="J112" s="16">
        <f>IF(IF(SUM(J$95:J100)-J$104&lt;0,J100,J$104-SUM(J$95:J99))&lt;0,0,IF(SUM(J$95:J100)-J$104&lt;0,J100,J$104-SUM(J$95:J99)))</f>
        <v>10512000</v>
      </c>
      <c r="K112" s="16">
        <f>IF(IF(SUM(K$95:K100)-K$104&lt;0,K100,K$104-SUM(K$95:K99))&lt;0,0,IF(SUM(K$95:K100)-K$104&lt;0,K100,K$104-SUM(K$95:K99)))</f>
        <v>10512000</v>
      </c>
      <c r="L112" s="16">
        <f>IF(IF(SUM(L$95:L100)-L$104&lt;0,L100,L$104-SUM(L$95:L99))&lt;0,0,IF(SUM(L$95:L100)-L$104&lt;0,L100,L$104-SUM(L$95:L99)))</f>
        <v>10512000</v>
      </c>
    </row>
    <row r="113" spans="1:12" x14ac:dyDescent="0.25">
      <c r="A113">
        <v>7</v>
      </c>
      <c r="B113" s="16">
        <f>IF(IF(SUM(B$95:B101)-B$104&lt;0,B101,B$104-SUM(B$95:B100))&lt;0,0,IF(SUM(B$95:B101)-B$104&lt;0,B101,B$104-SUM(B$95:B100)))</f>
        <v>17312520</v>
      </c>
      <c r="C113" s="16">
        <f>IF(IF(SUM(C$95:C101)-C$104&lt;0,C101,C$104-SUM(C$95:C100))&lt;0,0,IF(SUM(C$95:C101)-C$104&lt;0,C101,C$104-SUM(C$95:C100)))</f>
        <v>20592845.941021323</v>
      </c>
      <c r="D113" s="16">
        <f>IF(IF(SUM(D$95:D101)-D$104&lt;0,D101,D$104-SUM(D$95:D100))&lt;0,0,IF(SUM(D$95:D101)-D$104&lt;0,D101,D$104-SUM(D$95:D100)))</f>
        <v>20447399.53096145</v>
      </c>
      <c r="E113" s="16">
        <f>IF(IF(SUM(E$95:E101)-E$104&lt;0,E101,E$104-SUM(E$95:E100))&lt;0,0,IF(SUM(E$95:E101)-E$104&lt;0,E101,E$104-SUM(E$95:E100)))</f>
        <v>20627978.143947948</v>
      </c>
      <c r="F113" s="16">
        <f>IF(IF(SUM(F$95:F101)-F$104&lt;0,F101,F$104-SUM(F$95:F100))&lt;0,0,IF(SUM(F$95:F101)-F$104&lt;0,F101,F$104-SUM(F$95:F100)))</f>
        <v>19046332.069239426</v>
      </c>
      <c r="G113" s="16">
        <f>IF(IF(SUM(G$95:G101)-G$104&lt;0,G101,G$104-SUM(G$95:G100))&lt;0,0,IF(SUM(G$95:G101)-G$104&lt;0,G101,G$104-SUM(G$95:G100)))</f>
        <v>18253725.416441068</v>
      </c>
      <c r="H113" s="16">
        <f>IF(IF(SUM(H$95:H101)-H$104&lt;0,H101,H$104-SUM(H$95:H100))&lt;0,0,IF(SUM(H$95:H101)-H$104&lt;0,H101,H$104-SUM(H$95:H100)))</f>
        <v>18003614.166441068</v>
      </c>
      <c r="I113" s="16">
        <f>IF(IF(SUM(I$95:I101)-I$104&lt;0,I101,I$104-SUM(I$95:I100))&lt;0,0,IF(SUM(I$95:I101)-I$104&lt;0,I101,I$104-SUM(I$95:I100)))</f>
        <v>17594772.916441068</v>
      </c>
      <c r="J113" s="16">
        <f>IF(IF(SUM(J$95:J101)-J$104&lt;0,J101,J$104-SUM(J$95:J100))&lt;0,0,IF(SUM(J$95:J101)-J$104&lt;0,J101,J$104-SUM(J$95:J100)))</f>
        <v>17233384.166441068</v>
      </c>
      <c r="K113" s="16">
        <f>IF(IF(SUM(K$95:K101)-K$104&lt;0,K101,K$104-SUM(K$95:K100))&lt;0,0,IF(SUM(K$95:K101)-K$104&lt;0,K101,K$104-SUM(K$95:K100)))</f>
        <v>16902797.916441068</v>
      </c>
      <c r="L113" s="16">
        <f>IF(IF(SUM(L$95:L101)-L$104&lt;0,L101,L$104-SUM(L$95:L100))&lt;0,0,IF(SUM(L$95:L101)-L$104&lt;0,L101,L$104-SUM(L$95:L100)))</f>
        <v>16556394.166441068</v>
      </c>
    </row>
    <row r="115" spans="1:12" x14ac:dyDescent="0.25">
      <c r="A115" s="9" t="s">
        <v>426</v>
      </c>
      <c r="B115" s="9">
        <v>0</v>
      </c>
      <c r="C115" s="9">
        <v>1</v>
      </c>
      <c r="D115" s="9">
        <v>2</v>
      </c>
      <c r="E115" s="9">
        <v>3</v>
      </c>
      <c r="F115" s="9">
        <v>4</v>
      </c>
      <c r="G115" s="9">
        <v>5</v>
      </c>
      <c r="H115" s="9">
        <v>6</v>
      </c>
      <c r="I115" s="9">
        <v>7</v>
      </c>
      <c r="J115" s="9">
        <v>8</v>
      </c>
      <c r="K115" s="9">
        <v>9</v>
      </c>
      <c r="L115" s="9">
        <v>10</v>
      </c>
    </row>
    <row r="116" spans="1:12" x14ac:dyDescent="0.25">
      <c r="A116">
        <v>1</v>
      </c>
      <c r="B116" s="16">
        <f>SUM(B107,B86)</f>
        <v>1752000</v>
      </c>
      <c r="C116" s="16">
        <f t="shared" ref="C116:L116" si="17">SUM(C107,C86)</f>
        <v>3272347.878206668</v>
      </c>
      <c r="D116" s="16">
        <f t="shared" si="17"/>
        <v>5170267.0576591482</v>
      </c>
      <c r="E116" s="16">
        <f t="shared" si="17"/>
        <v>7246974.0508459834</v>
      </c>
      <c r="F116" s="16">
        <f t="shared" si="17"/>
        <v>7316521.1208691401</v>
      </c>
      <c r="G116" s="16">
        <f t="shared" si="17"/>
        <v>7217325.8291988419</v>
      </c>
      <c r="H116" s="16">
        <f t="shared" si="17"/>
        <v>7102512.0791988419</v>
      </c>
      <c r="I116" s="16">
        <f t="shared" si="17"/>
        <v>7060628.3291988419</v>
      </c>
      <c r="J116" s="16">
        <f t="shared" si="17"/>
        <v>6996942.0791988419</v>
      </c>
      <c r="K116" s="16">
        <f t="shared" si="17"/>
        <v>6919103.3291988419</v>
      </c>
      <c r="L116" s="16">
        <f t="shared" si="17"/>
        <v>6848532.0791988419</v>
      </c>
    </row>
    <row r="117" spans="1:12" x14ac:dyDescent="0.25">
      <c r="A117">
        <v>2</v>
      </c>
      <c r="B117" s="16">
        <f t="shared" ref="B117:L122" si="18">SUM(B108,B87)</f>
        <v>438000</v>
      </c>
      <c r="C117" s="16">
        <f t="shared" si="18"/>
        <v>763336.96955166699</v>
      </c>
      <c r="D117" s="16">
        <f t="shared" si="18"/>
        <v>1183066.7644147871</v>
      </c>
      <c r="E117" s="16">
        <f t="shared" si="18"/>
        <v>1374888.3101601666</v>
      </c>
      <c r="F117" s="16">
        <f t="shared" si="18"/>
        <v>1374888.3101601666</v>
      </c>
      <c r="G117" s="16">
        <f t="shared" si="18"/>
        <v>1374888.3101601666</v>
      </c>
      <c r="H117" s="16">
        <f t="shared" si="18"/>
        <v>1374888.3101601666</v>
      </c>
      <c r="I117" s="16">
        <f t="shared" si="18"/>
        <v>1374888.3101601666</v>
      </c>
      <c r="J117" s="16">
        <f t="shared" si="18"/>
        <v>1374888.3101601666</v>
      </c>
      <c r="K117" s="16">
        <f t="shared" si="18"/>
        <v>1374888.3101601666</v>
      </c>
      <c r="L117" s="16">
        <f t="shared" si="18"/>
        <v>1374888.3101601666</v>
      </c>
    </row>
    <row r="118" spans="1:12" x14ac:dyDescent="0.25">
      <c r="A118">
        <v>3</v>
      </c>
      <c r="B118" s="16">
        <f t="shared" si="18"/>
        <v>525600</v>
      </c>
      <c r="C118" s="16">
        <f t="shared" si="18"/>
        <v>916004.36346200039</v>
      </c>
      <c r="D118" s="16">
        <f t="shared" si="18"/>
        <v>1419680.1172977444</v>
      </c>
      <c r="E118" s="16">
        <f t="shared" si="18"/>
        <v>1649865.9721921999</v>
      </c>
      <c r="F118" s="16">
        <f t="shared" si="18"/>
        <v>1649865.9721921999</v>
      </c>
      <c r="G118" s="16">
        <f t="shared" si="18"/>
        <v>1649865.9721921999</v>
      </c>
      <c r="H118" s="16">
        <f t="shared" si="18"/>
        <v>1649865.9721921999</v>
      </c>
      <c r="I118" s="16">
        <f t="shared" si="18"/>
        <v>1649865.9721921999</v>
      </c>
      <c r="J118" s="16">
        <f t="shared" si="18"/>
        <v>1649865.9721921999</v>
      </c>
      <c r="K118" s="16">
        <f t="shared" si="18"/>
        <v>1649865.9721921999</v>
      </c>
      <c r="L118" s="16">
        <f t="shared" si="18"/>
        <v>1649865.9721921999</v>
      </c>
    </row>
    <row r="119" spans="1:12" x14ac:dyDescent="0.25">
      <c r="A119">
        <v>4</v>
      </c>
      <c r="B119" s="16">
        <f t="shared" si="18"/>
        <v>1051200</v>
      </c>
      <c r="C119" s="16">
        <f t="shared" si="18"/>
        <v>1051200</v>
      </c>
      <c r="D119" s="16">
        <f t="shared" si="18"/>
        <v>1051200</v>
      </c>
      <c r="E119" s="16">
        <f t="shared" si="18"/>
        <v>1051200</v>
      </c>
      <c r="F119" s="16">
        <f t="shared" si="18"/>
        <v>1051200</v>
      </c>
      <c r="G119" s="16">
        <f t="shared" si="18"/>
        <v>1051200</v>
      </c>
      <c r="H119" s="16">
        <f t="shared" si="18"/>
        <v>1051200</v>
      </c>
      <c r="I119" s="16">
        <f t="shared" si="18"/>
        <v>1051200</v>
      </c>
      <c r="J119" s="16">
        <f t="shared" si="18"/>
        <v>1051200</v>
      </c>
      <c r="K119" s="16">
        <f t="shared" si="18"/>
        <v>1051200</v>
      </c>
      <c r="L119" s="16">
        <f t="shared" si="18"/>
        <v>1051200</v>
      </c>
    </row>
    <row r="120" spans="1:12" x14ac:dyDescent="0.25">
      <c r="A120">
        <v>5</v>
      </c>
      <c r="B120" s="16">
        <f t="shared" si="18"/>
        <v>15768000</v>
      </c>
      <c r="C120" s="16">
        <f t="shared" si="18"/>
        <v>7884000</v>
      </c>
      <c r="D120" s="16">
        <f t="shared" si="18"/>
        <v>7884000</v>
      </c>
      <c r="E120" s="16">
        <f t="shared" si="18"/>
        <v>7884000</v>
      </c>
      <c r="F120" s="16">
        <f t="shared" si="18"/>
        <v>7884000</v>
      </c>
      <c r="G120" s="16">
        <f t="shared" si="18"/>
        <v>7884000</v>
      </c>
      <c r="H120" s="16">
        <f t="shared" si="18"/>
        <v>7884000</v>
      </c>
      <c r="I120" s="16">
        <f t="shared" si="18"/>
        <v>7884000</v>
      </c>
      <c r="J120" s="16">
        <f t="shared" si="18"/>
        <v>7884000</v>
      </c>
      <c r="K120" s="16">
        <f t="shared" si="18"/>
        <v>7884000</v>
      </c>
      <c r="L120" s="16">
        <f t="shared" si="18"/>
        <v>7884000</v>
      </c>
    </row>
    <row r="121" spans="1:12" x14ac:dyDescent="0.25">
      <c r="A121">
        <v>6</v>
      </c>
      <c r="B121" s="16">
        <f t="shared" si="18"/>
        <v>21024000</v>
      </c>
      <c r="C121" s="16">
        <f t="shared" si="18"/>
        <v>21024000</v>
      </c>
      <c r="D121" s="16">
        <f t="shared" si="18"/>
        <v>15768000</v>
      </c>
      <c r="E121" s="16">
        <f t="shared" si="18"/>
        <v>10512000</v>
      </c>
      <c r="F121" s="16">
        <f t="shared" si="18"/>
        <v>10512000</v>
      </c>
      <c r="G121" s="16">
        <f t="shared" si="18"/>
        <v>10512000</v>
      </c>
      <c r="H121" s="16">
        <f t="shared" si="18"/>
        <v>10512000</v>
      </c>
      <c r="I121" s="16">
        <f t="shared" si="18"/>
        <v>10512000</v>
      </c>
      <c r="J121" s="16">
        <f t="shared" si="18"/>
        <v>10512000</v>
      </c>
      <c r="K121" s="16">
        <f t="shared" si="18"/>
        <v>10512000</v>
      </c>
      <c r="L121" s="16">
        <f t="shared" si="18"/>
        <v>10512000</v>
      </c>
    </row>
    <row r="122" spans="1:12" x14ac:dyDescent="0.25">
      <c r="A122">
        <v>7</v>
      </c>
      <c r="B122" s="16">
        <f t="shared" si="18"/>
        <v>17312520</v>
      </c>
      <c r="C122" s="16">
        <f t="shared" si="18"/>
        <v>20592845.941021323</v>
      </c>
      <c r="D122" s="16">
        <f t="shared" si="18"/>
        <v>20447399.53096145</v>
      </c>
      <c r="E122" s="16">
        <f t="shared" si="18"/>
        <v>20627978.143947948</v>
      </c>
      <c r="F122" s="16">
        <f t="shared" si="18"/>
        <v>19046332.069239426</v>
      </c>
      <c r="G122" s="16">
        <f t="shared" si="18"/>
        <v>18253725.416441068</v>
      </c>
      <c r="H122" s="16">
        <f t="shared" si="18"/>
        <v>18003614.166441068</v>
      </c>
      <c r="I122" s="16">
        <f t="shared" si="18"/>
        <v>17594772.916441068</v>
      </c>
      <c r="J122" s="16">
        <f t="shared" si="18"/>
        <v>17233384.166441068</v>
      </c>
      <c r="K122" s="16">
        <f t="shared" si="18"/>
        <v>16902797.916441068</v>
      </c>
      <c r="L122" s="16">
        <f t="shared" si="18"/>
        <v>16556394.166441068</v>
      </c>
    </row>
    <row r="124" spans="1:12" x14ac:dyDescent="0.25">
      <c r="A124" s="9" t="s">
        <v>122</v>
      </c>
      <c r="B124" s="9">
        <v>0</v>
      </c>
      <c r="C124" s="9">
        <v>1</v>
      </c>
      <c r="D124" s="9">
        <v>2</v>
      </c>
      <c r="E124" s="9">
        <v>3</v>
      </c>
      <c r="F124" s="9">
        <v>4</v>
      </c>
      <c r="G124" s="9">
        <v>5</v>
      </c>
      <c r="H124" s="9">
        <v>6</v>
      </c>
      <c r="I124" s="9">
        <v>7</v>
      </c>
      <c r="J124" s="9">
        <v>8</v>
      </c>
      <c r="K124" s="9">
        <v>9</v>
      </c>
      <c r="L124" s="9">
        <v>10</v>
      </c>
    </row>
    <row r="125" spans="1:12" x14ac:dyDescent="0.25">
      <c r="A125" t="s">
        <v>7</v>
      </c>
      <c r="B125">
        <f>INDEX(B$116:B$122,MATCH($A125,B$63:B$69,0),1)</f>
        <v>21024000</v>
      </c>
      <c r="C125">
        <f t="shared" ref="C125:L125" si="19">INDEX(C$116:C$122,MATCH($A125,C$63:C$69,0),1)</f>
        <v>21024000</v>
      </c>
      <c r="D125">
        <f t="shared" si="19"/>
        <v>15768000</v>
      </c>
      <c r="E125">
        <f t="shared" si="19"/>
        <v>10512000</v>
      </c>
      <c r="F125">
        <f t="shared" si="19"/>
        <v>10512000</v>
      </c>
      <c r="G125">
        <f t="shared" si="19"/>
        <v>10512000</v>
      </c>
      <c r="H125">
        <f t="shared" si="19"/>
        <v>10512000</v>
      </c>
      <c r="I125">
        <f t="shared" si="19"/>
        <v>10512000</v>
      </c>
      <c r="J125">
        <f t="shared" si="19"/>
        <v>10512000</v>
      </c>
      <c r="K125">
        <f t="shared" si="19"/>
        <v>10512000</v>
      </c>
      <c r="L125">
        <f t="shared" si="19"/>
        <v>10512000</v>
      </c>
    </row>
    <row r="126" spans="1:12" x14ac:dyDescent="0.25">
      <c r="A126" t="s">
        <v>8</v>
      </c>
      <c r="B126">
        <f t="shared" ref="B126:L131" si="20">INDEX(B$116:B$122,MATCH($A126,B$63:B$69,0),1)</f>
        <v>17312520</v>
      </c>
      <c r="C126">
        <f t="shared" si="20"/>
        <v>20592845.941021323</v>
      </c>
      <c r="D126">
        <f t="shared" si="20"/>
        <v>20447399.53096145</v>
      </c>
      <c r="E126">
        <f t="shared" si="20"/>
        <v>20627978.143947948</v>
      </c>
      <c r="F126">
        <f t="shared" si="20"/>
        <v>19046332.069239426</v>
      </c>
      <c r="G126">
        <f t="shared" si="20"/>
        <v>18253725.416441068</v>
      </c>
      <c r="H126">
        <f t="shared" si="20"/>
        <v>18003614.166441068</v>
      </c>
      <c r="I126">
        <f t="shared" si="20"/>
        <v>17594772.916441068</v>
      </c>
      <c r="J126">
        <f t="shared" si="20"/>
        <v>17233384.166441068</v>
      </c>
      <c r="K126">
        <f t="shared" si="20"/>
        <v>16902797.916441068</v>
      </c>
      <c r="L126">
        <f t="shared" si="20"/>
        <v>16556394.166441068</v>
      </c>
    </row>
    <row r="127" spans="1:12" x14ac:dyDescent="0.25">
      <c r="A127" t="s">
        <v>13</v>
      </c>
      <c r="B127">
        <f t="shared" si="20"/>
        <v>15768000</v>
      </c>
      <c r="C127">
        <f t="shared" si="20"/>
        <v>7884000</v>
      </c>
      <c r="D127">
        <f t="shared" si="20"/>
        <v>7884000</v>
      </c>
      <c r="E127">
        <f t="shared" si="20"/>
        <v>7884000</v>
      </c>
      <c r="F127">
        <f t="shared" si="20"/>
        <v>7884000</v>
      </c>
      <c r="G127">
        <f t="shared" si="20"/>
        <v>7884000</v>
      </c>
      <c r="H127">
        <f t="shared" si="20"/>
        <v>7884000</v>
      </c>
      <c r="I127">
        <f t="shared" si="20"/>
        <v>7884000</v>
      </c>
      <c r="J127">
        <f t="shared" si="20"/>
        <v>7884000</v>
      </c>
      <c r="K127">
        <f t="shared" si="20"/>
        <v>7884000</v>
      </c>
      <c r="L127">
        <f t="shared" si="20"/>
        <v>7884000</v>
      </c>
    </row>
    <row r="128" spans="1:12" x14ac:dyDescent="0.25">
      <c r="A128" t="s">
        <v>9</v>
      </c>
      <c r="B128">
        <f t="shared" si="20"/>
        <v>438000</v>
      </c>
      <c r="C128">
        <f t="shared" si="20"/>
        <v>763336.96955166699</v>
      </c>
      <c r="D128">
        <f t="shared" si="20"/>
        <v>1183066.7644147871</v>
      </c>
      <c r="E128">
        <f t="shared" si="20"/>
        <v>1374888.3101601666</v>
      </c>
      <c r="F128">
        <f t="shared" si="20"/>
        <v>1374888.3101601666</v>
      </c>
      <c r="G128">
        <f t="shared" si="20"/>
        <v>1374888.3101601666</v>
      </c>
      <c r="H128">
        <f t="shared" si="20"/>
        <v>1374888.3101601666</v>
      </c>
      <c r="I128">
        <f t="shared" si="20"/>
        <v>1374888.3101601666</v>
      </c>
      <c r="J128">
        <f t="shared" si="20"/>
        <v>1374888.3101601666</v>
      </c>
      <c r="K128">
        <f t="shared" si="20"/>
        <v>1374888.3101601666</v>
      </c>
      <c r="L128">
        <f t="shared" si="20"/>
        <v>1374888.3101601666</v>
      </c>
    </row>
    <row r="129" spans="1:12" x14ac:dyDescent="0.25">
      <c r="A129" t="s">
        <v>10</v>
      </c>
      <c r="B129">
        <f t="shared" si="20"/>
        <v>525600</v>
      </c>
      <c r="C129">
        <f t="shared" si="20"/>
        <v>916004.36346200039</v>
      </c>
      <c r="D129">
        <f t="shared" si="20"/>
        <v>1419680.1172977444</v>
      </c>
      <c r="E129">
        <f t="shared" si="20"/>
        <v>1649865.9721921999</v>
      </c>
      <c r="F129">
        <f t="shared" si="20"/>
        <v>1649865.9721921999</v>
      </c>
      <c r="G129">
        <f t="shared" si="20"/>
        <v>1649865.9721921999</v>
      </c>
      <c r="H129">
        <f t="shared" si="20"/>
        <v>1649865.9721921999</v>
      </c>
      <c r="I129">
        <f t="shared" si="20"/>
        <v>1649865.9721921999</v>
      </c>
      <c r="J129">
        <f t="shared" si="20"/>
        <v>1649865.9721921999</v>
      </c>
      <c r="K129">
        <f t="shared" si="20"/>
        <v>1649865.9721921999</v>
      </c>
      <c r="L129">
        <f t="shared" si="20"/>
        <v>1649865.9721921999</v>
      </c>
    </row>
    <row r="130" spans="1:12" x14ac:dyDescent="0.25">
      <c r="A130" t="s">
        <v>11</v>
      </c>
      <c r="B130">
        <f t="shared" si="20"/>
        <v>1051200</v>
      </c>
      <c r="C130">
        <f t="shared" si="20"/>
        <v>1051200</v>
      </c>
      <c r="D130">
        <f t="shared" si="20"/>
        <v>1051200</v>
      </c>
      <c r="E130">
        <f t="shared" si="20"/>
        <v>1051200</v>
      </c>
      <c r="F130">
        <f t="shared" si="20"/>
        <v>1051200</v>
      </c>
      <c r="G130">
        <f t="shared" si="20"/>
        <v>1051200</v>
      </c>
      <c r="H130">
        <f t="shared" si="20"/>
        <v>1051200</v>
      </c>
      <c r="I130">
        <f t="shared" si="20"/>
        <v>1051200</v>
      </c>
      <c r="J130">
        <f t="shared" si="20"/>
        <v>1051200</v>
      </c>
      <c r="K130">
        <f t="shared" si="20"/>
        <v>1051200</v>
      </c>
      <c r="L130">
        <f t="shared" si="20"/>
        <v>1051200</v>
      </c>
    </row>
    <row r="131" spans="1:12" x14ac:dyDescent="0.25">
      <c r="A131" t="s">
        <v>12</v>
      </c>
      <c r="B131">
        <f t="shared" si="20"/>
        <v>1752000</v>
      </c>
      <c r="C131">
        <f t="shared" si="20"/>
        <v>3272347.878206668</v>
      </c>
      <c r="D131">
        <f t="shared" si="20"/>
        <v>5170267.0576591482</v>
      </c>
      <c r="E131">
        <f t="shared" si="20"/>
        <v>7246974.0508459834</v>
      </c>
      <c r="F131">
        <f t="shared" si="20"/>
        <v>7316521.1208691401</v>
      </c>
      <c r="G131">
        <f t="shared" si="20"/>
        <v>7217325.8291988419</v>
      </c>
      <c r="H131">
        <f t="shared" si="20"/>
        <v>7102512.0791988419</v>
      </c>
      <c r="I131">
        <f t="shared" si="20"/>
        <v>7060628.3291988419</v>
      </c>
      <c r="J131">
        <f t="shared" si="20"/>
        <v>6996942.0791988419</v>
      </c>
      <c r="K131">
        <f t="shared" si="20"/>
        <v>6919103.3291988419</v>
      </c>
      <c r="L131">
        <f t="shared" si="20"/>
        <v>6848532.0791988419</v>
      </c>
    </row>
    <row r="133" spans="1:12" x14ac:dyDescent="0.25">
      <c r="A133" s="9" t="s">
        <v>123</v>
      </c>
      <c r="B133" s="9">
        <v>0</v>
      </c>
      <c r="C133" s="9">
        <v>1</v>
      </c>
      <c r="D133" s="9">
        <v>2</v>
      </c>
      <c r="E133" s="9">
        <v>3</v>
      </c>
      <c r="F133" s="9">
        <v>4</v>
      </c>
      <c r="G133" s="9">
        <v>5</v>
      </c>
      <c r="H133" s="9">
        <v>6</v>
      </c>
      <c r="I133" s="9">
        <v>7</v>
      </c>
      <c r="J133" s="9">
        <v>8</v>
      </c>
      <c r="K133" s="9">
        <v>9</v>
      </c>
      <c r="L133" s="9">
        <v>10</v>
      </c>
    </row>
    <row r="134" spans="1:12" x14ac:dyDescent="0.25">
      <c r="A134" t="s">
        <v>7</v>
      </c>
      <c r="B134" s="33">
        <f>B125*'Game Assumptions'!$B54</f>
        <v>218124000</v>
      </c>
      <c r="C134" s="33">
        <f>C125*'Game Assumptions'!$B54</f>
        <v>218124000</v>
      </c>
      <c r="D134" s="33">
        <f>D125*'Game Assumptions'!$B54</f>
        <v>163593000</v>
      </c>
      <c r="E134" s="33">
        <f>E125*'Game Assumptions'!$B54</f>
        <v>109062000</v>
      </c>
      <c r="F134" s="33">
        <f>F125*'Game Assumptions'!$B54</f>
        <v>109062000</v>
      </c>
      <c r="G134" s="33">
        <f>G125*'Game Assumptions'!$B54</f>
        <v>109062000</v>
      </c>
      <c r="H134" s="33">
        <f>H125*'Game Assumptions'!$B54</f>
        <v>109062000</v>
      </c>
      <c r="I134" s="33">
        <f>I125*'Game Assumptions'!$B54</f>
        <v>109062000</v>
      </c>
      <c r="J134" s="33">
        <f>J125*'Game Assumptions'!$B54</f>
        <v>109062000</v>
      </c>
      <c r="K134" s="33">
        <f>K125*'Game Assumptions'!$B54</f>
        <v>109062000</v>
      </c>
      <c r="L134" s="33">
        <f>L125*'Game Assumptions'!$B54</f>
        <v>109062000</v>
      </c>
    </row>
    <row r="135" spans="1:12" x14ac:dyDescent="0.25">
      <c r="A135" t="s">
        <v>8</v>
      </c>
      <c r="B135" s="33">
        <f>B126*'Game Assumptions'!$B55</f>
        <v>117725136</v>
      </c>
      <c r="C135" s="33">
        <f>C126*'Game Assumptions'!$B55</f>
        <v>140031352.398945</v>
      </c>
      <c r="D135" s="33">
        <f>D126*'Game Assumptions'!$B55</f>
        <v>139042316.81053784</v>
      </c>
      <c r="E135" s="33">
        <f>E126*'Game Assumptions'!$B55</f>
        <v>140270251.37884605</v>
      </c>
      <c r="F135" s="33">
        <f>F126*'Game Assumptions'!$B55</f>
        <v>129515058.0708281</v>
      </c>
      <c r="G135" s="33">
        <f>G126*'Game Assumptions'!$B55</f>
        <v>124125332.83179925</v>
      </c>
      <c r="H135" s="33">
        <f>H126*'Game Assumptions'!$B55</f>
        <v>122424576.33179925</v>
      </c>
      <c r="I135" s="33">
        <f>I126*'Game Assumptions'!$B55</f>
        <v>119644455.83179925</v>
      </c>
      <c r="J135" s="33">
        <f>J126*'Game Assumptions'!$B55</f>
        <v>117187012.33179925</v>
      </c>
      <c r="K135" s="33">
        <f>K126*'Game Assumptions'!$B55</f>
        <v>114939025.83179925</v>
      </c>
      <c r="L135" s="33">
        <f>L126*'Game Assumptions'!$B55</f>
        <v>112583480.33179925</v>
      </c>
    </row>
    <row r="136" spans="1:12" x14ac:dyDescent="0.25">
      <c r="A136" t="s">
        <v>13</v>
      </c>
      <c r="B136" s="33">
        <f>B127*'Game Assumptions'!$B56</f>
        <v>164775600</v>
      </c>
      <c r="C136" s="33">
        <f>C127*'Game Assumptions'!$B56</f>
        <v>82387800</v>
      </c>
      <c r="D136" s="33">
        <f>D127*'Game Assumptions'!$B56</f>
        <v>82387800</v>
      </c>
      <c r="E136" s="33">
        <f>E127*'Game Assumptions'!$B56</f>
        <v>82387800</v>
      </c>
      <c r="F136" s="33">
        <f>F127*'Game Assumptions'!$B56</f>
        <v>82387800</v>
      </c>
      <c r="G136" s="33">
        <f>G127*'Game Assumptions'!$B56</f>
        <v>82387800</v>
      </c>
      <c r="H136" s="33">
        <f>H127*'Game Assumptions'!$B56</f>
        <v>82387800</v>
      </c>
      <c r="I136" s="33">
        <f>I127*'Game Assumptions'!$B56</f>
        <v>82387800</v>
      </c>
      <c r="J136" s="33">
        <f>J127*'Game Assumptions'!$B56</f>
        <v>82387800</v>
      </c>
      <c r="K136" s="33">
        <f>K127*'Game Assumptions'!$B56</f>
        <v>82387800</v>
      </c>
      <c r="L136" s="33">
        <f>L127*'Game Assumptions'!$B56</f>
        <v>82387800</v>
      </c>
    </row>
    <row r="137" spans="1:12" x14ac:dyDescent="0.25">
      <c r="A137" t="s">
        <v>9</v>
      </c>
      <c r="B137" s="33">
        <f>B128*'Game Assumptions'!$B57</f>
        <v>0</v>
      </c>
      <c r="C137" s="33">
        <f>C128*'Game Assumptions'!$B57</f>
        <v>0</v>
      </c>
      <c r="D137" s="33">
        <f>D128*'Game Assumptions'!$B57</f>
        <v>0</v>
      </c>
      <c r="E137" s="33">
        <f>E128*'Game Assumptions'!$B57</f>
        <v>0</v>
      </c>
      <c r="F137" s="33">
        <f>F128*'Game Assumptions'!$B57</f>
        <v>0</v>
      </c>
      <c r="G137" s="33">
        <f>G128*'Game Assumptions'!$B57</f>
        <v>0</v>
      </c>
      <c r="H137" s="33">
        <f>H128*'Game Assumptions'!$B57</f>
        <v>0</v>
      </c>
      <c r="I137" s="33">
        <f>I128*'Game Assumptions'!$B57</f>
        <v>0</v>
      </c>
      <c r="J137" s="33">
        <f>J128*'Game Assumptions'!$B57</f>
        <v>0</v>
      </c>
      <c r="K137" s="33">
        <f>K128*'Game Assumptions'!$B57</f>
        <v>0</v>
      </c>
      <c r="L137" s="33">
        <f>L128*'Game Assumptions'!$B57</f>
        <v>0</v>
      </c>
    </row>
    <row r="138" spans="1:12" x14ac:dyDescent="0.25">
      <c r="A138" t="s">
        <v>10</v>
      </c>
      <c r="B138" s="33">
        <f>B129*'Game Assumptions'!$B58</f>
        <v>0</v>
      </c>
      <c r="C138" s="33">
        <f>C129*'Game Assumptions'!$B58</f>
        <v>0</v>
      </c>
      <c r="D138" s="33">
        <f>D129*'Game Assumptions'!$B58</f>
        <v>0</v>
      </c>
      <c r="E138" s="33">
        <f>E129*'Game Assumptions'!$B58</f>
        <v>0</v>
      </c>
      <c r="F138" s="33">
        <f>F129*'Game Assumptions'!$B58</f>
        <v>0</v>
      </c>
      <c r="G138" s="33">
        <f>G129*'Game Assumptions'!$B58</f>
        <v>0</v>
      </c>
      <c r="H138" s="33">
        <f>H129*'Game Assumptions'!$B58</f>
        <v>0</v>
      </c>
      <c r="I138" s="33">
        <f>I129*'Game Assumptions'!$B58</f>
        <v>0</v>
      </c>
      <c r="J138" s="33">
        <f>J129*'Game Assumptions'!$B58</f>
        <v>0</v>
      </c>
      <c r="K138" s="33">
        <f>K129*'Game Assumptions'!$B58</f>
        <v>0</v>
      </c>
      <c r="L138" s="33">
        <f>L129*'Game Assumptions'!$B58</f>
        <v>0</v>
      </c>
    </row>
    <row r="139" spans="1:12" x14ac:dyDescent="0.25">
      <c r="A139" t="s">
        <v>11</v>
      </c>
      <c r="B139" s="33">
        <f>B130*'Game Assumptions'!$B59</f>
        <v>0</v>
      </c>
      <c r="C139" s="33">
        <f>C130*'Game Assumptions'!$B59</f>
        <v>0</v>
      </c>
      <c r="D139" s="33">
        <f>D130*'Game Assumptions'!$B59</f>
        <v>0</v>
      </c>
      <c r="E139" s="33">
        <f>E130*'Game Assumptions'!$B59</f>
        <v>0</v>
      </c>
      <c r="F139" s="33">
        <f>F130*'Game Assumptions'!$B59</f>
        <v>0</v>
      </c>
      <c r="G139" s="33">
        <f>G130*'Game Assumptions'!$B59</f>
        <v>0</v>
      </c>
      <c r="H139" s="33">
        <f>H130*'Game Assumptions'!$B59</f>
        <v>0</v>
      </c>
      <c r="I139" s="33">
        <f>I130*'Game Assumptions'!$B59</f>
        <v>0</v>
      </c>
      <c r="J139" s="33">
        <f>J130*'Game Assumptions'!$B59</f>
        <v>0</v>
      </c>
      <c r="K139" s="33">
        <f>K130*'Game Assumptions'!$B59</f>
        <v>0</v>
      </c>
      <c r="L139" s="33">
        <f>L130*'Game Assumptions'!$B59</f>
        <v>0</v>
      </c>
    </row>
    <row r="140" spans="1:12" x14ac:dyDescent="0.25">
      <c r="A140" t="s">
        <v>12</v>
      </c>
      <c r="B140" s="33">
        <f>B131*'Game Assumptions'!$B60</f>
        <v>0</v>
      </c>
      <c r="C140" s="33">
        <f>C131*'Game Assumptions'!$B60</f>
        <v>0</v>
      </c>
      <c r="D140" s="33">
        <f>D131*'Game Assumptions'!$B60</f>
        <v>0</v>
      </c>
      <c r="E140" s="33">
        <f>E131*'Game Assumptions'!$B60</f>
        <v>0</v>
      </c>
      <c r="F140" s="33">
        <f>F131*'Game Assumptions'!$B60</f>
        <v>0</v>
      </c>
      <c r="G140" s="33">
        <f>G131*'Game Assumptions'!$B60</f>
        <v>0</v>
      </c>
      <c r="H140" s="33">
        <f>H131*'Game Assumptions'!$B60</f>
        <v>0</v>
      </c>
      <c r="I140" s="33">
        <f>I131*'Game Assumptions'!$B60</f>
        <v>0</v>
      </c>
      <c r="J140" s="33">
        <f>J131*'Game Assumptions'!$B60</f>
        <v>0</v>
      </c>
      <c r="K140" s="33">
        <f>K131*'Game Assumptions'!$B60</f>
        <v>0</v>
      </c>
      <c r="L140" s="33">
        <f>L131*'Game Assumptions'!$B60</f>
        <v>0</v>
      </c>
    </row>
    <row r="142" spans="1:12" ht="18.75" x14ac:dyDescent="0.3">
      <c r="A142" s="20" t="s">
        <v>125</v>
      </c>
      <c r="B142" s="20"/>
      <c r="C142" s="20"/>
      <c r="D142" s="20"/>
      <c r="E142" s="20"/>
      <c r="F142" s="20"/>
      <c r="G142" s="20"/>
      <c r="H142" s="20"/>
      <c r="I142" s="20"/>
      <c r="J142" s="20"/>
      <c r="K142" s="20"/>
      <c r="L142" s="20"/>
    </row>
    <row r="143" spans="1:12" x14ac:dyDescent="0.25">
      <c r="A143" s="9" t="s">
        <v>86</v>
      </c>
      <c r="B143" s="9">
        <v>0</v>
      </c>
      <c r="C143" s="9">
        <v>1</v>
      </c>
      <c r="D143" s="9">
        <v>2</v>
      </c>
      <c r="E143" s="9">
        <v>3</v>
      </c>
      <c r="F143" s="9">
        <v>4</v>
      </c>
      <c r="G143" s="9">
        <v>5</v>
      </c>
      <c r="H143" s="9">
        <v>6</v>
      </c>
      <c r="I143" s="9">
        <v>7</v>
      </c>
      <c r="J143" s="9">
        <v>8</v>
      </c>
      <c r="K143" s="9">
        <v>9</v>
      </c>
      <c r="L143" s="9">
        <v>10</v>
      </c>
    </row>
    <row r="144" spans="1:12" x14ac:dyDescent="0.25">
      <c r="A144" t="s">
        <v>121</v>
      </c>
      <c r="B144" s="84">
        <f>'Resource Mix and Demand'!B69</f>
        <v>57871320</v>
      </c>
      <c r="C144" s="84">
        <f>'Resource Mix and Demand'!C69</f>
        <v>55206235.152241662</v>
      </c>
      <c r="D144" s="84">
        <f>'Resource Mix and Demand'!D69</f>
        <v>53100613.470333129</v>
      </c>
      <c r="E144" s="84">
        <f>'Resource Mix and Demand'!E69</f>
        <v>50054406.477146298</v>
      </c>
      <c r="F144" s="84">
        <f>'Resource Mix and Demand'!F69</f>
        <v>48776807.472460933</v>
      </c>
      <c r="G144" s="84">
        <f>'Resource Mix and Demand'!G69</f>
        <v>48115505.527992278</v>
      </c>
      <c r="H144" s="84">
        <f>'Resource Mix and Demand'!H69</f>
        <v>47350080.527992278</v>
      </c>
      <c r="I144" s="84">
        <f>'Resource Mix and Demand'!I69</f>
        <v>47070855.527992278</v>
      </c>
      <c r="J144" s="84">
        <f>'Resource Mix and Demand'!J69</f>
        <v>46646280.527992278</v>
      </c>
      <c r="K144" s="84">
        <f>'Resource Mix and Demand'!K69</f>
        <v>46127355.527992278</v>
      </c>
      <c r="L144" s="84">
        <f>'Resource Mix and Demand'!L69</f>
        <v>45656880.527992278</v>
      </c>
    </row>
    <row r="146" spans="1:12" x14ac:dyDescent="0.25">
      <c r="A146" s="9" t="s">
        <v>430</v>
      </c>
      <c r="B146" s="9">
        <v>0</v>
      </c>
      <c r="C146" s="9">
        <v>1</v>
      </c>
      <c r="D146" s="9">
        <v>2</v>
      </c>
      <c r="E146" s="9">
        <v>3</v>
      </c>
      <c r="F146" s="9">
        <v>4</v>
      </c>
      <c r="G146" s="9">
        <v>5</v>
      </c>
      <c r="H146" s="9">
        <v>6</v>
      </c>
      <c r="I146" s="9">
        <v>7</v>
      </c>
      <c r="J146" s="9">
        <v>8</v>
      </c>
      <c r="K146" s="9">
        <v>9</v>
      </c>
      <c r="L146" s="9">
        <v>10</v>
      </c>
    </row>
    <row r="147" spans="1:12" x14ac:dyDescent="0.25">
      <c r="A147">
        <v>1</v>
      </c>
      <c r="B147">
        <f>INDEX(B$11:B$17,MATCH(B63,$A$11:$A$17,0),1)</f>
        <v>0</v>
      </c>
      <c r="C147">
        <f t="shared" ref="C147:L147" si="21">INDEX(C$11:C$17,MATCH(C63,$A$11:$A$17,0),1)</f>
        <v>0</v>
      </c>
      <c r="D147">
        <f t="shared" si="21"/>
        <v>0</v>
      </c>
      <c r="E147">
        <f t="shared" si="21"/>
        <v>0</v>
      </c>
      <c r="F147">
        <f t="shared" si="21"/>
        <v>0</v>
      </c>
      <c r="G147">
        <f t="shared" si="21"/>
        <v>0</v>
      </c>
      <c r="H147">
        <f t="shared" si="21"/>
        <v>0</v>
      </c>
      <c r="I147">
        <f t="shared" si="21"/>
        <v>0</v>
      </c>
      <c r="J147">
        <f t="shared" si="21"/>
        <v>0</v>
      </c>
      <c r="K147">
        <f t="shared" si="21"/>
        <v>0</v>
      </c>
      <c r="L147">
        <f t="shared" si="21"/>
        <v>0</v>
      </c>
    </row>
    <row r="148" spans="1:12" x14ac:dyDescent="0.25">
      <c r="A148">
        <v>2</v>
      </c>
      <c r="B148">
        <f t="shared" ref="B148:L153" si="22">INDEX(B$11:B$17,MATCH(B64,$A$11:$A$17,0),1)</f>
        <v>0</v>
      </c>
      <c r="C148">
        <f t="shared" si="22"/>
        <v>0</v>
      </c>
      <c r="D148">
        <f t="shared" si="22"/>
        <v>0</v>
      </c>
      <c r="E148">
        <f t="shared" si="22"/>
        <v>0</v>
      </c>
      <c r="F148">
        <f t="shared" si="22"/>
        <v>0</v>
      </c>
      <c r="G148">
        <f t="shared" si="22"/>
        <v>0</v>
      </c>
      <c r="H148">
        <f t="shared" si="22"/>
        <v>0</v>
      </c>
      <c r="I148">
        <f t="shared" si="22"/>
        <v>0</v>
      </c>
      <c r="J148">
        <f t="shared" si="22"/>
        <v>0</v>
      </c>
      <c r="K148">
        <f t="shared" si="22"/>
        <v>0</v>
      </c>
      <c r="L148">
        <f t="shared" si="22"/>
        <v>0</v>
      </c>
    </row>
    <row r="149" spans="1:12" x14ac:dyDescent="0.25">
      <c r="A149">
        <v>3</v>
      </c>
      <c r="B149">
        <f t="shared" si="22"/>
        <v>0</v>
      </c>
      <c r="C149">
        <f t="shared" si="22"/>
        <v>0</v>
      </c>
      <c r="D149">
        <f t="shared" si="22"/>
        <v>0</v>
      </c>
      <c r="E149">
        <f t="shared" si="22"/>
        <v>0</v>
      </c>
      <c r="F149">
        <f t="shared" si="22"/>
        <v>0</v>
      </c>
      <c r="G149">
        <f t="shared" si="22"/>
        <v>0</v>
      </c>
      <c r="H149">
        <f t="shared" si="22"/>
        <v>0</v>
      </c>
      <c r="I149">
        <f t="shared" si="22"/>
        <v>0</v>
      </c>
      <c r="J149">
        <f t="shared" si="22"/>
        <v>0</v>
      </c>
      <c r="K149">
        <f t="shared" si="22"/>
        <v>0</v>
      </c>
      <c r="L149">
        <f t="shared" si="22"/>
        <v>0</v>
      </c>
    </row>
    <row r="150" spans="1:12" x14ac:dyDescent="0.25">
      <c r="A150">
        <v>4</v>
      </c>
      <c r="B150">
        <f t="shared" si="22"/>
        <v>0</v>
      </c>
      <c r="C150">
        <f t="shared" si="22"/>
        <v>0</v>
      </c>
      <c r="D150">
        <f t="shared" si="22"/>
        <v>0</v>
      </c>
      <c r="E150">
        <f t="shared" si="22"/>
        <v>0</v>
      </c>
      <c r="F150">
        <f t="shared" si="22"/>
        <v>0</v>
      </c>
      <c r="G150">
        <f t="shared" si="22"/>
        <v>0</v>
      </c>
      <c r="H150">
        <f t="shared" si="22"/>
        <v>0</v>
      </c>
      <c r="I150">
        <f t="shared" si="22"/>
        <v>0</v>
      </c>
      <c r="J150">
        <f t="shared" si="22"/>
        <v>0</v>
      </c>
      <c r="K150">
        <f t="shared" si="22"/>
        <v>0</v>
      </c>
      <c r="L150">
        <f t="shared" si="22"/>
        <v>0</v>
      </c>
    </row>
    <row r="151" spans="1:12" x14ac:dyDescent="0.25">
      <c r="A151">
        <v>5</v>
      </c>
      <c r="B151">
        <f t="shared" si="22"/>
        <v>0</v>
      </c>
      <c r="C151">
        <f t="shared" si="22"/>
        <v>0</v>
      </c>
      <c r="D151">
        <f t="shared" si="22"/>
        <v>0</v>
      </c>
      <c r="E151">
        <f t="shared" si="22"/>
        <v>0</v>
      </c>
      <c r="F151">
        <f t="shared" si="22"/>
        <v>0</v>
      </c>
      <c r="G151">
        <f t="shared" si="22"/>
        <v>0</v>
      </c>
      <c r="H151">
        <f t="shared" si="22"/>
        <v>0</v>
      </c>
      <c r="I151">
        <f t="shared" si="22"/>
        <v>0</v>
      </c>
      <c r="J151">
        <f t="shared" si="22"/>
        <v>0</v>
      </c>
      <c r="K151">
        <f t="shared" si="22"/>
        <v>0</v>
      </c>
      <c r="L151">
        <f t="shared" si="22"/>
        <v>0</v>
      </c>
    </row>
    <row r="152" spans="1:12" x14ac:dyDescent="0.25">
      <c r="A152">
        <v>6</v>
      </c>
      <c r="B152">
        <f t="shared" si="22"/>
        <v>0</v>
      </c>
      <c r="C152">
        <f t="shared" si="22"/>
        <v>0</v>
      </c>
      <c r="D152">
        <f t="shared" si="22"/>
        <v>0</v>
      </c>
      <c r="E152">
        <f t="shared" si="22"/>
        <v>0</v>
      </c>
      <c r="F152">
        <f t="shared" si="22"/>
        <v>0</v>
      </c>
      <c r="G152">
        <f t="shared" si="22"/>
        <v>0</v>
      </c>
      <c r="H152">
        <f t="shared" si="22"/>
        <v>0</v>
      </c>
      <c r="I152">
        <f t="shared" si="22"/>
        <v>0</v>
      </c>
      <c r="J152">
        <f t="shared" si="22"/>
        <v>0</v>
      </c>
      <c r="K152">
        <f t="shared" si="22"/>
        <v>0</v>
      </c>
      <c r="L152">
        <f t="shared" si="22"/>
        <v>0</v>
      </c>
    </row>
    <row r="153" spans="1:12" x14ac:dyDescent="0.25">
      <c r="A153">
        <v>7</v>
      </c>
      <c r="B153">
        <f t="shared" si="22"/>
        <v>0</v>
      </c>
      <c r="C153">
        <f t="shared" si="22"/>
        <v>0</v>
      </c>
      <c r="D153">
        <f t="shared" si="22"/>
        <v>0</v>
      </c>
      <c r="E153">
        <f t="shared" si="22"/>
        <v>0</v>
      </c>
      <c r="F153">
        <f t="shared" si="22"/>
        <v>0</v>
      </c>
      <c r="G153">
        <f t="shared" si="22"/>
        <v>0</v>
      </c>
      <c r="H153">
        <f t="shared" si="22"/>
        <v>0</v>
      </c>
      <c r="I153">
        <f t="shared" si="22"/>
        <v>0</v>
      </c>
      <c r="J153">
        <f t="shared" si="22"/>
        <v>0</v>
      </c>
      <c r="K153">
        <f t="shared" si="22"/>
        <v>0</v>
      </c>
      <c r="L153">
        <f t="shared" si="22"/>
        <v>0</v>
      </c>
    </row>
    <row r="155" spans="1:12" x14ac:dyDescent="0.25">
      <c r="A155" s="9" t="s">
        <v>425</v>
      </c>
      <c r="B155" s="9">
        <v>0</v>
      </c>
      <c r="C155" s="9">
        <v>1</v>
      </c>
      <c r="D155" s="9">
        <v>2</v>
      </c>
      <c r="E155" s="9">
        <v>3</v>
      </c>
      <c r="F155" s="9">
        <v>4</v>
      </c>
      <c r="G155" s="9">
        <v>5</v>
      </c>
      <c r="H155" s="9">
        <v>6</v>
      </c>
      <c r="I155" s="9">
        <v>7</v>
      </c>
      <c r="J155" s="9">
        <v>8</v>
      </c>
      <c r="K155" s="9">
        <v>9</v>
      </c>
      <c r="L155" s="9">
        <v>10</v>
      </c>
    </row>
    <row r="156" spans="1:12" x14ac:dyDescent="0.25">
      <c r="A156">
        <v>1</v>
      </c>
      <c r="B156" s="84">
        <f>INDEX(B$2:B$8,MATCH(B63,$A$2:$A$8,0),1)-INDEX(B$11:B$17,MATCH(B63,$A$11:$A$17,0),1)</f>
        <v>1752000</v>
      </c>
      <c r="C156" s="84">
        <f t="shared" ref="C156:L156" si="23">INDEX(C$2:C$8,MATCH(C63,$A$2:$A$8,0),1)-INDEX(C$11:C$17,MATCH(C63,$A$11:$A$17,0),1)</f>
        <v>3272347.878206668</v>
      </c>
      <c r="D156" s="84">
        <f t="shared" si="23"/>
        <v>5170267.0576591482</v>
      </c>
      <c r="E156" s="84">
        <f t="shared" si="23"/>
        <v>7246974.0508459834</v>
      </c>
      <c r="F156" s="84">
        <f t="shared" si="23"/>
        <v>7316521.1208691401</v>
      </c>
      <c r="G156" s="84">
        <f t="shared" si="23"/>
        <v>7217325.8291988419</v>
      </c>
      <c r="H156" s="84">
        <f t="shared" si="23"/>
        <v>7102512.0791988419</v>
      </c>
      <c r="I156" s="84">
        <f t="shared" si="23"/>
        <v>7060628.3291988419</v>
      </c>
      <c r="J156" s="84">
        <f t="shared" si="23"/>
        <v>6996942.0791988419</v>
      </c>
      <c r="K156" s="84">
        <f t="shared" si="23"/>
        <v>6919103.3291988419</v>
      </c>
      <c r="L156" s="84">
        <f t="shared" si="23"/>
        <v>6848532.0791988419</v>
      </c>
    </row>
    <row r="157" spans="1:12" x14ac:dyDescent="0.25">
      <c r="A157">
        <v>2</v>
      </c>
      <c r="B157" s="84">
        <f t="shared" ref="B157:L162" si="24">INDEX(B$2:B$8,MATCH(B64,$A$2:$A$8,0),1)-INDEX(B$11:B$17,MATCH(B64,$A$11:$A$17,0),1)</f>
        <v>438000</v>
      </c>
      <c r="C157" s="84">
        <f t="shared" si="24"/>
        <v>763336.96955166699</v>
      </c>
      <c r="D157" s="84">
        <f t="shared" si="24"/>
        <v>1183066.7644147871</v>
      </c>
      <c r="E157" s="84">
        <f t="shared" si="24"/>
        <v>1374888.3101601666</v>
      </c>
      <c r="F157" s="84">
        <f t="shared" si="24"/>
        <v>1374888.3101601666</v>
      </c>
      <c r="G157" s="84">
        <f t="shared" si="24"/>
        <v>1374888.3101601666</v>
      </c>
      <c r="H157" s="84">
        <f t="shared" si="24"/>
        <v>1374888.3101601666</v>
      </c>
      <c r="I157" s="84">
        <f t="shared" si="24"/>
        <v>1374888.3101601666</v>
      </c>
      <c r="J157" s="84">
        <f t="shared" si="24"/>
        <v>1374888.3101601666</v>
      </c>
      <c r="K157" s="84">
        <f t="shared" si="24"/>
        <v>1374888.3101601666</v>
      </c>
      <c r="L157" s="84">
        <f t="shared" si="24"/>
        <v>1374888.3101601666</v>
      </c>
    </row>
    <row r="158" spans="1:12" x14ac:dyDescent="0.25">
      <c r="A158">
        <v>3</v>
      </c>
      <c r="B158" s="84">
        <f t="shared" si="24"/>
        <v>525600</v>
      </c>
      <c r="C158" s="84">
        <f t="shared" si="24"/>
        <v>916004.36346200039</v>
      </c>
      <c r="D158" s="84">
        <f t="shared" si="24"/>
        <v>1419680.1172977444</v>
      </c>
      <c r="E158" s="84">
        <f t="shared" si="24"/>
        <v>1649865.9721921999</v>
      </c>
      <c r="F158" s="84">
        <f t="shared" si="24"/>
        <v>1649865.9721921999</v>
      </c>
      <c r="G158" s="84">
        <f t="shared" si="24"/>
        <v>1649865.9721921999</v>
      </c>
      <c r="H158" s="84">
        <f t="shared" si="24"/>
        <v>1649865.9721921999</v>
      </c>
      <c r="I158" s="84">
        <f t="shared" si="24"/>
        <v>1649865.9721921999</v>
      </c>
      <c r="J158" s="84">
        <f t="shared" si="24"/>
        <v>1649865.9721921999</v>
      </c>
      <c r="K158" s="84">
        <f t="shared" si="24"/>
        <v>1649865.9721921999</v>
      </c>
      <c r="L158" s="84">
        <f t="shared" si="24"/>
        <v>1649865.9721921999</v>
      </c>
    </row>
    <row r="159" spans="1:12" x14ac:dyDescent="0.25">
      <c r="A159">
        <v>4</v>
      </c>
      <c r="B159" s="84">
        <f t="shared" si="24"/>
        <v>1051200</v>
      </c>
      <c r="C159" s="84">
        <f t="shared" si="24"/>
        <v>1051200</v>
      </c>
      <c r="D159" s="84">
        <f t="shared" si="24"/>
        <v>1051200</v>
      </c>
      <c r="E159" s="84">
        <f t="shared" si="24"/>
        <v>1051200</v>
      </c>
      <c r="F159" s="84">
        <f t="shared" si="24"/>
        <v>1051200</v>
      </c>
      <c r="G159" s="84">
        <f t="shared" si="24"/>
        <v>1051200</v>
      </c>
      <c r="H159" s="84">
        <f t="shared" si="24"/>
        <v>1051200</v>
      </c>
      <c r="I159" s="84">
        <f t="shared" si="24"/>
        <v>1051200</v>
      </c>
      <c r="J159" s="84">
        <f t="shared" si="24"/>
        <v>1051200</v>
      </c>
      <c r="K159" s="84">
        <f t="shared" si="24"/>
        <v>1051200</v>
      </c>
      <c r="L159" s="84">
        <f t="shared" si="24"/>
        <v>1051200</v>
      </c>
    </row>
    <row r="160" spans="1:12" x14ac:dyDescent="0.25">
      <c r="A160">
        <v>5</v>
      </c>
      <c r="B160" s="84">
        <f t="shared" si="24"/>
        <v>15768000</v>
      </c>
      <c r="C160" s="84">
        <f t="shared" si="24"/>
        <v>7884000</v>
      </c>
      <c r="D160" s="84">
        <f t="shared" si="24"/>
        <v>7884000</v>
      </c>
      <c r="E160" s="84">
        <f t="shared" si="24"/>
        <v>7884000</v>
      </c>
      <c r="F160" s="84">
        <f t="shared" si="24"/>
        <v>7884000</v>
      </c>
      <c r="G160" s="84">
        <f t="shared" si="24"/>
        <v>7884000</v>
      </c>
      <c r="H160" s="84">
        <f t="shared" si="24"/>
        <v>7884000</v>
      </c>
      <c r="I160" s="84">
        <f t="shared" si="24"/>
        <v>7884000</v>
      </c>
      <c r="J160" s="84">
        <f t="shared" si="24"/>
        <v>7884000</v>
      </c>
      <c r="K160" s="84">
        <f t="shared" si="24"/>
        <v>7884000</v>
      </c>
      <c r="L160" s="84">
        <f t="shared" si="24"/>
        <v>7884000</v>
      </c>
    </row>
    <row r="161" spans="1:12" x14ac:dyDescent="0.25">
      <c r="A161">
        <v>6</v>
      </c>
      <c r="B161" s="84">
        <f t="shared" si="24"/>
        <v>21024000</v>
      </c>
      <c r="C161" s="84">
        <f t="shared" si="24"/>
        <v>21024000</v>
      </c>
      <c r="D161" s="84">
        <f t="shared" si="24"/>
        <v>15768000</v>
      </c>
      <c r="E161" s="84">
        <f t="shared" si="24"/>
        <v>10512000</v>
      </c>
      <c r="F161" s="84">
        <f t="shared" si="24"/>
        <v>10512000</v>
      </c>
      <c r="G161" s="84">
        <f t="shared" si="24"/>
        <v>10512000</v>
      </c>
      <c r="H161" s="84">
        <f t="shared" si="24"/>
        <v>10512000</v>
      </c>
      <c r="I161" s="84">
        <f t="shared" si="24"/>
        <v>10512000</v>
      </c>
      <c r="J161" s="84">
        <f t="shared" si="24"/>
        <v>10512000</v>
      </c>
      <c r="K161" s="84">
        <f t="shared" si="24"/>
        <v>10512000</v>
      </c>
      <c r="L161" s="84">
        <f t="shared" si="24"/>
        <v>10512000</v>
      </c>
    </row>
    <row r="162" spans="1:12" x14ac:dyDescent="0.25">
      <c r="A162">
        <v>7</v>
      </c>
      <c r="B162" s="84">
        <f t="shared" si="24"/>
        <v>42048000</v>
      </c>
      <c r="C162" s="84">
        <f t="shared" si="24"/>
        <v>43609617.453848004</v>
      </c>
      <c r="D162" s="84">
        <f t="shared" si="24"/>
        <v>45624320.469190978</v>
      </c>
      <c r="E162" s="84">
        <f t="shared" si="24"/>
        <v>47853568.861015178</v>
      </c>
      <c r="F162" s="84">
        <f t="shared" si="24"/>
        <v>48805287.666637607</v>
      </c>
      <c r="G162" s="84">
        <f t="shared" si="24"/>
        <v>49561129.207516529</v>
      </c>
      <c r="H162" s="84">
        <f t="shared" si="24"/>
        <v>50424856.041670501</v>
      </c>
      <c r="I162" s="84">
        <f t="shared" si="24"/>
        <v>51490612.177583791</v>
      </c>
      <c r="J162" s="84">
        <f t="shared" si="24"/>
        <v>52624756.18495328</v>
      </c>
      <c r="K162" s="84">
        <f t="shared" si="24"/>
        <v>53805669.385322183</v>
      </c>
      <c r="L162" s="84">
        <f t="shared" si="24"/>
        <v>55022402.343356557</v>
      </c>
    </row>
    <row r="164" spans="1:12" x14ac:dyDescent="0.25">
      <c r="A164" s="9" t="s">
        <v>423</v>
      </c>
      <c r="B164" s="9">
        <v>0</v>
      </c>
      <c r="C164" s="9">
        <v>1</v>
      </c>
      <c r="D164" s="9">
        <v>2</v>
      </c>
      <c r="E164" s="9">
        <v>3</v>
      </c>
      <c r="F164" s="9">
        <v>4</v>
      </c>
      <c r="G164" s="9">
        <v>5</v>
      </c>
      <c r="H164" s="9">
        <v>6</v>
      </c>
      <c r="I164" s="9">
        <v>7</v>
      </c>
      <c r="J164" s="9">
        <v>8</v>
      </c>
      <c r="K164" s="9">
        <v>9</v>
      </c>
      <c r="L164" s="9">
        <v>10</v>
      </c>
    </row>
    <row r="165" spans="1:12" x14ac:dyDescent="0.25">
      <c r="A165" t="s">
        <v>121</v>
      </c>
      <c r="B165" s="84">
        <f>B144-SUM(B147:B153)</f>
        <v>57871320</v>
      </c>
      <c r="C165" s="84">
        <f t="shared" ref="C165:L165" si="25">C144-SUM(C147:C153)</f>
        <v>55206235.152241662</v>
      </c>
      <c r="D165" s="84">
        <f t="shared" si="25"/>
        <v>53100613.470333129</v>
      </c>
      <c r="E165" s="84">
        <f t="shared" si="25"/>
        <v>50054406.477146298</v>
      </c>
      <c r="F165" s="84">
        <f t="shared" si="25"/>
        <v>48776807.472460933</v>
      </c>
      <c r="G165" s="84">
        <f t="shared" si="25"/>
        <v>48115505.527992278</v>
      </c>
      <c r="H165" s="84">
        <f t="shared" si="25"/>
        <v>47350080.527992278</v>
      </c>
      <c r="I165" s="84">
        <f t="shared" si="25"/>
        <v>47070855.527992278</v>
      </c>
      <c r="J165" s="84">
        <f t="shared" si="25"/>
        <v>46646280.527992278</v>
      </c>
      <c r="K165" s="84">
        <f t="shared" si="25"/>
        <v>46127355.527992278</v>
      </c>
      <c r="L165" s="84">
        <f t="shared" si="25"/>
        <v>45656880.527992278</v>
      </c>
    </row>
    <row r="167" spans="1:12" x14ac:dyDescent="0.25">
      <c r="A167" s="9" t="s">
        <v>427</v>
      </c>
      <c r="B167" s="9">
        <v>0</v>
      </c>
      <c r="C167" s="9">
        <v>1</v>
      </c>
      <c r="D167" s="9">
        <v>2</v>
      </c>
      <c r="E167" s="9">
        <v>3</v>
      </c>
      <c r="F167" s="9">
        <v>4</v>
      </c>
      <c r="G167" s="9">
        <v>5</v>
      </c>
      <c r="H167" s="9">
        <v>6</v>
      </c>
      <c r="I167" s="9">
        <v>7</v>
      </c>
      <c r="J167" s="9">
        <v>8</v>
      </c>
      <c r="K167" s="9">
        <v>9</v>
      </c>
      <c r="L167" s="9">
        <v>10</v>
      </c>
    </row>
    <row r="168" spans="1:12" x14ac:dyDescent="0.25">
      <c r="A168">
        <v>1</v>
      </c>
      <c r="B168" s="16">
        <f>IF(IF(SUM(B$156:B156)-B$165&lt;0,B156,B$165-SUM(B155:B$156))&lt;0,0,IF(SUM(B$156:B156)-B$165&lt;0,B156,B$165-SUM(B155:B$156)))</f>
        <v>1752000</v>
      </c>
      <c r="C168" s="16">
        <f>IF(IF(SUM(C$156:C156)-C$165&lt;0,C156,C$165-SUM(C155:C$156))&lt;0,0,IF(SUM(C$156:C156)-C$165&lt;0,C156,C$165-SUM(C155:C$156)))</f>
        <v>3272347.878206668</v>
      </c>
      <c r="D168" s="16">
        <f>IF(IF(SUM(D$156:D156)-D$165&lt;0,D156,D$165-SUM(D155:D$156))&lt;0,0,IF(SUM(D$156:D156)-D$165&lt;0,D156,D$165-SUM(D155:D$156)))</f>
        <v>5170267.0576591482</v>
      </c>
      <c r="E168" s="16">
        <f>IF(IF(SUM(E$156:E156)-E$165&lt;0,E156,E$165-SUM(E155:E$156))&lt;0,0,IF(SUM(E$156:E156)-E$165&lt;0,E156,E$165-SUM(E155:E$156)))</f>
        <v>7246974.0508459834</v>
      </c>
      <c r="F168" s="16">
        <f>IF(IF(SUM(F$156:F156)-F$165&lt;0,F156,F$165-SUM(F155:F$156))&lt;0,0,IF(SUM(F$156:F156)-F$165&lt;0,F156,F$165-SUM(F155:F$156)))</f>
        <v>7316521.1208691401</v>
      </c>
      <c r="G168" s="16">
        <f>IF(IF(SUM(G$156:G156)-G$165&lt;0,G156,G$165-SUM(G155:G$156))&lt;0,0,IF(SUM(G$156:G156)-G$165&lt;0,G156,G$165-SUM(G155:G$156)))</f>
        <v>7217325.8291988419</v>
      </c>
      <c r="H168" s="16">
        <f>IF(IF(SUM(H$156:H156)-H$165&lt;0,H156,H$165-SUM(H155:H$156))&lt;0,0,IF(SUM(H$156:H156)-H$165&lt;0,H156,H$165-SUM(H155:H$156)))</f>
        <v>7102512.0791988419</v>
      </c>
      <c r="I168" s="16">
        <f>IF(IF(SUM(I$156:I156)-I$165&lt;0,I156,I$165-SUM(I155:I$156))&lt;0,0,IF(SUM(I$156:I156)-I$165&lt;0,I156,I$165-SUM(I155:I$156)))</f>
        <v>7060628.3291988419</v>
      </c>
      <c r="J168" s="16">
        <f>IF(IF(SUM(J$156:J156)-J$165&lt;0,J156,J$165-SUM(J155:J$156))&lt;0,0,IF(SUM(J$156:J156)-J$165&lt;0,J156,J$165-SUM(J155:J$156)))</f>
        <v>6996942.0791988419</v>
      </c>
      <c r="K168" s="16">
        <f>IF(IF(SUM(K$156:K156)-K$165&lt;0,K156,K$165-SUM(K155:K$156))&lt;0,0,IF(SUM(K$156:K156)-K$165&lt;0,K156,K$165-SUM(K155:K$156)))</f>
        <v>6919103.3291988419</v>
      </c>
      <c r="L168" s="16">
        <f>IF(IF(SUM(L$156:L156)-L$165&lt;0,L156,L$165-SUM(L155:L$156))&lt;0,0,IF(SUM(L$156:L156)-L$165&lt;0,L156,L$165-SUM(L155:L$156)))</f>
        <v>6848532.0791988419</v>
      </c>
    </row>
    <row r="169" spans="1:12" x14ac:dyDescent="0.25">
      <c r="A169">
        <v>2</v>
      </c>
      <c r="B169" s="16">
        <f>IF(IF(SUM(B$156:B157)-B$165&lt;0,B157,B$165-SUM(B$156:B156))&lt;0,0,IF(SUM(B$156:B157)-B$165&lt;0,B157,B$165-SUM(B$156:B156)))</f>
        <v>438000</v>
      </c>
      <c r="C169" s="16">
        <f>IF(IF(SUM(C$156:C157)-C$165&lt;0,C157,C$165-SUM(C$156:C156))&lt;0,0,IF(SUM(C$156:C157)-C$165&lt;0,C157,C$165-SUM(C$156:C156)))</f>
        <v>763336.96955166699</v>
      </c>
      <c r="D169" s="16">
        <f>IF(IF(SUM(D$156:D157)-D$165&lt;0,D157,D$165-SUM(D$156:D156))&lt;0,0,IF(SUM(D$156:D157)-D$165&lt;0,D157,D$165-SUM(D$156:D156)))</f>
        <v>1183066.7644147871</v>
      </c>
      <c r="E169" s="16">
        <f>IF(IF(SUM(E$156:E157)-E$165&lt;0,E157,E$165-SUM(E$156:E156))&lt;0,0,IF(SUM(E$156:E157)-E$165&lt;0,E157,E$165-SUM(E$156:E156)))</f>
        <v>1374888.3101601666</v>
      </c>
      <c r="F169" s="16">
        <f>IF(IF(SUM(F$156:F157)-F$165&lt;0,F157,F$165-SUM(F$156:F156))&lt;0,0,IF(SUM(F$156:F157)-F$165&lt;0,F157,F$165-SUM(F$156:F156)))</f>
        <v>1374888.3101601666</v>
      </c>
      <c r="G169" s="16">
        <f>IF(IF(SUM(G$156:G157)-G$165&lt;0,G157,G$165-SUM(G$156:G156))&lt;0,0,IF(SUM(G$156:G157)-G$165&lt;0,G157,G$165-SUM(G$156:G156)))</f>
        <v>1374888.3101601666</v>
      </c>
      <c r="H169" s="16">
        <f>IF(IF(SUM(H$156:H157)-H$165&lt;0,H157,H$165-SUM(H$156:H156))&lt;0,0,IF(SUM(H$156:H157)-H$165&lt;0,H157,H$165-SUM(H$156:H156)))</f>
        <v>1374888.3101601666</v>
      </c>
      <c r="I169" s="16">
        <f>IF(IF(SUM(I$156:I157)-I$165&lt;0,I157,I$165-SUM(I$156:I156))&lt;0,0,IF(SUM(I$156:I157)-I$165&lt;0,I157,I$165-SUM(I$156:I156)))</f>
        <v>1374888.3101601666</v>
      </c>
      <c r="J169" s="16">
        <f>IF(IF(SUM(J$156:J157)-J$165&lt;0,J157,J$165-SUM(J$156:J156))&lt;0,0,IF(SUM(J$156:J157)-J$165&lt;0,J157,J$165-SUM(J$156:J156)))</f>
        <v>1374888.3101601666</v>
      </c>
      <c r="K169" s="16">
        <f>IF(IF(SUM(K$156:K157)-K$165&lt;0,K157,K$165-SUM(K$156:K156))&lt;0,0,IF(SUM(K$156:K157)-K$165&lt;0,K157,K$165-SUM(K$156:K156)))</f>
        <v>1374888.3101601666</v>
      </c>
      <c r="L169" s="16">
        <f>IF(IF(SUM(L$156:L157)-L$165&lt;0,L157,L$165-SUM(L$156:L156))&lt;0,0,IF(SUM(L$156:L157)-L$165&lt;0,L157,L$165-SUM(L$156:L156)))</f>
        <v>1374888.3101601666</v>
      </c>
    </row>
    <row r="170" spans="1:12" x14ac:dyDescent="0.25">
      <c r="A170">
        <v>3</v>
      </c>
      <c r="B170" s="16">
        <f>IF(IF(SUM(B$156:B158)-B$165&lt;0,B158,B$165-SUM(B$156:B157))&lt;0,0,IF(SUM(B$156:B158)-B$165&lt;0,B158,B$165-SUM(B$156:B157)))</f>
        <v>525600</v>
      </c>
      <c r="C170" s="16">
        <f>IF(IF(SUM(C$156:C158)-C$165&lt;0,C158,C$165-SUM(C$156:C157))&lt;0,0,IF(SUM(C$156:C158)-C$165&lt;0,C158,C$165-SUM(C$156:C157)))</f>
        <v>916004.36346200039</v>
      </c>
      <c r="D170" s="16">
        <f>IF(IF(SUM(D$156:D158)-D$165&lt;0,D158,D$165-SUM(D$156:D157))&lt;0,0,IF(SUM(D$156:D158)-D$165&lt;0,D158,D$165-SUM(D$156:D157)))</f>
        <v>1419680.1172977444</v>
      </c>
      <c r="E170" s="16">
        <f>IF(IF(SUM(E$156:E158)-E$165&lt;0,E158,E$165-SUM(E$156:E157))&lt;0,0,IF(SUM(E$156:E158)-E$165&lt;0,E158,E$165-SUM(E$156:E157)))</f>
        <v>1649865.9721921999</v>
      </c>
      <c r="F170" s="16">
        <f>IF(IF(SUM(F$156:F158)-F$165&lt;0,F158,F$165-SUM(F$156:F157))&lt;0,0,IF(SUM(F$156:F158)-F$165&lt;0,F158,F$165-SUM(F$156:F157)))</f>
        <v>1649865.9721921999</v>
      </c>
      <c r="G170" s="16">
        <f>IF(IF(SUM(G$156:G158)-G$165&lt;0,G158,G$165-SUM(G$156:G157))&lt;0,0,IF(SUM(G$156:G158)-G$165&lt;0,G158,G$165-SUM(G$156:G157)))</f>
        <v>1649865.9721921999</v>
      </c>
      <c r="H170" s="16">
        <f>IF(IF(SUM(H$156:H158)-H$165&lt;0,H158,H$165-SUM(H$156:H157))&lt;0,0,IF(SUM(H$156:H158)-H$165&lt;0,H158,H$165-SUM(H$156:H157)))</f>
        <v>1649865.9721921999</v>
      </c>
      <c r="I170" s="16">
        <f>IF(IF(SUM(I$156:I158)-I$165&lt;0,I158,I$165-SUM(I$156:I157))&lt;0,0,IF(SUM(I$156:I158)-I$165&lt;0,I158,I$165-SUM(I$156:I157)))</f>
        <v>1649865.9721921999</v>
      </c>
      <c r="J170" s="16">
        <f>IF(IF(SUM(J$156:J158)-J$165&lt;0,J158,J$165-SUM(J$156:J157))&lt;0,0,IF(SUM(J$156:J158)-J$165&lt;0,J158,J$165-SUM(J$156:J157)))</f>
        <v>1649865.9721921999</v>
      </c>
      <c r="K170" s="16">
        <f>IF(IF(SUM(K$156:K158)-K$165&lt;0,K158,K$165-SUM(K$156:K157))&lt;0,0,IF(SUM(K$156:K158)-K$165&lt;0,K158,K$165-SUM(K$156:K157)))</f>
        <v>1649865.9721921999</v>
      </c>
      <c r="L170" s="16">
        <f>IF(IF(SUM(L$156:L158)-L$165&lt;0,L158,L$165-SUM(L$156:L157))&lt;0,0,IF(SUM(L$156:L158)-L$165&lt;0,L158,L$165-SUM(L$156:L157)))</f>
        <v>1649865.9721921999</v>
      </c>
    </row>
    <row r="171" spans="1:12" x14ac:dyDescent="0.25">
      <c r="A171">
        <v>4</v>
      </c>
      <c r="B171" s="16">
        <f>IF(IF(SUM(B$156:B159)-B$165&lt;0,B159,B$165-SUM(B$156:B158))&lt;0,0,IF(SUM(B$156:B159)-B$165&lt;0,B159,B$165-SUM(B$156:B158)))</f>
        <v>1051200</v>
      </c>
      <c r="C171" s="16">
        <f>IF(IF(SUM(C$156:C159)-C$165&lt;0,C159,C$165-SUM(C$156:C158))&lt;0,0,IF(SUM(C$156:C159)-C$165&lt;0,C159,C$165-SUM(C$156:C158)))</f>
        <v>1051200</v>
      </c>
      <c r="D171" s="16">
        <f>IF(IF(SUM(D$156:D159)-D$165&lt;0,D159,D$165-SUM(D$156:D158))&lt;0,0,IF(SUM(D$156:D159)-D$165&lt;0,D159,D$165-SUM(D$156:D158)))</f>
        <v>1051200</v>
      </c>
      <c r="E171" s="16">
        <f>IF(IF(SUM(E$156:E159)-E$165&lt;0,E159,E$165-SUM(E$156:E158))&lt;0,0,IF(SUM(E$156:E159)-E$165&lt;0,E159,E$165-SUM(E$156:E158)))</f>
        <v>1051200</v>
      </c>
      <c r="F171" s="16">
        <f>IF(IF(SUM(F$156:F159)-F$165&lt;0,F159,F$165-SUM(F$156:F158))&lt;0,0,IF(SUM(F$156:F159)-F$165&lt;0,F159,F$165-SUM(F$156:F158)))</f>
        <v>1051200</v>
      </c>
      <c r="G171" s="16">
        <f>IF(IF(SUM(G$156:G159)-G$165&lt;0,G159,G$165-SUM(G$156:G158))&lt;0,0,IF(SUM(G$156:G159)-G$165&lt;0,G159,G$165-SUM(G$156:G158)))</f>
        <v>1051200</v>
      </c>
      <c r="H171" s="16">
        <f>IF(IF(SUM(H$156:H159)-H$165&lt;0,H159,H$165-SUM(H$156:H158))&lt;0,0,IF(SUM(H$156:H159)-H$165&lt;0,H159,H$165-SUM(H$156:H158)))</f>
        <v>1051200</v>
      </c>
      <c r="I171" s="16">
        <f>IF(IF(SUM(I$156:I159)-I$165&lt;0,I159,I$165-SUM(I$156:I158))&lt;0,0,IF(SUM(I$156:I159)-I$165&lt;0,I159,I$165-SUM(I$156:I158)))</f>
        <v>1051200</v>
      </c>
      <c r="J171" s="16">
        <f>IF(IF(SUM(J$156:J159)-J$165&lt;0,J159,J$165-SUM(J$156:J158))&lt;0,0,IF(SUM(J$156:J159)-J$165&lt;0,J159,J$165-SUM(J$156:J158)))</f>
        <v>1051200</v>
      </c>
      <c r="K171" s="16">
        <f>IF(IF(SUM(K$156:K159)-K$165&lt;0,K159,K$165-SUM(K$156:K158))&lt;0,0,IF(SUM(K$156:K159)-K$165&lt;0,K159,K$165-SUM(K$156:K158)))</f>
        <v>1051200</v>
      </c>
      <c r="L171" s="16">
        <f>IF(IF(SUM(L$156:L159)-L$165&lt;0,L159,L$165-SUM(L$156:L158))&lt;0,0,IF(SUM(L$156:L159)-L$165&lt;0,L159,L$165-SUM(L$156:L158)))</f>
        <v>1051200</v>
      </c>
    </row>
    <row r="172" spans="1:12" x14ac:dyDescent="0.25">
      <c r="A172">
        <v>5</v>
      </c>
      <c r="B172" s="16">
        <f>IF(IF(SUM(B$156:B160)-B$165&lt;0,B160,B$165-SUM(B$156:B159))&lt;0,0,IF(SUM(B$156:B160)-B$165&lt;0,B160,B$165-SUM(B$156:B159)))</f>
        <v>15768000</v>
      </c>
      <c r="C172" s="16">
        <f>IF(IF(SUM(C$156:C160)-C$165&lt;0,C160,C$165-SUM(C$156:C159))&lt;0,0,IF(SUM(C$156:C160)-C$165&lt;0,C160,C$165-SUM(C$156:C159)))</f>
        <v>7884000</v>
      </c>
      <c r="D172" s="16">
        <f>IF(IF(SUM(D$156:D160)-D$165&lt;0,D160,D$165-SUM(D$156:D159))&lt;0,0,IF(SUM(D$156:D160)-D$165&lt;0,D160,D$165-SUM(D$156:D159)))</f>
        <v>7884000</v>
      </c>
      <c r="E172" s="16">
        <f>IF(IF(SUM(E$156:E160)-E$165&lt;0,E160,E$165-SUM(E$156:E159))&lt;0,0,IF(SUM(E$156:E160)-E$165&lt;0,E160,E$165-SUM(E$156:E159)))</f>
        <v>7884000</v>
      </c>
      <c r="F172" s="16">
        <f>IF(IF(SUM(F$156:F160)-F$165&lt;0,F160,F$165-SUM(F$156:F159))&lt;0,0,IF(SUM(F$156:F160)-F$165&lt;0,F160,F$165-SUM(F$156:F159)))</f>
        <v>7884000</v>
      </c>
      <c r="G172" s="16">
        <f>IF(IF(SUM(G$156:G160)-G$165&lt;0,G160,G$165-SUM(G$156:G159))&lt;0,0,IF(SUM(G$156:G160)-G$165&lt;0,G160,G$165-SUM(G$156:G159)))</f>
        <v>7884000</v>
      </c>
      <c r="H172" s="16">
        <f>IF(IF(SUM(H$156:H160)-H$165&lt;0,H160,H$165-SUM(H$156:H159))&lt;0,0,IF(SUM(H$156:H160)-H$165&lt;0,H160,H$165-SUM(H$156:H159)))</f>
        <v>7884000</v>
      </c>
      <c r="I172" s="16">
        <f>IF(IF(SUM(I$156:I160)-I$165&lt;0,I160,I$165-SUM(I$156:I159))&lt;0,0,IF(SUM(I$156:I160)-I$165&lt;0,I160,I$165-SUM(I$156:I159)))</f>
        <v>7884000</v>
      </c>
      <c r="J172" s="16">
        <f>IF(IF(SUM(J$156:J160)-J$165&lt;0,J160,J$165-SUM(J$156:J159))&lt;0,0,IF(SUM(J$156:J160)-J$165&lt;0,J160,J$165-SUM(J$156:J159)))</f>
        <v>7884000</v>
      </c>
      <c r="K172" s="16">
        <f>IF(IF(SUM(K$156:K160)-K$165&lt;0,K160,K$165-SUM(K$156:K159))&lt;0,0,IF(SUM(K$156:K160)-K$165&lt;0,K160,K$165-SUM(K$156:K159)))</f>
        <v>7884000</v>
      </c>
      <c r="L172" s="16">
        <f>IF(IF(SUM(L$156:L160)-L$165&lt;0,L160,L$165-SUM(L$156:L159))&lt;0,0,IF(SUM(L$156:L160)-L$165&lt;0,L160,L$165-SUM(L$156:L159)))</f>
        <v>7884000</v>
      </c>
    </row>
    <row r="173" spans="1:12" x14ac:dyDescent="0.25">
      <c r="A173">
        <v>6</v>
      </c>
      <c r="B173" s="16">
        <f>IF(IF(SUM(B$156:B161)-B$165&lt;0,B161,B$165-SUM(B$156:B160))&lt;0,0,IF(SUM(B$156:B161)-B$165&lt;0,B161,B$165-SUM(B$156:B160)))</f>
        <v>21024000</v>
      </c>
      <c r="C173" s="16">
        <f>IF(IF(SUM(C$156:C161)-C$165&lt;0,C161,C$165-SUM(C$156:C160))&lt;0,0,IF(SUM(C$156:C161)-C$165&lt;0,C161,C$165-SUM(C$156:C160)))</f>
        <v>21024000</v>
      </c>
      <c r="D173" s="16">
        <f>IF(IF(SUM(D$156:D161)-D$165&lt;0,D161,D$165-SUM(D$156:D160))&lt;0,0,IF(SUM(D$156:D161)-D$165&lt;0,D161,D$165-SUM(D$156:D160)))</f>
        <v>15768000</v>
      </c>
      <c r="E173" s="16">
        <f>IF(IF(SUM(E$156:E161)-E$165&lt;0,E161,E$165-SUM(E$156:E160))&lt;0,0,IF(SUM(E$156:E161)-E$165&lt;0,E161,E$165-SUM(E$156:E160)))</f>
        <v>10512000</v>
      </c>
      <c r="F173" s="16">
        <f>IF(IF(SUM(F$156:F161)-F$165&lt;0,F161,F$165-SUM(F$156:F160))&lt;0,0,IF(SUM(F$156:F161)-F$165&lt;0,F161,F$165-SUM(F$156:F160)))</f>
        <v>10512000</v>
      </c>
      <c r="G173" s="16">
        <f>IF(IF(SUM(G$156:G161)-G$165&lt;0,G161,G$165-SUM(G$156:G160))&lt;0,0,IF(SUM(G$156:G161)-G$165&lt;0,G161,G$165-SUM(G$156:G160)))</f>
        <v>10512000</v>
      </c>
      <c r="H173" s="16">
        <f>IF(IF(SUM(H$156:H161)-H$165&lt;0,H161,H$165-SUM(H$156:H160))&lt;0,0,IF(SUM(H$156:H161)-H$165&lt;0,H161,H$165-SUM(H$156:H160)))</f>
        <v>10512000</v>
      </c>
      <c r="I173" s="16">
        <f>IF(IF(SUM(I$156:I161)-I$165&lt;0,I161,I$165-SUM(I$156:I160))&lt;0,0,IF(SUM(I$156:I161)-I$165&lt;0,I161,I$165-SUM(I$156:I160)))</f>
        <v>10512000</v>
      </c>
      <c r="J173" s="16">
        <f>IF(IF(SUM(J$156:J161)-J$165&lt;0,J161,J$165-SUM(J$156:J160))&lt;0,0,IF(SUM(J$156:J161)-J$165&lt;0,J161,J$165-SUM(J$156:J160)))</f>
        <v>10512000</v>
      </c>
      <c r="K173" s="16">
        <f>IF(IF(SUM(K$156:K161)-K$165&lt;0,K161,K$165-SUM(K$156:K160))&lt;0,0,IF(SUM(K$156:K161)-K$165&lt;0,K161,K$165-SUM(K$156:K160)))</f>
        <v>10512000</v>
      </c>
      <c r="L173" s="16">
        <f>IF(IF(SUM(L$156:L161)-L$165&lt;0,L161,L$165-SUM(L$156:L160))&lt;0,0,IF(SUM(L$156:L161)-L$165&lt;0,L161,L$165-SUM(L$156:L160)))</f>
        <v>10512000</v>
      </c>
    </row>
    <row r="174" spans="1:12" x14ac:dyDescent="0.25">
      <c r="A174">
        <v>7</v>
      </c>
      <c r="B174" s="16">
        <f>IF(IF(SUM(B$156:B162)-B$165&lt;0,B162,B$165-SUM(B$156:B161))&lt;0,0,IF(SUM(B$156:B162)-B$165&lt;0,B162,B$165-SUM(B$156:B161)))</f>
        <v>17312520</v>
      </c>
      <c r="C174" s="16">
        <f>IF(IF(SUM(C$156:C162)-C$165&lt;0,C162,C$165-SUM(C$156:C161))&lt;0,0,IF(SUM(C$156:C162)-C$165&lt;0,C162,C$165-SUM(C$156:C161)))</f>
        <v>20295345.941021323</v>
      </c>
      <c r="D174" s="16">
        <f>IF(IF(SUM(D$156:D162)-D$165&lt;0,D162,D$165-SUM(D$156:D161))&lt;0,0,IF(SUM(D$156:D162)-D$165&lt;0,D162,D$165-SUM(D$156:D161)))</f>
        <v>20624399.53096145</v>
      </c>
      <c r="E174" s="16">
        <f>IF(IF(SUM(E$156:E162)-E$165&lt;0,E162,E$165-SUM(E$156:E161))&lt;0,0,IF(SUM(E$156:E162)-E$165&lt;0,E162,E$165-SUM(E$156:E161)))</f>
        <v>20335478.143947948</v>
      </c>
      <c r="F174" s="16">
        <f>IF(IF(SUM(F$156:F162)-F$165&lt;0,F162,F$165-SUM(F$156:F161))&lt;0,0,IF(SUM(F$156:F162)-F$165&lt;0,F162,F$165-SUM(F$156:F161)))</f>
        <v>18988332.069239426</v>
      </c>
      <c r="G174" s="16">
        <f>IF(IF(SUM(G$156:G162)-G$165&lt;0,G162,G$165-SUM(G$156:G161))&lt;0,0,IF(SUM(G$156:G162)-G$165&lt;0,G162,G$165-SUM(G$156:G161)))</f>
        <v>18426225.416441068</v>
      </c>
      <c r="H174" s="16">
        <f>IF(IF(SUM(H$156:H162)-H$165&lt;0,H162,H$165-SUM(H$156:H161))&lt;0,0,IF(SUM(H$156:H162)-H$165&lt;0,H162,H$165-SUM(H$156:H161)))</f>
        <v>17775614.166441068</v>
      </c>
      <c r="I174" s="16">
        <f>IF(IF(SUM(I$156:I162)-I$165&lt;0,I162,I$165-SUM(I$156:I161))&lt;0,0,IF(SUM(I$156:I162)-I$165&lt;0,I162,I$165-SUM(I$156:I161)))</f>
        <v>17538272.916441068</v>
      </c>
      <c r="J174" s="16">
        <f>IF(IF(SUM(J$156:J162)-J$165&lt;0,J162,J$165-SUM(J$156:J161))&lt;0,0,IF(SUM(J$156:J162)-J$165&lt;0,J162,J$165-SUM(J$156:J161)))</f>
        <v>17177384.166441068</v>
      </c>
      <c r="K174" s="16">
        <f>IF(IF(SUM(K$156:K162)-K$165&lt;0,K162,K$165-SUM(K$156:K161))&lt;0,0,IF(SUM(K$156:K162)-K$165&lt;0,K162,K$165-SUM(K$156:K161)))</f>
        <v>16736297.916441068</v>
      </c>
      <c r="L174" s="16">
        <f>IF(IF(SUM(L$156:L162)-L$165&lt;0,L162,L$165-SUM(L$156:L161))&lt;0,0,IF(SUM(L$156:L162)-L$165&lt;0,L162,L$165-SUM(L$156:L161)))</f>
        <v>16336394.166441068</v>
      </c>
    </row>
    <row r="176" spans="1:12" x14ac:dyDescent="0.25">
      <c r="A176" s="9" t="s">
        <v>120</v>
      </c>
      <c r="B176" s="9">
        <v>0</v>
      </c>
      <c r="C176" s="9">
        <v>1</v>
      </c>
      <c r="D176" s="9">
        <v>2</v>
      </c>
      <c r="E176" s="9">
        <v>3</v>
      </c>
      <c r="F176" s="9">
        <v>4</v>
      </c>
      <c r="G176" s="9">
        <v>5</v>
      </c>
      <c r="H176" s="9">
        <v>6</v>
      </c>
      <c r="I176" s="9">
        <v>7</v>
      </c>
      <c r="J176" s="9">
        <v>8</v>
      </c>
      <c r="K176" s="9">
        <v>9</v>
      </c>
      <c r="L176" s="9">
        <v>10</v>
      </c>
    </row>
    <row r="177" spans="1:12" x14ac:dyDescent="0.25">
      <c r="A177">
        <v>1</v>
      </c>
      <c r="B177" s="16">
        <f>SUM(B168,B147)</f>
        <v>1752000</v>
      </c>
      <c r="C177" s="16">
        <f t="shared" ref="C177:L177" si="26">SUM(C168,C147)</f>
        <v>3272347.878206668</v>
      </c>
      <c r="D177" s="16">
        <f t="shared" si="26"/>
        <v>5170267.0576591482</v>
      </c>
      <c r="E177" s="16">
        <f t="shared" si="26"/>
        <v>7246974.0508459834</v>
      </c>
      <c r="F177" s="16">
        <f t="shared" si="26"/>
        <v>7316521.1208691401</v>
      </c>
      <c r="G177" s="16">
        <f t="shared" si="26"/>
        <v>7217325.8291988419</v>
      </c>
      <c r="H177" s="16">
        <f t="shared" si="26"/>
        <v>7102512.0791988419</v>
      </c>
      <c r="I177" s="16">
        <f t="shared" si="26"/>
        <v>7060628.3291988419</v>
      </c>
      <c r="J177" s="16">
        <f t="shared" si="26"/>
        <v>6996942.0791988419</v>
      </c>
      <c r="K177" s="16">
        <f t="shared" si="26"/>
        <v>6919103.3291988419</v>
      </c>
      <c r="L177" s="16">
        <f t="shared" si="26"/>
        <v>6848532.0791988419</v>
      </c>
    </row>
    <row r="178" spans="1:12" x14ac:dyDescent="0.25">
      <c r="A178">
        <v>2</v>
      </c>
      <c r="B178" s="16">
        <f t="shared" ref="B178:L183" si="27">SUM(B169,B148)</f>
        <v>438000</v>
      </c>
      <c r="C178" s="16">
        <f t="shared" si="27"/>
        <v>763336.96955166699</v>
      </c>
      <c r="D178" s="16">
        <f t="shared" si="27"/>
        <v>1183066.7644147871</v>
      </c>
      <c r="E178" s="16">
        <f t="shared" si="27"/>
        <v>1374888.3101601666</v>
      </c>
      <c r="F178" s="16">
        <f t="shared" si="27"/>
        <v>1374888.3101601666</v>
      </c>
      <c r="G178" s="16">
        <f t="shared" si="27"/>
        <v>1374888.3101601666</v>
      </c>
      <c r="H178" s="16">
        <f t="shared" si="27"/>
        <v>1374888.3101601666</v>
      </c>
      <c r="I178" s="16">
        <f t="shared" si="27"/>
        <v>1374888.3101601666</v>
      </c>
      <c r="J178" s="16">
        <f t="shared" si="27"/>
        <v>1374888.3101601666</v>
      </c>
      <c r="K178" s="16">
        <f t="shared" si="27"/>
        <v>1374888.3101601666</v>
      </c>
      <c r="L178" s="16">
        <f t="shared" si="27"/>
        <v>1374888.3101601666</v>
      </c>
    </row>
    <row r="179" spans="1:12" x14ac:dyDescent="0.25">
      <c r="A179">
        <v>3</v>
      </c>
      <c r="B179" s="16">
        <f t="shared" si="27"/>
        <v>525600</v>
      </c>
      <c r="C179" s="16">
        <f t="shared" si="27"/>
        <v>916004.36346200039</v>
      </c>
      <c r="D179" s="16">
        <f t="shared" si="27"/>
        <v>1419680.1172977444</v>
      </c>
      <c r="E179" s="16">
        <f t="shared" si="27"/>
        <v>1649865.9721921999</v>
      </c>
      <c r="F179" s="16">
        <f t="shared" si="27"/>
        <v>1649865.9721921999</v>
      </c>
      <c r="G179" s="16">
        <f t="shared" si="27"/>
        <v>1649865.9721921999</v>
      </c>
      <c r="H179" s="16">
        <f t="shared" si="27"/>
        <v>1649865.9721921999</v>
      </c>
      <c r="I179" s="16">
        <f t="shared" si="27"/>
        <v>1649865.9721921999</v>
      </c>
      <c r="J179" s="16">
        <f t="shared" si="27"/>
        <v>1649865.9721921999</v>
      </c>
      <c r="K179" s="16">
        <f t="shared" si="27"/>
        <v>1649865.9721921999</v>
      </c>
      <c r="L179" s="16">
        <f t="shared" si="27"/>
        <v>1649865.9721921999</v>
      </c>
    </row>
    <row r="180" spans="1:12" x14ac:dyDescent="0.25">
      <c r="A180">
        <v>4</v>
      </c>
      <c r="B180" s="16">
        <f t="shared" si="27"/>
        <v>1051200</v>
      </c>
      <c r="C180" s="16">
        <f t="shared" si="27"/>
        <v>1051200</v>
      </c>
      <c r="D180" s="16">
        <f t="shared" si="27"/>
        <v>1051200</v>
      </c>
      <c r="E180" s="16">
        <f t="shared" si="27"/>
        <v>1051200</v>
      </c>
      <c r="F180" s="16">
        <f t="shared" si="27"/>
        <v>1051200</v>
      </c>
      <c r="G180" s="16">
        <f t="shared" si="27"/>
        <v>1051200</v>
      </c>
      <c r="H180" s="16">
        <f t="shared" si="27"/>
        <v>1051200</v>
      </c>
      <c r="I180" s="16">
        <f t="shared" si="27"/>
        <v>1051200</v>
      </c>
      <c r="J180" s="16">
        <f t="shared" si="27"/>
        <v>1051200</v>
      </c>
      <c r="K180" s="16">
        <f t="shared" si="27"/>
        <v>1051200</v>
      </c>
      <c r="L180" s="16">
        <f t="shared" si="27"/>
        <v>1051200</v>
      </c>
    </row>
    <row r="181" spans="1:12" x14ac:dyDescent="0.25">
      <c r="A181">
        <v>5</v>
      </c>
      <c r="B181" s="16">
        <f t="shared" si="27"/>
        <v>15768000</v>
      </c>
      <c r="C181" s="16">
        <f t="shared" si="27"/>
        <v>7884000</v>
      </c>
      <c r="D181" s="16">
        <f t="shared" si="27"/>
        <v>7884000</v>
      </c>
      <c r="E181" s="16">
        <f t="shared" si="27"/>
        <v>7884000</v>
      </c>
      <c r="F181" s="16">
        <f t="shared" si="27"/>
        <v>7884000</v>
      </c>
      <c r="G181" s="16">
        <f t="shared" si="27"/>
        <v>7884000</v>
      </c>
      <c r="H181" s="16">
        <f t="shared" si="27"/>
        <v>7884000</v>
      </c>
      <c r="I181" s="16">
        <f t="shared" si="27"/>
        <v>7884000</v>
      </c>
      <c r="J181" s="16">
        <f t="shared" si="27"/>
        <v>7884000</v>
      </c>
      <c r="K181" s="16">
        <f t="shared" si="27"/>
        <v>7884000</v>
      </c>
      <c r="L181" s="16">
        <f t="shared" si="27"/>
        <v>7884000</v>
      </c>
    </row>
    <row r="182" spans="1:12" x14ac:dyDescent="0.25">
      <c r="A182">
        <v>6</v>
      </c>
      <c r="B182" s="16">
        <f t="shared" si="27"/>
        <v>21024000</v>
      </c>
      <c r="C182" s="16">
        <f t="shared" si="27"/>
        <v>21024000</v>
      </c>
      <c r="D182" s="16">
        <f t="shared" si="27"/>
        <v>15768000</v>
      </c>
      <c r="E182" s="16">
        <f t="shared" si="27"/>
        <v>10512000</v>
      </c>
      <c r="F182" s="16">
        <f t="shared" si="27"/>
        <v>10512000</v>
      </c>
      <c r="G182" s="16">
        <f t="shared" si="27"/>
        <v>10512000</v>
      </c>
      <c r="H182" s="16">
        <f t="shared" si="27"/>
        <v>10512000</v>
      </c>
      <c r="I182" s="16">
        <f t="shared" si="27"/>
        <v>10512000</v>
      </c>
      <c r="J182" s="16">
        <f t="shared" si="27"/>
        <v>10512000</v>
      </c>
      <c r="K182" s="16">
        <f t="shared" si="27"/>
        <v>10512000</v>
      </c>
      <c r="L182" s="16">
        <f t="shared" si="27"/>
        <v>10512000</v>
      </c>
    </row>
    <row r="183" spans="1:12" x14ac:dyDescent="0.25">
      <c r="A183">
        <v>7</v>
      </c>
      <c r="B183" s="16">
        <f t="shared" si="27"/>
        <v>17312520</v>
      </c>
      <c r="C183" s="16">
        <f t="shared" si="27"/>
        <v>20295345.941021323</v>
      </c>
      <c r="D183" s="16">
        <f t="shared" si="27"/>
        <v>20624399.53096145</v>
      </c>
      <c r="E183" s="16">
        <f t="shared" si="27"/>
        <v>20335478.143947948</v>
      </c>
      <c r="F183" s="16">
        <f t="shared" si="27"/>
        <v>18988332.069239426</v>
      </c>
      <c r="G183" s="16">
        <f t="shared" si="27"/>
        <v>18426225.416441068</v>
      </c>
      <c r="H183" s="16">
        <f t="shared" si="27"/>
        <v>17775614.166441068</v>
      </c>
      <c r="I183" s="16">
        <f t="shared" si="27"/>
        <v>17538272.916441068</v>
      </c>
      <c r="J183" s="16">
        <f t="shared" si="27"/>
        <v>17177384.166441068</v>
      </c>
      <c r="K183" s="16">
        <f t="shared" si="27"/>
        <v>16736297.916441068</v>
      </c>
      <c r="L183" s="16">
        <f t="shared" si="27"/>
        <v>16336394.166441068</v>
      </c>
    </row>
    <row r="185" spans="1:12" x14ac:dyDescent="0.25">
      <c r="A185" s="9" t="s">
        <v>126</v>
      </c>
      <c r="B185" s="9">
        <v>0</v>
      </c>
      <c r="C185" s="9">
        <v>1</v>
      </c>
      <c r="D185" s="9">
        <v>2</v>
      </c>
      <c r="E185" s="9">
        <v>3</v>
      </c>
      <c r="F185" s="9">
        <v>4</v>
      </c>
      <c r="G185" s="9">
        <v>5</v>
      </c>
      <c r="H185" s="9">
        <v>6</v>
      </c>
      <c r="I185" s="9">
        <v>7</v>
      </c>
      <c r="J185" s="9">
        <v>8</v>
      </c>
      <c r="K185" s="9">
        <v>9</v>
      </c>
      <c r="L185" s="9">
        <v>10</v>
      </c>
    </row>
    <row r="186" spans="1:12" x14ac:dyDescent="0.25">
      <c r="A186" t="s">
        <v>7</v>
      </c>
      <c r="B186" s="33">
        <f t="shared" ref="B186:L192" si="28">INDEX(B$177:B$183,MATCH($A186,B$63:B$69,0),1)</f>
        <v>21024000</v>
      </c>
      <c r="C186" s="33">
        <f t="shared" si="28"/>
        <v>21024000</v>
      </c>
      <c r="D186" s="33">
        <f t="shared" si="28"/>
        <v>15768000</v>
      </c>
      <c r="E186" s="33">
        <f t="shared" si="28"/>
        <v>10512000</v>
      </c>
      <c r="F186" s="33">
        <f t="shared" si="28"/>
        <v>10512000</v>
      </c>
      <c r="G186" s="33">
        <f t="shared" si="28"/>
        <v>10512000</v>
      </c>
      <c r="H186" s="33">
        <f t="shared" si="28"/>
        <v>10512000</v>
      </c>
      <c r="I186" s="33">
        <f t="shared" si="28"/>
        <v>10512000</v>
      </c>
      <c r="J186" s="33">
        <f t="shared" si="28"/>
        <v>10512000</v>
      </c>
      <c r="K186" s="33">
        <f t="shared" si="28"/>
        <v>10512000</v>
      </c>
      <c r="L186" s="33">
        <f t="shared" si="28"/>
        <v>10512000</v>
      </c>
    </row>
    <row r="187" spans="1:12" x14ac:dyDescent="0.25">
      <c r="A187" t="s">
        <v>8</v>
      </c>
      <c r="B187" s="33">
        <f t="shared" si="28"/>
        <v>17312520</v>
      </c>
      <c r="C187" s="33">
        <f t="shared" si="28"/>
        <v>20295345.941021323</v>
      </c>
      <c r="D187" s="33">
        <f t="shared" si="28"/>
        <v>20624399.53096145</v>
      </c>
      <c r="E187" s="33">
        <f t="shared" si="28"/>
        <v>20335478.143947948</v>
      </c>
      <c r="F187" s="33">
        <f t="shared" si="28"/>
        <v>18988332.069239426</v>
      </c>
      <c r="G187" s="33">
        <f t="shared" si="28"/>
        <v>18426225.416441068</v>
      </c>
      <c r="H187" s="33">
        <f t="shared" si="28"/>
        <v>17775614.166441068</v>
      </c>
      <c r="I187" s="33">
        <f t="shared" si="28"/>
        <v>17538272.916441068</v>
      </c>
      <c r="J187" s="33">
        <f t="shared" si="28"/>
        <v>17177384.166441068</v>
      </c>
      <c r="K187" s="33">
        <f t="shared" si="28"/>
        <v>16736297.916441068</v>
      </c>
      <c r="L187" s="33">
        <f t="shared" si="28"/>
        <v>16336394.166441068</v>
      </c>
    </row>
    <row r="188" spans="1:12" x14ac:dyDescent="0.25">
      <c r="A188" t="s">
        <v>13</v>
      </c>
      <c r="B188" s="33">
        <f t="shared" si="28"/>
        <v>15768000</v>
      </c>
      <c r="C188" s="33">
        <f t="shared" si="28"/>
        <v>7884000</v>
      </c>
      <c r="D188" s="33">
        <f t="shared" si="28"/>
        <v>7884000</v>
      </c>
      <c r="E188" s="33">
        <f t="shared" si="28"/>
        <v>7884000</v>
      </c>
      <c r="F188" s="33">
        <f t="shared" si="28"/>
        <v>7884000</v>
      </c>
      <c r="G188" s="33">
        <f t="shared" si="28"/>
        <v>7884000</v>
      </c>
      <c r="H188" s="33">
        <f t="shared" si="28"/>
        <v>7884000</v>
      </c>
      <c r="I188" s="33">
        <f t="shared" si="28"/>
        <v>7884000</v>
      </c>
      <c r="J188" s="33">
        <f t="shared" si="28"/>
        <v>7884000</v>
      </c>
      <c r="K188" s="33">
        <f t="shared" si="28"/>
        <v>7884000</v>
      </c>
      <c r="L188" s="33">
        <f t="shared" si="28"/>
        <v>7884000</v>
      </c>
    </row>
    <row r="189" spans="1:12" x14ac:dyDescent="0.25">
      <c r="A189" t="s">
        <v>9</v>
      </c>
      <c r="B189" s="33">
        <f t="shared" si="28"/>
        <v>438000</v>
      </c>
      <c r="C189" s="33">
        <f t="shared" si="28"/>
        <v>763336.96955166699</v>
      </c>
      <c r="D189" s="33">
        <f t="shared" si="28"/>
        <v>1183066.7644147871</v>
      </c>
      <c r="E189" s="33">
        <f t="shared" si="28"/>
        <v>1374888.3101601666</v>
      </c>
      <c r="F189" s="33">
        <f t="shared" si="28"/>
        <v>1374888.3101601666</v>
      </c>
      <c r="G189" s="33">
        <f t="shared" si="28"/>
        <v>1374888.3101601666</v>
      </c>
      <c r="H189" s="33">
        <f t="shared" si="28"/>
        <v>1374888.3101601666</v>
      </c>
      <c r="I189" s="33">
        <f t="shared" si="28"/>
        <v>1374888.3101601666</v>
      </c>
      <c r="J189" s="33">
        <f t="shared" si="28"/>
        <v>1374888.3101601666</v>
      </c>
      <c r="K189" s="33">
        <f t="shared" si="28"/>
        <v>1374888.3101601666</v>
      </c>
      <c r="L189" s="33">
        <f t="shared" si="28"/>
        <v>1374888.3101601666</v>
      </c>
    </row>
    <row r="190" spans="1:12" x14ac:dyDescent="0.25">
      <c r="A190" t="s">
        <v>10</v>
      </c>
      <c r="B190" s="33">
        <f t="shared" si="28"/>
        <v>525600</v>
      </c>
      <c r="C190" s="33">
        <f t="shared" si="28"/>
        <v>916004.36346200039</v>
      </c>
      <c r="D190" s="33">
        <f t="shared" si="28"/>
        <v>1419680.1172977444</v>
      </c>
      <c r="E190" s="33">
        <f t="shared" si="28"/>
        <v>1649865.9721921999</v>
      </c>
      <c r="F190" s="33">
        <f t="shared" si="28"/>
        <v>1649865.9721921999</v>
      </c>
      <c r="G190" s="33">
        <f t="shared" si="28"/>
        <v>1649865.9721921999</v>
      </c>
      <c r="H190" s="33">
        <f t="shared" si="28"/>
        <v>1649865.9721921999</v>
      </c>
      <c r="I190" s="33">
        <f t="shared" si="28"/>
        <v>1649865.9721921999</v>
      </c>
      <c r="J190" s="33">
        <f t="shared" si="28"/>
        <v>1649865.9721921999</v>
      </c>
      <c r="K190" s="33">
        <f t="shared" si="28"/>
        <v>1649865.9721921999</v>
      </c>
      <c r="L190" s="33">
        <f t="shared" si="28"/>
        <v>1649865.9721921999</v>
      </c>
    </row>
    <row r="191" spans="1:12" x14ac:dyDescent="0.25">
      <c r="A191" t="s">
        <v>11</v>
      </c>
      <c r="B191" s="33">
        <f t="shared" si="28"/>
        <v>1051200</v>
      </c>
      <c r="C191" s="33">
        <f t="shared" si="28"/>
        <v>1051200</v>
      </c>
      <c r="D191" s="33">
        <f t="shared" si="28"/>
        <v>1051200</v>
      </c>
      <c r="E191" s="33">
        <f t="shared" si="28"/>
        <v>1051200</v>
      </c>
      <c r="F191" s="33">
        <f t="shared" si="28"/>
        <v>1051200</v>
      </c>
      <c r="G191" s="33">
        <f t="shared" si="28"/>
        <v>1051200</v>
      </c>
      <c r="H191" s="33">
        <f t="shared" si="28"/>
        <v>1051200</v>
      </c>
      <c r="I191" s="33">
        <f t="shared" si="28"/>
        <v>1051200</v>
      </c>
      <c r="J191" s="33">
        <f t="shared" si="28"/>
        <v>1051200</v>
      </c>
      <c r="K191" s="33">
        <f t="shared" si="28"/>
        <v>1051200</v>
      </c>
      <c r="L191" s="33">
        <f t="shared" si="28"/>
        <v>1051200</v>
      </c>
    </row>
    <row r="192" spans="1:12" x14ac:dyDescent="0.25">
      <c r="A192" t="s">
        <v>12</v>
      </c>
      <c r="B192" s="33">
        <f t="shared" si="28"/>
        <v>1752000</v>
      </c>
      <c r="C192" s="33">
        <f t="shared" si="28"/>
        <v>3272347.878206668</v>
      </c>
      <c r="D192" s="33">
        <f t="shared" si="28"/>
        <v>5170267.0576591482</v>
      </c>
      <c r="E192" s="33">
        <f t="shared" si="28"/>
        <v>7246974.0508459834</v>
      </c>
      <c r="F192" s="33">
        <f t="shared" si="28"/>
        <v>7316521.1208691401</v>
      </c>
      <c r="G192" s="33">
        <f t="shared" si="28"/>
        <v>7217325.8291988419</v>
      </c>
      <c r="H192" s="33">
        <f t="shared" si="28"/>
        <v>7102512.0791988419</v>
      </c>
      <c r="I192" s="33">
        <f t="shared" si="28"/>
        <v>7060628.3291988419</v>
      </c>
      <c r="J192" s="33">
        <f t="shared" si="28"/>
        <v>6996942.0791988419</v>
      </c>
      <c r="K192" s="33">
        <f t="shared" si="28"/>
        <v>6919103.3291988419</v>
      </c>
      <c r="L192" s="33">
        <f t="shared" si="28"/>
        <v>6848532.0791988419</v>
      </c>
    </row>
    <row r="193" spans="1:12" x14ac:dyDescent="0.25">
      <c r="A193" s="62"/>
      <c r="B193" s="7"/>
      <c r="C193" s="7"/>
      <c r="D193" s="7"/>
      <c r="E193" s="7"/>
      <c r="F193" s="7"/>
      <c r="G193" s="7"/>
      <c r="H193" s="7"/>
      <c r="I193" s="7"/>
      <c r="J193" s="7"/>
      <c r="K193" s="7"/>
      <c r="L193" s="7"/>
    </row>
    <row r="194" spans="1:12" x14ac:dyDescent="0.25">
      <c r="A194" s="9" t="s">
        <v>123</v>
      </c>
      <c r="B194" s="9">
        <v>0</v>
      </c>
      <c r="C194" s="9">
        <v>1</v>
      </c>
      <c r="D194" s="9">
        <v>2</v>
      </c>
      <c r="E194" s="9">
        <v>3</v>
      </c>
      <c r="F194" s="9">
        <v>4</v>
      </c>
      <c r="G194" s="9">
        <v>5</v>
      </c>
      <c r="H194" s="9">
        <v>6</v>
      </c>
      <c r="I194" s="9">
        <v>7</v>
      </c>
      <c r="J194" s="9">
        <v>8</v>
      </c>
      <c r="K194" s="9">
        <v>9</v>
      </c>
      <c r="L194" s="9">
        <v>10</v>
      </c>
    </row>
    <row r="195" spans="1:12" x14ac:dyDescent="0.25">
      <c r="A195" t="s">
        <v>7</v>
      </c>
      <c r="B195" s="33">
        <f>B186*'Game Assumptions'!$B54</f>
        <v>218124000</v>
      </c>
      <c r="C195" s="33">
        <f>C186*'Game Assumptions'!$B54</f>
        <v>218124000</v>
      </c>
      <c r="D195" s="33">
        <f>D186*'Game Assumptions'!$B54</f>
        <v>163593000</v>
      </c>
      <c r="E195" s="33">
        <f>E186*'Game Assumptions'!$B54</f>
        <v>109062000</v>
      </c>
      <c r="F195" s="33">
        <f>F186*'Game Assumptions'!$B54</f>
        <v>109062000</v>
      </c>
      <c r="G195" s="33">
        <f>G186*'Game Assumptions'!$B54</f>
        <v>109062000</v>
      </c>
      <c r="H195" s="33">
        <f>H186*'Game Assumptions'!$B54</f>
        <v>109062000</v>
      </c>
      <c r="I195" s="33">
        <f>I186*'Game Assumptions'!$B54</f>
        <v>109062000</v>
      </c>
      <c r="J195" s="33">
        <f>J186*'Game Assumptions'!$B54</f>
        <v>109062000</v>
      </c>
      <c r="K195" s="33">
        <f>K186*'Game Assumptions'!$B54</f>
        <v>109062000</v>
      </c>
      <c r="L195" s="33">
        <f>L186*'Game Assumptions'!$B54</f>
        <v>109062000</v>
      </c>
    </row>
    <row r="196" spans="1:12" x14ac:dyDescent="0.25">
      <c r="A196" t="s">
        <v>8</v>
      </c>
      <c r="B196" s="33">
        <f>B187*'Game Assumptions'!$B55</f>
        <v>117725136</v>
      </c>
      <c r="C196" s="33">
        <f>C187*'Game Assumptions'!$B55</f>
        <v>138008352.398945</v>
      </c>
      <c r="D196" s="33">
        <f>D187*'Game Assumptions'!$B55</f>
        <v>140245916.81053784</v>
      </c>
      <c r="E196" s="33">
        <f>E187*'Game Assumptions'!$B55</f>
        <v>138281251.37884605</v>
      </c>
      <c r="F196" s="33">
        <f>F187*'Game Assumptions'!$B55</f>
        <v>129120658.0708281</v>
      </c>
      <c r="G196" s="33">
        <f>G187*'Game Assumptions'!$B55</f>
        <v>125298332.83179925</v>
      </c>
      <c r="H196" s="33">
        <f>H187*'Game Assumptions'!$B55</f>
        <v>120874176.33179925</v>
      </c>
      <c r="I196" s="33">
        <f>I187*'Game Assumptions'!$B55</f>
        <v>119260255.83179925</v>
      </c>
      <c r="J196" s="33">
        <f>J187*'Game Assumptions'!$B55</f>
        <v>116806212.33179925</v>
      </c>
      <c r="K196" s="33">
        <f>K187*'Game Assumptions'!$B55</f>
        <v>113806825.83179925</v>
      </c>
      <c r="L196" s="33">
        <f>L187*'Game Assumptions'!$B55</f>
        <v>111087480.33179925</v>
      </c>
    </row>
    <row r="197" spans="1:12" x14ac:dyDescent="0.25">
      <c r="A197" t="s">
        <v>13</v>
      </c>
      <c r="B197" s="33">
        <f>B188*'Game Assumptions'!$B56</f>
        <v>164775600</v>
      </c>
      <c r="C197" s="33">
        <f>C188*'Game Assumptions'!$B56</f>
        <v>82387800</v>
      </c>
      <c r="D197" s="33">
        <f>D188*'Game Assumptions'!$B56</f>
        <v>82387800</v>
      </c>
      <c r="E197" s="33">
        <f>E188*'Game Assumptions'!$B56</f>
        <v>82387800</v>
      </c>
      <c r="F197" s="33">
        <f>F188*'Game Assumptions'!$B56</f>
        <v>82387800</v>
      </c>
      <c r="G197" s="33">
        <f>G188*'Game Assumptions'!$B56</f>
        <v>82387800</v>
      </c>
      <c r="H197" s="33">
        <f>H188*'Game Assumptions'!$B56</f>
        <v>82387800</v>
      </c>
      <c r="I197" s="33">
        <f>I188*'Game Assumptions'!$B56</f>
        <v>82387800</v>
      </c>
      <c r="J197" s="33">
        <f>J188*'Game Assumptions'!$B56</f>
        <v>82387800</v>
      </c>
      <c r="K197" s="33">
        <f>K188*'Game Assumptions'!$B56</f>
        <v>82387800</v>
      </c>
      <c r="L197" s="33">
        <f>L188*'Game Assumptions'!$B56</f>
        <v>82387800</v>
      </c>
    </row>
    <row r="198" spans="1:12" x14ac:dyDescent="0.25">
      <c r="A198" t="s">
        <v>9</v>
      </c>
      <c r="B198" s="33">
        <f>B189*'Game Assumptions'!$B57</f>
        <v>0</v>
      </c>
      <c r="C198" s="33">
        <f>C189*'Game Assumptions'!$B57</f>
        <v>0</v>
      </c>
      <c r="D198" s="33">
        <f>D189*'Game Assumptions'!$B57</f>
        <v>0</v>
      </c>
      <c r="E198" s="33">
        <f>E189*'Game Assumptions'!$B57</f>
        <v>0</v>
      </c>
      <c r="F198" s="33">
        <f>F189*'Game Assumptions'!$B57</f>
        <v>0</v>
      </c>
      <c r="G198" s="33">
        <f>G189*'Game Assumptions'!$B57</f>
        <v>0</v>
      </c>
      <c r="H198" s="33">
        <f>H189*'Game Assumptions'!$B57</f>
        <v>0</v>
      </c>
      <c r="I198" s="33">
        <f>I189*'Game Assumptions'!$B57</f>
        <v>0</v>
      </c>
      <c r="J198" s="33">
        <f>J189*'Game Assumptions'!$B57</f>
        <v>0</v>
      </c>
      <c r="K198" s="33">
        <f>K189*'Game Assumptions'!$B57</f>
        <v>0</v>
      </c>
      <c r="L198" s="33">
        <f>L189*'Game Assumptions'!$B57</f>
        <v>0</v>
      </c>
    </row>
    <row r="199" spans="1:12" x14ac:dyDescent="0.25">
      <c r="A199" t="s">
        <v>10</v>
      </c>
      <c r="B199" s="33">
        <f>B190*'Game Assumptions'!$B58</f>
        <v>0</v>
      </c>
      <c r="C199" s="33">
        <f>C190*'Game Assumptions'!$B58</f>
        <v>0</v>
      </c>
      <c r="D199" s="33">
        <f>D190*'Game Assumptions'!$B58</f>
        <v>0</v>
      </c>
      <c r="E199" s="33">
        <f>E190*'Game Assumptions'!$B58</f>
        <v>0</v>
      </c>
      <c r="F199" s="33">
        <f>F190*'Game Assumptions'!$B58</f>
        <v>0</v>
      </c>
      <c r="G199" s="33">
        <f>G190*'Game Assumptions'!$B58</f>
        <v>0</v>
      </c>
      <c r="H199" s="33">
        <f>H190*'Game Assumptions'!$B58</f>
        <v>0</v>
      </c>
      <c r="I199" s="33">
        <f>I190*'Game Assumptions'!$B58</f>
        <v>0</v>
      </c>
      <c r="J199" s="33">
        <f>J190*'Game Assumptions'!$B58</f>
        <v>0</v>
      </c>
      <c r="K199" s="33">
        <f>K190*'Game Assumptions'!$B58</f>
        <v>0</v>
      </c>
      <c r="L199" s="33">
        <f>L190*'Game Assumptions'!$B58</f>
        <v>0</v>
      </c>
    </row>
    <row r="200" spans="1:12" x14ac:dyDescent="0.25">
      <c r="A200" t="s">
        <v>11</v>
      </c>
      <c r="B200" s="33">
        <f>B191*'Game Assumptions'!$B59</f>
        <v>0</v>
      </c>
      <c r="C200" s="33">
        <f>C191*'Game Assumptions'!$B59</f>
        <v>0</v>
      </c>
      <c r="D200" s="33">
        <f>D191*'Game Assumptions'!$B59</f>
        <v>0</v>
      </c>
      <c r="E200" s="33">
        <f>E191*'Game Assumptions'!$B59</f>
        <v>0</v>
      </c>
      <c r="F200" s="33">
        <f>F191*'Game Assumptions'!$B59</f>
        <v>0</v>
      </c>
      <c r="G200" s="33">
        <f>G191*'Game Assumptions'!$B59</f>
        <v>0</v>
      </c>
      <c r="H200" s="33">
        <f>H191*'Game Assumptions'!$B59</f>
        <v>0</v>
      </c>
      <c r="I200" s="33">
        <f>I191*'Game Assumptions'!$B59</f>
        <v>0</v>
      </c>
      <c r="J200" s="33">
        <f>J191*'Game Assumptions'!$B59</f>
        <v>0</v>
      </c>
      <c r="K200" s="33">
        <f>K191*'Game Assumptions'!$B59</f>
        <v>0</v>
      </c>
      <c r="L200" s="33">
        <f>L191*'Game Assumptions'!$B59</f>
        <v>0</v>
      </c>
    </row>
    <row r="201" spans="1:12" x14ac:dyDescent="0.25">
      <c r="A201" t="s">
        <v>12</v>
      </c>
      <c r="B201" s="33">
        <f>B192*'Game Assumptions'!$B60</f>
        <v>0</v>
      </c>
      <c r="C201" s="33">
        <f>C192*'Game Assumptions'!$B60</f>
        <v>0</v>
      </c>
      <c r="D201" s="33">
        <f>D192*'Game Assumptions'!$B60</f>
        <v>0</v>
      </c>
      <c r="E201" s="33">
        <f>E192*'Game Assumptions'!$B60</f>
        <v>0</v>
      </c>
      <c r="F201" s="33">
        <f>F192*'Game Assumptions'!$B60</f>
        <v>0</v>
      </c>
      <c r="G201" s="33">
        <f>G192*'Game Assumptions'!$B60</f>
        <v>0</v>
      </c>
      <c r="H201" s="33">
        <f>H192*'Game Assumptions'!$B60</f>
        <v>0</v>
      </c>
      <c r="I201" s="33">
        <f>I192*'Game Assumptions'!$B60</f>
        <v>0</v>
      </c>
      <c r="J201" s="33">
        <f>J192*'Game Assumptions'!$B60</f>
        <v>0</v>
      </c>
      <c r="K201" s="33">
        <f>K192*'Game Assumptions'!$B60</f>
        <v>0</v>
      </c>
      <c r="L201" s="33">
        <f>L192*'Game Assumptions'!$B60</f>
        <v>0</v>
      </c>
    </row>
    <row r="203" spans="1:12" x14ac:dyDescent="0.25">
      <c r="A203" s="13" t="s">
        <v>131</v>
      </c>
      <c r="B203" s="14"/>
      <c r="C203" s="14"/>
      <c r="D203" s="14"/>
      <c r="E203" s="14"/>
    </row>
    <row r="204" spans="1:12" x14ac:dyDescent="0.25">
      <c r="A204" t="s">
        <v>60</v>
      </c>
      <c r="B204" t="s">
        <v>31</v>
      </c>
      <c r="C204" t="s">
        <v>29</v>
      </c>
      <c r="D204" t="s">
        <v>28</v>
      </c>
      <c r="E204" t="s">
        <v>30</v>
      </c>
    </row>
    <row r="205" spans="1:12" x14ac:dyDescent="0.25">
      <c r="A205" t="str">
        <f>INDEX($B$63:$L$69,1,MATCH($N$1,$B$62:$L$62,0))</f>
        <v>EE</v>
      </c>
      <c r="B205">
        <v>0</v>
      </c>
      <c r="C205" s="15">
        <f t="shared" ref="C205:C218" si="29">INDEX($B$45:$L$51,MATCH($A205,$A$45:$A$51,0),MATCH($N$1,$B$44:$L$44,0))</f>
        <v>0</v>
      </c>
      <c r="D205">
        <f t="shared" ref="D205:D218" si="30">INDEX($B$144:$L$144,1,MATCH($N$1,$B$143:$L$143,0))</f>
        <v>57871320</v>
      </c>
      <c r="E205">
        <f>C205</f>
        <v>0</v>
      </c>
    </row>
    <row r="206" spans="1:12" x14ac:dyDescent="0.25">
      <c r="A206" t="str">
        <f>INDEX($B$63:$L$69,1,MATCH($N$1,$B$62:$L$62,0))</f>
        <v>EE</v>
      </c>
      <c r="B206" s="64">
        <f>INDEX($B$2:$L$8,MATCH($A206,$A$2:$A$8,0),MATCH($N$1,$B$1:$L$1,0))</f>
        <v>1752000</v>
      </c>
      <c r="C206" s="15">
        <f t="shared" si="29"/>
        <v>0</v>
      </c>
      <c r="D206">
        <f t="shared" si="30"/>
        <v>57871320</v>
      </c>
      <c r="E206">
        <f t="shared" ref="E206:E218" si="31">C206</f>
        <v>0</v>
      </c>
    </row>
    <row r="207" spans="1:12" x14ac:dyDescent="0.25">
      <c r="A207" t="str">
        <f>INDEX($B$63:$L$69,2,MATCH($N$1,$B$62:$L$62,0))</f>
        <v>solar</v>
      </c>
      <c r="B207" s="64">
        <f>B206</f>
        <v>1752000</v>
      </c>
      <c r="C207" s="15">
        <f t="shared" si="29"/>
        <v>0.01</v>
      </c>
      <c r="D207">
        <f t="shared" si="30"/>
        <v>57871320</v>
      </c>
      <c r="E207">
        <f t="shared" si="31"/>
        <v>0.01</v>
      </c>
    </row>
    <row r="208" spans="1:12" x14ac:dyDescent="0.25">
      <c r="A208" t="str">
        <f>INDEX($B$63:$L$69,2,MATCH($N$1,$B$62:$L$62,0))</f>
        <v>solar</v>
      </c>
      <c r="B208" s="64">
        <f>INDEX($B$2:$L$8,MATCH($A208,$A$2:$A$8,0),MATCH($N$1,$B$1:$L$1,0))+B207</f>
        <v>2190000</v>
      </c>
      <c r="C208" s="15">
        <f t="shared" si="29"/>
        <v>0.01</v>
      </c>
      <c r="D208">
        <f t="shared" si="30"/>
        <v>57871320</v>
      </c>
      <c r="E208">
        <f t="shared" si="31"/>
        <v>0.01</v>
      </c>
    </row>
    <row r="209" spans="1:5" x14ac:dyDescent="0.25">
      <c r="A209" t="str">
        <f>INDEX($B$63:$L$69,3,MATCH($N$1,$B$62:$L$62,0))</f>
        <v>wind</v>
      </c>
      <c r="B209" s="64">
        <f>B208</f>
        <v>2190000</v>
      </c>
      <c r="C209" s="15">
        <f t="shared" si="29"/>
        <v>0.02</v>
      </c>
      <c r="D209">
        <f t="shared" si="30"/>
        <v>57871320</v>
      </c>
      <c r="E209">
        <f t="shared" si="31"/>
        <v>0.02</v>
      </c>
    </row>
    <row r="210" spans="1:5" x14ac:dyDescent="0.25">
      <c r="A210" t="str">
        <f>INDEX($B$63:$L$69,3,MATCH($N$1,$B$62:$L$62,0))</f>
        <v>wind</v>
      </c>
      <c r="B210" s="64">
        <f>INDEX($B$2:$L$8,MATCH($A210,$A$2:$A$8,0),MATCH($N$1,$B$1:$L$1,0))+B209</f>
        <v>2715600</v>
      </c>
      <c r="C210" s="15">
        <f t="shared" si="29"/>
        <v>0.02</v>
      </c>
      <c r="D210">
        <f t="shared" si="30"/>
        <v>57871320</v>
      </c>
      <c r="E210">
        <f t="shared" si="31"/>
        <v>0.02</v>
      </c>
    </row>
    <row r="211" spans="1:5" x14ac:dyDescent="0.25">
      <c r="A211" t="str">
        <f>INDEX($B$63:$L$69,4,MATCH($N$1,$B$62:$L$62,0))</f>
        <v>hydro</v>
      </c>
      <c r="B211" s="64">
        <f>B210</f>
        <v>2715600</v>
      </c>
      <c r="C211" s="15">
        <f t="shared" si="29"/>
        <v>7</v>
      </c>
      <c r="D211">
        <f t="shared" si="30"/>
        <v>57871320</v>
      </c>
      <c r="E211">
        <f t="shared" si="31"/>
        <v>7</v>
      </c>
    </row>
    <row r="212" spans="1:5" x14ac:dyDescent="0.25">
      <c r="A212" t="str">
        <f>INDEX($B$63:$L$69,4,MATCH($N$1,$B$62:$L$62,0))</f>
        <v>hydro</v>
      </c>
      <c r="B212" s="64">
        <f>INDEX($B$2:$L$8,MATCH($A212,$A$2:$A$8,0),MATCH($N$1,$B$1:$L$1,0))+B211</f>
        <v>3766800</v>
      </c>
      <c r="C212" s="15">
        <f t="shared" si="29"/>
        <v>7</v>
      </c>
      <c r="D212">
        <f t="shared" si="30"/>
        <v>57871320</v>
      </c>
      <c r="E212">
        <f t="shared" si="31"/>
        <v>7</v>
      </c>
    </row>
    <row r="213" spans="1:5" x14ac:dyDescent="0.25">
      <c r="A213" t="str">
        <f>INDEX($B$63:$L$69,5,MATCH($N$1,$B$62:$L$62,0))</f>
        <v>nuclear</v>
      </c>
      <c r="B213" s="64">
        <f>B212</f>
        <v>3766800</v>
      </c>
      <c r="C213" s="15">
        <f t="shared" si="29"/>
        <v>11.022499999999999</v>
      </c>
      <c r="D213">
        <f t="shared" si="30"/>
        <v>57871320</v>
      </c>
      <c r="E213">
        <f t="shared" si="31"/>
        <v>11.022499999999999</v>
      </c>
    </row>
    <row r="214" spans="1:5" x14ac:dyDescent="0.25">
      <c r="A214" t="str">
        <f>INDEX($B$63:$L$69,5,MATCH($N$1,$B$62:$L$62,0))</f>
        <v>nuclear</v>
      </c>
      <c r="B214" s="64">
        <f>INDEX($B$2:$L$8,MATCH($A214,$A$2:$A$8,0),MATCH($N$1,$B$1:$L$1,0))+B213</f>
        <v>19534800</v>
      </c>
      <c r="C214" s="15">
        <f t="shared" si="29"/>
        <v>11.022499999999999</v>
      </c>
      <c r="D214">
        <f t="shared" si="30"/>
        <v>57871320</v>
      </c>
      <c r="E214">
        <f t="shared" si="31"/>
        <v>11.022499999999999</v>
      </c>
    </row>
    <row r="215" spans="1:5" x14ac:dyDescent="0.25">
      <c r="A215" t="str">
        <f>INDEX($B$63:$L$69,6,MATCH($N$1,$B$62:$L$62,0))</f>
        <v>coal</v>
      </c>
      <c r="B215" s="64">
        <f>B214</f>
        <v>19534800</v>
      </c>
      <c r="C215" s="15">
        <f t="shared" si="29"/>
        <v>28.747499999999999</v>
      </c>
      <c r="D215">
        <f t="shared" si="30"/>
        <v>57871320</v>
      </c>
      <c r="E215">
        <f t="shared" si="31"/>
        <v>28.747499999999999</v>
      </c>
    </row>
    <row r="216" spans="1:5" x14ac:dyDescent="0.25">
      <c r="A216" t="str">
        <f>INDEX($B$63:$L$69,6,MATCH($N$1,$B$62:$L$62,0))</f>
        <v>coal</v>
      </c>
      <c r="B216" s="64">
        <f>INDEX($B$2:$L$8,MATCH($A216,$A$2:$A$8,0),MATCH($N$1,$B$1:$L$1,0))+B215</f>
        <v>40558800</v>
      </c>
      <c r="C216" s="15">
        <f t="shared" si="29"/>
        <v>28.747499999999999</v>
      </c>
      <c r="D216">
        <f t="shared" si="30"/>
        <v>57871320</v>
      </c>
      <c r="E216">
        <f t="shared" si="31"/>
        <v>28.747499999999999</v>
      </c>
    </row>
    <row r="217" spans="1:5" x14ac:dyDescent="0.25">
      <c r="A217" t="str">
        <f>INDEX($B$63:$L$69,7,MATCH($N$1,$B$62:$L$62,0))</f>
        <v>natural gas</v>
      </c>
      <c r="B217" s="64">
        <f>B216</f>
        <v>40558800</v>
      </c>
      <c r="C217" s="15">
        <f t="shared" si="29"/>
        <v>36.550000000000004</v>
      </c>
      <c r="D217">
        <f t="shared" si="30"/>
        <v>57871320</v>
      </c>
      <c r="E217">
        <f t="shared" si="31"/>
        <v>36.550000000000004</v>
      </c>
    </row>
    <row r="218" spans="1:5" x14ac:dyDescent="0.25">
      <c r="A218" t="str">
        <f>INDEX($B$63:$L$69,7,MATCH($N$1,$B$62:$L$62,0))</f>
        <v>natural gas</v>
      </c>
      <c r="B218" s="64">
        <f>INDEX($B$2:$L$8,MATCH($A218,$A$2:$A$8,0),MATCH($N$1,$B$1:$L$1,0))+B217</f>
        <v>82606800</v>
      </c>
      <c r="C218" s="15">
        <f t="shared" si="29"/>
        <v>36.550000000000004</v>
      </c>
      <c r="D218">
        <f t="shared" si="30"/>
        <v>57871320</v>
      </c>
      <c r="E218">
        <f t="shared" si="31"/>
        <v>36.550000000000004</v>
      </c>
    </row>
    <row r="220" spans="1:5" x14ac:dyDescent="0.25">
      <c r="A220" s="13" t="s">
        <v>132</v>
      </c>
      <c r="B220" s="14"/>
      <c r="C220" s="14"/>
      <c r="D220" s="14"/>
      <c r="E220" s="14"/>
    </row>
    <row r="221" spans="1:5" x14ac:dyDescent="0.25">
      <c r="A221" t="s">
        <v>7</v>
      </c>
      <c r="B221" s="64">
        <f t="shared" ref="B221:B227" si="32">INDEX($B$186:$L$192,MATCH($A221,$A$186:$A$192,0),MATCH($N$1,$B$185:$L$185))</f>
        <v>21024000</v>
      </c>
    </row>
    <row r="222" spans="1:5" x14ac:dyDescent="0.25">
      <c r="A222" t="s">
        <v>8</v>
      </c>
      <c r="B222" s="64">
        <f t="shared" si="32"/>
        <v>17312520</v>
      </c>
    </row>
    <row r="223" spans="1:5" x14ac:dyDescent="0.25">
      <c r="A223" t="s">
        <v>13</v>
      </c>
      <c r="B223" s="64">
        <f t="shared" si="32"/>
        <v>15768000</v>
      </c>
    </row>
    <row r="224" spans="1:5" x14ac:dyDescent="0.25">
      <c r="A224" t="s">
        <v>9</v>
      </c>
      <c r="B224" s="64">
        <f t="shared" si="32"/>
        <v>438000</v>
      </c>
    </row>
    <row r="225" spans="1:12" x14ac:dyDescent="0.25">
      <c r="A225" t="s">
        <v>10</v>
      </c>
      <c r="B225" s="64">
        <f t="shared" si="32"/>
        <v>525600</v>
      </c>
    </row>
    <row r="226" spans="1:12" x14ac:dyDescent="0.25">
      <c r="A226" t="s">
        <v>11</v>
      </c>
      <c r="B226" s="64">
        <f t="shared" si="32"/>
        <v>1051200</v>
      </c>
    </row>
    <row r="227" spans="1:12" x14ac:dyDescent="0.25">
      <c r="A227" t="s">
        <v>12</v>
      </c>
      <c r="B227" s="64">
        <f t="shared" si="32"/>
        <v>1752000</v>
      </c>
    </row>
    <row r="230" spans="1:12" x14ac:dyDescent="0.25">
      <c r="A230" s="9" t="s">
        <v>199</v>
      </c>
      <c r="B230" s="9">
        <v>0</v>
      </c>
      <c r="C230" s="9">
        <v>1</v>
      </c>
      <c r="D230" s="9">
        <v>2</v>
      </c>
      <c r="E230" s="9">
        <v>3</v>
      </c>
      <c r="F230" s="9">
        <v>4</v>
      </c>
      <c r="G230" s="9">
        <v>5</v>
      </c>
      <c r="H230" s="9">
        <v>6</v>
      </c>
      <c r="I230" s="9">
        <v>7</v>
      </c>
      <c r="J230" s="9">
        <v>8</v>
      </c>
      <c r="K230" s="9">
        <v>9</v>
      </c>
      <c r="L230" s="9">
        <v>10</v>
      </c>
    </row>
    <row r="231" spans="1:12" x14ac:dyDescent="0.25">
      <c r="A231" t="s">
        <v>200</v>
      </c>
      <c r="B231">
        <f>'Event Tracker'!B2</f>
        <v>0</v>
      </c>
      <c r="C231">
        <f>'Event Tracker'!C2</f>
        <v>0</v>
      </c>
      <c r="D231">
        <f>'Event Tracker'!D2</f>
        <v>0</v>
      </c>
      <c r="E231">
        <f>'Event Tracker'!E2</f>
        <v>0</v>
      </c>
      <c r="F231">
        <f>'Event Tracker'!F2</f>
        <v>0</v>
      </c>
      <c r="G231">
        <f>'Event Tracker'!G2</f>
        <v>0</v>
      </c>
      <c r="H231">
        <f>'Event Tracker'!H2</f>
        <v>0</v>
      </c>
      <c r="I231">
        <f>'Event Tracker'!I2</f>
        <v>0</v>
      </c>
      <c r="J231">
        <f>'Event Tracker'!J2</f>
        <v>0</v>
      </c>
      <c r="K231">
        <f>'Event Tracker'!K2</f>
        <v>0</v>
      </c>
      <c r="L231">
        <f>'Event Tracker'!L2</f>
        <v>0</v>
      </c>
    </row>
    <row r="232" spans="1:12" x14ac:dyDescent="0.25">
      <c r="A232" t="s">
        <v>201</v>
      </c>
      <c r="B232" s="5">
        <f>SUM(B189:B190)/SUM(B186:B191)</f>
        <v>1.7170557305398567E-2</v>
      </c>
      <c r="C232" s="98">
        <f t="shared" ref="C232:L232" si="33">SUM(C189:C190)/SUM(C186:C191)</f>
        <v>3.2336137754380566E-2</v>
      </c>
      <c r="D232" s="5">
        <f t="shared" si="33"/>
        <v>5.430269289738119E-2</v>
      </c>
      <c r="E232" s="5">
        <f t="shared" si="33"/>
        <v>7.0659558653977994E-2</v>
      </c>
      <c r="F232" s="5">
        <f t="shared" si="33"/>
        <v>7.2955460478536627E-2</v>
      </c>
      <c r="G232" s="5">
        <f t="shared" si="33"/>
        <v>7.3958164021700995E-2</v>
      </c>
      <c r="H232" s="5">
        <f t="shared" si="33"/>
        <v>7.515371484368627E-2</v>
      </c>
      <c r="I232" s="5">
        <f t="shared" si="33"/>
        <v>7.5599527773828348E-2</v>
      </c>
      <c r="J232" s="5">
        <f t="shared" si="33"/>
        <v>7.6287635574520229E-2</v>
      </c>
      <c r="K232" s="5">
        <f t="shared" si="33"/>
        <v>7.7145858657924268E-2</v>
      </c>
      <c r="L232" s="5">
        <f t="shared" si="33"/>
        <v>7.7940814367389227E-2</v>
      </c>
    </row>
    <row r="233" spans="1:12" x14ac:dyDescent="0.25">
      <c r="A233" t="s">
        <v>202</v>
      </c>
      <c r="B233" s="5">
        <f>MIN($L$233,IF(AND(B231=1,A231=0),A232+$B$237,IF(B231=0,0,A233+$B$237)))</f>
        <v>0</v>
      </c>
      <c r="C233" s="5">
        <f t="shared" ref="C233:K233" si="34">MIN($L$233,IF(AND(C231=1,B231=0),B232+$B$237,IF(C231=0,0,B233+$B$237)))</f>
        <v>0</v>
      </c>
      <c r="D233" s="5">
        <f t="shared" si="34"/>
        <v>0</v>
      </c>
      <c r="E233" s="5">
        <f t="shared" si="34"/>
        <v>0</v>
      </c>
      <c r="F233" s="5">
        <f t="shared" si="34"/>
        <v>0</v>
      </c>
      <c r="G233" s="5">
        <f t="shared" si="34"/>
        <v>0</v>
      </c>
      <c r="H233" s="5">
        <f t="shared" si="34"/>
        <v>0</v>
      </c>
      <c r="I233" s="5">
        <f t="shared" si="34"/>
        <v>0</v>
      </c>
      <c r="J233" s="5">
        <f t="shared" si="34"/>
        <v>0</v>
      </c>
      <c r="K233" s="5">
        <f t="shared" si="34"/>
        <v>0</v>
      </c>
      <c r="L233" s="5">
        <f>IF(L231=1,'Game Assumptions'!B22,0)</f>
        <v>0</v>
      </c>
    </row>
    <row r="234" spans="1:12" x14ac:dyDescent="0.25">
      <c r="A234" t="s">
        <v>203</v>
      </c>
      <c r="B234" s="16">
        <f>IF(B233&gt;B232,(B233-B232)*SUM(B186:B191),0)</f>
        <v>0</v>
      </c>
      <c r="C234" s="16">
        <f t="shared" ref="C234:L234" si="35">IF(C233&gt;C232,(C233-C232)*SUM(C186:C191),0)</f>
        <v>0</v>
      </c>
      <c r="D234" s="16">
        <f t="shared" si="35"/>
        <v>0</v>
      </c>
      <c r="E234" s="16">
        <f t="shared" si="35"/>
        <v>0</v>
      </c>
      <c r="F234" s="16">
        <f t="shared" si="35"/>
        <v>0</v>
      </c>
      <c r="G234" s="16">
        <f t="shared" si="35"/>
        <v>0</v>
      </c>
      <c r="H234" s="16">
        <f t="shared" si="35"/>
        <v>0</v>
      </c>
      <c r="I234" s="16">
        <f t="shared" si="35"/>
        <v>0</v>
      </c>
      <c r="J234" s="16">
        <f t="shared" si="35"/>
        <v>0</v>
      </c>
      <c r="K234" s="16">
        <f t="shared" si="35"/>
        <v>0</v>
      </c>
      <c r="L234" s="16">
        <f t="shared" si="35"/>
        <v>0</v>
      </c>
    </row>
    <row r="235" spans="1:12" x14ac:dyDescent="0.25">
      <c r="A235" t="s">
        <v>204</v>
      </c>
      <c r="B235" s="7">
        <f>B234*'Game Assumptions'!$B$9</f>
        <v>0</v>
      </c>
      <c r="C235" s="7">
        <f>C234*'Game Assumptions'!$B$9</f>
        <v>0</v>
      </c>
      <c r="D235" s="7">
        <f>D234*'Game Assumptions'!$B$9</f>
        <v>0</v>
      </c>
      <c r="E235" s="7">
        <f>E234*'Game Assumptions'!$B$9</f>
        <v>0</v>
      </c>
      <c r="F235" s="7">
        <f>F234*'Game Assumptions'!$B$9</f>
        <v>0</v>
      </c>
      <c r="G235" s="7">
        <f>G234*'Game Assumptions'!$B$9</f>
        <v>0</v>
      </c>
      <c r="H235" s="7">
        <f>H234*'Game Assumptions'!$B$9</f>
        <v>0</v>
      </c>
      <c r="I235" s="7">
        <f>I234*'Game Assumptions'!$B$9</f>
        <v>0</v>
      </c>
      <c r="J235" s="7">
        <f>J234*'Game Assumptions'!$B$9</f>
        <v>0</v>
      </c>
      <c r="K235" s="7">
        <f>K234*'Game Assumptions'!$B$9</f>
        <v>0</v>
      </c>
      <c r="L235" s="7">
        <f>L234*'Game Assumptions'!$B$9</f>
        <v>0</v>
      </c>
    </row>
    <row r="236" spans="1:12" x14ac:dyDescent="0.25">
      <c r="A236" t="s">
        <v>454</v>
      </c>
      <c r="B236" s="102">
        <f>IF(AND(B231=1,A231=0),1,0)</f>
        <v>0</v>
      </c>
      <c r="C236" s="102">
        <f t="shared" ref="C236:L236" si="36">IF(AND(C231=1,B231=0),1,0)</f>
        <v>0</v>
      </c>
      <c r="D236" s="102">
        <f t="shared" si="36"/>
        <v>0</v>
      </c>
      <c r="E236" s="102">
        <f t="shared" si="36"/>
        <v>0</v>
      </c>
      <c r="F236" s="102">
        <f t="shared" si="36"/>
        <v>0</v>
      </c>
      <c r="G236" s="102">
        <f t="shared" si="36"/>
        <v>0</v>
      </c>
      <c r="H236" s="102">
        <f t="shared" si="36"/>
        <v>0</v>
      </c>
      <c r="I236" s="102">
        <f t="shared" si="36"/>
        <v>0</v>
      </c>
      <c r="J236" s="102">
        <f t="shared" si="36"/>
        <v>0</v>
      </c>
      <c r="K236" s="102">
        <f t="shared" si="36"/>
        <v>0</v>
      </c>
      <c r="L236" s="102">
        <f t="shared" si="36"/>
        <v>0</v>
      </c>
    </row>
    <row r="237" spans="1:12" x14ac:dyDescent="0.25">
      <c r="A237" t="s">
        <v>453</v>
      </c>
      <c r="B237" s="98" t="e">
        <f>IF(IF(SUM(B236:L236=0,0),L233-INDEX(B232:L232,1,MATCH(1,B236:L236,0)-1))/COUNTIF(B231:L231,1)&lt;0,0,IF(SUM(B236:L236=0,0),L233-INDEX(B232:L232,1,MATCH(1,B236:L236,0)-1))/COUNTIF(B231:L231,1))</f>
        <v>#N/A</v>
      </c>
    </row>
    <row r="239" spans="1:12" x14ac:dyDescent="0.25">
      <c r="A239" s="9" t="s">
        <v>256</v>
      </c>
      <c r="B239" s="9">
        <v>0</v>
      </c>
      <c r="C239" s="9">
        <v>1</v>
      </c>
      <c r="D239" s="9">
        <v>2</v>
      </c>
      <c r="E239" s="9">
        <v>3</v>
      </c>
      <c r="F239" s="9">
        <v>4</v>
      </c>
      <c r="G239" s="9">
        <v>5</v>
      </c>
      <c r="H239" s="9">
        <v>6</v>
      </c>
      <c r="I239" s="9">
        <v>7</v>
      </c>
      <c r="J239" s="9">
        <v>8</v>
      </c>
      <c r="K239" s="9">
        <v>9</v>
      </c>
      <c r="L239" s="9">
        <v>10</v>
      </c>
    </row>
    <row r="240" spans="1:12" x14ac:dyDescent="0.25">
      <c r="A240" t="s">
        <v>35</v>
      </c>
      <c r="B240" s="7">
        <f t="shared" ref="B240:L240" si="37">SUMPRODUCT(B186:B192,B45:B51)</f>
        <v>1418336118</v>
      </c>
      <c r="C240" s="7">
        <f>SUMPRODUCT(C186:C192,C45:C51)</f>
        <v>1513524743.1366189</v>
      </c>
      <c r="D240" s="7">
        <f t="shared" si="37"/>
        <v>1285520038.7904205</v>
      </c>
      <c r="E240" s="7">
        <f t="shared" si="37"/>
        <v>1132712027.3914199</v>
      </c>
      <c r="F240" s="7">
        <f t="shared" si="37"/>
        <v>1082889453.3332467</v>
      </c>
      <c r="G240" s="7">
        <f t="shared" si="37"/>
        <v>1081905098.4416006</v>
      </c>
      <c r="H240" s="7">
        <f t="shared" si="37"/>
        <v>1113888492.7317743</v>
      </c>
      <c r="I240" s="7">
        <f t="shared" si="37"/>
        <v>1159954264.5719481</v>
      </c>
      <c r="J240" s="7">
        <f t="shared" si="37"/>
        <v>1179066372.9007158</v>
      </c>
      <c r="K240" s="7">
        <f t="shared" si="37"/>
        <v>1179538321.2129855</v>
      </c>
      <c r="L240" s="7">
        <f t="shared" si="37"/>
        <v>1183271487.1068916</v>
      </c>
    </row>
    <row r="241" spans="1:12" x14ac:dyDescent="0.25">
      <c r="A241" t="s">
        <v>36</v>
      </c>
      <c r="B241" s="7">
        <f t="shared" ref="B241:L241" si="38">IF(B113&gt;0,INDEX($B$45:$L$51,MATCH(B69,$A$45:$A$51,0),MATCH(B239,$B$44:$L$44)),INDEX($B$45:$L$51,MATCH(B68,$A$45:$A$51,0),MATCH(B239,$B$44:$L$44)))*SUM(B177:B183)</f>
        <v>2115196746.0000002</v>
      </c>
      <c r="C241" s="7">
        <f t="shared" si="38"/>
        <v>2258045430.1969886</v>
      </c>
      <c r="D241" s="7">
        <f t="shared" si="38"/>
        <v>1933605738.9087107</v>
      </c>
      <c r="E241" s="7">
        <f t="shared" si="38"/>
        <v>1836295956.0205891</v>
      </c>
      <c r="F241" s="7">
        <f t="shared" si="38"/>
        <v>1782792313.1184473</v>
      </c>
      <c r="G241" s="7">
        <f t="shared" si="38"/>
        <v>1801155833.9348631</v>
      </c>
      <c r="H241" s="7">
        <f t="shared" si="38"/>
        <v>1910954549.9487126</v>
      </c>
      <c r="I241" s="7">
        <f t="shared" si="38"/>
        <v>2037320768.9625616</v>
      </c>
      <c r="J241" s="7">
        <f t="shared" si="38"/>
        <v>2101414937.7860522</v>
      </c>
      <c r="K241" s="7">
        <f t="shared" si="38"/>
        <v>2125087269.1746042</v>
      </c>
      <c r="L241" s="7">
        <f t="shared" si="38"/>
        <v>2156191839.8149633</v>
      </c>
    </row>
    <row r="243" spans="1:12" x14ac:dyDescent="0.25">
      <c r="A243" s="9" t="s">
        <v>455</v>
      </c>
      <c r="B243" s="9">
        <v>0</v>
      </c>
      <c r="C243" s="9">
        <v>1</v>
      </c>
      <c r="D243" s="9">
        <v>2</v>
      </c>
      <c r="E243" s="9">
        <v>3</v>
      </c>
      <c r="F243" s="9">
        <v>4</v>
      </c>
      <c r="G243" s="9">
        <v>5</v>
      </c>
      <c r="H243" s="9">
        <v>6</v>
      </c>
      <c r="I243" s="9">
        <v>7</v>
      </c>
      <c r="J243" s="9">
        <v>8</v>
      </c>
      <c r="K243" s="9">
        <v>9</v>
      </c>
      <c r="L243" s="9">
        <v>10</v>
      </c>
    </row>
    <row r="244" spans="1:12" x14ac:dyDescent="0.25">
      <c r="A244" t="s">
        <v>16</v>
      </c>
      <c r="B244" s="7">
        <f>'Game Assumptions'!B68*'Game Assumptions'!$B$54*B186</f>
        <v>510410160</v>
      </c>
      <c r="C244" s="7">
        <f>'Game Assumptions'!C68*'Game Assumptions'!$B$54*C186</f>
        <v>495141480</v>
      </c>
      <c r="D244" s="7">
        <f>'Game Assumptions'!D68*'Game Assumptions'!$B$54*D186</f>
        <v>369720179.99999994</v>
      </c>
      <c r="E244" s="7">
        <f>'Game Assumptions'!E68*'Game Assumptions'!$B$54*E186</f>
        <v>245389500</v>
      </c>
      <c r="F244" s="7">
        <f>'Game Assumptions'!F68*'Game Assumptions'!$B$54*F186</f>
        <v>247570740</v>
      </c>
      <c r="G244" s="7">
        <f>'Game Assumptions'!G68*'Game Assumptions'!$B$54*G186</f>
        <v>250842599.99999997</v>
      </c>
      <c r="H244" s="7">
        <f>'Game Assumptions'!H68*'Game Assumptions'!$B$54*H186</f>
        <v>255205080</v>
      </c>
      <c r="I244" s="7">
        <f>'Game Assumptions'!I68*'Game Assumptions'!$B$54*I186</f>
        <v>259567560</v>
      </c>
      <c r="J244" s="7">
        <f>'Game Assumptions'!J68*'Game Assumptions'!$B$54*J186</f>
        <v>263930039.99999997</v>
      </c>
      <c r="K244" s="7">
        <f>'Game Assumptions'!K68*'Game Assumptions'!$B$54*K186</f>
        <v>267201900.00000003</v>
      </c>
      <c r="L244" s="7">
        <f>'Game Assumptions'!L68*'Game Assumptions'!$B$54*L186</f>
        <v>270473760</v>
      </c>
    </row>
    <row r="245" spans="1:12" x14ac:dyDescent="0.25">
      <c r="A245" t="s">
        <v>17</v>
      </c>
      <c r="B245" s="7">
        <f>('Game Assumptions'!B69*'Game Assumptions'!$B$55+Dispatch!B33)*B126</f>
        <v>517990598.40000004</v>
      </c>
      <c r="C245" s="7">
        <f>('Game Assumptions'!C69*'Game Assumptions'!$B$55+Dispatch!C33)*C126</f>
        <v>705758016.09068274</v>
      </c>
      <c r="D245" s="7">
        <f>('Game Assumptions'!D69*'Game Assumptions'!$B$55+Dispatch!D33)*D126</f>
        <v>609005347.6301558</v>
      </c>
      <c r="E245" s="7">
        <f>('Game Assumptions'!E69*'Game Assumptions'!$B$55+Dispatch!E33)*E126</f>
        <v>619994511.09449947</v>
      </c>
      <c r="F245" s="7">
        <f>('Game Assumptions'!F69*'Game Assumptions'!$B$55+Dispatch!F33)*F126</f>
        <v>569866255.51164365</v>
      </c>
      <c r="G245" s="7">
        <f>('Game Assumptions'!G69*'Game Assumptions'!$B$55+Dispatch!G33)*G126</f>
        <v>562287757.72805071</v>
      </c>
      <c r="H245" s="7">
        <f>('Game Assumptions'!H69*'Game Assumptions'!$B$55+Dispatch!H33)*H126</f>
        <v>607225898.60572433</v>
      </c>
      <c r="I245" s="7">
        <f>('Game Assumptions'!I69*'Game Assumptions'!$B$55+Dispatch!I33)*I126</f>
        <v>644883616.93339789</v>
      </c>
      <c r="J245" s="7">
        <f>('Game Assumptions'!J69*'Game Assumptions'!$B$55+Dispatch!J33)*J126</f>
        <v>662106619.67466581</v>
      </c>
      <c r="K245" s="7">
        <f>('Game Assumptions'!K69*'Game Assumptions'!$B$55+Dispatch!K33)*K126</f>
        <v>666646349.82443571</v>
      </c>
      <c r="L245" s="7">
        <f>('Game Assumptions'!L69*'Game Assumptions'!$B$55+Dispatch!L33)*L126</f>
        <v>672123377.58084154</v>
      </c>
    </row>
    <row r="246" spans="1:12" x14ac:dyDescent="0.25">
      <c r="A246" t="s">
        <v>18</v>
      </c>
      <c r="B246" s="7">
        <f>'Game Assumptions'!B70*'Game Assumptions'!$B$56*B188</f>
        <v>140059259.99999997</v>
      </c>
      <c r="C246" s="7">
        <f>'Game Assumptions'!C70*'Game Assumptions'!$B$56*C188</f>
        <v>70029629.999999985</v>
      </c>
      <c r="D246" s="7">
        <f>'Game Assumptions'!D70*'Game Assumptions'!$B$56*D188</f>
        <v>70029629.999999985</v>
      </c>
      <c r="E246" s="7">
        <f>'Game Assumptions'!E70*'Game Assumptions'!$B$56*E188</f>
        <v>70029629.999999985</v>
      </c>
      <c r="F246" s="7">
        <f>'Game Assumptions'!F70*'Game Assumptions'!$B$56*F188</f>
        <v>70029629.999999985</v>
      </c>
      <c r="G246" s="7">
        <f>'Game Assumptions'!G70*'Game Assumptions'!$B$56*G188</f>
        <v>70029629.999999985</v>
      </c>
      <c r="H246" s="7">
        <f>'Game Assumptions'!H70*'Game Assumptions'!$B$56*H188</f>
        <v>70029629.999999985</v>
      </c>
      <c r="I246" s="7">
        <f>'Game Assumptions'!I70*'Game Assumptions'!$B$56*I188</f>
        <v>70029629.999999985</v>
      </c>
      <c r="J246" s="7">
        <f>'Game Assumptions'!J70*'Game Assumptions'!$B$56*J188</f>
        <v>70029629.999999985</v>
      </c>
      <c r="K246" s="7">
        <f>'Game Assumptions'!K70*'Game Assumptions'!$B$56*K188</f>
        <v>70029629.999999985</v>
      </c>
      <c r="L246" s="7">
        <f>'Game Assumptions'!L70*'Game Assumptions'!$B$56*L188</f>
        <v>70029629.999999985</v>
      </c>
    </row>
  </sheetData>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S34"/>
  <sheetViews>
    <sheetView zoomScale="85" zoomScaleNormal="85" workbookViewId="0">
      <selection activeCell="A6" sqref="A6"/>
    </sheetView>
  </sheetViews>
  <sheetFormatPr defaultRowHeight="15" x14ac:dyDescent="0.25"/>
  <cols>
    <col min="1" max="1" width="12.85546875" customWidth="1"/>
    <col min="2" max="2" width="165.85546875" customWidth="1"/>
  </cols>
  <sheetData>
    <row r="1" spans="1:19" s="69" customFormat="1" x14ac:dyDescent="0.25">
      <c r="A1" s="9" t="s">
        <v>3</v>
      </c>
      <c r="B1" s="3"/>
    </row>
    <row r="2" spans="1:19" ht="30" x14ac:dyDescent="0.25">
      <c r="A2" t="s">
        <v>177</v>
      </c>
      <c r="B2" s="66" t="s">
        <v>178</v>
      </c>
    </row>
    <row r="3" spans="1:19" x14ac:dyDescent="0.25">
      <c r="A3" t="s">
        <v>179</v>
      </c>
      <c r="B3" t="s">
        <v>182</v>
      </c>
    </row>
    <row r="4" spans="1:19" ht="30" x14ac:dyDescent="0.25">
      <c r="A4" s="70" t="s">
        <v>181</v>
      </c>
      <c r="B4" s="66" t="s">
        <v>183</v>
      </c>
    </row>
    <row r="6" spans="1:19" s="69" customFormat="1" x14ac:dyDescent="0.25">
      <c r="A6" s="9" t="s">
        <v>2</v>
      </c>
      <c r="B6" s="9"/>
      <c r="C6" s="68"/>
      <c r="D6" s="68"/>
      <c r="E6" s="68"/>
      <c r="F6" s="68"/>
      <c r="G6" s="68"/>
      <c r="H6" s="68"/>
      <c r="I6" s="68"/>
      <c r="J6" s="68"/>
      <c r="K6" s="68"/>
      <c r="L6" s="68"/>
      <c r="M6" s="68"/>
      <c r="N6" s="68"/>
      <c r="O6" s="68"/>
      <c r="P6" s="68"/>
      <c r="Q6" s="68"/>
      <c r="R6" s="68"/>
      <c r="S6" s="68"/>
    </row>
    <row r="7" spans="1:19" ht="30" x14ac:dyDescent="0.25">
      <c r="A7" s="67" t="s">
        <v>177</v>
      </c>
      <c r="B7" s="66" t="s">
        <v>180</v>
      </c>
    </row>
    <row r="8" spans="1:19" x14ac:dyDescent="0.25">
      <c r="A8" t="s">
        <v>179</v>
      </c>
      <c r="B8" t="s">
        <v>184</v>
      </c>
    </row>
    <row r="9" spans="1:19" x14ac:dyDescent="0.25">
      <c r="A9" t="s">
        <v>185</v>
      </c>
      <c r="B9" t="s">
        <v>186</v>
      </c>
    </row>
    <row r="11" spans="1:19" x14ac:dyDescent="0.25">
      <c r="A11" s="9" t="s">
        <v>437</v>
      </c>
      <c r="B11" s="9"/>
    </row>
    <row r="12" spans="1:19" ht="30" x14ac:dyDescent="0.25">
      <c r="A12" s="67" t="s">
        <v>177</v>
      </c>
      <c r="B12" s="66" t="s">
        <v>438</v>
      </c>
    </row>
    <row r="13" spans="1:19" x14ac:dyDescent="0.25">
      <c r="A13" t="s">
        <v>179</v>
      </c>
      <c r="B13" t="s">
        <v>439</v>
      </c>
    </row>
    <row r="14" spans="1:19" x14ac:dyDescent="0.25">
      <c r="A14" t="s">
        <v>185</v>
      </c>
      <c r="B14" t="s">
        <v>440</v>
      </c>
    </row>
    <row r="16" spans="1:19" x14ac:dyDescent="0.25">
      <c r="A16" s="77" t="s">
        <v>187</v>
      </c>
      <c r="B16" s="77"/>
    </row>
    <row r="17" spans="1:2" ht="30" x14ac:dyDescent="0.25">
      <c r="A17" s="78" t="s">
        <v>177</v>
      </c>
      <c r="B17" s="79" t="s">
        <v>188</v>
      </c>
    </row>
    <row r="18" spans="1:2" x14ac:dyDescent="0.25">
      <c r="A18" s="12" t="s">
        <v>179</v>
      </c>
      <c r="B18" s="12" t="s">
        <v>189</v>
      </c>
    </row>
    <row r="19" spans="1:2" ht="30" x14ac:dyDescent="0.25">
      <c r="A19" s="78" t="s">
        <v>185</v>
      </c>
      <c r="B19" s="79" t="s">
        <v>190</v>
      </c>
    </row>
    <row r="21" spans="1:2" x14ac:dyDescent="0.25">
      <c r="A21" s="9" t="s">
        <v>1</v>
      </c>
      <c r="B21" s="9"/>
    </row>
    <row r="22" spans="1:2" ht="30" x14ac:dyDescent="0.25">
      <c r="A22" s="67" t="s">
        <v>177</v>
      </c>
      <c r="B22" s="66" t="s">
        <v>191</v>
      </c>
    </row>
    <row r="23" spans="1:2" x14ac:dyDescent="0.25">
      <c r="A23" t="s">
        <v>179</v>
      </c>
      <c r="B23" t="s">
        <v>244</v>
      </c>
    </row>
    <row r="24" spans="1:2" x14ac:dyDescent="0.25">
      <c r="A24" t="s">
        <v>181</v>
      </c>
      <c r="B24" t="s">
        <v>192</v>
      </c>
    </row>
    <row r="26" spans="1:2" x14ac:dyDescent="0.25">
      <c r="A26" s="9" t="s">
        <v>193</v>
      </c>
      <c r="B26" s="9"/>
    </row>
    <row r="27" spans="1:2" ht="30" x14ac:dyDescent="0.25">
      <c r="A27" s="67" t="s">
        <v>177</v>
      </c>
      <c r="B27" s="66" t="s">
        <v>194</v>
      </c>
    </row>
    <row r="28" spans="1:2" x14ac:dyDescent="0.25">
      <c r="A28" t="s">
        <v>179</v>
      </c>
      <c r="B28" t="s">
        <v>195</v>
      </c>
    </row>
    <row r="29" spans="1:2" x14ac:dyDescent="0.25">
      <c r="A29" t="s">
        <v>181</v>
      </c>
      <c r="B29" t="s">
        <v>196</v>
      </c>
    </row>
    <row r="31" spans="1:2" x14ac:dyDescent="0.25">
      <c r="A31" s="9" t="s">
        <v>279</v>
      </c>
      <c r="B31" s="9"/>
    </row>
    <row r="32" spans="1:2" x14ac:dyDescent="0.25">
      <c r="A32" s="67" t="s">
        <v>177</v>
      </c>
      <c r="B32" t="s">
        <v>283</v>
      </c>
    </row>
    <row r="33" spans="1:2" x14ac:dyDescent="0.25">
      <c r="A33" t="s">
        <v>179</v>
      </c>
      <c r="B33" t="s">
        <v>284</v>
      </c>
    </row>
    <row r="34" spans="1:2" x14ac:dyDescent="0.25">
      <c r="A34" t="s">
        <v>181</v>
      </c>
      <c r="B34" t="s">
        <v>285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dimension ref="A1:K102"/>
  <sheetViews>
    <sheetView topLeftCell="A67" zoomScaleNormal="100" workbookViewId="0">
      <selection activeCell="L38" sqref="L38"/>
    </sheetView>
  </sheetViews>
  <sheetFormatPr defaultRowHeight="15" x14ac:dyDescent="0.25"/>
  <cols>
    <col min="1" max="1" width="47.85546875" customWidth="1"/>
    <col min="2" max="2" width="63.42578125" customWidth="1"/>
    <col min="3" max="3" width="16" customWidth="1"/>
  </cols>
  <sheetData>
    <row r="1" spans="1:3" x14ac:dyDescent="0.25">
      <c r="A1" s="239" t="s">
        <v>527</v>
      </c>
      <c r="B1" s="239"/>
      <c r="C1" s="239"/>
    </row>
    <row r="2" spans="1:3" x14ac:dyDescent="0.25">
      <c r="A2" s="1" t="s">
        <v>494</v>
      </c>
      <c r="B2" s="1" t="s">
        <v>495</v>
      </c>
      <c r="C2" s="1" t="s">
        <v>502</v>
      </c>
    </row>
    <row r="3" spans="1:3" ht="60" x14ac:dyDescent="0.25">
      <c r="A3" s="67" t="s">
        <v>3</v>
      </c>
      <c r="B3" s="66" t="s">
        <v>496</v>
      </c>
      <c r="C3">
        <v>1</v>
      </c>
    </row>
    <row r="4" spans="1:3" ht="45" x14ac:dyDescent="0.25">
      <c r="A4" s="67" t="s">
        <v>2</v>
      </c>
      <c r="B4" s="66" t="s">
        <v>501</v>
      </c>
      <c r="C4">
        <v>1</v>
      </c>
    </row>
    <row r="5" spans="1:3" ht="45" x14ac:dyDescent="0.25">
      <c r="A5" s="67" t="s">
        <v>437</v>
      </c>
      <c r="B5" s="66" t="s">
        <v>500</v>
      </c>
      <c r="C5">
        <v>1</v>
      </c>
    </row>
    <row r="6" spans="1:3" ht="75" x14ac:dyDescent="0.25">
      <c r="A6" s="67" t="s">
        <v>187</v>
      </c>
      <c r="B6" s="66" t="s">
        <v>497</v>
      </c>
      <c r="C6">
        <v>1</v>
      </c>
    </row>
    <row r="7" spans="1:3" ht="45" x14ac:dyDescent="0.25">
      <c r="A7" t="s">
        <v>1</v>
      </c>
      <c r="B7" s="66" t="s">
        <v>498</v>
      </c>
      <c r="C7">
        <v>1</v>
      </c>
    </row>
    <row r="8" spans="1:3" ht="30" x14ac:dyDescent="0.25">
      <c r="A8" t="str">
        <f>IF(OR('Event Tracker'!$B$20=1,'Event Tracker'!$B$22=1),"Performance Incentive Mechanism","Earnings Sharing Mechanism")</f>
        <v>Earnings Sharing Mechanism</v>
      </c>
      <c r="B8" s="66" t="str">
        <f>IF(OR('Event Tracker'!$B$20=1,'Event Tracker'!$B$22=1), "A performance incentive mechanism will increase or decrease the authorized rate of return based on how the team performs relative to environmental, relaibility, and customer bill goals.","An earnings sharing mechanism will return a portion of a utility's performance bonus to customers.")</f>
        <v>An earnings sharing mechanism will return a portion of a utility's performance bonus to customers.</v>
      </c>
      <c r="C8">
        <v>1</v>
      </c>
    </row>
    <row r="9" spans="1:3" ht="30" x14ac:dyDescent="0.25">
      <c r="A9" t="s">
        <v>493</v>
      </c>
      <c r="B9" s="66" t="s">
        <v>499</v>
      </c>
      <c r="C9">
        <v>1</v>
      </c>
    </row>
    <row r="10" spans="1:3" x14ac:dyDescent="0.25">
      <c r="B10" s="66"/>
    </row>
    <row r="11" spans="1:3" x14ac:dyDescent="0.25">
      <c r="A11" s="239" t="s">
        <v>528</v>
      </c>
      <c r="B11" s="239"/>
      <c r="C11" s="239"/>
    </row>
    <row r="12" spans="1:3" x14ac:dyDescent="0.25">
      <c r="A12" s="1" t="s">
        <v>503</v>
      </c>
      <c r="B12" s="166" t="s">
        <v>504</v>
      </c>
      <c r="C12" s="1" t="s">
        <v>505</v>
      </c>
    </row>
    <row r="13" spans="1:3" ht="45" x14ac:dyDescent="0.25">
      <c r="A13" t="s">
        <v>20</v>
      </c>
      <c r="B13" s="66" t="s">
        <v>507</v>
      </c>
      <c r="C13">
        <v>1</v>
      </c>
    </row>
    <row r="14" spans="1:3" ht="45" x14ac:dyDescent="0.25">
      <c r="A14" t="s">
        <v>506</v>
      </c>
      <c r="B14" s="66" t="s">
        <v>508</v>
      </c>
      <c r="C14">
        <v>1</v>
      </c>
    </row>
    <row r="15" spans="1:3" ht="30" x14ac:dyDescent="0.25">
      <c r="A15" t="s">
        <v>4</v>
      </c>
      <c r="B15" s="66" t="s">
        <v>509</v>
      </c>
      <c r="C15">
        <v>1</v>
      </c>
    </row>
    <row r="17" spans="1:11" x14ac:dyDescent="0.25">
      <c r="A17" s="9" t="s">
        <v>529</v>
      </c>
      <c r="B17" s="3"/>
      <c r="C17" s="3"/>
      <c r="D17" s="3"/>
      <c r="E17" s="3"/>
      <c r="F17" s="3"/>
      <c r="G17" s="3"/>
      <c r="H17" s="3"/>
      <c r="I17" s="3"/>
      <c r="J17" s="3"/>
      <c r="K17" s="3"/>
    </row>
    <row r="18" spans="1:11" x14ac:dyDescent="0.25">
      <c r="A18" t="str">
        <f>CONCATENATE(IFERROR(INDEX('Game Properties'!$AE$2:$AE$6,Current_Round,1),""), " Planning Process Summary")</f>
        <v xml:space="preserve"> Planning Process Summary</v>
      </c>
    </row>
    <row r="20" spans="1:11" x14ac:dyDescent="0.25">
      <c r="A20" t="str">
        <f>IF(Current_Round=0,"Here is your starting performance:", "Here is your performance from the last round:")</f>
        <v>Here is your starting performance:</v>
      </c>
    </row>
    <row r="22" spans="1:11" x14ac:dyDescent="0.25">
      <c r="A22" t="str">
        <f>CONCATENATE("Your average customer bill ",IF(Current_Round&gt;0,CONCATENATE(IF(INDEX(Graphs!$C$3:$C$13,Current_Round+1,1)&lt;INDEX(Graphs!$C$3:$C$13,Current_Round,1),"decreased by $","increased by $"), TEXT(ABS(INDEX(Graphs!$C$3:$C$13,Current_Round+1,1)-INDEX(Graphs!$C$3:$C$13,Current_Round,1)),"###.00")),CONCATENATE("is $",TEXT(Graphs!$C$3,"###.00"))))</f>
        <v>Your average customer bill is $95.70</v>
      </c>
      <c r="B22" s="123" t="str">
        <f>IFERROR(IF(INDEX(Graphs!$C$3:$C$13,Current_Round+1,1)-INDEX(Graphs!$C$3:$C$13,Current_Round,1)&gt;0,"+","-"),"")</f>
        <v/>
      </c>
    </row>
    <row r="24" spans="1:11" x14ac:dyDescent="0.25">
      <c r="A24" t="str">
        <f>CONCATENATE("Your average CO2 emissions rate ",IF(Current_Round&gt;0,CONCATENATE(IF(INDEX(Graphs!$C$18:$C$28,Current_Round+1,1)&lt;INDEX(Graphs!$C$18:$C$28,Current_Round,1),"decreased by ","increased by "), ROUND(ABS(INDEX(Graphs!$C$18:$C$28,Current_Round+1,1)-INDEX(Graphs!$C$18:$C$28,Current_Round,1)),0)," lbs/MWh"),CONCATENATE("is ",ROUND(Graphs!$C$18,0)," lbs/MWh")))</f>
        <v>Your average CO2 emissions rate is 1078 lbs/MWh</v>
      </c>
      <c r="B24" s="123" t="str">
        <f>IFERROR(IF(INDEX(Graphs!$C$18:$C$28,Current_Round+1,1)-INDEX(Graphs!$C$18:$C$28,Current_Round,1)&gt;0,"+","-"),"")</f>
        <v/>
      </c>
    </row>
    <row r="26" spans="1:11" x14ac:dyDescent="0.25">
      <c r="A26" t="str">
        <f>CONCATENATE("Your earnings per share ",IF(Current_Round&gt;0,CONCATENATE(IF(INDEX(Graphs!$C$34:$C$44,Current_Round+1,1)&lt;INDEX(Graphs!$C$34:$C$44,Current_Round,1),"decreased by $","increased by $"), TEXT(ABS(INDEX(Graphs!$C$34:$C$44,Current_Round+1,1)-INDEX(Graphs!$C$34:$C$44,Current_Round,1)),"###.00")),CONCATENATE("is $",TEXT(Graphs!$C$34,"###.00"))))</f>
        <v>Your earnings per share is $.54</v>
      </c>
      <c r="B26" s="123" t="str">
        <f>IFERROR(IF(INDEX(Graphs!$C$34:$C$44,Current_Round+1,1)-INDEX(Graphs!$C$34:$C$44,Current_Round,1)&gt;0,"+","-"),"")</f>
        <v/>
      </c>
    </row>
    <row r="28" spans="1:11" x14ac:dyDescent="0.25">
      <c r="A28" t="str">
        <f>CONCATENATE("Your minutes of outages ",IF(Current_Round&gt;0,CONCATENATE(IF(INDEX(Graphs!$C$51:$C$61,Current_Round+1,1)&lt;INDEX(Graphs!$C$51:$C$61,Current_Round,1),"decreased by ","increased by "), ROUND(ABS(INDEX(Graphs!$C$51:$C$61,Current_Round+1,1)-INDEX(Graphs!$C$51:$C$61,Current_Round,1)),0)),CONCATENATE("is ",ROUND(Graphs!$C$51,0))))</f>
        <v>Your minutes of outages is 287</v>
      </c>
      <c r="B28" s="123" t="str">
        <f>IFERROR(IF(INDEX(Graphs!$C$51:$C$61,Current_Round+1,1)-INDEX(Graphs!$C$51:$C$61,Current_Round,1)&gt;0,"+","-"),"")</f>
        <v/>
      </c>
    </row>
    <row r="30" spans="1:11" x14ac:dyDescent="0.25">
      <c r="A30" t="str">
        <f>CONCATENATE("These resources were built in ",IFERROR(INDEX('Game Properties'!$AE$2:$AE$6,Current_Round,1),""),":")</f>
        <v>These resources were built in :</v>
      </c>
    </row>
    <row r="32" spans="1:11" x14ac:dyDescent="0.25">
      <c r="A32" t="str">
        <f>IFERROR(CONCATENATE('Event Tracker'!A32,": ",ROUND(INDEX('Resource Mix and Demand'!$C$2:$L$9,1,Current_Round),0)," MW"),"")</f>
        <v/>
      </c>
    </row>
    <row r="34" spans="1:1" x14ac:dyDescent="0.25">
      <c r="A34" t="str">
        <f>IFERROR(CONCATENATE('Event Tracker'!A33,": ",ROUND(INDEX('Resource Mix and Demand'!$C$2:$L$9,2,Current_Round),0)," MW"),"")</f>
        <v/>
      </c>
    </row>
    <row r="36" spans="1:1" x14ac:dyDescent="0.25">
      <c r="A36" t="str">
        <f>IFERROR(CONCATENATE('Event Tracker'!A34,": ",ROUND(INDEX('Resource Mix and Demand'!$C$2:$L$9,3,Current_Round),0)," MW"),"")</f>
        <v/>
      </c>
    </row>
    <row r="38" spans="1:1" x14ac:dyDescent="0.25">
      <c r="A38" t="str">
        <f>IFERROR(CONCATENATE("Utility Scale Solar PV: ",ROUND(INDEX('Resource Mix and Demand'!$C$2:$L$9,4,Current_Round),0)," MW"),"")</f>
        <v/>
      </c>
    </row>
    <row r="40" spans="1:1" x14ac:dyDescent="0.25">
      <c r="A40" t="str">
        <f>IFERROR(CONCATENATE('Event Tracker'!A36,": ",ROUND(INDEX('Resource Mix and Demand'!$C$2:$L$9,5,Current_Round),0)," MW"),"")</f>
        <v/>
      </c>
    </row>
    <row r="42" spans="1:1" x14ac:dyDescent="0.25">
      <c r="A42" t="str">
        <f>IFERROR(CONCATENATE('Event Tracker'!A37,": ",ROUND(INDEX('Resource Mix and Demand'!$C$2:$L$9,6,Current_Round),0)," MW"),"")</f>
        <v/>
      </c>
    </row>
    <row r="44" spans="1:1" x14ac:dyDescent="0.25">
      <c r="A44" t="str">
        <f>IFERROR(CONCATENATE('Event Tracker'!A38,": ",ROUND(INDEX('Resource Mix and Demand'!$C$2:$L$9,7,Current_Round),0)," MW"),"")</f>
        <v/>
      </c>
    </row>
    <row r="46" spans="1:1" x14ac:dyDescent="0.25">
      <c r="A46" t="str">
        <f>IFERROR(CONCATENATE('Event Tracker'!A39,": ",ROUND(INDEX('Resource Mix and Demand'!$C$2:$L$9,8,Current_Round),0)," MW"),"")</f>
        <v/>
      </c>
    </row>
    <row r="48" spans="1:1" x14ac:dyDescent="0.25">
      <c r="A48" t="str">
        <f>CONCATENATE("Based on the results of Round ",Current_Round,", your current electricity ", IF(OR('Event Tracker'!B20=1,'Event Tracker'!B21=1),"capacity ","generation "),"mix is:")</f>
        <v>Based on the results of Round 0, your current electricity generation mix is:</v>
      </c>
    </row>
    <row r="50" spans="1:11" x14ac:dyDescent="0.25">
      <c r="A50" t="str">
        <f>CONCATENATE("At the start of Round ",Current_Round,", your electricity ",IF(OR('Event Tracker'!$B$20=1,'Event Tracker'!$B$21=1),"capacity","generation"), " mix is:")</f>
        <v>At the start of Round 0, your electricity generation mix is:</v>
      </c>
    </row>
    <row r="52" spans="1:11" x14ac:dyDescent="0.25">
      <c r="A52" s="9" t="s">
        <v>531</v>
      </c>
      <c r="B52" s="3"/>
      <c r="C52" s="3"/>
      <c r="D52" s="3"/>
      <c r="E52" s="3"/>
      <c r="F52" s="3"/>
      <c r="G52" s="3"/>
      <c r="H52" s="3"/>
      <c r="I52" s="3"/>
      <c r="J52" s="3"/>
      <c r="K52" s="3"/>
    </row>
    <row r="54" spans="1:11" x14ac:dyDescent="0.25">
      <c r="A54" t="str">
        <f>CONCATENATE("Welcome to the ",IFERROR(INDEX('Game Properties'!$AE$2:$AE$6,Current_Round,1),""), " Planning Process")</f>
        <v>Welcome to the  Planning Process</v>
      </c>
    </row>
    <row r="56" spans="1:11" x14ac:dyDescent="0.25">
      <c r="A56" t="str">
        <f>IFERROR(CONCATENATE("These resources are retiring in ",INDEX('Game Properties'!$AE$2:$AE$6,Current_Round,1),":"),"")</f>
        <v/>
      </c>
    </row>
    <row r="58" spans="1:11" x14ac:dyDescent="0.25">
      <c r="A58" t="str">
        <f>IFERROR(CONCATENATE("Coal: ",INDEX('Resource Mix and Demand'!$C$12:$L$19,1,Current_Round)," MW"),"")</f>
        <v/>
      </c>
    </row>
    <row r="60" spans="1:11" x14ac:dyDescent="0.25">
      <c r="A60" t="str">
        <f>IFERROR(CONCATENATE("Nuclear: ",INDEX('Resource Mix and Demand'!$C$12:$L$19,3,Current_Round)," MW"),"")</f>
        <v/>
      </c>
    </row>
    <row r="62" spans="1:11" x14ac:dyDescent="0.25">
      <c r="A62" t="str">
        <f>CONCATENATE("The most ",IF(OR('Initial Setup'!$B$3='Event Tracker'!$A$20,'Initial Setup'!$B$3='Event Tracker'!$A$21)," capacity"," generation")," you can support this round without building additional flexible resources is:")</f>
        <v>The most  generation you can support this round without building additional flexible resources is:</v>
      </c>
    </row>
    <row r="64" spans="1:11" x14ac:dyDescent="0.25">
      <c r="A64" t="str">
        <f>IFERROR(CONCATENATE("Utility-Scale Solar PV: ",TEXT((MAX(0,ROUND(INDEX(Reliability!$B$54:$L$54,1,MATCH(Current_Round,Reliability!$B$53:$L$53,0))-INDEX('Resource Mix and Demand'!$C$25:$L$25,1,MATCH(Current_Round,'Resource Mix and Demand'!$C$21:$L$21,0)),0)))*IF(OR('Initial Setup'!$B$3='Event Tracker'!$A$20,'Initial Setup'!$B$3='Event Tracker'!$A$21),1,8760*'Game Assumptions'!$G$58/1000),"#,##0"),IF(OR('Initial Setup'!$B$3='Event Tracker'!$A$20,'Initial Setup'!$B$3='Event Tracker'!$A$21)," MW"," GWh")),"")</f>
        <v/>
      </c>
    </row>
    <row r="66" spans="1:1" x14ac:dyDescent="0.25">
      <c r="A66" t="str">
        <f>IFERROR(CONCATENATE("Distributed PV: ",TEXT((MAX(0,ROUND(INDEX(Reliability!$B$55:$L$55,1,MATCH(Current_Round,Reliability!$B$53:$L$53,0))-INDEX('Resource Mix and Demand'!$C$29:$L$29,1,MATCH(Current_Round,'Resource Mix and Demand'!C21:L21,0)),0)))*IF(OR('Initial Setup'!$B$3='Event Tracker'!$A$20,'Initial Setup'!$B$3='Event Tracker'!$A$21),1,8760*'Game Assumptions'!$G$58/1000),"#,##0"),IF(OR('Initial Setup'!$B$3='Event Tracker'!$A$20,'Initial Setup'!$B$3='Event Tracker'!$A$21)," MW"," GWh")),"")</f>
        <v/>
      </c>
    </row>
    <row r="68" spans="1:1" x14ac:dyDescent="0.25">
      <c r="A68" t="str">
        <f>IFERROR(CONCATENATE("Wind: ",TEXT((MAX(0,ROUND(INDEX(Reliability!$B$54:$L$54,1,MATCH(Current_Round,Reliability!$B$53:$L$53,0))-INDEX('Resource Mix and Demand'!$C$26:$L$26,1,MATCH(Current_Round,'Resource Mix and Demand'!$C$21:$L$21,0)),0)))*IF(OR('Initial Setup'!$B$3='Event Tracker'!$A$20,'Initial Setup'!$B$3='Event Tracker'!$A$21),1,8760*'Game Assumptions'!$G$59/1000),"#,##0"),IF(OR('Initial Setup'!$B$3='Event Tracker'!$A$20,'Initial Setup'!$B$3='Event Tracker'!$A$21)," MW"," GWh")),"")</f>
        <v/>
      </c>
    </row>
    <row r="70" spans="1:1" x14ac:dyDescent="0.25">
      <c r="A70" t="str">
        <f>IFERROR(IF(OR('Event Tracker'!B20=1,'Event Tracker'!B21=1),CONCATENATE("You must build ",ROUND(INDEX(Reserve_Margin_Error,1,MATCH(Current_Round,Graphs!$C$96:$L$96,0)),0)," MW of peaking capacity this round to meet your reliability requirements."),CONCATENATE("Your reliability requirements require an additional ",ROUND(INDEX(Reserve_Margin_Error,1,MATCH(Current_Round,Graphs!C96:L96,0)),0)," MW of peaking capacity this round. You can contract for the equivalent amount of generation or the market will build it for you.")),"")</f>
        <v/>
      </c>
    </row>
    <row r="72" spans="1:1" x14ac:dyDescent="0.25">
      <c r="A72" s="9" t="s">
        <v>485</v>
      </c>
    </row>
    <row r="74" spans="1:1" x14ac:dyDescent="0.25">
      <c r="A74" t="str">
        <f>IF(OR('Event Tracker'!$B$20=1,'Event Tracker'!$B$21=1), CONCATENATE("You can build up to four times your current coal capacity (",TEXT(MaxCoal,"#,##0"), " MW)."), CONCATENATE("You can contract for up to four times your current potential coal generation (",TEXT(MaxCoal,"#,##0"), " GWh)."))</f>
        <v>You can contract for up to four times your current potential coal generation (42,048 GWh).</v>
      </c>
    </row>
    <row r="75" spans="1:1" x14ac:dyDescent="0.25">
      <c r="A75" t="str">
        <f>IF(OR('Event Tracker'!$B$20=1,'Event Tracker'!$B$21=1), CONCATENATE("You can build up to four times your current natural gas capacity (",TEXT(MaxNatGas,"#,##0"), " MW)."), CONCATENATE("You can contract for up to four times your current potential natural gas generation (",TEXT(MaxNatGas,"#,##0"), " GWh)."))</f>
        <v>You can contract for up to four times your current potential natural gas generation (205,962 GWh).</v>
      </c>
    </row>
    <row r="76" spans="1:1" x14ac:dyDescent="0.25">
      <c r="A76" t="str">
        <f>IF(OR('Event Tracker'!$B$20=1,'Event Tracker'!$B$21=1), CONCATENATE("You can build up to four times your current nuclear capacity (",TEXT(MaxNuclear,"#,##0"), " MW)."), CONCATENATE("You can contract for up to four times your current potential nuclear generation (",TEXT(MaxNuclear,"#,##0"), " GWh)."))</f>
        <v>You can contract for up to four times your current potential nuclear generation (31,536 GWh).</v>
      </c>
    </row>
    <row r="77" spans="1:1" x14ac:dyDescent="0.25">
      <c r="A77" t="str">
        <f>IF(OR('Event Tracker'!$B$20=1,'Event Tracker'!$B$21=1), CONCATENATE("You can build up to four times your current utility-scale solar PV capacity (",TEXT(MaxSolar,"#,##0"), " MW)."), CONCATENATE("You can contract for up to four times your current utility-scale solar PV generation (",TEXT(MaxSolar,"#,##0"), " GWh)."))</f>
        <v>You can contract for up to four times your current utility-scale solar PV generation (9,621 GWh).</v>
      </c>
    </row>
    <row r="78" spans="1:1" x14ac:dyDescent="0.25">
      <c r="A78" t="str">
        <f>IF(OR('Event Tracker'!$B$20=1,'Event Tracker'!$B$21=1), CONCATENATE("You can build up to four times your current wind capacity (",TEXT(MaxWind,"#,##0"), " MW)."), CONCATENATE("You can contract for up to four times your current wind generation (",TEXT(MaxWind,"#,##0"), " GWh)."))</f>
        <v>You can contract for up to four times your current wind generation (11,545 GWh).</v>
      </c>
    </row>
    <row r="79" spans="1:1" x14ac:dyDescent="0.25">
      <c r="A79" t="str">
        <f>IF(OR('Event Tracker'!$B$20=1,'Event Tracker'!$B$21=1), CONCATENATE("You can build up to four times your current hydro capacity (",TEXT(MaxHydro,"#,##0"), " MW.)"), CONCATENATE("You can contract for up to four times your current hydro generation (",TEXT(MaxHydro,"#,##0"), " GWh)."))</f>
        <v>You can contract for up to four times your current hydro generation (4,205 GWh).</v>
      </c>
    </row>
    <row r="80" spans="1:1" x14ac:dyDescent="0.25">
      <c r="A80" t="str">
        <f>IF(OR('Event Tracker'!$B$20=1,'Event Tracker'!$B$21=1), CONCATENATE("You can build up to four times your current energy efficiency (",TEXT(MaxEE,"#,##0"), " MW)."), CONCATENATE("You can contract for up to four times your current energy efficiency generation (",TEXT(MaxEE,"#,##0"), " GWh)."))</f>
        <v>You can contract for up to four times your current energy efficiency generation (44,615 GWh).</v>
      </c>
    </row>
    <row r="81" spans="1:11" x14ac:dyDescent="0.25">
      <c r="A81" t="str">
        <f>IF(OR('Event Tracker'!$B$20=1,'Event Tracker'!$B$21=1), CONCATENATE("You can build up to four times your current distributed solar PV capacity (",TEXT(MaxSolarDistributed,"#,##0"), " MW)."), CONCATENATE("You can contract for up to four times your current distributed solar PV generation (",TEXT(MaxSolarDistributed,"#,##0"), " GWh)."))</f>
        <v>You can contract for up to four times your current distributed solar PV generation (8,920 GWh).</v>
      </c>
    </row>
    <row r="83" spans="1:11" x14ac:dyDescent="0.25">
      <c r="A83" s="9" t="s">
        <v>491</v>
      </c>
    </row>
    <row r="84" spans="1:11" x14ac:dyDescent="0.25">
      <c r="A84" t="str">
        <f>CONCATENATE("You can build up to four times your existing combustine turbine capacity this round (",TEXT(MaxCT,"##,##0")," MW).")</f>
        <v>You can build up to four times your existing combustine turbine capacity this round (1,200 MW).</v>
      </c>
    </row>
    <row r="85" spans="1:11" x14ac:dyDescent="0.25">
      <c r="A85" t="str">
        <f>CONCATENATE("You can build up to four times your existing battery capacity this round (",TEXT(MaxBatteries,"##,##0")," MW).")</f>
        <v>You can build up to four times your existing battery capacity this round (40 MW).</v>
      </c>
    </row>
    <row r="86" spans="1:11" x14ac:dyDescent="0.25">
      <c r="A86" t="str">
        <f>CONCATENATE("You can build up to four times your existing pumped hydro capacity this round (",TEXT(MaxPumpedHydro,"##,##0")," MW).")</f>
        <v>You can build up to four times your existing pumped hydro capacity this round (800 MW).</v>
      </c>
    </row>
    <row r="87" spans="1:11" x14ac:dyDescent="0.25">
      <c r="A87" t="str">
        <f>CONCATENATE("You can build up to twice your existing DR capacity, capped at 15% of peak load, this round (",TEXT(MaxDR,"##,##0")," MW).")</f>
        <v>You can build up to twice your existing DR capacity, capped at 15% of peak load, this round (200 MW).</v>
      </c>
    </row>
    <row r="88" spans="1:11" x14ac:dyDescent="0.25">
      <c r="A88" t="str">
        <f>CONCATENATE("You can build up to twice your existing transmission capacity this round (",TEXT(MaxTransmission,"##,##0")," circuit-miles).")</f>
        <v>You can build up to twice your existing transmission capacity this round (10,000 circuit-miles).</v>
      </c>
    </row>
    <row r="89" spans="1:11" x14ac:dyDescent="0.25">
      <c r="A89" t="str">
        <f>CONCATENATE("You can build up to twice your existing distribution infrasturcture (transformers, substations, lines, and feeders) this round (",TEXT(MaxDistribution,"##,##0")," MW).")</f>
        <v>You can build up to twice your existing distribution infrasturcture (transformers, substations, lines, and feeders) this round (10,000 MW).</v>
      </c>
    </row>
    <row r="91" spans="1:11" x14ac:dyDescent="0.25">
      <c r="A91" s="9" t="s">
        <v>532</v>
      </c>
      <c r="B91" s="3"/>
      <c r="C91" s="3"/>
      <c r="D91" s="3"/>
      <c r="E91" s="3"/>
      <c r="F91" s="3"/>
      <c r="G91" s="3"/>
      <c r="H91" s="3"/>
      <c r="I91" s="3"/>
      <c r="J91" s="3"/>
      <c r="K91" s="3"/>
    </row>
    <row r="92" spans="1:11" x14ac:dyDescent="0.25">
      <c r="A92" t="s">
        <v>532</v>
      </c>
    </row>
    <row r="94" spans="1:11" x14ac:dyDescent="0.25">
      <c r="A94" t="str">
        <f>CONCATENATE("Your average customer bill ",IF(INDEX(Graphs!$C$3:$C$13,Current_Round+1,1)&lt;INDEX(Graphs!$C$3:$C$13,1,1),"decreased by $","increased by $"),TEXT(ABS(INDEX(Graphs!$C$3:$C$13,Current_Round+1,1)-INDEX(Graphs!$C$3:$C$13,1,1)),"###.00"))</f>
        <v>Your average customer bill increased by $.00</v>
      </c>
      <c r="B94" s="123" t="str">
        <f>IFERROR(IF(INDEX(Graphs!$C$3:$C$13,Current_Round+1,1)-INDEX(Graphs!$C$3:$C$13,1,1)&gt;0,"+","-"),"")</f>
        <v>-</v>
      </c>
    </row>
    <row r="96" spans="1:11" x14ac:dyDescent="0.25">
      <c r="A96" t="str">
        <f>CONCATENATE("Your average CO2 emissions rate ",IF(INDEX(Graphs!$C$18:$C$28,Current_Round+1,1)&lt;INDEX(Graphs!$C$18:$C$28,1,1),"decreased by ","increased by "),ROUND(ABS(INDEX(Graphs!$C$18:$C$28,Current_Round+1,1)-INDEX(Graphs!$C$18:$C$28,1,1)),0)," lbs/MWh")</f>
        <v>Your average CO2 emissions rate increased by 0 lbs/MWh</v>
      </c>
      <c r="B96" s="123" t="str">
        <f>IFERROR(IF(INDEX(Graphs!$C$18:$C$28,Current_Round+1,1)-INDEX(Graphs!$C$18:$C$28,1,1)&gt;0,"+","-"),"")</f>
        <v>-</v>
      </c>
    </row>
    <row r="98" spans="1:2" x14ac:dyDescent="0.25">
      <c r="A98" t="str">
        <f>CONCATENATE("Your earnings per share ",IF(INDEX(Graphs!$C$34:$C$44,Current_Round+1,1)&lt;INDEX(Graphs!$C$34:$C$44,1,1),"decreased by $","increased by $"),TEXT(ABS(INDEX(Graphs!$C$34:$C$44,Current_Round+1,1)-INDEX(Graphs!$C$34:$C$44,1,1)),"##.00"))</f>
        <v>Your earnings per share increased by $.00</v>
      </c>
      <c r="B98" s="123" t="str">
        <f>IFERROR(IF(INDEX(Graphs!$C$34:$C$44,Current_Round+1,1)-INDEX(Graphs!$C$34:$C$44,1,1)&gt;0,"+","-"),"")</f>
        <v>-</v>
      </c>
    </row>
    <row r="100" spans="1:2" x14ac:dyDescent="0.25">
      <c r="A100" t="str">
        <f>CONCATENATE("Your minutes of outages ",IF(INDEX(Graphs!$C$51:$C$61,Current_Round+1,1)&lt;INDEX(Graphs!$C$51:$C$61,1,1),"decreased by ","increased by "), ROUND(ABS(INDEX(Graphs!$C$51:$C$61,Current_Round+1,1)-INDEX(Graphs!$C$51:$C$61,1,1)),0))</f>
        <v>Your minutes of outages increased by 0</v>
      </c>
      <c r="B100" s="123" t="str">
        <f>IFERROR(IF(INDEX(Graphs!$C$51:$C$61,Current_Round+1,1)-INDEX(Graphs!$C$51:$C$61,1,1)&gt;0,"+","-"),"")</f>
        <v>-</v>
      </c>
    </row>
    <row r="102" spans="1:2" x14ac:dyDescent="0.25">
      <c r="B102" s="123" t="str">
        <f>IFERROR(IF(INDEX(Graphs!$C$51:$C$61,Current_Round+1,1)-INDEX(Graphs!$C$51:$C$61,Current_Round,1)&gt;0,"+","-"),"")</f>
        <v/>
      </c>
    </row>
  </sheetData>
  <mergeCells count="2">
    <mergeCell ref="A1:C1"/>
    <mergeCell ref="A11:C11"/>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theme="5"/>
  </sheetPr>
  <dimension ref="A1:O33"/>
  <sheetViews>
    <sheetView workbookViewId="0">
      <selection activeCell="E13" sqref="E13"/>
    </sheetView>
  </sheetViews>
  <sheetFormatPr defaultRowHeight="15" x14ac:dyDescent="0.25"/>
  <cols>
    <col min="1" max="1" width="54.85546875" bestFit="1" customWidth="1"/>
    <col min="2" max="2" width="12.140625" customWidth="1"/>
    <col min="3" max="3" width="9.140625" customWidth="1"/>
    <col min="14" max="14" width="14" bestFit="1" customWidth="1"/>
  </cols>
  <sheetData>
    <row r="1" spans="1:15" ht="15.75" thickBot="1" x14ac:dyDescent="0.3">
      <c r="A1" s="1" t="s">
        <v>101</v>
      </c>
      <c r="B1" t="s">
        <v>116</v>
      </c>
      <c r="N1" t="s">
        <v>73</v>
      </c>
      <c r="O1" s="30">
        <f>'Event Tracker'!P1</f>
        <v>0</v>
      </c>
    </row>
    <row r="2" spans="1:15" x14ac:dyDescent="0.25">
      <c r="A2" s="52" t="s">
        <v>102</v>
      </c>
      <c r="B2" s="45">
        <v>0</v>
      </c>
      <c r="C2" s="45">
        <v>1</v>
      </c>
      <c r="D2" s="45">
        <v>2</v>
      </c>
      <c r="E2" s="45">
        <v>3</v>
      </c>
      <c r="F2" s="45">
        <v>4</v>
      </c>
      <c r="G2" s="45">
        <v>5</v>
      </c>
      <c r="H2" s="45">
        <v>6</v>
      </c>
      <c r="I2" s="45">
        <v>7</v>
      </c>
      <c r="J2" s="45">
        <v>8</v>
      </c>
      <c r="K2" s="45">
        <v>9</v>
      </c>
      <c r="L2" s="45">
        <v>10</v>
      </c>
    </row>
    <row r="3" spans="1:15" x14ac:dyDescent="0.25">
      <c r="A3" t="s">
        <v>103</v>
      </c>
      <c r="B3" s="8">
        <f>SUM('Utility Revenue'!B67,'Utility Revenue'!B71:B76,'Utility Revenue'!B78,'Utility Revenue'!B79,'Utility Revenue'!B80,'Utility Revenue'!B87:B89)/'Utility Revenue'!B93*'Utility Revenue'!B96</f>
        <v>5.6247587505787656E-2</v>
      </c>
      <c r="C3" s="8">
        <f>SUM('Utility Revenue'!C67,'Utility Revenue'!C71:C76,'Utility Revenue'!C78,'Utility Revenue'!C79,'Utility Revenue'!C80,'Utility Revenue'!C87:C89)/'Utility Revenue'!C93*'Utility Revenue'!C96</f>
        <v>5.6672707511130196E-2</v>
      </c>
      <c r="D3" s="8">
        <f>SUM('Utility Revenue'!D67,'Utility Revenue'!D71:D76,'Utility Revenue'!D78,'Utility Revenue'!D79,'Utility Revenue'!D80,'Utility Revenue'!D87:D89)/'Utility Revenue'!D93*'Utility Revenue'!D96</f>
        <v>5.2640856411772172E-2</v>
      </c>
      <c r="E3" s="8">
        <f>SUM('Utility Revenue'!E67,'Utility Revenue'!E71:E76,'Utility Revenue'!E78,'Utility Revenue'!E79,'Utility Revenue'!E80,'Utility Revenue'!E87:E89)/'Utility Revenue'!E93*'Utility Revenue'!E96</f>
        <v>5.0485889130624115E-2</v>
      </c>
      <c r="F3" s="8">
        <f>SUM('Utility Revenue'!F67,'Utility Revenue'!F71:F76,'Utility Revenue'!F78,'Utility Revenue'!F79,'Utility Revenue'!F80,'Utility Revenue'!F87:F89)/'Utility Revenue'!F93*'Utility Revenue'!F96</f>
        <v>4.932022997434489E-2</v>
      </c>
      <c r="G3" s="8">
        <f>SUM('Utility Revenue'!G67,'Utility Revenue'!G71:G76,'Utility Revenue'!G78,'Utility Revenue'!G79,'Utility Revenue'!G80,'Utility Revenue'!G87:G89)/'Utility Revenue'!G93*'Utility Revenue'!G96</f>
        <v>4.8829079133636669E-2</v>
      </c>
      <c r="H3" s="8">
        <f>SUM('Utility Revenue'!H67,'Utility Revenue'!H71:H76,'Utility Revenue'!H78,'Utility Revenue'!H79,'Utility Revenue'!H80,'Utility Revenue'!H87:H89)/'Utility Revenue'!H93*'Utility Revenue'!H96</f>
        <v>4.9327425712200668E-2</v>
      </c>
      <c r="I3" s="8">
        <f>SUM('Utility Revenue'!I67,'Utility Revenue'!I71:I76,'Utility Revenue'!I78,'Utility Revenue'!I79,'Utility Revenue'!I80,'Utility Revenue'!I87:I89)/'Utility Revenue'!I93*'Utility Revenue'!I96</f>
        <v>4.9887724188498496E-2</v>
      </c>
      <c r="J3" s="8">
        <f>SUM('Utility Revenue'!J67,'Utility Revenue'!J71:J76,'Utility Revenue'!J78,'Utility Revenue'!J79,'Utility Revenue'!J80,'Utility Revenue'!J87:J89)/'Utility Revenue'!J93*'Utility Revenue'!J96</f>
        <v>5.0114379209096206E-2</v>
      </c>
      <c r="K3" s="8">
        <f>SUM('Utility Revenue'!K67,'Utility Revenue'!K71:K76,'Utility Revenue'!K78,'Utility Revenue'!K79,'Utility Revenue'!K80,'Utility Revenue'!K87:K89)/'Utility Revenue'!K93*'Utility Revenue'!K96</f>
        <v>5.0107439571258218E-2</v>
      </c>
      <c r="L3" s="8">
        <f>SUM('Utility Revenue'!L67,'Utility Revenue'!L71:L76,'Utility Revenue'!L78,'Utility Revenue'!L79,'Utility Revenue'!L80,'Utility Revenue'!L87:L89)/'Utility Revenue'!L93*'Utility Revenue'!L96</f>
        <v>5.0134601369897475E-2</v>
      </c>
    </row>
    <row r="4" spans="1:15" x14ac:dyDescent="0.25">
      <c r="A4" t="s">
        <v>104</v>
      </c>
      <c r="B4" s="8">
        <f>SUM('Utility Revenue'!B68,'Utility Revenue'!B82,'Utility Revenue'!B91)/'Utility Revenue'!B93*'Utility Revenue'!B96</f>
        <v>6.862287401562083E-3</v>
      </c>
      <c r="C4" s="8">
        <f>SUM('Utility Revenue'!C68,'Utility Revenue'!C82,'Utility Revenue'!C91)/'Utility Revenue'!C93*'Utility Revenue'!C96</f>
        <v>6.9199536822474785E-3</v>
      </c>
      <c r="D4" s="8">
        <f>SUM('Utility Revenue'!D68,'Utility Revenue'!D82,'Utility Revenue'!D91)/'Utility Revenue'!D93*'Utility Revenue'!D96</f>
        <v>6.9785973575207617E-3</v>
      </c>
      <c r="E4" s="8">
        <f>SUM('Utility Revenue'!E68,'Utility Revenue'!E82,'Utility Revenue'!E91)/'Utility Revenue'!E93*'Utility Revenue'!E96</f>
        <v>7.0382434887816241E-3</v>
      </c>
      <c r="F4" s="8">
        <f>SUM('Utility Revenue'!F68,'Utility Revenue'!F82,'Utility Revenue'!F91)/'Utility Revenue'!F93*'Utility Revenue'!F96</f>
        <v>7.0989180016159479E-3</v>
      </c>
      <c r="G4" s="8">
        <f>SUM('Utility Revenue'!G68,'Utility Revenue'!G82,'Utility Revenue'!G91)/'Utility Revenue'!G93*'Utility Revenue'!G96</f>
        <v>7.1606477233691294E-3</v>
      </c>
      <c r="H4" s="8">
        <f>SUM('Utility Revenue'!H68,'Utility Revenue'!H82,'Utility Revenue'!H91)/'Utility Revenue'!H93*'Utility Revenue'!H96</f>
        <v>7.2234604226969288E-3</v>
      </c>
      <c r="I4" s="8">
        <f>SUM('Utility Revenue'!I68,'Utility Revenue'!I82,'Utility Revenue'!I91)/'Utility Revenue'!I93*'Utility Revenue'!I96</f>
        <v>7.2873848512163709E-3</v>
      </c>
      <c r="J4" s="8">
        <f>SUM('Utility Revenue'!J68,'Utility Revenue'!J82,'Utility Revenue'!J91)/'Utility Revenue'!J93*'Utility Revenue'!J96</f>
        <v>7.3524507873879456E-3</v>
      </c>
      <c r="K4" s="8">
        <f>SUM('Utility Revenue'!K68,'Utility Revenue'!K82,'Utility Revenue'!K91)/'Utility Revenue'!K93*'Utility Revenue'!K96</f>
        <v>7.4186890827698188E-3</v>
      </c>
      <c r="L4" s="8">
        <f>SUM('Utility Revenue'!L68,'Utility Revenue'!L82,'Utility Revenue'!L91)/'Utility Revenue'!L93*'Utility Revenue'!L96</f>
        <v>7.4861317107949993E-3</v>
      </c>
    </row>
    <row r="5" spans="1:15" x14ac:dyDescent="0.25">
      <c r="A5" s="22" t="s">
        <v>105</v>
      </c>
      <c r="B5" s="51">
        <f>SUM('Utility Revenue'!B69,'Utility Revenue'!B81,'Utility Revenue'!B83,'Utility Revenue'!B92)/'Utility Revenue'!B93*'Utility Revenue'!B96</f>
        <v>1.2738592769560493E-2</v>
      </c>
      <c r="C5" s="51">
        <f>SUM('Utility Revenue'!C69,'Utility Revenue'!C81,'Utility Revenue'!C83,'Utility Revenue'!C92)/'Utility Revenue'!C93*'Utility Revenue'!C96</f>
        <v>1.2845639767624028E-2</v>
      </c>
      <c r="D5" s="51">
        <f>SUM('Utility Revenue'!D69,'Utility Revenue'!D81,'Utility Revenue'!D83,'Utility Revenue'!D92)/'Utility Revenue'!D93*'Utility Revenue'!D96</f>
        <v>1.2954501121586942E-2</v>
      </c>
      <c r="E5" s="51">
        <f>SUM('Utility Revenue'!E69,'Utility Revenue'!E81,'Utility Revenue'!E83,'Utility Revenue'!E92)/'Utility Revenue'!E93*'Utility Revenue'!E96</f>
        <v>1.3065223353395378E-2</v>
      </c>
      <c r="F5" s="51">
        <f>SUM('Utility Revenue'!F69,'Utility Revenue'!F81,'Utility Revenue'!F83,'Utility Revenue'!F92)/'Utility Revenue'!F93*'Utility Revenue'!F96</f>
        <v>1.3177854589200512E-2</v>
      </c>
      <c r="G5" s="51">
        <f>SUM('Utility Revenue'!G69,'Utility Revenue'!G81,'Utility Revenue'!G83,'Utility Revenue'!G92)/'Utility Revenue'!G93*'Utility Revenue'!G96</f>
        <v>1.3292444629106602E-2</v>
      </c>
      <c r="H5" s="51">
        <f>SUM('Utility Revenue'!H69,'Utility Revenue'!H81,'Utility Revenue'!H83,'Utility Revenue'!H92)/'Utility Revenue'!H93*'Utility Revenue'!H96</f>
        <v>1.3409045020589995E-2</v>
      </c>
      <c r="I5" s="51">
        <f>SUM('Utility Revenue'!I69,'Utility Revenue'!I81,'Utility Revenue'!I83,'Utility Revenue'!I92)/'Utility Revenue'!I93*'Utility Revenue'!I96</f>
        <v>1.3527709135816452E-2</v>
      </c>
      <c r="J5" s="51">
        <f>SUM('Utility Revenue'!J69,'Utility Revenue'!J81,'Utility Revenue'!J83,'Utility Revenue'!J92)/'Utility Revenue'!J93*'Utility Revenue'!J96</f>
        <v>1.364849225310053E-2</v>
      </c>
      <c r="K5" s="51">
        <f>SUM('Utility Revenue'!K69,'Utility Revenue'!K81,'Utility Revenue'!K83,'Utility Revenue'!K92)/'Utility Revenue'!K93*'Utility Revenue'!K96</f>
        <v>1.3771451642768101E-2</v>
      </c>
      <c r="L5" s="51">
        <f>SUM('Utility Revenue'!L69,'Utility Revenue'!L81,'Utility Revenue'!L83,'Utility Revenue'!L92)/'Utility Revenue'!L93*'Utility Revenue'!L96</f>
        <v>1.3896646657702358E-2</v>
      </c>
    </row>
    <row r="6" spans="1:15" x14ac:dyDescent="0.25">
      <c r="A6" s="53" t="s">
        <v>537</v>
      </c>
      <c r="B6" s="54">
        <f>'Utility Revenue'!B100*1000/'Utility Revenue'!B101</f>
        <v>12000</v>
      </c>
      <c r="C6" s="54">
        <f>'Utility Revenue'!C100*1000/'Utility Revenue'!C101</f>
        <v>11840.5</v>
      </c>
      <c r="D6" s="54">
        <f>'Utility Revenue'!D100*1000/'Utility Revenue'!D101</f>
        <v>11835.4</v>
      </c>
      <c r="E6" s="54">
        <f>'Utility Revenue'!E100*1000/'Utility Revenue'!E101</f>
        <v>11641.5</v>
      </c>
      <c r="F6" s="54">
        <f>'Utility Revenue'!F100*1000/'Utility Revenue'!F101</f>
        <v>11588.4</v>
      </c>
      <c r="G6" s="54">
        <f>'Utility Revenue'!G100*1000/'Utility Revenue'!G101</f>
        <v>11534.5</v>
      </c>
      <c r="H6" s="54">
        <f>'Utility Revenue'!H100*1000/'Utility Revenue'!H101</f>
        <v>11354.4</v>
      </c>
      <c r="I6" s="54">
        <f>'Utility Revenue'!I100*1000/'Utility Revenue'!I101</f>
        <v>11288.7</v>
      </c>
      <c r="J6" s="54">
        <f>'Utility Revenue'!J100*1000/'Utility Revenue'!J101</f>
        <v>11188.8</v>
      </c>
      <c r="K6" s="54">
        <f>'Utility Revenue'!K100*1000/'Utility Revenue'!K101</f>
        <v>11066.7</v>
      </c>
      <c r="L6" s="54">
        <f>'Utility Revenue'!L100*1000/'Utility Revenue'!L101</f>
        <v>10956</v>
      </c>
    </row>
    <row r="7" spans="1:15" ht="15.75" thickBot="1" x14ac:dyDescent="0.3">
      <c r="A7" s="55" t="s">
        <v>109</v>
      </c>
      <c r="B7" s="56">
        <f>B6*SUM(B3:B5)</f>
        <v>910.18161212292273</v>
      </c>
      <c r="C7" s="56">
        <f t="shared" ref="C7:L7" si="0">C6*SUM(C3:C5)</f>
        <v>905.0677025287406</v>
      </c>
      <c r="D7" s="56">
        <f t="shared" si="0"/>
        <v>858.94178571551959</v>
      </c>
      <c r="E7" s="56">
        <f t="shared" si="0"/>
        <v>821.76598755736427</v>
      </c>
      <c r="F7" s="56">
        <f t="shared" si="0"/>
        <v>806.51790452611579</v>
      </c>
      <c r="G7" s="56">
        <f t="shared" si="0"/>
        <v>799.13520700656352</v>
      </c>
      <c r="H7" s="56">
        <f t="shared" si="0"/>
        <v>794.35304231186819</v>
      </c>
      <c r="I7" s="56">
        <f t="shared" si="0"/>
        <v>798.14290353812032</v>
      </c>
      <c r="J7" s="56">
        <f t="shared" si="0"/>
        <v>795.69511758615306</v>
      </c>
      <c r="K7" s="56">
        <f t="shared" si="0"/>
        <v>789.02893187055395</v>
      </c>
      <c r="L7" s="56">
        <f t="shared" si="0"/>
        <v>783.54441241385382</v>
      </c>
    </row>
    <row r="8" spans="1:15" ht="15.75" thickTop="1" x14ac:dyDescent="0.25">
      <c r="A8" s="57" t="s">
        <v>106</v>
      </c>
      <c r="B8" s="58"/>
      <c r="C8" s="58"/>
      <c r="D8" s="58"/>
      <c r="E8" s="58"/>
      <c r="F8" s="58"/>
      <c r="G8" s="58"/>
      <c r="H8" s="58"/>
      <c r="I8" s="58"/>
      <c r="J8" s="58"/>
      <c r="K8" s="58"/>
      <c r="L8" s="58"/>
    </row>
    <row r="9" spans="1:15" x14ac:dyDescent="0.25">
      <c r="A9" t="s">
        <v>107</v>
      </c>
      <c r="B9" s="15">
        <f>INDEX('Utility Revenue'!$B$61:$L$61,1,MATCH('Customer Bills'!B$2,'Utility Revenue'!$B$40:$L$40,0))</f>
        <v>178.24136544051359</v>
      </c>
      <c r="C9" s="15">
        <f>INDEX('Utility Revenue'!$B$61:$L$61,1,MATCH('Customer Bills'!C$2,'Utility Revenue'!$B$40:$L$40,0))</f>
        <v>181.1909744887447</v>
      </c>
      <c r="D9" s="15">
        <f>INDEX('Utility Revenue'!$B$61:$L$61,1,MATCH('Customer Bills'!D$2,'Utility Revenue'!$B$40:$L$40,0))</f>
        <v>186.75100439753237</v>
      </c>
      <c r="E9" s="15">
        <f>INDEX('Utility Revenue'!$B$61:$L$61,1,MATCH('Customer Bills'!E$2,'Utility Revenue'!$B$40:$L$40,0))</f>
        <v>193.41591000111745</v>
      </c>
      <c r="F9" s="15">
        <f>INDEX('Utility Revenue'!$B$61:$L$61,1,MATCH('Customer Bills'!F$2,'Utility Revenue'!$B$40:$L$40,0))</f>
        <v>193.54702751648003</v>
      </c>
      <c r="G9" s="15">
        <f>INDEX('Utility Revenue'!$B$61:$L$61,1,MATCH('Customer Bills'!G$2,'Utility Revenue'!$B$40:$L$40,0))</f>
        <v>192.6303895358507</v>
      </c>
      <c r="H9" s="15">
        <f>INDEX('Utility Revenue'!$B$61:$L$61,1,MATCH('Customer Bills'!H$2,'Utility Revenue'!$B$40:$L$40,0))</f>
        <v>192.22234610482784</v>
      </c>
      <c r="I9" s="15">
        <f>INDEX('Utility Revenue'!$B$61:$L$61,1,MATCH('Customer Bills'!I$2,'Utility Revenue'!$B$40:$L$40,0))</f>
        <v>192.78614540354499</v>
      </c>
      <c r="J9" s="15">
        <f>INDEX('Utility Revenue'!$B$61:$L$61,1,MATCH('Customer Bills'!J$2,'Utility Revenue'!$B$40:$L$40,0))</f>
        <v>193.64267624701205</v>
      </c>
      <c r="K9" s="15">
        <f>INDEX('Utility Revenue'!$B$61:$L$61,1,MATCH('Customer Bills'!K$2,'Utility Revenue'!$B$40:$L$40,0))</f>
        <v>194.68207950681895</v>
      </c>
      <c r="L9" s="15">
        <f>INDEX('Utility Revenue'!$B$61:$L$61,1,MATCH('Customer Bills'!L$2,'Utility Revenue'!$B$40:$L$40,0))</f>
        <v>195.84945155723273</v>
      </c>
    </row>
    <row r="10" spans="1:15" x14ac:dyDescent="0.25">
      <c r="A10" s="22" t="s">
        <v>108</v>
      </c>
      <c r="B10" s="59">
        <f>'Game Assumptions'!$B$8*12</f>
        <v>60</v>
      </c>
      <c r="C10" s="59">
        <f>'Game Assumptions'!$B$8*12</f>
        <v>60</v>
      </c>
      <c r="D10" s="59">
        <f>'Game Assumptions'!$B$8*12</f>
        <v>60</v>
      </c>
      <c r="E10" s="59">
        <f>'Game Assumptions'!$B$8*12</f>
        <v>60</v>
      </c>
      <c r="F10" s="59">
        <f>'Game Assumptions'!$B$8*12</f>
        <v>60</v>
      </c>
      <c r="G10" s="59">
        <f>'Game Assumptions'!$B$8*12</f>
        <v>60</v>
      </c>
      <c r="H10" s="59">
        <f>'Game Assumptions'!$B$8*12</f>
        <v>60</v>
      </c>
      <c r="I10" s="59">
        <f>'Game Assumptions'!$B$8*12</f>
        <v>60</v>
      </c>
      <c r="J10" s="59">
        <f>'Game Assumptions'!$B$8*12</f>
        <v>60</v>
      </c>
      <c r="K10" s="59">
        <f>'Game Assumptions'!$B$8*12</f>
        <v>60</v>
      </c>
      <c r="L10" s="59">
        <f>'Game Assumptions'!$B$8*12</f>
        <v>60</v>
      </c>
    </row>
    <row r="11" spans="1:15" ht="15.75" thickBot="1" x14ac:dyDescent="0.3">
      <c r="A11" s="55" t="s">
        <v>110</v>
      </c>
      <c r="B11" s="56">
        <f>SUM(B9:B10)</f>
        <v>238.24136544051359</v>
      </c>
      <c r="C11" s="56">
        <f t="shared" ref="C11:L11" si="1">SUM(C9:C10)</f>
        <v>241.1909744887447</v>
      </c>
      <c r="D11" s="56">
        <f t="shared" si="1"/>
        <v>246.75100439753237</v>
      </c>
      <c r="E11" s="56">
        <f t="shared" si="1"/>
        <v>253.41591000111745</v>
      </c>
      <c r="F11" s="56">
        <f t="shared" si="1"/>
        <v>253.54702751648003</v>
      </c>
      <c r="G11" s="56">
        <f t="shared" si="1"/>
        <v>252.6303895358507</v>
      </c>
      <c r="H11" s="56">
        <f t="shared" si="1"/>
        <v>252.22234610482784</v>
      </c>
      <c r="I11" s="56">
        <f t="shared" si="1"/>
        <v>252.78614540354499</v>
      </c>
      <c r="J11" s="56">
        <f t="shared" si="1"/>
        <v>253.64267624701205</v>
      </c>
      <c r="K11" s="56">
        <f t="shared" si="1"/>
        <v>254.68207950681895</v>
      </c>
      <c r="L11" s="56">
        <f t="shared" si="1"/>
        <v>255.84945155723273</v>
      </c>
    </row>
    <row r="12" spans="1:15" ht="16.5" thickTop="1" thickBot="1" x14ac:dyDescent="0.3">
      <c r="A12" s="185" t="s">
        <v>562</v>
      </c>
      <c r="B12" s="120">
        <f>IF(AND('Event Tracker'!B9=1,'Utility Revenue'!B108&gt;0),'Utility Revenue'!B108/'Utility Revenue'!B101*-1,0)</f>
        <v>0</v>
      </c>
      <c r="C12" s="120">
        <f>IF(AND('Event Tracker'!C9=1,'Utility Revenue'!C108&gt;0),'Utility Revenue'!C108/'Utility Revenue'!C101*-1,0)</f>
        <v>0</v>
      </c>
      <c r="D12" s="120">
        <f>IF(AND('Event Tracker'!D9=1,'Utility Revenue'!D108&gt;0),'Utility Revenue'!D108/'Utility Revenue'!D101*-1,0)</f>
        <v>0</v>
      </c>
      <c r="E12" s="120">
        <f>IF(AND('Event Tracker'!E9=1,'Utility Revenue'!E108&gt;0),'Utility Revenue'!E108/'Utility Revenue'!E101*-1,0)</f>
        <v>0</v>
      </c>
      <c r="F12" s="120">
        <f>IF(AND('Event Tracker'!F9=1,'Utility Revenue'!F108&gt;0),'Utility Revenue'!F108/'Utility Revenue'!F101*-1,0)</f>
        <v>0</v>
      </c>
      <c r="G12" s="120">
        <f>IF(AND('Event Tracker'!G9=1,'Utility Revenue'!G108&gt;0),'Utility Revenue'!G108/'Utility Revenue'!G101*-1,0)</f>
        <v>0</v>
      </c>
      <c r="H12" s="120">
        <f>IF(AND('Event Tracker'!H9=1,'Utility Revenue'!H108&gt;0),'Utility Revenue'!H108/'Utility Revenue'!H101*-1,0)</f>
        <v>0</v>
      </c>
      <c r="I12" s="120">
        <f>IF(AND('Event Tracker'!I9=1,'Utility Revenue'!I108&gt;0),'Utility Revenue'!I108/'Utility Revenue'!I101*-1,0)</f>
        <v>0</v>
      </c>
      <c r="J12" s="120">
        <f>IF(AND('Event Tracker'!J9=1,'Utility Revenue'!J108&gt;0),'Utility Revenue'!J108/'Utility Revenue'!J101*-1,0)</f>
        <v>0</v>
      </c>
      <c r="K12" s="120">
        <f>IF(AND('Event Tracker'!K9=1,'Utility Revenue'!K108&gt;0),'Utility Revenue'!K108/'Utility Revenue'!K101*-1,0)</f>
        <v>0</v>
      </c>
      <c r="L12" s="120">
        <f>IF(AND('Event Tracker'!L9=1,'Utility Revenue'!L108&gt;0),'Utility Revenue'!L108/'Utility Revenue'!L101*-1,0)</f>
        <v>0</v>
      </c>
    </row>
    <row r="13" spans="1:15" ht="16.5" thickTop="1" thickBot="1" x14ac:dyDescent="0.3">
      <c r="A13" s="60" t="s">
        <v>538</v>
      </c>
      <c r="B13" s="61">
        <f>SUM(B7,B11,B12)/12</f>
        <v>95.70191479695302</v>
      </c>
      <c r="C13" s="61">
        <f t="shared" ref="C13:L13" si="2">SUM(C7,C11,C12)/12</f>
        <v>95.52155641812378</v>
      </c>
      <c r="D13" s="61">
        <f t="shared" si="2"/>
        <v>92.141065842754344</v>
      </c>
      <c r="E13" s="61">
        <f t="shared" si="2"/>
        <v>89.598491463206813</v>
      </c>
      <c r="F13" s="61">
        <f t="shared" si="2"/>
        <v>88.338744336882982</v>
      </c>
      <c r="G13" s="61">
        <f t="shared" si="2"/>
        <v>87.647133045201187</v>
      </c>
      <c r="H13" s="61">
        <f t="shared" si="2"/>
        <v>87.214615701391338</v>
      </c>
      <c r="I13" s="61">
        <f t="shared" si="2"/>
        <v>87.577420745138781</v>
      </c>
      <c r="J13" s="61">
        <f t="shared" si="2"/>
        <v>87.44481615276375</v>
      </c>
      <c r="K13" s="61">
        <f t="shared" si="2"/>
        <v>86.975917614781068</v>
      </c>
      <c r="L13" s="61">
        <f t="shared" si="2"/>
        <v>86.616155330923888</v>
      </c>
    </row>
    <row r="14" spans="1:15" ht="15.75" thickTop="1" x14ac:dyDescent="0.25"/>
    <row r="16" spans="1:15" x14ac:dyDescent="0.25">
      <c r="A16" s="9" t="s">
        <v>417</v>
      </c>
      <c r="B16" s="9">
        <v>0</v>
      </c>
      <c r="C16" s="9">
        <v>1</v>
      </c>
      <c r="D16" s="9">
        <v>2</v>
      </c>
      <c r="E16" s="9">
        <v>3</v>
      </c>
      <c r="F16" s="9">
        <v>4</v>
      </c>
      <c r="G16" s="9">
        <v>5</v>
      </c>
      <c r="H16" s="9">
        <v>6</v>
      </c>
      <c r="I16" s="9">
        <v>7</v>
      </c>
      <c r="J16" s="9">
        <v>8</v>
      </c>
      <c r="K16" s="9">
        <v>9</v>
      </c>
      <c r="L16" s="9">
        <v>10</v>
      </c>
    </row>
    <row r="17" spans="1:12" x14ac:dyDescent="0.25">
      <c r="A17" s="17" t="s">
        <v>418</v>
      </c>
      <c r="B17" s="49">
        <f>SUM(B7,B11)/12</f>
        <v>95.70191479695302</v>
      </c>
      <c r="C17" s="49">
        <f>($G$17-$B$17)/COUNT($C$16:$G$16)+B17</f>
        <v>95.70191479695302</v>
      </c>
      <c r="D17" s="49">
        <f>($G$17-$B$17)/COUNT($C$16:$G$16)+C17</f>
        <v>95.70191479695302</v>
      </c>
      <c r="E17" s="49">
        <f>($G$17-$B$17)/COUNT($C$16:$G$16)+D17</f>
        <v>95.70191479695302</v>
      </c>
      <c r="F17" s="49">
        <f>($G$17-$B$17)/COUNT($C$16:$G$16)+E17</f>
        <v>95.70191479695302</v>
      </c>
      <c r="G17" s="49">
        <f>'Game Assumptions'!B162</f>
        <v>95.70191479695302</v>
      </c>
      <c r="H17" s="49"/>
      <c r="I17" s="49"/>
      <c r="J17" s="49"/>
      <c r="K17" s="49"/>
      <c r="L17" s="15"/>
    </row>
    <row r="18" spans="1:12" x14ac:dyDescent="0.25">
      <c r="A18" s="17" t="s">
        <v>419</v>
      </c>
      <c r="B18" s="49">
        <f>B17</f>
        <v>95.70191479695302</v>
      </c>
      <c r="C18" s="49">
        <f>AVERAGE(B17,C17)</f>
        <v>95.70191479695302</v>
      </c>
      <c r="D18" s="49">
        <f>AVERAGE(C17,D17)</f>
        <v>95.70191479695302</v>
      </c>
      <c r="E18" s="49">
        <f>AVERAGE(D17,E17)</f>
        <v>95.70191479695302</v>
      </c>
      <c r="F18" s="49">
        <f>AVERAGE(E17,F17)</f>
        <v>95.70191479695302</v>
      </c>
      <c r="G18" s="49">
        <f>AVERAGE(F17,G17)</f>
        <v>95.70191479695302</v>
      </c>
      <c r="H18" s="49"/>
      <c r="I18" s="49"/>
      <c r="J18" s="49"/>
      <c r="K18" s="49"/>
      <c r="L18" s="49"/>
    </row>
    <row r="19" spans="1:12" x14ac:dyDescent="0.25">
      <c r="A19" t="s">
        <v>442</v>
      </c>
      <c r="B19">
        <v>0</v>
      </c>
      <c r="C19" s="5">
        <f>IF((SUM(C7,C11)/12)&lt;C17,1,IF((SUM(C7,C11)/12)&gt;B17,-1,(C18-(SUM(C7,C11)/12))/(C18-C17)))</f>
        <v>1</v>
      </c>
      <c r="D19" s="5">
        <f>IF((SUM(D7,D11)/12)&lt;D17,1,IF((SUM(D7,D11)/12)&gt;C17,-1,(D18-(SUM(D7,D11)/12))/(D18-D17)))</f>
        <v>1</v>
      </c>
      <c r="E19" s="5">
        <f>IF((SUM(E7,E11)/12)&lt;E17,1,IF((SUM(E7,E11)/12)&gt;D17,-1,(E18-(SUM(E7,E11)/12))/(E18-E17)))</f>
        <v>1</v>
      </c>
      <c r="F19" s="5">
        <f>IF((SUM(F7,F11)/12)&lt;F17,1,IF((SUM(F7,F11)/12)&gt;E17,-1,(F18-(SUM(F7,F11)/12))/(F18-F17)))</f>
        <v>1</v>
      </c>
      <c r="G19" s="5">
        <f>IF((SUM(G7,G11)/12)&lt;G17,1,IF((SUM(G7,G11)/12)&gt;F17,-1,(G18-(SUM(G7,G11)/12))/(G18-G17)))</f>
        <v>1</v>
      </c>
      <c r="H19" s="5"/>
      <c r="I19" s="5"/>
      <c r="J19" s="5"/>
      <c r="K19" s="5"/>
      <c r="L19" s="5"/>
    </row>
    <row r="20" spans="1:12" x14ac:dyDescent="0.25">
      <c r="A20" s="17"/>
      <c r="C20" s="5"/>
    </row>
    <row r="21" spans="1:12" x14ac:dyDescent="0.25">
      <c r="A21" s="17"/>
    </row>
    <row r="22" spans="1:12" x14ac:dyDescent="0.25">
      <c r="A22" s="17"/>
    </row>
    <row r="23" spans="1:12" x14ac:dyDescent="0.25">
      <c r="A23" s="1"/>
      <c r="B23" s="1"/>
      <c r="C23" s="1"/>
    </row>
    <row r="33" ht="15" customHeight="1" x14ac:dyDescent="0.2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
  <dimension ref="A1:I5"/>
  <sheetViews>
    <sheetView workbookViewId="0">
      <selection activeCell="E9" sqref="E9"/>
    </sheetView>
  </sheetViews>
  <sheetFormatPr defaultRowHeight="15" x14ac:dyDescent="0.25"/>
  <cols>
    <col min="1" max="1" width="27.42578125" customWidth="1"/>
    <col min="2" max="2" width="15" bestFit="1" customWidth="1"/>
    <col min="3" max="3" width="11.85546875" customWidth="1"/>
  </cols>
  <sheetData>
    <row r="1" spans="1:9" x14ac:dyDescent="0.25">
      <c r="A1" t="s">
        <v>558</v>
      </c>
      <c r="B1" t="s">
        <v>559</v>
      </c>
      <c r="C1" t="s">
        <v>560</v>
      </c>
      <c r="D1">
        <v>0</v>
      </c>
      <c r="E1">
        <v>1</v>
      </c>
      <c r="F1">
        <v>2</v>
      </c>
      <c r="G1">
        <v>3</v>
      </c>
      <c r="H1">
        <v>4</v>
      </c>
      <c r="I1">
        <v>5</v>
      </c>
    </row>
    <row r="2" spans="1:9" x14ac:dyDescent="0.25">
      <c r="A2" t="str">
        <f>Team_Name</f>
        <v>[Insert Utility Name Here]</v>
      </c>
      <c r="B2" t="str">
        <f>BusinessModel</f>
        <v>Select</v>
      </c>
      <c r="C2" t="s">
        <v>555</v>
      </c>
      <c r="D2" s="15">
        <f>'Customer Bills'!B13</f>
        <v>95.70191479695302</v>
      </c>
      <c r="E2" s="15" t="str">
        <f>IF(Current_Round&gt;=E1,INDEX('Customer Bills'!$C$13:$G$13,1,E1),"")</f>
        <v/>
      </c>
      <c r="F2" s="15" t="str">
        <f>IF(Current_Round&gt;=F1,INDEX('Customer Bills'!$C$13:$G$13,1,F1),"")</f>
        <v/>
      </c>
      <c r="G2" s="15" t="str">
        <f>IF(Current_Round&gt;=G1,INDEX('Customer Bills'!$C$13:$G$13,1,G1),"")</f>
        <v/>
      </c>
      <c r="H2" s="15" t="str">
        <f>IF(Current_Round&gt;=H1,INDEX('Customer Bills'!$C$13:$G$13,1,H1),"")</f>
        <v/>
      </c>
      <c r="I2" s="15" t="str">
        <f>IF(Current_Round&gt;=I1,INDEX('Customer Bills'!$C$13:$G$13,1,I1),"")</f>
        <v/>
      </c>
    </row>
    <row r="3" spans="1:9" x14ac:dyDescent="0.25">
      <c r="A3" t="str">
        <f>Team_Name</f>
        <v>[Insert Utility Name Here]</v>
      </c>
      <c r="B3" t="str">
        <f>BusinessModel</f>
        <v>Select</v>
      </c>
      <c r="C3" t="s">
        <v>557</v>
      </c>
      <c r="D3" s="15">
        <f>'Utility Revenue'!B151</f>
        <v>0.54024054081148387</v>
      </c>
      <c r="E3" s="15" t="str">
        <f>IF(Current_Round&gt;=E1,INDEX('Utility Revenue'!$C$151:$G$151,1,E1),"")</f>
        <v/>
      </c>
      <c r="F3" s="15" t="str">
        <f>IF(Current_Round&gt;=F1,INDEX('Utility Revenue'!$C$151:$G$151,1,F1),"")</f>
        <v/>
      </c>
      <c r="G3" s="15" t="str">
        <f>IF(Current_Round&gt;=G1,INDEX('Utility Revenue'!$C$151:$G$151,1,G1),"")</f>
        <v/>
      </c>
      <c r="H3" s="15" t="str">
        <f>IF(Current_Round&gt;=H1,INDEX('Utility Revenue'!$C$151:$G$151,1,H1),"")</f>
        <v/>
      </c>
      <c r="I3" s="15" t="str">
        <f>IF(Current_Round&gt;=I1,INDEX('Utility Revenue'!$C$151:$G$151,1,I1),"")</f>
        <v/>
      </c>
    </row>
    <row r="4" spans="1:9" x14ac:dyDescent="0.25">
      <c r="A4" t="str">
        <f>Team_Name</f>
        <v>[Insert Utility Name Here]</v>
      </c>
      <c r="B4" t="str">
        <f>BusinessModel</f>
        <v>Select</v>
      </c>
      <c r="C4" t="s">
        <v>556</v>
      </c>
      <c r="D4" s="16">
        <f>'Environmental Performance'!B3</f>
        <v>1077.7907015393157</v>
      </c>
      <c r="E4" s="16" t="str">
        <f>IF(Current_Round&gt;=E1,INDEX('Environmental Performance'!$C$3:$G$3,1,E1),"")</f>
        <v/>
      </c>
      <c r="F4" s="16" t="str">
        <f>IF(Current_Round&gt;=F1,INDEX('Environmental Performance'!$C$3:$G$3,1,F1),"")</f>
        <v/>
      </c>
      <c r="G4" s="16" t="str">
        <f>IF(Current_Round&gt;=G1,INDEX('Environmental Performance'!$C$3:$G$3,1,G1),"")</f>
        <v/>
      </c>
      <c r="H4" s="16" t="str">
        <f>IF(Current_Round&gt;=H1,INDEX('Environmental Performance'!$C$3:$G$3,1,H1),"")</f>
        <v/>
      </c>
      <c r="I4" s="16" t="str">
        <f>IF(Current_Round&gt;=I1,INDEX('Environmental Performance'!$C$3:$G$3,1,I1),"")</f>
        <v/>
      </c>
    </row>
    <row r="5" spans="1:9" x14ac:dyDescent="0.25">
      <c r="A5" t="str">
        <f>Team_Name</f>
        <v>[Insert Utility Name Here]</v>
      </c>
      <c r="B5" t="str">
        <f>BusinessModel</f>
        <v>Select</v>
      </c>
      <c r="C5" t="s">
        <v>135</v>
      </c>
      <c r="D5" s="16">
        <f>Reliability!B95</f>
        <v>287</v>
      </c>
      <c r="E5" s="16" t="str">
        <f>IF(Current_Round&gt;=E1,INDEX(Reliability!$C$95:$G$95,1,E1),"")</f>
        <v/>
      </c>
      <c r="F5" s="16" t="str">
        <f>IF(Current_Round&gt;=F1,INDEX(Reliability!$C$95:$G$95,1,F1),"")</f>
        <v/>
      </c>
      <c r="G5" s="16" t="str">
        <f>IF(Current_Round&gt;=G1,INDEX(Reliability!$C$95:$G$95,1,G1),"")</f>
        <v/>
      </c>
      <c r="H5" s="16" t="str">
        <f>IF(Current_Round&gt;=H1,INDEX(Reliability!$C$95:$G$95,1,H1),"")</f>
        <v/>
      </c>
      <c r="I5" s="16" t="str">
        <f>IF(Current_Round&gt;=I1,INDEX(Reliability!$C$95:$G$95,1,I1),"")</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B39"/>
  <sheetViews>
    <sheetView zoomScaleNormal="100" workbookViewId="0">
      <selection activeCell="A6" sqref="A6"/>
    </sheetView>
  </sheetViews>
  <sheetFormatPr defaultRowHeight="15" x14ac:dyDescent="0.25"/>
  <cols>
    <col min="1" max="1" width="60.140625" customWidth="1"/>
    <col min="2" max="2" width="119.7109375" customWidth="1"/>
  </cols>
  <sheetData>
    <row r="1" spans="1:2" x14ac:dyDescent="0.25">
      <c r="A1" s="1" t="s">
        <v>310</v>
      </c>
      <c r="B1" s="1" t="s">
        <v>311</v>
      </c>
    </row>
    <row r="2" spans="1:2" x14ac:dyDescent="0.25">
      <c r="A2" t="s">
        <v>112</v>
      </c>
      <c r="B2" t="s">
        <v>313</v>
      </c>
    </row>
    <row r="3" spans="1:2" x14ac:dyDescent="0.25">
      <c r="A3" t="s">
        <v>129</v>
      </c>
      <c r="B3" t="s">
        <v>314</v>
      </c>
    </row>
    <row r="5" spans="1:2" x14ac:dyDescent="0.25">
      <c r="A5" t="s">
        <v>206</v>
      </c>
      <c r="B5" t="s">
        <v>315</v>
      </c>
    </row>
    <row r="6" spans="1:2" x14ac:dyDescent="0.25">
      <c r="A6" t="s">
        <v>217</v>
      </c>
    </row>
    <row r="14" spans="1:2" x14ac:dyDescent="0.25">
      <c r="A14" t="s">
        <v>252</v>
      </c>
    </row>
    <row r="16" spans="1:2" x14ac:dyDescent="0.25">
      <c r="A16" t="s">
        <v>254</v>
      </c>
    </row>
    <row r="22" spans="1:2" x14ac:dyDescent="0.25">
      <c r="A22" t="s">
        <v>277</v>
      </c>
    </row>
    <row r="26" spans="1:2" x14ac:dyDescent="0.25">
      <c r="A26" t="s">
        <v>300</v>
      </c>
      <c r="B26" t="s">
        <v>320</v>
      </c>
    </row>
    <row r="27" spans="1:2" x14ac:dyDescent="0.25">
      <c r="A27" t="s">
        <v>307</v>
      </c>
    </row>
    <row r="28" spans="1:2" x14ac:dyDescent="0.25">
      <c r="A28" s="109" t="s">
        <v>308</v>
      </c>
      <c r="B28" s="109" t="s">
        <v>312</v>
      </c>
    </row>
    <row r="29" spans="1:2" x14ac:dyDescent="0.25">
      <c r="A29" t="s">
        <v>321</v>
      </c>
    </row>
    <row r="30" spans="1:2" x14ac:dyDescent="0.25">
      <c r="A30" t="s">
        <v>322</v>
      </c>
    </row>
    <row r="31" spans="1:2" x14ac:dyDescent="0.25">
      <c r="A31" t="s">
        <v>323</v>
      </c>
    </row>
    <row r="32" spans="1:2" x14ac:dyDescent="0.25">
      <c r="A32" t="s">
        <v>324</v>
      </c>
    </row>
    <row r="37" spans="1:2" x14ac:dyDescent="0.25">
      <c r="A37" t="s">
        <v>316</v>
      </c>
    </row>
    <row r="38" spans="1:2" x14ac:dyDescent="0.25">
      <c r="A38" t="s">
        <v>317</v>
      </c>
      <c r="B38" t="s">
        <v>318</v>
      </c>
    </row>
    <row r="39" spans="1:2" x14ac:dyDescent="0.25">
      <c r="A39" t="s">
        <v>319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112</vt:i4>
      </vt:variant>
    </vt:vector>
  </HeadingPairs>
  <TitlesOfParts>
    <vt:vector size="129" baseType="lpstr">
      <vt:lpstr>Initial Setup</vt:lpstr>
      <vt:lpstr>Gameplay</vt:lpstr>
      <vt:lpstr>Event Tracker</vt:lpstr>
      <vt:lpstr>Override</vt:lpstr>
      <vt:lpstr>Game Properties</vt:lpstr>
      <vt:lpstr>Environmental Performance</vt:lpstr>
      <vt:lpstr>Reliability</vt:lpstr>
      <vt:lpstr>Utility Revenue</vt:lpstr>
      <vt:lpstr>Game Assumptions</vt:lpstr>
      <vt:lpstr>Resource Mix and Demand</vt:lpstr>
      <vt:lpstr>Graphs</vt:lpstr>
      <vt:lpstr>Dispatch</vt:lpstr>
      <vt:lpstr>Policy Page</vt:lpstr>
      <vt:lpstr>Popup Descriptions</vt:lpstr>
      <vt:lpstr>Customer Bills</vt:lpstr>
      <vt:lpstr>Export</vt:lpstr>
      <vt:lpstr>Questions</vt:lpstr>
      <vt:lpstr>Actual_Load</vt:lpstr>
      <vt:lpstr>Additions_Text</vt:lpstr>
      <vt:lpstr>Advance_Button</vt:lpstr>
      <vt:lpstr>Bill_Sign</vt:lpstr>
      <vt:lpstr>Bill_Text</vt:lpstr>
      <vt:lpstr>BillSummary_Sign</vt:lpstr>
      <vt:lpstr>BillSummary_Text</vt:lpstr>
      <vt:lpstr>BizModelSelected</vt:lpstr>
      <vt:lpstr>BuildTitle</vt:lpstr>
      <vt:lpstr>BusinessModel</vt:lpstr>
      <vt:lpstr>BusinessModels</vt:lpstr>
      <vt:lpstr>CarbonPricing_Text</vt:lpstr>
      <vt:lpstr>CO2_Sign</vt:lpstr>
      <vt:lpstr>CO2_Text</vt:lpstr>
      <vt:lpstr>CO2Summary_Sign</vt:lpstr>
      <vt:lpstr>CO2Summary_Text</vt:lpstr>
      <vt:lpstr>Coal_additions</vt:lpstr>
      <vt:lpstr>CoalRetirements_Text</vt:lpstr>
      <vt:lpstr>Current_Round</vt:lpstr>
      <vt:lpstr>Decoupling_Text</vt:lpstr>
      <vt:lpstr>DecouplingIncentive_Text</vt:lpstr>
      <vt:lpstr>DemandCharges_Text</vt:lpstr>
      <vt:lpstr>DistributedPV_additions</vt:lpstr>
      <vt:lpstr>DistributedPV_Limit</vt:lpstr>
      <vt:lpstr>DistributedPVFlex_Text</vt:lpstr>
      <vt:lpstr>EE_additions</vt:lpstr>
      <vt:lpstr>EE_Limit</vt:lpstr>
      <vt:lpstr>ElecMix_Text</vt:lpstr>
      <vt:lpstr>ElecMixNewRound_Text</vt:lpstr>
      <vt:lpstr>EPS_Sign</vt:lpstr>
      <vt:lpstr>EPS_Text</vt:lpstr>
      <vt:lpstr>EPSSummary_Sign</vt:lpstr>
      <vt:lpstr>EPSSummary_Text</vt:lpstr>
      <vt:lpstr>Events</vt:lpstr>
      <vt:lpstr>ExportData</vt:lpstr>
      <vt:lpstr>FlexIntro_Text</vt:lpstr>
      <vt:lpstr>HeatWave_Text</vt:lpstr>
      <vt:lpstr>MaxBatteries</vt:lpstr>
      <vt:lpstr>MaxBattery_Text</vt:lpstr>
      <vt:lpstr>MaxCoal</vt:lpstr>
      <vt:lpstr>MaxCoal_Text</vt:lpstr>
      <vt:lpstr>MaxCT</vt:lpstr>
      <vt:lpstr>MaxCT_Text</vt:lpstr>
      <vt:lpstr>MaxDistributedPV_Text</vt:lpstr>
      <vt:lpstr>MaxDistribution</vt:lpstr>
      <vt:lpstr>MaxDistribution_Text</vt:lpstr>
      <vt:lpstr>MaxDR</vt:lpstr>
      <vt:lpstr>MaxDR_Text</vt:lpstr>
      <vt:lpstr>MaxDRBuildable</vt:lpstr>
      <vt:lpstr>MaxEE</vt:lpstr>
      <vt:lpstr>MaxEE_Text</vt:lpstr>
      <vt:lpstr>MaxHydro</vt:lpstr>
      <vt:lpstr>MaxNatGas</vt:lpstr>
      <vt:lpstr>MaxNatGas_Text</vt:lpstr>
      <vt:lpstr>MaxNuclear</vt:lpstr>
      <vt:lpstr>MaxNuclear_Text</vt:lpstr>
      <vt:lpstr>MaxPumpedHydro</vt:lpstr>
      <vt:lpstr>MaxPumpedHydro_Text</vt:lpstr>
      <vt:lpstr>MaxSolar</vt:lpstr>
      <vt:lpstr>MaxSolarDistributed</vt:lpstr>
      <vt:lpstr>MaxTransmission</vt:lpstr>
      <vt:lpstr>MaxTransmission_Text</vt:lpstr>
      <vt:lpstr>MaxUtilityPV_Text</vt:lpstr>
      <vt:lpstr>MaxWind</vt:lpstr>
      <vt:lpstr>MaxWind_Text</vt:lpstr>
      <vt:lpstr>NatGas_Additions</vt:lpstr>
      <vt:lpstr>NatGasPriceSpike_Text</vt:lpstr>
      <vt:lpstr>Nuclear_Additions</vt:lpstr>
      <vt:lpstr>NuclearRetirements_Text</vt:lpstr>
      <vt:lpstr>Override_AddedCapacity</vt:lpstr>
      <vt:lpstr>Override_AddedCapacity_Value</vt:lpstr>
      <vt:lpstr>Override_InstalledCapacity</vt:lpstr>
      <vt:lpstr>Override_InstalledCapacity_Value</vt:lpstr>
      <vt:lpstr>Override_Load</vt:lpstr>
      <vt:lpstr>Override_Load_Value</vt:lpstr>
      <vt:lpstr>Override_RetiringCapacity</vt:lpstr>
      <vt:lpstr>Override_RetiringCapacity_Value</vt:lpstr>
      <vt:lpstr>Override_Revenue</vt:lpstr>
      <vt:lpstr>Override_Revenue_Value</vt:lpstr>
      <vt:lpstr>Performance_Text</vt:lpstr>
      <vt:lpstr>PIM_ESM_Text</vt:lpstr>
      <vt:lpstr>PIM_Text</vt:lpstr>
      <vt:lpstr>Policies</vt:lpstr>
      <vt:lpstr>Pre_Event_Actual_Load</vt:lpstr>
      <vt:lpstr>Reliability_Sign</vt:lpstr>
      <vt:lpstr>Reliability_Text</vt:lpstr>
      <vt:lpstr>ReliabilityRequirements_Text</vt:lpstr>
      <vt:lpstr>ReliabilitySummary_Sign</vt:lpstr>
      <vt:lpstr>ReliabilitySummary_Text</vt:lpstr>
      <vt:lpstr>Renewables_Generation</vt:lpstr>
      <vt:lpstr>Renewables_Requirement</vt:lpstr>
      <vt:lpstr>Reserve_Margin_Error</vt:lpstr>
      <vt:lpstr>RetirementsIntro_Text</vt:lpstr>
      <vt:lpstr>Round_Completion</vt:lpstr>
      <vt:lpstr>RPS_Text</vt:lpstr>
      <vt:lpstr>Summary_Title</vt:lpstr>
      <vt:lpstr>Team_Name</vt:lpstr>
      <vt:lpstr>TotalRevenue</vt:lpstr>
      <vt:lpstr>ToU_Text</vt:lpstr>
      <vt:lpstr>UserForm_CapacityGen</vt:lpstr>
      <vt:lpstr>UserForm_Events</vt:lpstr>
      <vt:lpstr>UserForm_Flexibility</vt:lpstr>
      <vt:lpstr>UserForm_Policies</vt:lpstr>
      <vt:lpstr>UtilityPV_additions</vt:lpstr>
      <vt:lpstr>UtilityPV_Limit</vt:lpstr>
      <vt:lpstr>UtilityPVFlex_Text</vt:lpstr>
      <vt:lpstr>WBA_Text</vt:lpstr>
      <vt:lpstr>Welcome_Text</vt:lpstr>
      <vt:lpstr>wind_additions</vt:lpstr>
      <vt:lpstr>Wind_Limit</vt:lpstr>
      <vt:lpstr>WindFlex_Text</vt:lpstr>
      <vt:lpstr>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Robbie</dc:creator>
  <cp:lastModifiedBy>Robbie Orvis</cp:lastModifiedBy>
  <cp:lastPrinted>2016-01-25T19:18:39Z</cp:lastPrinted>
  <dcterms:created xsi:type="dcterms:W3CDTF">2016-01-20T23:59:09Z</dcterms:created>
  <dcterms:modified xsi:type="dcterms:W3CDTF">2021-07-16T14:29:43Z</dcterms:modified>
</cp:coreProperties>
</file>