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130"/>
  <workbookPr/>
  <mc:AlternateContent xmlns:mc="http://schemas.openxmlformats.org/markup-compatibility/2006">
    <mc:Choice Requires="x15">
      <x15ac:absPath xmlns:x15ac="http://schemas.microsoft.com/office/spreadsheetml/2010/11/ac" url="C:\Users\rober\Desktop\TFM\"/>
    </mc:Choice>
  </mc:AlternateContent>
  <xr:revisionPtr revIDLastSave="0" documentId="13_ncr:1_{986A286C-E9E6-44F5-A6E9-FBDC8084E92B}" xr6:coauthVersionLast="45" xr6:coauthVersionMax="45" xr10:uidLastSave="{00000000-0000-0000-0000-000000000000}"/>
  <bookViews>
    <workbookView xWindow="-120" yWindow="-120" windowWidth="20730" windowHeight="11160" xr2:uid="{00000000-000D-0000-FFFF-FFFF00000000}"/>
  </bookViews>
  <sheets>
    <sheet name="ResultadosEncuestaPlenos09_06_2" sheetId="1" r:id="rId1"/>
    <sheet name="Pregunta 5" sheetId="18" r:id="rId2"/>
    <sheet name="Pregunta 6" sheetId="19" r:id="rId3"/>
    <sheet name="Pregunta 7" sheetId="3" r:id="rId4"/>
    <sheet name="Pregunta 8" sheetId="4" r:id="rId5"/>
    <sheet name="Pregunta 9" sheetId="5" r:id="rId6"/>
    <sheet name="Pregunta 10" sheetId="6" r:id="rId7"/>
    <sheet name="Pregunta11" sheetId="7" r:id="rId8"/>
    <sheet name="Pregunta 12" sheetId="8" r:id="rId9"/>
    <sheet name="Pregunta 13" sheetId="9" r:id="rId10"/>
    <sheet name="Pregunta 14" sheetId="10" r:id="rId11"/>
    <sheet name="Pregunta 15" sheetId="11" r:id="rId12"/>
    <sheet name="Pregunta 16" sheetId="12" r:id="rId13"/>
    <sheet name="Pregunta 17" sheetId="13" r:id="rId14"/>
    <sheet name="Pregunta 18" sheetId="14" r:id="rId15"/>
    <sheet name="Pregunta 19" sheetId="15" r:id="rId16"/>
    <sheet name="Pregunta 20" sheetId="16" r:id="rId17"/>
    <sheet name="Pregunta 21" sheetId="17" r:id="rId18"/>
    <sheet name="Pregunta 22" sheetId="20" r:id="rId19"/>
  </sheets>
  <definedNames>
    <definedName name="_xlnm._FilterDatabase" localSheetId="0" hidden="1">ResultadosEncuestaPlenos09_06_2!$A$1:$CE$272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4" i="19" l="1"/>
  <c r="C4" i="19"/>
  <c r="B4" i="19"/>
  <c r="D3" i="19"/>
  <c r="C3" i="19"/>
  <c r="B3" i="19"/>
  <c r="D2" i="19"/>
  <c r="C2" i="19"/>
  <c r="B2" i="19"/>
  <c r="D69" i="4"/>
  <c r="C69" i="4"/>
  <c r="B69" i="4"/>
  <c r="D68" i="4"/>
  <c r="C68" i="4"/>
  <c r="B68" i="4"/>
  <c r="D67" i="4"/>
  <c r="C67" i="4"/>
  <c r="B67" i="4"/>
  <c r="D66" i="4"/>
  <c r="C66" i="4"/>
  <c r="B66" i="4"/>
  <c r="D65" i="4"/>
  <c r="C65" i="4"/>
  <c r="B65" i="4"/>
  <c r="D64" i="4"/>
  <c r="C64" i="4"/>
  <c r="B64" i="4"/>
  <c r="B31" i="4"/>
  <c r="D63" i="4"/>
  <c r="C63" i="4"/>
  <c r="B63" i="4"/>
  <c r="B62" i="4"/>
  <c r="D62" i="4"/>
  <c r="C62" i="4"/>
  <c r="B16" i="4"/>
  <c r="C61" i="4"/>
  <c r="D61" i="4"/>
  <c r="B61" i="4"/>
  <c r="D60" i="4"/>
  <c r="C60" i="4"/>
  <c r="B60" i="4"/>
  <c r="D58" i="4"/>
  <c r="C58" i="4"/>
  <c r="B58" i="4"/>
  <c r="D59" i="4"/>
  <c r="C59" i="4"/>
  <c r="B59" i="4"/>
  <c r="D57" i="4"/>
  <c r="C57" i="4"/>
  <c r="B57" i="4"/>
  <c r="D56" i="4"/>
  <c r="C56" i="4"/>
  <c r="B56" i="4"/>
  <c r="D7" i="4"/>
  <c r="D55" i="4"/>
  <c r="C55" i="4"/>
  <c r="B55" i="4"/>
  <c r="D54" i="4"/>
  <c r="C54" i="4"/>
  <c r="B54" i="4"/>
  <c r="D74" i="4"/>
  <c r="C74" i="4"/>
  <c r="B74" i="4"/>
  <c r="D73" i="4"/>
  <c r="C73" i="4"/>
  <c r="B73" i="4"/>
  <c r="B72" i="3"/>
  <c r="D72" i="4"/>
  <c r="B72" i="4"/>
  <c r="C72" i="4"/>
  <c r="D74" i="3"/>
  <c r="C74" i="3"/>
  <c r="B74" i="3"/>
  <c r="D73" i="3"/>
  <c r="B73" i="3"/>
  <c r="C73" i="3"/>
  <c r="D72" i="3"/>
  <c r="C72" i="3"/>
  <c r="D69" i="3"/>
  <c r="C69" i="3"/>
  <c r="D68" i="3"/>
  <c r="C68" i="3"/>
  <c r="D67" i="3"/>
  <c r="C67" i="3"/>
  <c r="D66" i="3"/>
  <c r="C66" i="3"/>
  <c r="D65" i="3"/>
  <c r="C65" i="3"/>
  <c r="D26" i="3"/>
  <c r="D64" i="3"/>
  <c r="C64" i="3"/>
  <c r="D63" i="3"/>
  <c r="C63" i="3"/>
  <c r="D62" i="3"/>
  <c r="C62" i="3"/>
  <c r="D61" i="3"/>
  <c r="C61" i="3"/>
  <c r="D60" i="3"/>
  <c r="C60" i="3"/>
  <c r="D59" i="3"/>
  <c r="C59" i="3"/>
  <c r="D58" i="3"/>
  <c r="C58" i="3"/>
  <c r="D57" i="3"/>
  <c r="C57" i="3"/>
  <c r="D56" i="3"/>
  <c r="C56" i="3"/>
  <c r="D55" i="3"/>
  <c r="C55" i="3"/>
  <c r="D54" i="3"/>
  <c r="C54" i="3"/>
  <c r="B68" i="3"/>
  <c r="B67" i="3"/>
  <c r="B66" i="3"/>
  <c r="B65" i="3"/>
  <c r="B64" i="3"/>
  <c r="B63" i="3"/>
  <c r="B61" i="3"/>
  <c r="B60" i="3"/>
  <c r="B59" i="3"/>
  <c r="B58" i="3"/>
  <c r="B57" i="3"/>
  <c r="B56" i="3"/>
  <c r="B55" i="3"/>
  <c r="B62" i="3"/>
  <c r="B69" i="3"/>
  <c r="B51" i="3"/>
  <c r="B54" i="3"/>
  <c r="C74" i="20" l="1"/>
  <c r="B74" i="20"/>
  <c r="C73" i="20"/>
  <c r="B73" i="20"/>
  <c r="C72" i="20"/>
  <c r="B72" i="20"/>
  <c r="C69" i="20"/>
  <c r="B69" i="20"/>
  <c r="C68" i="20"/>
  <c r="B68" i="20"/>
  <c r="C67" i="20"/>
  <c r="B67" i="20"/>
  <c r="C66" i="20"/>
  <c r="B66" i="20"/>
  <c r="C65" i="20"/>
  <c r="B65" i="20"/>
  <c r="C64" i="20"/>
  <c r="B64" i="20"/>
  <c r="C63" i="20"/>
  <c r="B63" i="20"/>
  <c r="C62" i="20"/>
  <c r="B62" i="20"/>
  <c r="C61" i="20"/>
  <c r="B61" i="20"/>
  <c r="C60" i="20"/>
  <c r="B60" i="20"/>
  <c r="C59" i="20"/>
  <c r="B59" i="20"/>
  <c r="C58" i="20"/>
  <c r="B58" i="20"/>
  <c r="C57" i="20"/>
  <c r="B57" i="20"/>
  <c r="C56" i="20"/>
  <c r="B56" i="20"/>
  <c r="C55" i="20"/>
  <c r="B55" i="20"/>
  <c r="C54" i="20"/>
  <c r="B54" i="20"/>
  <c r="C51" i="20"/>
  <c r="B51" i="20"/>
  <c r="C50" i="20"/>
  <c r="B50" i="20"/>
  <c r="C49" i="20"/>
  <c r="B49" i="20"/>
  <c r="C48" i="20"/>
  <c r="B48" i="20"/>
  <c r="C47" i="20"/>
  <c r="B47" i="20"/>
  <c r="C46" i="20"/>
  <c r="B46" i="20"/>
  <c r="C45" i="20"/>
  <c r="B45" i="20"/>
  <c r="C44" i="20"/>
  <c r="B44" i="20"/>
  <c r="C43" i="20"/>
  <c r="B43" i="20"/>
  <c r="C42" i="20"/>
  <c r="B42" i="20"/>
  <c r="C41" i="20"/>
  <c r="B41" i="20"/>
  <c r="C40" i="20"/>
  <c r="B40" i="20"/>
  <c r="C39" i="20"/>
  <c r="B39" i="20"/>
  <c r="C38" i="20"/>
  <c r="B38" i="20"/>
  <c r="C37" i="20"/>
  <c r="B37" i="20"/>
  <c r="C36" i="20"/>
  <c r="B36" i="20"/>
  <c r="C35" i="20"/>
  <c r="B35" i="20"/>
  <c r="C34" i="20"/>
  <c r="B34" i="20"/>
  <c r="C33" i="20"/>
  <c r="B33" i="20"/>
  <c r="C32" i="20"/>
  <c r="B32" i="20"/>
  <c r="C31" i="20"/>
  <c r="B31" i="20"/>
  <c r="C30" i="20"/>
  <c r="B30" i="20"/>
  <c r="C29" i="20"/>
  <c r="B29" i="20"/>
  <c r="C28" i="20"/>
  <c r="B28" i="20"/>
  <c r="C27" i="20"/>
  <c r="B27" i="20"/>
  <c r="C26" i="20"/>
  <c r="B26" i="20"/>
  <c r="C25" i="20"/>
  <c r="B25" i="20"/>
  <c r="C24" i="20"/>
  <c r="B24" i="20"/>
  <c r="C23" i="20"/>
  <c r="B23" i="20"/>
  <c r="C22" i="20"/>
  <c r="B22" i="20"/>
  <c r="C21" i="20"/>
  <c r="B21" i="20"/>
  <c r="C20" i="20"/>
  <c r="B20" i="20"/>
  <c r="C19" i="20"/>
  <c r="B19" i="20"/>
  <c r="C18" i="20"/>
  <c r="B18" i="20"/>
  <c r="C17" i="20"/>
  <c r="B17" i="20"/>
  <c r="C16" i="20"/>
  <c r="B16" i="20"/>
  <c r="C15" i="20"/>
  <c r="B15" i="20"/>
  <c r="C14" i="20"/>
  <c r="B14" i="20"/>
  <c r="C13" i="20"/>
  <c r="B13" i="20"/>
  <c r="C12" i="20"/>
  <c r="B12" i="20"/>
  <c r="C11" i="20"/>
  <c r="B11" i="20"/>
  <c r="C10" i="20"/>
  <c r="B10" i="20"/>
  <c r="C9" i="20"/>
  <c r="B9" i="20"/>
  <c r="C8" i="20"/>
  <c r="B8" i="20"/>
  <c r="C7" i="20"/>
  <c r="B7" i="20"/>
  <c r="C6" i="20"/>
  <c r="B6" i="20"/>
  <c r="C5" i="20"/>
  <c r="B5" i="20"/>
  <c r="C4" i="20"/>
  <c r="B4" i="20"/>
  <c r="C3" i="20"/>
  <c r="B3" i="20"/>
  <c r="C2" i="20"/>
  <c r="B2" i="20"/>
  <c r="C74" i="17"/>
  <c r="B74" i="17"/>
  <c r="C73" i="17"/>
  <c r="B73" i="17"/>
  <c r="C72" i="17"/>
  <c r="B72" i="17"/>
  <c r="G74" i="16"/>
  <c r="F74" i="16"/>
  <c r="E74" i="16"/>
  <c r="D74" i="16"/>
  <c r="C74" i="16"/>
  <c r="B74" i="16"/>
  <c r="G73" i="16"/>
  <c r="F73" i="16"/>
  <c r="E73" i="16"/>
  <c r="D73" i="16"/>
  <c r="C73" i="16"/>
  <c r="B73" i="16"/>
  <c r="G72" i="16"/>
  <c r="F72" i="16"/>
  <c r="E72" i="16"/>
  <c r="D72" i="16"/>
  <c r="C72" i="16"/>
  <c r="B72" i="16"/>
  <c r="G74" i="15"/>
  <c r="F74" i="15"/>
  <c r="E74" i="15"/>
  <c r="D74" i="15"/>
  <c r="C74" i="15"/>
  <c r="B74" i="15"/>
  <c r="G72" i="15"/>
  <c r="G73" i="15"/>
  <c r="F73" i="15"/>
  <c r="E73" i="15"/>
  <c r="D73" i="15"/>
  <c r="C73" i="15"/>
  <c r="B73" i="15"/>
  <c r="F72" i="15"/>
  <c r="E72" i="15"/>
  <c r="D72" i="15"/>
  <c r="C72" i="15"/>
  <c r="B72" i="15"/>
  <c r="E74" i="14"/>
  <c r="D74" i="14"/>
  <c r="C74" i="14"/>
  <c r="B74" i="14"/>
  <c r="E73" i="14"/>
  <c r="D73" i="14"/>
  <c r="C73" i="14"/>
  <c r="B73" i="14"/>
  <c r="E72" i="14"/>
  <c r="D72" i="14"/>
  <c r="C72" i="14"/>
  <c r="B72" i="14"/>
  <c r="E72" i="13"/>
  <c r="E73" i="13"/>
  <c r="E74" i="13"/>
  <c r="C74" i="13"/>
  <c r="C73" i="13"/>
  <c r="D74" i="13"/>
  <c r="D73" i="13"/>
  <c r="D72" i="13"/>
  <c r="C72" i="13"/>
  <c r="B74" i="13"/>
  <c r="B73" i="13"/>
  <c r="B72" i="13"/>
  <c r="C74" i="12"/>
  <c r="B74" i="12"/>
  <c r="C73" i="12"/>
  <c r="B73" i="12"/>
  <c r="C72" i="12"/>
  <c r="B72" i="12"/>
  <c r="D74" i="11"/>
  <c r="C74" i="11"/>
  <c r="B74" i="11"/>
  <c r="D73" i="11"/>
  <c r="C73" i="11"/>
  <c r="B73" i="11"/>
  <c r="D72" i="11"/>
  <c r="C72" i="11"/>
  <c r="B72" i="11"/>
  <c r="E74" i="10"/>
  <c r="D74" i="10"/>
  <c r="C74" i="10"/>
  <c r="B74" i="10"/>
  <c r="E73" i="10"/>
  <c r="D73" i="10"/>
  <c r="C73" i="10"/>
  <c r="B73" i="10"/>
  <c r="E72" i="10"/>
  <c r="D72" i="10"/>
  <c r="C72" i="10"/>
  <c r="B72" i="10"/>
  <c r="B74" i="9"/>
  <c r="D74" i="9"/>
  <c r="C74" i="9"/>
  <c r="C73" i="9"/>
  <c r="B73" i="9"/>
  <c r="D73" i="9"/>
  <c r="B72" i="9"/>
  <c r="D72" i="9"/>
  <c r="C72" i="9"/>
  <c r="C74" i="8" l="1"/>
  <c r="B74" i="8"/>
  <c r="C73" i="8"/>
  <c r="B73" i="8"/>
  <c r="C72" i="8"/>
  <c r="B72" i="8"/>
  <c r="E74" i="7"/>
  <c r="D74" i="7"/>
  <c r="C74" i="7"/>
  <c r="E73" i="7"/>
  <c r="D73" i="7"/>
  <c r="C73" i="7"/>
  <c r="E72" i="7"/>
  <c r="D72" i="7"/>
  <c r="C72" i="7"/>
  <c r="B74" i="7"/>
  <c r="B73" i="7"/>
  <c r="B72" i="7"/>
  <c r="G74" i="6"/>
  <c r="F74" i="6"/>
  <c r="E74" i="6"/>
  <c r="D74" i="6"/>
  <c r="C74" i="6"/>
  <c r="B74" i="6"/>
  <c r="G73" i="6"/>
  <c r="F73" i="6"/>
  <c r="E73" i="6"/>
  <c r="D73" i="6"/>
  <c r="C73" i="6"/>
  <c r="G72" i="6"/>
  <c r="F72" i="6"/>
  <c r="E72" i="6"/>
  <c r="D72" i="6"/>
  <c r="C72" i="6"/>
  <c r="B73" i="6"/>
  <c r="B72" i="6"/>
  <c r="G4" i="5"/>
  <c r="F4" i="5"/>
  <c r="E4" i="5"/>
  <c r="C4" i="5"/>
  <c r="D4" i="5"/>
  <c r="G3" i="5"/>
  <c r="F3" i="5"/>
  <c r="E3" i="5"/>
  <c r="D3" i="5"/>
  <c r="C3" i="5"/>
  <c r="G2" i="5"/>
  <c r="F2" i="5"/>
  <c r="E2" i="5"/>
  <c r="D2" i="5"/>
  <c r="C2" i="5"/>
  <c r="B4" i="5"/>
  <c r="B2" i="5"/>
  <c r="B3" i="5"/>
  <c r="B2" i="18" l="1"/>
  <c r="C4" i="18"/>
  <c r="C3" i="18"/>
  <c r="C2" i="18"/>
  <c r="B4" i="18"/>
  <c r="B3" i="18"/>
  <c r="C51" i="17" l="1"/>
  <c r="B51" i="17"/>
  <c r="C69" i="17"/>
  <c r="B69" i="17"/>
  <c r="C68" i="17"/>
  <c r="B68" i="17"/>
  <c r="C67" i="17"/>
  <c r="B67" i="17"/>
  <c r="C66" i="17"/>
  <c r="B66" i="17"/>
  <c r="C65" i="17"/>
  <c r="B65" i="17"/>
  <c r="C64" i="17"/>
  <c r="B64" i="17"/>
  <c r="C63" i="17"/>
  <c r="B63" i="17"/>
  <c r="C62" i="17"/>
  <c r="B62" i="17"/>
  <c r="C61" i="17"/>
  <c r="B61" i="17"/>
  <c r="C60" i="17"/>
  <c r="B60" i="17"/>
  <c r="C59" i="17"/>
  <c r="B59" i="17"/>
  <c r="C58" i="17"/>
  <c r="B58" i="17"/>
  <c r="C57" i="17"/>
  <c r="B57" i="17"/>
  <c r="C56" i="17"/>
  <c r="B56" i="17"/>
  <c r="C55" i="17"/>
  <c r="B55" i="17"/>
  <c r="C54" i="17"/>
  <c r="B54" i="17"/>
  <c r="C50" i="17"/>
  <c r="B50" i="17"/>
  <c r="C49" i="17"/>
  <c r="B49" i="17"/>
  <c r="C48" i="17"/>
  <c r="B48" i="17"/>
  <c r="C47" i="17"/>
  <c r="B47" i="17"/>
  <c r="C46" i="17"/>
  <c r="B46" i="17"/>
  <c r="C45" i="17"/>
  <c r="B45" i="17"/>
  <c r="C44" i="17"/>
  <c r="B44" i="17"/>
  <c r="C43" i="17"/>
  <c r="B43" i="17"/>
  <c r="C42" i="17"/>
  <c r="B42" i="17"/>
  <c r="C41" i="17"/>
  <c r="B41" i="17"/>
  <c r="C40" i="17"/>
  <c r="B40" i="17"/>
  <c r="C39" i="17"/>
  <c r="B39" i="17"/>
  <c r="C38" i="17"/>
  <c r="B38" i="17"/>
  <c r="C37" i="17"/>
  <c r="B37" i="17"/>
  <c r="C36" i="17"/>
  <c r="B36" i="17"/>
  <c r="C35" i="17"/>
  <c r="B35" i="17"/>
  <c r="C34" i="17"/>
  <c r="B34" i="17"/>
  <c r="C33" i="17"/>
  <c r="B33" i="17"/>
  <c r="C32" i="17"/>
  <c r="B32" i="17"/>
  <c r="C31" i="17"/>
  <c r="B31" i="17"/>
  <c r="C30" i="17"/>
  <c r="B30" i="17"/>
  <c r="C29" i="17"/>
  <c r="B29" i="17"/>
  <c r="C28" i="17"/>
  <c r="B28" i="17"/>
  <c r="C27" i="17"/>
  <c r="B27" i="17"/>
  <c r="C26" i="17"/>
  <c r="B26" i="17"/>
  <c r="C25" i="17"/>
  <c r="B25" i="17"/>
  <c r="C24" i="17"/>
  <c r="B24" i="17"/>
  <c r="C23" i="17"/>
  <c r="B23" i="17"/>
  <c r="C22" i="17"/>
  <c r="B22" i="17"/>
  <c r="C21" i="17"/>
  <c r="B21" i="17"/>
  <c r="C20" i="17"/>
  <c r="B20" i="17"/>
  <c r="C19" i="17"/>
  <c r="B19" i="17"/>
  <c r="C18" i="17"/>
  <c r="B18" i="17"/>
  <c r="C17" i="17"/>
  <c r="B17" i="17"/>
  <c r="C16" i="17"/>
  <c r="B16" i="17"/>
  <c r="C15" i="17"/>
  <c r="B15" i="17"/>
  <c r="C14" i="17"/>
  <c r="B14" i="17"/>
  <c r="C13" i="17"/>
  <c r="B13" i="17"/>
  <c r="C12" i="17"/>
  <c r="B12" i="17"/>
  <c r="C11" i="17"/>
  <c r="B11" i="17"/>
  <c r="C10" i="17"/>
  <c r="B10" i="17"/>
  <c r="C9" i="17"/>
  <c r="B9" i="17"/>
  <c r="C8" i="17"/>
  <c r="B8" i="17"/>
  <c r="C7" i="17"/>
  <c r="B7" i="17"/>
  <c r="C6" i="17"/>
  <c r="B6" i="17"/>
  <c r="C5" i="17"/>
  <c r="B5" i="17"/>
  <c r="C4" i="17"/>
  <c r="B4" i="17"/>
  <c r="C3" i="17"/>
  <c r="B3" i="17"/>
  <c r="C2" i="17"/>
  <c r="B2" i="17"/>
  <c r="G51" i="16"/>
  <c r="F51" i="16"/>
  <c r="E51" i="16"/>
  <c r="D51" i="16"/>
  <c r="C51" i="16"/>
  <c r="B51" i="16"/>
  <c r="G69" i="16"/>
  <c r="F69" i="16"/>
  <c r="E69" i="16"/>
  <c r="D69" i="16"/>
  <c r="C69" i="16"/>
  <c r="B69" i="16"/>
  <c r="G68" i="16"/>
  <c r="F68" i="16"/>
  <c r="E68" i="16"/>
  <c r="D68" i="16"/>
  <c r="C68" i="16"/>
  <c r="B68" i="16"/>
  <c r="G67" i="16"/>
  <c r="F67" i="16"/>
  <c r="E67" i="16"/>
  <c r="D67" i="16"/>
  <c r="C67" i="16"/>
  <c r="B67" i="16"/>
  <c r="G66" i="16"/>
  <c r="F66" i="16"/>
  <c r="E66" i="16"/>
  <c r="D66" i="16"/>
  <c r="C66" i="16"/>
  <c r="B66" i="16"/>
  <c r="G65" i="16"/>
  <c r="F65" i="16"/>
  <c r="E65" i="16"/>
  <c r="D65" i="16"/>
  <c r="C65" i="16"/>
  <c r="B65" i="16"/>
  <c r="G64" i="16"/>
  <c r="F64" i="16"/>
  <c r="E64" i="16"/>
  <c r="D64" i="16"/>
  <c r="C64" i="16"/>
  <c r="B64" i="16"/>
  <c r="G63" i="16"/>
  <c r="F63" i="16"/>
  <c r="E63" i="16"/>
  <c r="D63" i="16"/>
  <c r="C63" i="16"/>
  <c r="B63" i="16"/>
  <c r="G62" i="16"/>
  <c r="F62" i="16"/>
  <c r="E62" i="16"/>
  <c r="D62" i="16"/>
  <c r="C62" i="16"/>
  <c r="B62" i="16"/>
  <c r="G61" i="16"/>
  <c r="F61" i="16"/>
  <c r="E61" i="16"/>
  <c r="D61" i="16"/>
  <c r="D44" i="16"/>
  <c r="C61" i="16"/>
  <c r="B61" i="16"/>
  <c r="G60" i="16"/>
  <c r="F60" i="16"/>
  <c r="E60" i="16"/>
  <c r="D60" i="16"/>
  <c r="C60" i="16"/>
  <c r="B60" i="16"/>
  <c r="G59" i="16"/>
  <c r="F59" i="16"/>
  <c r="E59" i="16"/>
  <c r="D59" i="16"/>
  <c r="C59" i="16"/>
  <c r="B59" i="16"/>
  <c r="G58" i="16"/>
  <c r="F58" i="16"/>
  <c r="E58" i="16"/>
  <c r="D58" i="16"/>
  <c r="C58" i="16"/>
  <c r="B58" i="16"/>
  <c r="G57" i="16"/>
  <c r="F57" i="16"/>
  <c r="E57" i="16"/>
  <c r="D57" i="16"/>
  <c r="C57" i="16"/>
  <c r="B57" i="16"/>
  <c r="G56" i="16"/>
  <c r="F56" i="16"/>
  <c r="E56" i="16"/>
  <c r="D56" i="16"/>
  <c r="C56" i="16"/>
  <c r="B56" i="16"/>
  <c r="G55" i="16"/>
  <c r="F55" i="16"/>
  <c r="E55" i="16"/>
  <c r="D55" i="16"/>
  <c r="C55" i="16"/>
  <c r="B55" i="16"/>
  <c r="G54" i="16"/>
  <c r="F54" i="16"/>
  <c r="E54" i="16"/>
  <c r="D54" i="16"/>
  <c r="C54" i="16"/>
  <c r="B54" i="16"/>
  <c r="G50" i="16"/>
  <c r="F50" i="16"/>
  <c r="E50" i="16"/>
  <c r="D50" i="16"/>
  <c r="C50" i="16"/>
  <c r="B50" i="16"/>
  <c r="G49" i="16"/>
  <c r="F49" i="16"/>
  <c r="E49" i="16"/>
  <c r="D49" i="16"/>
  <c r="C49" i="16"/>
  <c r="B49" i="16"/>
  <c r="G48" i="16"/>
  <c r="F48" i="16"/>
  <c r="E48" i="16"/>
  <c r="D48" i="16"/>
  <c r="C48" i="16"/>
  <c r="B48" i="16"/>
  <c r="G47" i="16"/>
  <c r="F47" i="16"/>
  <c r="E47" i="16"/>
  <c r="D47" i="16"/>
  <c r="C47" i="16"/>
  <c r="B47" i="16"/>
  <c r="G46" i="16"/>
  <c r="F46" i="16"/>
  <c r="E46" i="16"/>
  <c r="D46" i="16"/>
  <c r="C46" i="16"/>
  <c r="B46" i="16"/>
  <c r="G45" i="16"/>
  <c r="F45" i="16"/>
  <c r="E45" i="16"/>
  <c r="D45" i="16"/>
  <c r="C45" i="16"/>
  <c r="B45" i="16"/>
  <c r="G44" i="16"/>
  <c r="F44" i="16"/>
  <c r="E44" i="16"/>
  <c r="C44" i="16"/>
  <c r="B44" i="16"/>
  <c r="G43" i="16"/>
  <c r="F43" i="16"/>
  <c r="E43" i="16"/>
  <c r="D43" i="16"/>
  <c r="C43" i="16"/>
  <c r="B43" i="16"/>
  <c r="G42" i="16"/>
  <c r="F42" i="16"/>
  <c r="E42" i="16"/>
  <c r="D42" i="16"/>
  <c r="C42" i="16"/>
  <c r="B42" i="16"/>
  <c r="G41" i="16"/>
  <c r="F41" i="16"/>
  <c r="E41" i="16"/>
  <c r="D41" i="16"/>
  <c r="C41" i="16"/>
  <c r="B41" i="16"/>
  <c r="G40" i="16"/>
  <c r="F40" i="16"/>
  <c r="E40" i="16"/>
  <c r="D40" i="16"/>
  <c r="C40" i="16"/>
  <c r="B40" i="16"/>
  <c r="G39" i="16"/>
  <c r="F39" i="16"/>
  <c r="E39" i="16"/>
  <c r="D39" i="16"/>
  <c r="C39" i="16"/>
  <c r="B39" i="16"/>
  <c r="G38" i="16"/>
  <c r="F38" i="16"/>
  <c r="E38" i="16"/>
  <c r="D38" i="16"/>
  <c r="C38" i="16"/>
  <c r="B38" i="16"/>
  <c r="G37" i="16"/>
  <c r="F37" i="16"/>
  <c r="E37" i="16"/>
  <c r="D37" i="16"/>
  <c r="C37" i="16"/>
  <c r="B37" i="16"/>
  <c r="G36" i="16"/>
  <c r="F36" i="16"/>
  <c r="E36" i="16"/>
  <c r="D36" i="16"/>
  <c r="C36" i="16"/>
  <c r="B36" i="16"/>
  <c r="G35" i="16"/>
  <c r="F35" i="16"/>
  <c r="E35" i="16"/>
  <c r="D35" i="16"/>
  <c r="C35" i="16"/>
  <c r="B35" i="16"/>
  <c r="G34" i="16"/>
  <c r="F34" i="16"/>
  <c r="E34" i="16"/>
  <c r="D34" i="16"/>
  <c r="C34" i="16"/>
  <c r="B34" i="16"/>
  <c r="G33" i="16"/>
  <c r="F33" i="16"/>
  <c r="E33" i="16"/>
  <c r="D33" i="16"/>
  <c r="C33" i="16"/>
  <c r="B33" i="16"/>
  <c r="G32" i="16"/>
  <c r="F32" i="16"/>
  <c r="E32" i="16"/>
  <c r="D32" i="16"/>
  <c r="C32" i="16"/>
  <c r="B32" i="16"/>
  <c r="G31" i="16"/>
  <c r="F31" i="16"/>
  <c r="E31" i="16"/>
  <c r="D31" i="16"/>
  <c r="C31" i="16"/>
  <c r="B31" i="16"/>
  <c r="C29" i="16"/>
  <c r="G30" i="16"/>
  <c r="F30" i="16"/>
  <c r="E30" i="16"/>
  <c r="D30" i="16"/>
  <c r="C30" i="16"/>
  <c r="B30" i="16"/>
  <c r="G29" i="16"/>
  <c r="F29" i="16"/>
  <c r="E29" i="16"/>
  <c r="D29" i="16"/>
  <c r="B29" i="16"/>
  <c r="G28" i="16"/>
  <c r="F28" i="16"/>
  <c r="E28" i="16"/>
  <c r="D28" i="16"/>
  <c r="C28" i="16"/>
  <c r="B28" i="16"/>
  <c r="G27" i="16"/>
  <c r="F27" i="16"/>
  <c r="E27" i="16"/>
  <c r="D27" i="16"/>
  <c r="C27" i="16"/>
  <c r="B27" i="16"/>
  <c r="G26" i="16"/>
  <c r="F26" i="16"/>
  <c r="E26" i="16"/>
  <c r="D26" i="16"/>
  <c r="C26" i="16"/>
  <c r="B26" i="16"/>
  <c r="G25" i="16"/>
  <c r="F25" i="16"/>
  <c r="E25" i="16"/>
  <c r="D25" i="16"/>
  <c r="C25" i="16"/>
  <c r="B25" i="16"/>
  <c r="G24" i="16"/>
  <c r="F24" i="16"/>
  <c r="E24" i="16"/>
  <c r="D24" i="16"/>
  <c r="C24" i="16"/>
  <c r="B24" i="16"/>
  <c r="G23" i="16"/>
  <c r="F23" i="16"/>
  <c r="E23" i="16"/>
  <c r="D23" i="16"/>
  <c r="C23" i="16"/>
  <c r="B23" i="16"/>
  <c r="G22" i="16"/>
  <c r="F22" i="16"/>
  <c r="E22" i="16"/>
  <c r="D22" i="16"/>
  <c r="C22" i="16"/>
  <c r="B22" i="16"/>
  <c r="F21" i="16"/>
  <c r="G21" i="16"/>
  <c r="E21" i="16"/>
  <c r="D21" i="16"/>
  <c r="C21" i="16"/>
  <c r="B21" i="16"/>
  <c r="E20" i="16"/>
  <c r="G20" i="16"/>
  <c r="F20" i="16"/>
  <c r="D20" i="16"/>
  <c r="C20" i="16"/>
  <c r="B20" i="16"/>
  <c r="G19" i="16"/>
  <c r="F19" i="16"/>
  <c r="E19" i="16"/>
  <c r="D19" i="16"/>
  <c r="C19" i="16"/>
  <c r="B19" i="16"/>
  <c r="G18" i="16"/>
  <c r="F18" i="16"/>
  <c r="E18" i="16"/>
  <c r="D18" i="16"/>
  <c r="C18" i="16"/>
  <c r="B18" i="16"/>
  <c r="G17" i="16"/>
  <c r="F17" i="16"/>
  <c r="E17" i="16"/>
  <c r="D17" i="16"/>
  <c r="C17" i="16"/>
  <c r="B17" i="16"/>
  <c r="G16" i="16"/>
  <c r="F16" i="16"/>
  <c r="E16" i="16"/>
  <c r="D16" i="16"/>
  <c r="C16" i="16"/>
  <c r="B16" i="16"/>
  <c r="G15" i="16"/>
  <c r="F15" i="16"/>
  <c r="E15" i="16"/>
  <c r="D15" i="16"/>
  <c r="C15" i="16"/>
  <c r="B15" i="16"/>
  <c r="G14" i="16"/>
  <c r="F14" i="16"/>
  <c r="E14" i="16"/>
  <c r="D14" i="16"/>
  <c r="C14" i="16"/>
  <c r="B14" i="16"/>
  <c r="G13" i="16"/>
  <c r="F13" i="16"/>
  <c r="E13" i="16"/>
  <c r="D13" i="16"/>
  <c r="C13" i="16"/>
  <c r="B13" i="16"/>
  <c r="G12" i="16"/>
  <c r="F12" i="16"/>
  <c r="E12" i="16"/>
  <c r="D12" i="16"/>
  <c r="C12" i="16"/>
  <c r="B12" i="16"/>
  <c r="G11" i="16"/>
  <c r="F11" i="16"/>
  <c r="E11" i="16"/>
  <c r="D11" i="16"/>
  <c r="C11" i="16"/>
  <c r="B11" i="16"/>
  <c r="G10" i="16"/>
  <c r="F10" i="16"/>
  <c r="E10" i="16"/>
  <c r="D10" i="16"/>
  <c r="C10" i="16"/>
  <c r="B10" i="16"/>
  <c r="G9" i="16"/>
  <c r="F9" i="16"/>
  <c r="E9" i="16"/>
  <c r="D9" i="16"/>
  <c r="C9" i="16"/>
  <c r="B9" i="16"/>
  <c r="G8" i="16"/>
  <c r="F8" i="16"/>
  <c r="E8" i="16"/>
  <c r="D8" i="16"/>
  <c r="C8" i="16"/>
  <c r="B8" i="16"/>
  <c r="G7" i="16"/>
  <c r="F7" i="16"/>
  <c r="E7" i="16"/>
  <c r="D7" i="16"/>
  <c r="C7" i="16"/>
  <c r="B7" i="16"/>
  <c r="G6" i="16"/>
  <c r="F6" i="16"/>
  <c r="E6" i="16"/>
  <c r="D6" i="16"/>
  <c r="C6" i="16"/>
  <c r="B6" i="16"/>
  <c r="G5" i="16"/>
  <c r="F5" i="16"/>
  <c r="E5" i="16"/>
  <c r="D5" i="16"/>
  <c r="C5" i="16"/>
  <c r="B5" i="16"/>
  <c r="G4" i="16"/>
  <c r="F4" i="16"/>
  <c r="E4" i="16"/>
  <c r="D4" i="16"/>
  <c r="C4" i="16"/>
  <c r="B4" i="16"/>
  <c r="G3" i="16"/>
  <c r="F3" i="16"/>
  <c r="E3" i="16"/>
  <c r="D3" i="16"/>
  <c r="C3" i="16"/>
  <c r="B3" i="16"/>
  <c r="G2" i="16"/>
  <c r="F2" i="16"/>
  <c r="E2" i="16"/>
  <c r="D2" i="16"/>
  <c r="C2" i="16"/>
  <c r="B2" i="16"/>
  <c r="G51" i="15"/>
  <c r="F51" i="15"/>
  <c r="E51" i="15"/>
  <c r="D51" i="15"/>
  <c r="C51" i="15"/>
  <c r="B51" i="15"/>
  <c r="G69" i="15"/>
  <c r="F69" i="15"/>
  <c r="E69" i="15"/>
  <c r="D69" i="15"/>
  <c r="C69" i="15"/>
  <c r="B69" i="15"/>
  <c r="G68" i="15"/>
  <c r="F68" i="15"/>
  <c r="E68" i="15"/>
  <c r="D68" i="15"/>
  <c r="C68" i="15"/>
  <c r="B68" i="15"/>
  <c r="G67" i="15"/>
  <c r="F67" i="15"/>
  <c r="E67" i="15"/>
  <c r="D67" i="15"/>
  <c r="C67" i="15"/>
  <c r="B67" i="15"/>
  <c r="G66" i="15"/>
  <c r="F66" i="15"/>
  <c r="E66" i="15"/>
  <c r="D66" i="15"/>
  <c r="C66" i="15"/>
  <c r="B66" i="15"/>
  <c r="G65" i="15"/>
  <c r="F65" i="15"/>
  <c r="E65" i="15"/>
  <c r="D65" i="15"/>
  <c r="C65" i="15"/>
  <c r="B65" i="15"/>
  <c r="G64" i="15"/>
  <c r="G2" i="15"/>
  <c r="F64" i="15"/>
  <c r="E64" i="15"/>
  <c r="D64" i="15"/>
  <c r="C64" i="15"/>
  <c r="B64" i="15"/>
  <c r="G63" i="15"/>
  <c r="F63" i="15"/>
  <c r="E63" i="15"/>
  <c r="D63" i="15"/>
  <c r="C63" i="15"/>
  <c r="B63" i="15"/>
  <c r="G62" i="15"/>
  <c r="F62" i="15"/>
  <c r="E62" i="15"/>
  <c r="D62" i="15"/>
  <c r="C62" i="15"/>
  <c r="B62" i="15"/>
  <c r="G61" i="15"/>
  <c r="F61" i="15"/>
  <c r="E61" i="15"/>
  <c r="D61" i="15"/>
  <c r="C61" i="15"/>
  <c r="B61" i="15"/>
  <c r="G60" i="15"/>
  <c r="F60" i="15"/>
  <c r="E60" i="15"/>
  <c r="D60" i="15"/>
  <c r="C60" i="15"/>
  <c r="B60" i="15"/>
  <c r="G59" i="15"/>
  <c r="F59" i="15"/>
  <c r="E59" i="15"/>
  <c r="D59" i="15"/>
  <c r="C59" i="15"/>
  <c r="B59" i="15"/>
  <c r="G58" i="15"/>
  <c r="F58" i="15"/>
  <c r="E58" i="15"/>
  <c r="D58" i="15"/>
  <c r="C58" i="15"/>
  <c r="B58" i="15"/>
  <c r="G57" i="15"/>
  <c r="F57" i="15"/>
  <c r="E57" i="15"/>
  <c r="D57" i="15"/>
  <c r="C57" i="15"/>
  <c r="B57" i="15"/>
  <c r="B56" i="15"/>
  <c r="C56" i="15"/>
  <c r="D56" i="15"/>
  <c r="G56" i="15"/>
  <c r="F56" i="15"/>
  <c r="E56" i="15"/>
  <c r="G55" i="15"/>
  <c r="F55" i="15"/>
  <c r="E55" i="15"/>
  <c r="D55" i="15"/>
  <c r="C55" i="15"/>
  <c r="B55" i="15"/>
  <c r="G54" i="15"/>
  <c r="F54" i="15"/>
  <c r="E54" i="15"/>
  <c r="D54" i="15"/>
  <c r="C54" i="15"/>
  <c r="B54" i="15"/>
  <c r="G50" i="15"/>
  <c r="F50" i="15"/>
  <c r="E50" i="15"/>
  <c r="D50" i="15"/>
  <c r="C50" i="15"/>
  <c r="B50" i="15"/>
  <c r="G49" i="15"/>
  <c r="F49" i="15"/>
  <c r="E49" i="15"/>
  <c r="D49" i="15"/>
  <c r="C49" i="15"/>
  <c r="B49" i="15"/>
  <c r="G48" i="15"/>
  <c r="F48" i="15"/>
  <c r="E48" i="15"/>
  <c r="D48" i="15"/>
  <c r="C48" i="15"/>
  <c r="B48" i="15"/>
  <c r="G47" i="15"/>
  <c r="F47" i="15"/>
  <c r="E47" i="15"/>
  <c r="D47" i="15"/>
  <c r="C47" i="15"/>
  <c r="B47" i="15"/>
  <c r="G46" i="15"/>
  <c r="F46" i="15"/>
  <c r="E46" i="15"/>
  <c r="D46" i="15"/>
  <c r="C46" i="15"/>
  <c r="B46" i="15"/>
  <c r="G45" i="15"/>
  <c r="F45" i="15"/>
  <c r="E45" i="15"/>
  <c r="D45" i="15"/>
  <c r="C45" i="15"/>
  <c r="B45" i="15"/>
  <c r="G44" i="15"/>
  <c r="F44" i="15"/>
  <c r="E44" i="15"/>
  <c r="D44" i="15"/>
  <c r="C44" i="15"/>
  <c r="B44" i="15"/>
  <c r="G43" i="15"/>
  <c r="F43" i="15"/>
  <c r="E43" i="15"/>
  <c r="D43" i="15"/>
  <c r="C43" i="15"/>
  <c r="B43" i="15"/>
  <c r="G42" i="15"/>
  <c r="F42" i="15"/>
  <c r="E42" i="15"/>
  <c r="D42" i="15"/>
  <c r="C42" i="15"/>
  <c r="B42" i="15"/>
  <c r="G41" i="15"/>
  <c r="F41" i="15"/>
  <c r="E41" i="15"/>
  <c r="C41" i="15"/>
  <c r="D41" i="15"/>
  <c r="B41" i="15"/>
  <c r="G40" i="15"/>
  <c r="F40" i="15"/>
  <c r="E40" i="15"/>
  <c r="D40" i="15"/>
  <c r="C40" i="15"/>
  <c r="B40" i="15"/>
  <c r="G39" i="15"/>
  <c r="F39" i="15"/>
  <c r="E39" i="15"/>
  <c r="D39" i="15"/>
  <c r="C39" i="15"/>
  <c r="B39" i="15"/>
  <c r="G38" i="15"/>
  <c r="F38" i="15"/>
  <c r="E38" i="15"/>
  <c r="D38" i="15"/>
  <c r="C38" i="15"/>
  <c r="B38" i="15"/>
  <c r="G37" i="15"/>
  <c r="F37" i="15"/>
  <c r="E37" i="15"/>
  <c r="D37" i="15"/>
  <c r="C37" i="15"/>
  <c r="B37" i="15"/>
  <c r="G36" i="15"/>
  <c r="F36" i="15"/>
  <c r="E36" i="15"/>
  <c r="D36" i="15"/>
  <c r="C36" i="15"/>
  <c r="B36" i="15"/>
  <c r="G35" i="15"/>
  <c r="F35" i="15"/>
  <c r="E35" i="15"/>
  <c r="D35" i="15"/>
  <c r="C35" i="15"/>
  <c r="B35" i="15"/>
  <c r="G34" i="15"/>
  <c r="F34" i="15"/>
  <c r="E34" i="15"/>
  <c r="D34" i="15"/>
  <c r="C34" i="15"/>
  <c r="B34" i="15"/>
  <c r="G33" i="15"/>
  <c r="F33" i="15"/>
  <c r="E33" i="15"/>
  <c r="D33" i="15"/>
  <c r="C33" i="15"/>
  <c r="B33" i="15"/>
  <c r="G32" i="15"/>
  <c r="F32" i="15"/>
  <c r="E32" i="15"/>
  <c r="D32" i="15"/>
  <c r="C32" i="15"/>
  <c r="B32" i="15"/>
  <c r="G31" i="15"/>
  <c r="F31" i="15"/>
  <c r="E31" i="15"/>
  <c r="D31" i="15"/>
  <c r="C31" i="15"/>
  <c r="B31" i="15"/>
  <c r="G30" i="15"/>
  <c r="F30" i="15"/>
  <c r="E30" i="15"/>
  <c r="D30" i="15"/>
  <c r="C30" i="15"/>
  <c r="B30" i="15"/>
  <c r="C29" i="15"/>
  <c r="G29" i="15"/>
  <c r="F29" i="15"/>
  <c r="E29" i="15"/>
  <c r="D29" i="15"/>
  <c r="B29" i="15"/>
  <c r="G28" i="15"/>
  <c r="F28" i="15"/>
  <c r="E28" i="15"/>
  <c r="D28" i="15"/>
  <c r="C28" i="15"/>
  <c r="B28" i="15"/>
  <c r="G27" i="15"/>
  <c r="F27" i="15"/>
  <c r="E27" i="15"/>
  <c r="D27" i="15"/>
  <c r="C27" i="15"/>
  <c r="B27" i="15"/>
  <c r="G26" i="15"/>
  <c r="F26" i="15"/>
  <c r="E26" i="15"/>
  <c r="D26" i="15"/>
  <c r="C26" i="15"/>
  <c r="B26" i="15"/>
  <c r="G25" i="15"/>
  <c r="F25" i="15"/>
  <c r="E25" i="15"/>
  <c r="D25" i="15"/>
  <c r="C25" i="15"/>
  <c r="B25" i="15"/>
  <c r="G24" i="15"/>
  <c r="F24" i="15"/>
  <c r="E24" i="15"/>
  <c r="D24" i="15"/>
  <c r="C24" i="15"/>
  <c r="B24" i="15"/>
  <c r="G23" i="15"/>
  <c r="F23" i="15"/>
  <c r="E23" i="15"/>
  <c r="D23" i="15"/>
  <c r="C23" i="15"/>
  <c r="B23" i="15"/>
  <c r="G22" i="15"/>
  <c r="F22" i="15"/>
  <c r="E22" i="15"/>
  <c r="D22" i="15"/>
  <c r="C22" i="15"/>
  <c r="B22" i="15"/>
  <c r="G20" i="15"/>
  <c r="G21" i="15"/>
  <c r="F21" i="15"/>
  <c r="E21" i="15"/>
  <c r="D21" i="15"/>
  <c r="B21" i="15"/>
  <c r="C21" i="15"/>
  <c r="F20" i="15"/>
  <c r="E20" i="15"/>
  <c r="D20" i="15"/>
  <c r="C20" i="15"/>
  <c r="B20" i="15"/>
  <c r="G19" i="15"/>
  <c r="F19" i="15"/>
  <c r="E19" i="15"/>
  <c r="D19" i="15"/>
  <c r="C19" i="15"/>
  <c r="B19" i="15"/>
  <c r="G18" i="15"/>
  <c r="F18" i="15"/>
  <c r="E18" i="15"/>
  <c r="D18" i="15"/>
  <c r="C18" i="15"/>
  <c r="B18" i="15"/>
  <c r="F17" i="15"/>
  <c r="E17" i="15"/>
  <c r="B17" i="15"/>
  <c r="G17" i="15"/>
  <c r="D17" i="15"/>
  <c r="C17" i="15"/>
  <c r="G16" i="15"/>
  <c r="F16" i="15"/>
  <c r="E16" i="15"/>
  <c r="D16" i="15"/>
  <c r="C16" i="15"/>
  <c r="B16" i="15"/>
  <c r="G15" i="15"/>
  <c r="F15" i="15"/>
  <c r="E15" i="15"/>
  <c r="D15" i="15"/>
  <c r="C15" i="15"/>
  <c r="B15" i="15"/>
  <c r="G14" i="15"/>
  <c r="F14" i="15"/>
  <c r="E14" i="15"/>
  <c r="D14" i="15"/>
  <c r="C14" i="15"/>
  <c r="B14" i="15"/>
  <c r="G13" i="15"/>
  <c r="F13" i="15"/>
  <c r="E13" i="15"/>
  <c r="D13" i="15"/>
  <c r="C13" i="15"/>
  <c r="B13" i="15"/>
  <c r="G12" i="15"/>
  <c r="F12" i="15"/>
  <c r="E12" i="15"/>
  <c r="D12" i="15"/>
  <c r="C12" i="15"/>
  <c r="B12" i="15"/>
  <c r="G11" i="15"/>
  <c r="F11" i="15"/>
  <c r="E11" i="15"/>
  <c r="D11" i="15"/>
  <c r="C11" i="15"/>
  <c r="B11" i="15"/>
  <c r="G10" i="15"/>
  <c r="F10" i="15"/>
  <c r="E10" i="15"/>
  <c r="D10" i="15"/>
  <c r="C10" i="15"/>
  <c r="B10" i="15"/>
  <c r="G9" i="15"/>
  <c r="F9" i="15"/>
  <c r="E9" i="15"/>
  <c r="D9" i="15"/>
  <c r="C9" i="15"/>
  <c r="B9" i="15"/>
  <c r="F8" i="15"/>
  <c r="E8" i="15"/>
  <c r="G8" i="15"/>
  <c r="D8" i="15"/>
  <c r="C8" i="15"/>
  <c r="B8" i="15"/>
  <c r="G7" i="15"/>
  <c r="F7" i="15"/>
  <c r="E7" i="15"/>
  <c r="D7" i="15"/>
  <c r="C7" i="15"/>
  <c r="B7" i="15"/>
  <c r="G6" i="15"/>
  <c r="F6" i="15"/>
  <c r="E6" i="15"/>
  <c r="D6" i="15"/>
  <c r="C6" i="15"/>
  <c r="B6" i="15"/>
  <c r="G5" i="15"/>
  <c r="F5" i="15"/>
  <c r="E5" i="15"/>
  <c r="D5" i="15"/>
  <c r="C5" i="15"/>
  <c r="B5" i="15"/>
  <c r="G4" i="15"/>
  <c r="F4" i="15"/>
  <c r="E4" i="15"/>
  <c r="D4" i="15"/>
  <c r="C4" i="15"/>
  <c r="B4" i="15"/>
  <c r="G3" i="15"/>
  <c r="F3" i="15"/>
  <c r="E3" i="15"/>
  <c r="D3" i="15"/>
  <c r="C3" i="15"/>
  <c r="B3" i="15"/>
  <c r="F2" i="15"/>
  <c r="E2" i="15"/>
  <c r="B2" i="15"/>
  <c r="D2" i="15"/>
  <c r="C2" i="15"/>
  <c r="E69" i="14"/>
  <c r="D69" i="14"/>
  <c r="C69" i="14"/>
  <c r="B69" i="14"/>
  <c r="E68" i="14"/>
  <c r="D68" i="14"/>
  <c r="C68" i="14"/>
  <c r="B68" i="14"/>
  <c r="C67" i="14"/>
  <c r="E67" i="14"/>
  <c r="D67" i="14"/>
  <c r="B67" i="14"/>
  <c r="E66" i="14"/>
  <c r="D66" i="14"/>
  <c r="C66" i="14"/>
  <c r="B66" i="14"/>
  <c r="E65" i="14"/>
  <c r="D65" i="14"/>
  <c r="C65" i="14"/>
  <c r="B65" i="14"/>
  <c r="E64" i="14"/>
  <c r="D64" i="14"/>
  <c r="C64" i="14"/>
  <c r="B64" i="14"/>
  <c r="E63" i="14"/>
  <c r="D63" i="14"/>
  <c r="C63" i="14"/>
  <c r="B63" i="14"/>
  <c r="E62" i="14"/>
  <c r="D62" i="14"/>
  <c r="C62" i="14"/>
  <c r="B62" i="14"/>
  <c r="E61" i="14"/>
  <c r="D61" i="14"/>
  <c r="D10" i="14"/>
  <c r="C61" i="14"/>
  <c r="B61" i="14"/>
  <c r="E60" i="14"/>
  <c r="D60" i="14"/>
  <c r="C60" i="14"/>
  <c r="C40" i="14"/>
  <c r="B60" i="14"/>
  <c r="E59" i="14"/>
  <c r="D59" i="14"/>
  <c r="C59" i="14"/>
  <c r="B59" i="14"/>
  <c r="E58" i="14"/>
  <c r="D58" i="14"/>
  <c r="C58" i="14"/>
  <c r="B58" i="14"/>
  <c r="D15" i="14"/>
  <c r="E57" i="14"/>
  <c r="D57" i="14"/>
  <c r="C57" i="14"/>
  <c r="B57" i="14"/>
  <c r="E56" i="14"/>
  <c r="D56" i="14"/>
  <c r="C56" i="14"/>
  <c r="B56" i="14"/>
  <c r="E54" i="14"/>
  <c r="D54" i="14"/>
  <c r="C54" i="14"/>
  <c r="B54" i="14"/>
  <c r="E55" i="14"/>
  <c r="D55" i="14"/>
  <c r="C55" i="14"/>
  <c r="B55" i="14"/>
  <c r="E50" i="14" l="1"/>
  <c r="D50" i="14"/>
  <c r="C50" i="14"/>
  <c r="B50" i="14"/>
  <c r="E49" i="14"/>
  <c r="D49" i="14"/>
  <c r="C49" i="14"/>
  <c r="B49" i="14"/>
  <c r="E48" i="14"/>
  <c r="D48" i="14"/>
  <c r="C48" i="14"/>
  <c r="B48" i="14"/>
  <c r="E47" i="14"/>
  <c r="D47" i="14"/>
  <c r="C47" i="14"/>
  <c r="B47" i="14"/>
  <c r="E46" i="14"/>
  <c r="D46" i="14"/>
  <c r="C46" i="14"/>
  <c r="B46" i="14"/>
  <c r="D44" i="14"/>
  <c r="E45" i="14"/>
  <c r="D45" i="14"/>
  <c r="C45" i="14"/>
  <c r="B45" i="14"/>
  <c r="E44" i="14"/>
  <c r="C44" i="14"/>
  <c r="B44" i="14"/>
  <c r="E43" i="14"/>
  <c r="D43" i="14"/>
  <c r="C43" i="14"/>
  <c r="B43" i="14"/>
  <c r="E42" i="14"/>
  <c r="D42" i="14"/>
  <c r="C42" i="14"/>
  <c r="B42" i="14"/>
  <c r="E41" i="14"/>
  <c r="D41" i="14"/>
  <c r="C41" i="14"/>
  <c r="B41" i="14"/>
  <c r="E40" i="14"/>
  <c r="D40" i="14"/>
  <c r="B40" i="14"/>
  <c r="E39" i="14"/>
  <c r="D39" i="14"/>
  <c r="C39" i="14"/>
  <c r="B39" i="14"/>
  <c r="E38" i="14"/>
  <c r="D38" i="14"/>
  <c r="C38" i="14"/>
  <c r="B38" i="14"/>
  <c r="E37" i="14"/>
  <c r="D37" i="14"/>
  <c r="C37" i="14"/>
  <c r="B37" i="14"/>
  <c r="E36" i="14"/>
  <c r="D36" i="14"/>
  <c r="C36" i="14"/>
  <c r="B36" i="14"/>
  <c r="E35" i="14"/>
  <c r="D35" i="14"/>
  <c r="C35" i="14"/>
  <c r="B35" i="14"/>
  <c r="E34" i="14"/>
  <c r="D34" i="14"/>
  <c r="C34" i="14"/>
  <c r="B34" i="14"/>
  <c r="E33" i="14"/>
  <c r="D33" i="14"/>
  <c r="C33" i="14"/>
  <c r="B33" i="14"/>
  <c r="C32" i="14"/>
  <c r="E32" i="14"/>
  <c r="D32" i="14"/>
  <c r="B32" i="14"/>
  <c r="E31" i="14"/>
  <c r="D31" i="14"/>
  <c r="C31" i="14"/>
  <c r="B31" i="14"/>
  <c r="E30" i="14"/>
  <c r="D30" i="14"/>
  <c r="C30" i="14"/>
  <c r="B30" i="14"/>
  <c r="E29" i="14"/>
  <c r="D29" i="14"/>
  <c r="C29" i="14"/>
  <c r="B29" i="14"/>
  <c r="E28" i="14"/>
  <c r="D28" i="14"/>
  <c r="C28" i="14"/>
  <c r="B28" i="14"/>
  <c r="E27" i="14"/>
  <c r="D27" i="14"/>
  <c r="C27" i="14"/>
  <c r="B27" i="14"/>
  <c r="E26" i="14"/>
  <c r="D26" i="14"/>
  <c r="C26" i="14"/>
  <c r="B26" i="14"/>
  <c r="E25" i="14"/>
  <c r="D25" i="14"/>
  <c r="C25" i="14"/>
  <c r="B25" i="14"/>
  <c r="E24" i="14"/>
  <c r="D24" i="14"/>
  <c r="C24" i="14"/>
  <c r="B24" i="14"/>
  <c r="E23" i="14"/>
  <c r="D23" i="14"/>
  <c r="C23" i="14"/>
  <c r="B23" i="14"/>
  <c r="E22" i="14"/>
  <c r="D22" i="14"/>
  <c r="C22" i="14"/>
  <c r="B22" i="14"/>
  <c r="E21" i="14"/>
  <c r="D21" i="14"/>
  <c r="C21" i="14"/>
  <c r="B21" i="14"/>
  <c r="E20" i="14"/>
  <c r="D20" i="14"/>
  <c r="C20" i="14"/>
  <c r="B20" i="14"/>
  <c r="E19" i="14"/>
  <c r="D19" i="14"/>
  <c r="C19" i="14"/>
  <c r="B19" i="14"/>
  <c r="E18" i="14"/>
  <c r="D18" i="14"/>
  <c r="C18" i="14"/>
  <c r="B18" i="14"/>
  <c r="E17" i="14"/>
  <c r="D17" i="14"/>
  <c r="C17" i="14"/>
  <c r="B17" i="14"/>
  <c r="E16" i="14"/>
  <c r="D16" i="14"/>
  <c r="C16" i="14"/>
  <c r="B16" i="14"/>
  <c r="E15" i="14"/>
  <c r="C15" i="14"/>
  <c r="B15" i="14"/>
  <c r="E14" i="14"/>
  <c r="D14" i="14"/>
  <c r="C14" i="14"/>
  <c r="B14" i="14"/>
  <c r="E13" i="14"/>
  <c r="D13" i="14"/>
  <c r="C13" i="14"/>
  <c r="B13" i="14"/>
  <c r="E11" i="14"/>
  <c r="E12" i="14"/>
  <c r="D12" i="14"/>
  <c r="C12" i="14"/>
  <c r="B12" i="14"/>
  <c r="D11" i="14"/>
  <c r="C11" i="14"/>
  <c r="B11" i="14"/>
  <c r="E10" i="14"/>
  <c r="C10" i="14"/>
  <c r="B10" i="14"/>
  <c r="E9" i="14"/>
  <c r="D9" i="14"/>
  <c r="C9" i="14"/>
  <c r="B9" i="14"/>
  <c r="E8" i="14"/>
  <c r="D8" i="14"/>
  <c r="C8" i="14"/>
  <c r="B8" i="14"/>
  <c r="E7" i="14"/>
  <c r="D7" i="14"/>
  <c r="C7" i="14"/>
  <c r="B7" i="14"/>
  <c r="E6" i="14"/>
  <c r="D6" i="14"/>
  <c r="C6" i="14"/>
  <c r="B6" i="14"/>
  <c r="E5" i="14"/>
  <c r="D5" i="14"/>
  <c r="C5" i="14"/>
  <c r="B5" i="14"/>
  <c r="E4" i="14"/>
  <c r="E3" i="14"/>
  <c r="D4" i="14"/>
  <c r="C4" i="14"/>
  <c r="B4" i="14"/>
  <c r="D3" i="14"/>
  <c r="C3" i="14"/>
  <c r="B3" i="14"/>
  <c r="E2" i="14"/>
  <c r="D2" i="14"/>
  <c r="C2" i="14"/>
  <c r="B2" i="14"/>
  <c r="E64" i="13"/>
  <c r="E2" i="13"/>
  <c r="E62" i="13"/>
  <c r="E59" i="13"/>
  <c r="E61" i="13"/>
  <c r="E10" i="13"/>
  <c r="E44" i="13"/>
  <c r="E47" i="13"/>
  <c r="C54" i="13"/>
  <c r="C61" i="13"/>
  <c r="C57" i="13"/>
  <c r="C56" i="13"/>
  <c r="E51" i="13"/>
  <c r="C51" i="13"/>
  <c r="E32" i="13"/>
  <c r="D32" i="13"/>
  <c r="C32" i="13"/>
  <c r="B32" i="13"/>
  <c r="E31" i="13"/>
  <c r="D31" i="13"/>
  <c r="C31" i="13"/>
  <c r="B31" i="13"/>
  <c r="E30" i="13"/>
  <c r="D30" i="13"/>
  <c r="C30" i="13"/>
  <c r="B30" i="13"/>
  <c r="E29" i="13"/>
  <c r="D29" i="13"/>
  <c r="C29" i="13"/>
  <c r="B29" i="13"/>
  <c r="E28" i="13"/>
  <c r="D28" i="13"/>
  <c r="C28" i="13"/>
  <c r="B28" i="13"/>
  <c r="E27" i="13"/>
  <c r="D27" i="13"/>
  <c r="C27" i="13"/>
  <c r="B27" i="13"/>
  <c r="E26" i="13"/>
  <c r="D26" i="13"/>
  <c r="C26" i="13"/>
  <c r="B26" i="13"/>
  <c r="E25" i="13"/>
  <c r="D25" i="13"/>
  <c r="C25" i="13"/>
  <c r="B25" i="13"/>
  <c r="E24" i="13"/>
  <c r="D24" i="13"/>
  <c r="C24" i="13"/>
  <c r="B24" i="13"/>
  <c r="D23" i="13"/>
  <c r="C23" i="13"/>
  <c r="B23" i="13"/>
  <c r="E23" i="13"/>
  <c r="E22" i="13"/>
  <c r="D22" i="13"/>
  <c r="C22" i="13"/>
  <c r="B22" i="13"/>
  <c r="E21" i="13"/>
  <c r="D21" i="13"/>
  <c r="C21" i="13"/>
  <c r="B21" i="13"/>
  <c r="E20" i="13"/>
  <c r="D20" i="13"/>
  <c r="C20" i="13"/>
  <c r="B20" i="13"/>
  <c r="E19" i="13"/>
  <c r="D19" i="13"/>
  <c r="C19" i="13"/>
  <c r="B19" i="13"/>
  <c r="E18" i="13"/>
  <c r="D18" i="13"/>
  <c r="C18" i="13"/>
  <c r="B18" i="13"/>
  <c r="E17" i="13"/>
  <c r="D17" i="13"/>
  <c r="C17" i="13"/>
  <c r="B17" i="13"/>
  <c r="E16" i="13"/>
  <c r="D16" i="13"/>
  <c r="C16" i="13"/>
  <c r="B16" i="13"/>
  <c r="E15" i="13"/>
  <c r="D15" i="13"/>
  <c r="C15" i="13"/>
  <c r="B15" i="13"/>
  <c r="E14" i="13"/>
  <c r="D14" i="13"/>
  <c r="C14" i="13"/>
  <c r="B14" i="13"/>
  <c r="E13" i="13"/>
  <c r="D13" i="13"/>
  <c r="C13" i="13"/>
  <c r="B13" i="13"/>
  <c r="E12" i="13"/>
  <c r="D12" i="13"/>
  <c r="C12" i="13"/>
  <c r="B12" i="13"/>
  <c r="E11" i="13"/>
  <c r="D10" i="13"/>
  <c r="E9" i="13"/>
  <c r="D9" i="13"/>
  <c r="C9" i="13"/>
  <c r="E8" i="13"/>
  <c r="D8" i="13"/>
  <c r="C8" i="13"/>
  <c r="E7" i="13"/>
  <c r="D7" i="13"/>
  <c r="E6" i="13"/>
  <c r="D6" i="13"/>
  <c r="C6" i="13"/>
  <c r="B6" i="13"/>
  <c r="B7" i="13"/>
  <c r="E5" i="13"/>
  <c r="D5" i="13"/>
  <c r="C5" i="13"/>
  <c r="E4" i="13"/>
  <c r="D4" i="13"/>
  <c r="C4" i="13"/>
  <c r="E3" i="13"/>
  <c r="D3" i="13"/>
  <c r="C3" i="13"/>
  <c r="D2" i="13"/>
  <c r="C2" i="13"/>
  <c r="D11" i="13"/>
  <c r="C11" i="13"/>
  <c r="B11" i="13"/>
  <c r="C7" i="13"/>
  <c r="C10" i="13"/>
  <c r="B10" i="13"/>
  <c r="B9" i="13"/>
  <c r="B8" i="13"/>
  <c r="B5" i="13"/>
  <c r="B4" i="13"/>
  <c r="B3" i="13"/>
  <c r="B2" i="13"/>
  <c r="C69" i="12"/>
  <c r="C68" i="12"/>
  <c r="B69" i="12"/>
  <c r="C6" i="12"/>
  <c r="B68" i="12"/>
  <c r="C67" i="12"/>
  <c r="B67" i="12"/>
  <c r="C66" i="12"/>
  <c r="B66" i="12"/>
  <c r="C65" i="12"/>
  <c r="B65" i="12"/>
  <c r="C64" i="12"/>
  <c r="B64" i="12"/>
  <c r="C63" i="12"/>
  <c r="B63" i="12"/>
  <c r="C61" i="12"/>
  <c r="C62" i="12"/>
  <c r="B62" i="12"/>
  <c r="B61" i="12"/>
  <c r="C60" i="12"/>
  <c r="B60" i="12"/>
  <c r="C59" i="12"/>
  <c r="B59" i="12"/>
  <c r="C58" i="12"/>
  <c r="B58" i="12"/>
  <c r="C57" i="12"/>
  <c r="B57" i="12"/>
  <c r="C56" i="12"/>
  <c r="B56" i="12"/>
  <c r="C55" i="12"/>
  <c r="B55" i="12"/>
  <c r="C54" i="12"/>
  <c r="B54" i="12"/>
  <c r="B3" i="12"/>
  <c r="C51" i="12"/>
  <c r="B51" i="12"/>
  <c r="C50" i="12"/>
  <c r="B50" i="12"/>
  <c r="C49" i="12"/>
  <c r="B49" i="12"/>
  <c r="C48" i="12"/>
  <c r="B48" i="12"/>
  <c r="C47" i="12"/>
  <c r="B47" i="12"/>
  <c r="C46" i="12"/>
  <c r="B46" i="12"/>
  <c r="C45" i="12"/>
  <c r="B45" i="12"/>
  <c r="C44" i="12"/>
  <c r="B44" i="12"/>
  <c r="C43" i="12"/>
  <c r="B43" i="12"/>
  <c r="C42" i="12"/>
  <c r="B42" i="12"/>
  <c r="C41" i="12"/>
  <c r="B41" i="12"/>
  <c r="C40" i="12"/>
  <c r="B40" i="12"/>
  <c r="C39" i="12"/>
  <c r="B39" i="12"/>
  <c r="C38" i="12"/>
  <c r="B38" i="12"/>
  <c r="C37" i="12"/>
  <c r="B37" i="12"/>
  <c r="C36" i="12"/>
  <c r="B36" i="12"/>
  <c r="C35" i="12"/>
  <c r="B35" i="12"/>
  <c r="C34" i="12"/>
  <c r="B34" i="12"/>
  <c r="C33" i="12"/>
  <c r="B33" i="12"/>
  <c r="C32" i="12"/>
  <c r="B32" i="12"/>
  <c r="C31" i="12"/>
  <c r="B31" i="12"/>
  <c r="C30" i="12"/>
  <c r="B30" i="12"/>
  <c r="C29" i="12"/>
  <c r="B29" i="12"/>
  <c r="C28" i="12"/>
  <c r="B28" i="12"/>
  <c r="C27" i="12"/>
  <c r="B27" i="12"/>
  <c r="C26" i="12"/>
  <c r="B26" i="12"/>
  <c r="C25" i="12"/>
  <c r="B25" i="12"/>
  <c r="C24" i="12"/>
  <c r="B24" i="12"/>
  <c r="C23" i="12"/>
  <c r="B23" i="12"/>
  <c r="C22" i="12"/>
  <c r="B22" i="12"/>
  <c r="C21" i="12"/>
  <c r="B21" i="12"/>
  <c r="C20" i="12"/>
  <c r="B20" i="12"/>
  <c r="C19" i="12"/>
  <c r="B19" i="12"/>
  <c r="C18" i="12"/>
  <c r="B18" i="12"/>
  <c r="C17" i="12"/>
  <c r="B17" i="12"/>
  <c r="C16" i="12"/>
  <c r="B16" i="12"/>
  <c r="C15" i="12"/>
  <c r="B15" i="12"/>
  <c r="C14" i="12"/>
  <c r="B14" i="12"/>
  <c r="C13" i="12"/>
  <c r="B13" i="12"/>
  <c r="C12" i="12"/>
  <c r="B12" i="12"/>
  <c r="C11" i="12"/>
  <c r="B11" i="12"/>
  <c r="C10" i="12"/>
  <c r="B10" i="12"/>
  <c r="C9" i="12"/>
  <c r="B9" i="12"/>
  <c r="C8" i="12"/>
  <c r="B8" i="12"/>
  <c r="C7" i="12"/>
  <c r="B7" i="12"/>
  <c r="B6" i="12"/>
  <c r="C5" i="12"/>
  <c r="B5" i="12"/>
  <c r="C4" i="12"/>
  <c r="B4" i="12"/>
  <c r="C3" i="12"/>
  <c r="C2" i="12"/>
  <c r="B2" i="12"/>
  <c r="D65" i="11"/>
  <c r="C65" i="11"/>
  <c r="B65" i="11"/>
  <c r="D66" i="11"/>
  <c r="C66" i="11"/>
  <c r="B66" i="11"/>
  <c r="D67" i="11"/>
  <c r="C67" i="11"/>
  <c r="B67" i="11"/>
  <c r="D68" i="11"/>
  <c r="C68" i="11"/>
  <c r="B68" i="11"/>
  <c r="D58" i="11"/>
  <c r="C58" i="11"/>
  <c r="B58" i="11"/>
  <c r="D56" i="11"/>
  <c r="C56" i="11"/>
  <c r="B56" i="11"/>
  <c r="D63" i="11"/>
  <c r="C63" i="11"/>
  <c r="B63" i="11"/>
  <c r="D57" i="11"/>
  <c r="C57" i="11"/>
  <c r="B57" i="11"/>
  <c r="D62" i="11"/>
  <c r="C62" i="11"/>
  <c r="B62" i="11"/>
  <c r="D69" i="11"/>
  <c r="C69" i="11"/>
  <c r="B69" i="11"/>
  <c r="D64" i="11"/>
  <c r="C64" i="11"/>
  <c r="B64" i="11"/>
  <c r="D61" i="11"/>
  <c r="C61" i="11"/>
  <c r="B61" i="11"/>
  <c r="D59" i="11"/>
  <c r="C59" i="11"/>
  <c r="B59" i="11"/>
  <c r="D60" i="11"/>
  <c r="C60" i="11"/>
  <c r="B60" i="11"/>
  <c r="D55" i="11"/>
  <c r="C55" i="11"/>
  <c r="B55" i="11"/>
  <c r="D54" i="11"/>
  <c r="C54" i="11"/>
  <c r="B54" i="11"/>
  <c r="D51" i="11"/>
  <c r="C51" i="11"/>
  <c r="B51" i="11"/>
  <c r="D50" i="11"/>
  <c r="C50" i="11"/>
  <c r="B50" i="11"/>
  <c r="D49" i="11"/>
  <c r="C49" i="11"/>
  <c r="B49" i="11"/>
  <c r="D48" i="11"/>
  <c r="C48" i="11"/>
  <c r="B48" i="11"/>
  <c r="D47" i="11"/>
  <c r="C47" i="11"/>
  <c r="B47" i="11"/>
  <c r="D46" i="11"/>
  <c r="C46" i="11"/>
  <c r="B46" i="11"/>
  <c r="D45" i="11"/>
  <c r="C45" i="11"/>
  <c r="B45" i="11"/>
  <c r="D44" i="11"/>
  <c r="C44" i="11"/>
  <c r="B44" i="11"/>
  <c r="D43" i="11"/>
  <c r="C43" i="11"/>
  <c r="B43" i="11"/>
  <c r="D42" i="11"/>
  <c r="C42" i="11"/>
  <c r="B42" i="11"/>
  <c r="D41" i="11"/>
  <c r="C41" i="11"/>
  <c r="B41" i="11"/>
  <c r="D40" i="11"/>
  <c r="C40" i="11"/>
  <c r="B40" i="11"/>
  <c r="D39" i="11"/>
  <c r="C39" i="11"/>
  <c r="B39" i="11"/>
  <c r="D38" i="11"/>
  <c r="C38" i="11"/>
  <c r="B38" i="11"/>
  <c r="D37" i="11"/>
  <c r="C37" i="11"/>
  <c r="B37" i="11"/>
  <c r="D36" i="11"/>
  <c r="C36" i="11"/>
  <c r="B36" i="11"/>
  <c r="D35" i="11"/>
  <c r="C35" i="11"/>
  <c r="B35" i="11"/>
  <c r="D34" i="11"/>
  <c r="C34" i="11"/>
  <c r="B34" i="11"/>
  <c r="D33" i="11"/>
  <c r="C33" i="11"/>
  <c r="B33" i="11"/>
  <c r="D32" i="11"/>
  <c r="C32" i="11"/>
  <c r="B32" i="11"/>
  <c r="D31" i="11"/>
  <c r="C31" i="11"/>
  <c r="B31" i="11"/>
  <c r="D30" i="11"/>
  <c r="C30" i="11"/>
  <c r="B30" i="11"/>
  <c r="D29" i="11"/>
  <c r="C29" i="11"/>
  <c r="B29" i="11"/>
  <c r="D28" i="11"/>
  <c r="C28" i="11"/>
  <c r="B28" i="11"/>
  <c r="D27" i="11"/>
  <c r="C27" i="11"/>
  <c r="B27" i="11"/>
  <c r="D26" i="11"/>
  <c r="C26" i="11"/>
  <c r="B26" i="11"/>
  <c r="D25" i="11"/>
  <c r="C25" i="11"/>
  <c r="B25" i="11"/>
  <c r="D24" i="11"/>
  <c r="C24" i="11"/>
  <c r="B24" i="11"/>
  <c r="D23" i="11"/>
  <c r="C23" i="11"/>
  <c r="B23" i="11"/>
  <c r="D22" i="11"/>
  <c r="C22" i="11"/>
  <c r="B22" i="11"/>
  <c r="D21" i="11"/>
  <c r="C21" i="11"/>
  <c r="B21" i="11"/>
  <c r="D20" i="11"/>
  <c r="D19" i="11"/>
  <c r="D11" i="11"/>
  <c r="D6" i="11"/>
  <c r="C20" i="11"/>
  <c r="B20" i="11"/>
  <c r="C19" i="11"/>
  <c r="B19" i="11"/>
  <c r="D18" i="11"/>
  <c r="C18" i="11"/>
  <c r="B18" i="11"/>
  <c r="D17" i="11"/>
  <c r="C17" i="11"/>
  <c r="B17" i="11"/>
  <c r="D16" i="11"/>
  <c r="C16" i="11"/>
  <c r="B16" i="11"/>
  <c r="D15" i="11"/>
  <c r="C15" i="11"/>
  <c r="B15" i="11"/>
  <c r="D14" i="11"/>
  <c r="C14" i="11"/>
  <c r="B14" i="11"/>
  <c r="D13" i="11"/>
  <c r="C13" i="11"/>
  <c r="B13" i="11"/>
  <c r="D12" i="11"/>
  <c r="C12" i="11"/>
  <c r="B12" i="11"/>
  <c r="C11" i="11"/>
  <c r="B11" i="11"/>
  <c r="D10" i="11"/>
  <c r="C10" i="11"/>
  <c r="B10" i="11"/>
  <c r="D9" i="11"/>
  <c r="C9" i="11"/>
  <c r="B9" i="11"/>
  <c r="D8" i="11"/>
  <c r="C8" i="11"/>
  <c r="B8" i="11"/>
  <c r="D7" i="11"/>
  <c r="C7" i="11"/>
  <c r="B7" i="11"/>
  <c r="C6" i="11"/>
  <c r="B6" i="11"/>
  <c r="D5" i="11"/>
  <c r="B5" i="11"/>
  <c r="C5" i="11"/>
  <c r="D4" i="11"/>
  <c r="C4" i="11"/>
  <c r="B4" i="11"/>
  <c r="D3" i="11"/>
  <c r="C3" i="11"/>
  <c r="B3" i="11"/>
  <c r="D2" i="11"/>
  <c r="C2" i="11"/>
  <c r="B2" i="11"/>
  <c r="E56" i="10"/>
  <c r="D56" i="10"/>
  <c r="C56" i="10"/>
  <c r="E58" i="10"/>
  <c r="D58" i="10"/>
  <c r="C58" i="10"/>
  <c r="E57" i="10"/>
  <c r="D57" i="10"/>
  <c r="C57" i="10"/>
  <c r="E55" i="10"/>
  <c r="D55" i="10"/>
  <c r="C55" i="10"/>
  <c r="C54" i="10"/>
  <c r="D54" i="10"/>
  <c r="E54" i="10"/>
  <c r="E59" i="10"/>
  <c r="D59" i="10"/>
  <c r="C59" i="10"/>
  <c r="E60" i="10"/>
  <c r="D60" i="10"/>
  <c r="C60" i="10"/>
  <c r="E61" i="10"/>
  <c r="D61" i="10"/>
  <c r="C61" i="10"/>
  <c r="E63" i="10"/>
  <c r="E62" i="10"/>
  <c r="D62" i="10"/>
  <c r="C62" i="10"/>
  <c r="D63" i="10"/>
  <c r="C63" i="10"/>
  <c r="E64" i="10"/>
  <c r="D64" i="10"/>
  <c r="C64" i="10"/>
  <c r="E69" i="10"/>
  <c r="D69" i="10"/>
  <c r="C69" i="10"/>
  <c r="B69" i="10"/>
  <c r="E68" i="10"/>
  <c r="D68" i="10"/>
  <c r="C68" i="10"/>
  <c r="B68" i="10"/>
  <c r="E65" i="10"/>
  <c r="E66" i="10"/>
  <c r="E67" i="10"/>
  <c r="D67" i="10"/>
  <c r="C67" i="10"/>
  <c r="B67" i="10"/>
  <c r="D66" i="10"/>
  <c r="C66" i="10"/>
  <c r="B66" i="10"/>
  <c r="D65" i="10"/>
  <c r="C65" i="10"/>
  <c r="B65" i="10"/>
  <c r="B64" i="10"/>
  <c r="B63" i="10"/>
  <c r="B62" i="10"/>
  <c r="B61" i="10"/>
  <c r="B60" i="10"/>
  <c r="B59" i="10"/>
  <c r="B58" i="10"/>
  <c r="B57" i="10"/>
  <c r="B56" i="10"/>
  <c r="B55" i="10"/>
  <c r="B54" i="10"/>
  <c r="E51" i="10"/>
  <c r="D48" i="10"/>
  <c r="D51" i="10"/>
  <c r="C51" i="10"/>
  <c r="B51" i="10"/>
  <c r="D51" i="4"/>
  <c r="C51" i="4"/>
  <c r="B51" i="4"/>
  <c r="D51" i="3"/>
  <c r="C51" i="3"/>
  <c r="E50" i="10"/>
  <c r="D50" i="10"/>
  <c r="C50" i="10"/>
  <c r="B50" i="10"/>
  <c r="E49" i="10"/>
  <c r="D49" i="10"/>
  <c r="C49" i="10"/>
  <c r="B49" i="10"/>
  <c r="E48" i="10"/>
  <c r="C48" i="10"/>
  <c r="B48" i="10"/>
  <c r="E47" i="10"/>
  <c r="D47" i="10"/>
  <c r="C47" i="10"/>
  <c r="B47" i="10"/>
  <c r="E46" i="10"/>
  <c r="D46" i="10"/>
  <c r="C46" i="10"/>
  <c r="B46" i="10"/>
  <c r="E45" i="10"/>
  <c r="D45" i="10"/>
  <c r="C45" i="10"/>
  <c r="B45" i="10"/>
  <c r="E44" i="10"/>
  <c r="D44" i="10"/>
  <c r="C44" i="10"/>
  <c r="B44" i="10"/>
  <c r="E43" i="10"/>
  <c r="D43" i="10"/>
  <c r="C43" i="10"/>
  <c r="B43" i="10"/>
  <c r="E42" i="10"/>
  <c r="D42" i="10"/>
  <c r="C42" i="10"/>
  <c r="B42" i="10"/>
  <c r="E41" i="10"/>
  <c r="D41" i="10"/>
  <c r="C41" i="10"/>
  <c r="B41" i="10"/>
  <c r="E40" i="10"/>
  <c r="D40" i="10"/>
  <c r="C40" i="10"/>
  <c r="B40" i="10"/>
  <c r="E39" i="10"/>
  <c r="D39" i="10"/>
  <c r="C39" i="10"/>
  <c r="B39" i="10"/>
  <c r="E38" i="10"/>
  <c r="D38" i="10"/>
  <c r="C38" i="10"/>
  <c r="B38" i="10"/>
  <c r="E37" i="10"/>
  <c r="D37" i="10"/>
  <c r="C37" i="10"/>
  <c r="B37" i="10"/>
  <c r="E36" i="10"/>
  <c r="D36" i="10"/>
  <c r="C36" i="10"/>
  <c r="B36" i="10"/>
  <c r="E35" i="10"/>
  <c r="D35" i="10"/>
  <c r="C35" i="10"/>
  <c r="B35" i="10"/>
  <c r="E34" i="10"/>
  <c r="D34" i="10"/>
  <c r="C34" i="10"/>
  <c r="B34" i="10"/>
  <c r="E33" i="10"/>
  <c r="D33" i="10"/>
  <c r="C33" i="10"/>
  <c r="B33" i="10"/>
  <c r="E32" i="10"/>
  <c r="D32" i="10"/>
  <c r="C32" i="10"/>
  <c r="B32" i="10"/>
  <c r="E31" i="10"/>
  <c r="D31" i="10"/>
  <c r="C31" i="10"/>
  <c r="B31" i="10"/>
  <c r="E30" i="10"/>
  <c r="D30" i="10"/>
  <c r="C30" i="10"/>
  <c r="B30" i="10"/>
  <c r="E29" i="10"/>
  <c r="D29" i="10"/>
  <c r="C29" i="10"/>
  <c r="B29" i="10"/>
  <c r="E28" i="10"/>
  <c r="D28" i="10"/>
  <c r="C28" i="10"/>
  <c r="B28" i="10"/>
  <c r="E27" i="10"/>
  <c r="D27" i="10"/>
  <c r="C27" i="10"/>
  <c r="B27" i="10"/>
  <c r="E26" i="10"/>
  <c r="D26" i="10"/>
  <c r="C26" i="10"/>
  <c r="B26" i="10"/>
  <c r="E25" i="10"/>
  <c r="D25" i="10"/>
  <c r="C25" i="10"/>
  <c r="B25" i="10"/>
  <c r="E24" i="10"/>
  <c r="D24" i="10"/>
  <c r="C24" i="10"/>
  <c r="B24" i="10"/>
  <c r="E23" i="10"/>
  <c r="D23" i="10"/>
  <c r="C23" i="10"/>
  <c r="B23" i="10"/>
  <c r="E22" i="10"/>
  <c r="D22" i="10"/>
  <c r="C22" i="10"/>
  <c r="B22" i="10"/>
  <c r="D21" i="10"/>
  <c r="E21" i="10"/>
  <c r="C21" i="10"/>
  <c r="B21" i="10"/>
  <c r="E20" i="10"/>
  <c r="D20" i="10"/>
  <c r="C20" i="10"/>
  <c r="B20" i="10"/>
  <c r="E19" i="10"/>
  <c r="D19" i="10"/>
  <c r="C19" i="10"/>
  <c r="B19" i="10"/>
  <c r="E18" i="10"/>
  <c r="D18" i="10"/>
  <c r="C18" i="10"/>
  <c r="B18" i="10"/>
  <c r="E17" i="10"/>
  <c r="D17" i="10"/>
  <c r="C17" i="10"/>
  <c r="B17" i="10"/>
  <c r="E16" i="10"/>
  <c r="D16" i="10"/>
  <c r="C16" i="10"/>
  <c r="B16" i="10"/>
  <c r="E15" i="10"/>
  <c r="D15" i="10"/>
  <c r="C15" i="10"/>
  <c r="B15" i="10"/>
  <c r="E14" i="10"/>
  <c r="D14" i="10"/>
  <c r="C14" i="10"/>
  <c r="B14" i="10"/>
  <c r="E13" i="10"/>
  <c r="D13" i="10"/>
  <c r="C13" i="10"/>
  <c r="B13" i="10"/>
  <c r="E12" i="10"/>
  <c r="D12" i="10"/>
  <c r="C12" i="10"/>
  <c r="B12" i="10"/>
  <c r="E11" i="10"/>
  <c r="D11" i="10"/>
  <c r="C11" i="10"/>
  <c r="B11" i="10"/>
  <c r="E10" i="10"/>
  <c r="D10" i="10"/>
  <c r="C10" i="10"/>
  <c r="B10" i="10"/>
  <c r="E9" i="10"/>
  <c r="D9" i="10"/>
  <c r="C9" i="10"/>
  <c r="B9" i="10"/>
  <c r="E8" i="10"/>
  <c r="D8" i="10"/>
  <c r="C8" i="10"/>
  <c r="B8" i="10"/>
  <c r="E7" i="10"/>
  <c r="D7" i="10"/>
  <c r="C7" i="10"/>
  <c r="B7" i="10"/>
  <c r="E6" i="10"/>
  <c r="D6" i="10"/>
  <c r="C6" i="10"/>
  <c r="B6" i="10"/>
  <c r="E5" i="10"/>
  <c r="D5" i="10"/>
  <c r="C5" i="10"/>
  <c r="B5" i="10"/>
  <c r="E4" i="10"/>
  <c r="D4" i="10"/>
  <c r="C4" i="10"/>
  <c r="B4" i="10"/>
  <c r="E3" i="10"/>
  <c r="D3" i="10"/>
  <c r="C3" i="10"/>
  <c r="B3" i="10"/>
  <c r="E2" i="10"/>
  <c r="D2" i="10"/>
  <c r="C2" i="10"/>
  <c r="B2" i="10"/>
  <c r="D69" i="9"/>
  <c r="D66" i="9"/>
  <c r="D65" i="9"/>
  <c r="D62" i="9"/>
  <c r="D57" i="9"/>
  <c r="D54" i="9"/>
  <c r="C54" i="9"/>
  <c r="C69" i="9"/>
  <c r="C66" i="9"/>
  <c r="B65" i="9"/>
  <c r="B57" i="9"/>
  <c r="B66" i="9"/>
  <c r="B54" i="9"/>
  <c r="C62" i="9"/>
  <c r="B62" i="9"/>
  <c r="B4" i="9"/>
  <c r="D51" i="9"/>
  <c r="C51" i="9"/>
  <c r="B51" i="9"/>
  <c r="D13" i="9"/>
  <c r="D20" i="9"/>
  <c r="D50" i="9"/>
  <c r="D49" i="9"/>
  <c r="D48" i="9"/>
  <c r="C47" i="9"/>
  <c r="D47" i="9"/>
  <c r="D46" i="9"/>
  <c r="D45" i="9"/>
  <c r="D44" i="9"/>
  <c r="D43" i="9"/>
  <c r="B42" i="9"/>
  <c r="D42" i="9"/>
  <c r="D41" i="9"/>
  <c r="D40" i="9"/>
  <c r="D39" i="9"/>
  <c r="D38" i="9"/>
  <c r="D37" i="9"/>
  <c r="D36" i="9"/>
  <c r="D35" i="9"/>
  <c r="D34" i="9"/>
  <c r="D33" i="9"/>
  <c r="D32" i="9"/>
  <c r="C32" i="9"/>
  <c r="B32" i="9"/>
  <c r="D31" i="9"/>
  <c r="D30" i="9"/>
  <c r="D29" i="9"/>
  <c r="B28" i="9"/>
  <c r="D28" i="9"/>
  <c r="D27" i="9"/>
  <c r="B26" i="9"/>
  <c r="D26" i="9"/>
  <c r="D25" i="9"/>
  <c r="C24" i="9"/>
  <c r="D24" i="9"/>
  <c r="D23" i="9"/>
  <c r="B22" i="9"/>
  <c r="D22" i="9"/>
  <c r="D21" i="9"/>
  <c r="D19" i="9"/>
  <c r="D18" i="9"/>
  <c r="D17" i="9"/>
  <c r="D16" i="9"/>
  <c r="D15" i="9"/>
  <c r="D14" i="9"/>
  <c r="D12" i="9"/>
  <c r="C11" i="9"/>
  <c r="D11" i="9"/>
  <c r="D10" i="9"/>
  <c r="D9" i="9"/>
  <c r="D8" i="9"/>
  <c r="D7" i="9"/>
  <c r="D6" i="9"/>
  <c r="D5" i="9"/>
  <c r="D4" i="9"/>
  <c r="C4" i="9"/>
  <c r="D3" i="9"/>
  <c r="D2" i="9"/>
  <c r="C68" i="8"/>
  <c r="C67" i="8"/>
  <c r="C66" i="8"/>
  <c r="C65" i="8"/>
  <c r="C64" i="8"/>
  <c r="C63" i="8"/>
  <c r="C62" i="8"/>
  <c r="C61" i="8"/>
  <c r="C60" i="8"/>
  <c r="C59" i="8"/>
  <c r="C58" i="8"/>
  <c r="C57" i="8"/>
  <c r="C56" i="8"/>
  <c r="C55" i="8"/>
  <c r="C54" i="8"/>
  <c r="C69" i="8"/>
  <c r="B69" i="8"/>
  <c r="B68" i="8"/>
  <c r="B67" i="8"/>
  <c r="B66" i="8"/>
  <c r="B65" i="8"/>
  <c r="B64" i="8"/>
  <c r="B63" i="8"/>
  <c r="B62" i="8"/>
  <c r="B61" i="8"/>
  <c r="B60" i="8"/>
  <c r="B59" i="8"/>
  <c r="B58" i="8"/>
  <c r="B57" i="8"/>
  <c r="B56" i="8"/>
  <c r="B55" i="8"/>
  <c r="B54" i="8"/>
  <c r="C51" i="8"/>
  <c r="B51" i="8"/>
  <c r="C50" i="8"/>
  <c r="B50" i="8"/>
  <c r="C49" i="8"/>
  <c r="B49" i="8"/>
  <c r="C48" i="8"/>
  <c r="B48" i="8"/>
  <c r="C47" i="8"/>
  <c r="B47" i="8"/>
  <c r="C46" i="8"/>
  <c r="B46" i="8"/>
  <c r="C45" i="8"/>
  <c r="B45" i="8"/>
  <c r="C44" i="8"/>
  <c r="B44" i="8"/>
  <c r="C43" i="8"/>
  <c r="B43" i="8"/>
  <c r="C42" i="8"/>
  <c r="B42" i="8"/>
  <c r="C41" i="8"/>
  <c r="B41" i="8"/>
  <c r="C40" i="8"/>
  <c r="B40" i="8"/>
  <c r="C39" i="8"/>
  <c r="B39" i="8"/>
  <c r="C38" i="8"/>
  <c r="B38" i="8"/>
  <c r="C37" i="8"/>
  <c r="B37" i="8"/>
  <c r="C36" i="8"/>
  <c r="B36" i="8"/>
  <c r="C35" i="8"/>
  <c r="B35" i="8"/>
  <c r="C34" i="8"/>
  <c r="B34" i="8"/>
  <c r="C33" i="8"/>
  <c r="B33" i="8"/>
  <c r="C32" i="8"/>
  <c r="B32" i="8"/>
  <c r="C31" i="8"/>
  <c r="B31" i="8"/>
  <c r="C30" i="8"/>
  <c r="B30" i="8"/>
  <c r="C29" i="8"/>
  <c r="B29" i="8"/>
  <c r="C28" i="8"/>
  <c r="B28" i="8"/>
  <c r="C27" i="8"/>
  <c r="B27" i="8"/>
  <c r="C26" i="8"/>
  <c r="B26" i="8"/>
  <c r="C25" i="8"/>
  <c r="B25" i="8"/>
  <c r="C24" i="8"/>
  <c r="B24" i="8"/>
  <c r="C23" i="8"/>
  <c r="B23" i="8"/>
  <c r="C22" i="8"/>
  <c r="B22" i="8"/>
  <c r="C21" i="8"/>
  <c r="B21" i="8"/>
  <c r="C20" i="8"/>
  <c r="B20" i="8"/>
  <c r="C19" i="8"/>
  <c r="B19" i="8"/>
  <c r="C18" i="8"/>
  <c r="B18" i="8"/>
  <c r="C17" i="8"/>
  <c r="B17" i="8"/>
  <c r="C16" i="8"/>
  <c r="B16" i="8"/>
  <c r="C15" i="8"/>
  <c r="B15" i="8"/>
  <c r="C14" i="8"/>
  <c r="B14" i="8"/>
  <c r="C13" i="8"/>
  <c r="B13" i="8"/>
  <c r="C12" i="8"/>
  <c r="B12" i="8"/>
  <c r="C11" i="8"/>
  <c r="B11" i="8"/>
  <c r="C10" i="8"/>
  <c r="B10" i="8"/>
  <c r="C9" i="8"/>
  <c r="B9" i="8"/>
  <c r="C8" i="8"/>
  <c r="B8" i="8"/>
  <c r="C7" i="8"/>
  <c r="B7" i="8"/>
  <c r="C6" i="8"/>
  <c r="B6" i="8"/>
  <c r="C5" i="8"/>
  <c r="B5" i="8"/>
  <c r="C4" i="8"/>
  <c r="B4" i="8"/>
  <c r="C3" i="8"/>
  <c r="B3" i="8"/>
  <c r="C2" i="8"/>
  <c r="B2" i="8"/>
  <c r="E51" i="7"/>
  <c r="E60" i="7"/>
  <c r="E61" i="7"/>
  <c r="E59" i="7"/>
  <c r="E54" i="7"/>
  <c r="E55" i="7"/>
  <c r="E62" i="7"/>
  <c r="E68" i="7"/>
  <c r="E65" i="7"/>
  <c r="D69" i="7"/>
  <c r="D68" i="7"/>
  <c r="D67" i="7"/>
  <c r="D66" i="7"/>
  <c r="D65" i="7"/>
  <c r="D64" i="7"/>
  <c r="D63" i="7"/>
  <c r="D62" i="7"/>
  <c r="D61" i="7"/>
  <c r="D60" i="7"/>
  <c r="D59" i="7"/>
  <c r="D58" i="7"/>
  <c r="D57" i="7"/>
  <c r="D56" i="7"/>
  <c r="D55" i="7"/>
  <c r="D54" i="7"/>
  <c r="C69" i="7"/>
  <c r="C68" i="7"/>
  <c r="C67" i="7"/>
  <c r="C66" i="7"/>
  <c r="C65" i="7"/>
  <c r="C64" i="7"/>
  <c r="C63" i="7"/>
  <c r="C62" i="7"/>
  <c r="C61" i="7"/>
  <c r="C60" i="7"/>
  <c r="C59" i="7"/>
  <c r="C58" i="7"/>
  <c r="C56" i="7"/>
  <c r="C55" i="7"/>
  <c r="C54" i="7"/>
  <c r="C57" i="7"/>
  <c r="B55" i="7"/>
  <c r="B69" i="7"/>
  <c r="B68" i="7"/>
  <c r="B67" i="7"/>
  <c r="B66" i="7"/>
  <c r="B65" i="7"/>
  <c r="B64" i="7"/>
  <c r="B63" i="7"/>
  <c r="B62" i="7"/>
  <c r="B61" i="7"/>
  <c r="B60" i="7"/>
  <c r="B59" i="7"/>
  <c r="B58" i="7"/>
  <c r="B57" i="7"/>
  <c r="B56" i="7"/>
  <c r="B54" i="7"/>
  <c r="B51" i="7"/>
  <c r="C51" i="7"/>
  <c r="D51" i="7"/>
  <c r="E50" i="7"/>
  <c r="D50" i="7"/>
  <c r="C50" i="7"/>
  <c r="B50" i="7"/>
  <c r="D49" i="7"/>
  <c r="C49" i="7"/>
  <c r="B49" i="7"/>
  <c r="D48" i="7"/>
  <c r="C48" i="7"/>
  <c r="B48" i="7"/>
  <c r="E47" i="7"/>
  <c r="D47" i="7"/>
  <c r="C47" i="7"/>
  <c r="B47" i="7"/>
  <c r="E46" i="7"/>
  <c r="D46" i="7"/>
  <c r="C46" i="7"/>
  <c r="B46" i="7"/>
  <c r="E45" i="7"/>
  <c r="D45" i="7"/>
  <c r="C45" i="7"/>
  <c r="B45" i="7"/>
  <c r="E44" i="7"/>
  <c r="D44" i="7"/>
  <c r="C44" i="7"/>
  <c r="B44" i="7"/>
  <c r="D43" i="7"/>
  <c r="C43" i="7"/>
  <c r="B43" i="7"/>
  <c r="E42" i="7"/>
  <c r="D42" i="7"/>
  <c r="C42" i="7"/>
  <c r="B42" i="7"/>
  <c r="D41" i="7"/>
  <c r="C41" i="7"/>
  <c r="B41" i="7"/>
  <c r="E40" i="7"/>
  <c r="D40" i="7"/>
  <c r="C40" i="7"/>
  <c r="B40" i="7"/>
  <c r="D39" i="7"/>
  <c r="C39" i="7"/>
  <c r="B39" i="7"/>
  <c r="D38" i="7"/>
  <c r="C38" i="7"/>
  <c r="B38" i="7"/>
  <c r="E35" i="7"/>
  <c r="D37" i="7"/>
  <c r="C37" i="7"/>
  <c r="B37" i="7"/>
  <c r="D36" i="7"/>
  <c r="C36" i="7"/>
  <c r="B36" i="7"/>
  <c r="D35" i="7"/>
  <c r="C35" i="7"/>
  <c r="B35" i="7"/>
  <c r="D34" i="7"/>
  <c r="C34" i="7"/>
  <c r="B34" i="7"/>
  <c r="D33" i="7"/>
  <c r="C33" i="7"/>
  <c r="B33" i="7"/>
  <c r="D32" i="7"/>
  <c r="C32" i="7"/>
  <c r="B32" i="7"/>
  <c r="D31" i="7"/>
  <c r="C31" i="7"/>
  <c r="B31" i="7"/>
  <c r="D30" i="7"/>
  <c r="C30" i="7"/>
  <c r="B30" i="7"/>
  <c r="D29" i="7"/>
  <c r="C29" i="7"/>
  <c r="B29" i="7"/>
  <c r="D28" i="7"/>
  <c r="C28" i="7"/>
  <c r="B28" i="7"/>
  <c r="D27" i="7"/>
  <c r="C27" i="7"/>
  <c r="B27" i="7"/>
  <c r="E26" i="7"/>
  <c r="D26" i="7"/>
  <c r="C26" i="7"/>
  <c r="B26" i="7"/>
  <c r="D25" i="7"/>
  <c r="C25" i="7"/>
  <c r="B25" i="7"/>
  <c r="D24" i="7"/>
  <c r="C24" i="7"/>
  <c r="B24" i="7"/>
  <c r="D23" i="7"/>
  <c r="C23" i="7"/>
  <c r="B23" i="7"/>
  <c r="D22" i="7"/>
  <c r="C22" i="7"/>
  <c r="B22" i="7"/>
  <c r="D21" i="7"/>
  <c r="C21" i="7"/>
  <c r="B21" i="7"/>
  <c r="D20" i="7"/>
  <c r="C20" i="7"/>
  <c r="B20" i="7"/>
  <c r="D19" i="7"/>
  <c r="C19" i="7"/>
  <c r="B19" i="7"/>
  <c r="D18" i="7"/>
  <c r="C18" i="7"/>
  <c r="B18" i="7"/>
  <c r="D17" i="7"/>
  <c r="C17" i="7"/>
  <c r="B17" i="7"/>
  <c r="D16" i="7"/>
  <c r="C16" i="7"/>
  <c r="B16" i="7"/>
  <c r="D15" i="7"/>
  <c r="C15" i="7"/>
  <c r="B15" i="7"/>
  <c r="D14" i="7"/>
  <c r="C14" i="7"/>
  <c r="B14" i="7"/>
  <c r="D13" i="7"/>
  <c r="C13" i="7"/>
  <c r="B13" i="7"/>
  <c r="D12" i="7"/>
  <c r="C12" i="7"/>
  <c r="B12" i="7"/>
  <c r="D11" i="7"/>
  <c r="C11" i="7"/>
  <c r="B11" i="7"/>
  <c r="D10" i="7"/>
  <c r="C10" i="7"/>
  <c r="B10" i="7"/>
  <c r="D9" i="7"/>
  <c r="C9" i="7"/>
  <c r="B9" i="7"/>
  <c r="D8" i="7"/>
  <c r="C8" i="7"/>
  <c r="B8" i="7"/>
  <c r="D7" i="7"/>
  <c r="C7" i="7"/>
  <c r="B7" i="7"/>
  <c r="D6" i="7"/>
  <c r="C6" i="7"/>
  <c r="B6" i="7"/>
  <c r="D5" i="7"/>
  <c r="C5" i="7"/>
  <c r="B5" i="7"/>
  <c r="D4" i="7"/>
  <c r="C4" i="7"/>
  <c r="B4" i="7"/>
  <c r="D3" i="7"/>
  <c r="C3" i="7"/>
  <c r="B3" i="7"/>
  <c r="D2" i="7"/>
  <c r="C2" i="7"/>
  <c r="B2" i="7"/>
  <c r="F69" i="6" l="1"/>
  <c r="F68" i="6"/>
  <c r="F67" i="6"/>
  <c r="F66" i="6"/>
  <c r="F65" i="6"/>
  <c r="F64" i="6"/>
  <c r="F63" i="6"/>
  <c r="F62" i="6"/>
  <c r="F61" i="6"/>
  <c r="F60" i="6"/>
  <c r="F59" i="6"/>
  <c r="F58" i="6"/>
  <c r="F57" i="6"/>
  <c r="G56" i="6"/>
  <c r="F56" i="6"/>
  <c r="F55" i="6"/>
  <c r="F54" i="6"/>
  <c r="E69" i="6"/>
  <c r="E68" i="6"/>
  <c r="E67" i="6"/>
  <c r="E66" i="6"/>
  <c r="E65" i="6"/>
  <c r="E64" i="6"/>
  <c r="E63" i="6"/>
  <c r="E62" i="6"/>
  <c r="E61" i="6"/>
  <c r="E60" i="6"/>
  <c r="E59" i="6"/>
  <c r="E58" i="6"/>
  <c r="E57" i="6"/>
  <c r="E56" i="6"/>
  <c r="E55" i="6"/>
  <c r="E54" i="6"/>
  <c r="D67" i="6"/>
  <c r="D65" i="6"/>
  <c r="D54" i="6"/>
  <c r="D55" i="6"/>
  <c r="D56" i="6"/>
  <c r="D58" i="6"/>
  <c r="D59" i="6"/>
  <c r="D60" i="6"/>
  <c r="D63" i="6"/>
  <c r="D64" i="6"/>
  <c r="D69" i="6"/>
  <c r="D61" i="6"/>
  <c r="C61" i="6"/>
  <c r="D57" i="6"/>
  <c r="D66" i="6"/>
  <c r="D62" i="6"/>
  <c r="D68" i="6"/>
  <c r="C69" i="6"/>
  <c r="C68" i="6"/>
  <c r="C67" i="6"/>
  <c r="C66" i="6"/>
  <c r="C64" i="6"/>
  <c r="C63" i="6"/>
  <c r="C62" i="6"/>
  <c r="C60" i="6"/>
  <c r="C59" i="6"/>
  <c r="C58" i="6"/>
  <c r="C57" i="6"/>
  <c r="C56" i="6"/>
  <c r="C55" i="6"/>
  <c r="C65" i="6"/>
  <c r="C54" i="6"/>
  <c r="B69" i="6"/>
  <c r="B68" i="6"/>
  <c r="B67" i="6"/>
  <c r="B66" i="6"/>
  <c r="B65" i="6"/>
  <c r="B64" i="6"/>
  <c r="B63" i="6"/>
  <c r="B62" i="6"/>
  <c r="B61" i="6"/>
  <c r="B60" i="6"/>
  <c r="B59" i="6"/>
  <c r="B58" i="6"/>
  <c r="B57" i="6"/>
  <c r="B56" i="6"/>
  <c r="B55" i="6"/>
  <c r="B54" i="6"/>
  <c r="F51" i="6" l="1"/>
  <c r="E51" i="6"/>
  <c r="D51" i="6"/>
  <c r="C51" i="6"/>
  <c r="B51" i="6"/>
  <c r="F50" i="6"/>
  <c r="E50" i="6"/>
  <c r="D50" i="6"/>
  <c r="C50" i="6"/>
  <c r="B50" i="6"/>
  <c r="F49" i="6"/>
  <c r="E49" i="6"/>
  <c r="D49" i="6"/>
  <c r="C49" i="6"/>
  <c r="B49" i="6"/>
  <c r="F48" i="6"/>
  <c r="E48" i="6"/>
  <c r="D48" i="6"/>
  <c r="C48" i="6"/>
  <c r="B48" i="6"/>
  <c r="F47" i="6"/>
  <c r="E47" i="6"/>
  <c r="D47" i="6"/>
  <c r="C47" i="6"/>
  <c r="B47" i="6"/>
  <c r="F46" i="6"/>
  <c r="E46" i="6"/>
  <c r="D46" i="6"/>
  <c r="C46" i="6"/>
  <c r="B46" i="6"/>
  <c r="F45" i="6"/>
  <c r="E45" i="6"/>
  <c r="D45" i="6"/>
  <c r="C45" i="6"/>
  <c r="B45" i="6"/>
  <c r="F44" i="6"/>
  <c r="E44" i="6"/>
  <c r="D44" i="6"/>
  <c r="C44" i="6"/>
  <c r="B44" i="6"/>
  <c r="F43" i="6"/>
  <c r="E43" i="6"/>
  <c r="D43" i="6"/>
  <c r="C43" i="6"/>
  <c r="B43" i="6"/>
  <c r="F42" i="6"/>
  <c r="E42" i="6"/>
  <c r="D42" i="6"/>
  <c r="C42" i="6"/>
  <c r="B42" i="6"/>
  <c r="F41" i="6"/>
  <c r="E41" i="6"/>
  <c r="D41" i="6"/>
  <c r="C41" i="6"/>
  <c r="B41" i="6"/>
  <c r="F40" i="6"/>
  <c r="E40" i="6"/>
  <c r="D40" i="6"/>
  <c r="C40" i="6"/>
  <c r="B40" i="6"/>
  <c r="F39" i="6"/>
  <c r="E39" i="6"/>
  <c r="D39" i="6"/>
  <c r="C39" i="6"/>
  <c r="B39" i="6"/>
  <c r="B38" i="6"/>
  <c r="F38" i="6"/>
  <c r="E38" i="6"/>
  <c r="D38" i="6"/>
  <c r="C38" i="6"/>
  <c r="F37" i="6"/>
  <c r="E37" i="6"/>
  <c r="D37" i="6"/>
  <c r="C37" i="6"/>
  <c r="B37" i="6"/>
  <c r="F36" i="6"/>
  <c r="E36" i="6"/>
  <c r="D36" i="6"/>
  <c r="C36" i="6"/>
  <c r="B36" i="6"/>
  <c r="F35" i="6"/>
  <c r="E35" i="6"/>
  <c r="D35" i="6"/>
  <c r="C35" i="6"/>
  <c r="B35" i="6"/>
  <c r="F34" i="6"/>
  <c r="E34" i="6"/>
  <c r="D34" i="6"/>
  <c r="C34" i="6"/>
  <c r="B34" i="6"/>
  <c r="E33" i="6"/>
  <c r="F33" i="6"/>
  <c r="D33" i="6"/>
  <c r="C33" i="6"/>
  <c r="B33" i="6"/>
  <c r="F32" i="6"/>
  <c r="E32" i="6"/>
  <c r="D32" i="6"/>
  <c r="C32" i="6"/>
  <c r="B32" i="6"/>
  <c r="B31" i="6"/>
  <c r="F31" i="6"/>
  <c r="E31" i="6"/>
  <c r="D31" i="6"/>
  <c r="C31" i="6"/>
  <c r="F30" i="6"/>
  <c r="E30" i="6"/>
  <c r="D30" i="6"/>
  <c r="C30" i="6"/>
  <c r="B30" i="6"/>
  <c r="F29" i="6"/>
  <c r="E29" i="6"/>
  <c r="D29" i="6"/>
  <c r="C29" i="6"/>
  <c r="B29" i="6"/>
  <c r="F28" i="6"/>
  <c r="E28" i="6"/>
  <c r="D28" i="6"/>
  <c r="C28" i="6"/>
  <c r="B28" i="6"/>
  <c r="F27" i="6"/>
  <c r="E27" i="6"/>
  <c r="D27" i="6"/>
  <c r="C27" i="6"/>
  <c r="B27" i="6"/>
  <c r="F26" i="6"/>
  <c r="E26" i="6"/>
  <c r="D26" i="6"/>
  <c r="C26" i="6"/>
  <c r="B26" i="6"/>
  <c r="F25" i="6"/>
  <c r="E25" i="6"/>
  <c r="D25" i="6"/>
  <c r="C25" i="6"/>
  <c r="B25" i="6"/>
  <c r="F24" i="6"/>
  <c r="E24" i="6"/>
  <c r="D24" i="6"/>
  <c r="C24" i="6"/>
  <c r="B24" i="6"/>
  <c r="F23" i="6"/>
  <c r="E23" i="6"/>
  <c r="D23" i="6"/>
  <c r="C23" i="6"/>
  <c r="B23" i="6"/>
  <c r="F22" i="6"/>
  <c r="E22" i="6"/>
  <c r="D22" i="6"/>
  <c r="C22" i="6"/>
  <c r="B22" i="6"/>
  <c r="F21" i="6"/>
  <c r="E21" i="6"/>
  <c r="D21" i="6"/>
  <c r="C21" i="6"/>
  <c r="B21" i="6"/>
  <c r="F20" i="6"/>
  <c r="E20" i="6"/>
  <c r="D20" i="6"/>
  <c r="C20" i="6"/>
  <c r="B20" i="6"/>
  <c r="F19" i="6"/>
  <c r="E19" i="6"/>
  <c r="D19" i="6"/>
  <c r="C19" i="6"/>
  <c r="B19" i="6"/>
  <c r="F18" i="6"/>
  <c r="E18" i="6"/>
  <c r="D18" i="6"/>
  <c r="C18" i="6"/>
  <c r="B18" i="6"/>
  <c r="F17" i="6"/>
  <c r="E17" i="6"/>
  <c r="D17" i="6"/>
  <c r="C17" i="6"/>
  <c r="B17" i="6"/>
  <c r="F16" i="6"/>
  <c r="E16" i="6"/>
  <c r="D16" i="6"/>
  <c r="C16" i="6"/>
  <c r="B16" i="6"/>
  <c r="F15" i="6"/>
  <c r="E15" i="6"/>
  <c r="D15" i="6"/>
  <c r="C15" i="6"/>
  <c r="B15" i="6"/>
  <c r="F14" i="6"/>
  <c r="E14" i="6"/>
  <c r="D14" i="6"/>
  <c r="C14" i="6"/>
  <c r="B14" i="6"/>
  <c r="F13" i="6"/>
  <c r="E13" i="6"/>
  <c r="D13" i="6"/>
  <c r="C13" i="6"/>
  <c r="B13" i="6"/>
  <c r="F12" i="6"/>
  <c r="E12" i="6"/>
  <c r="D12" i="6"/>
  <c r="C12" i="6"/>
  <c r="B12" i="6"/>
  <c r="F11" i="6"/>
  <c r="E11" i="6"/>
  <c r="D11" i="6"/>
  <c r="C11" i="6"/>
  <c r="B11" i="6"/>
  <c r="F10" i="6"/>
  <c r="E10" i="6"/>
  <c r="D10" i="6"/>
  <c r="C10" i="6"/>
  <c r="B10" i="6"/>
  <c r="F9" i="6"/>
  <c r="E9" i="6"/>
  <c r="D9" i="6"/>
  <c r="C9" i="6"/>
  <c r="B9" i="6"/>
  <c r="F8" i="6"/>
  <c r="E8" i="6"/>
  <c r="D8" i="6"/>
  <c r="C8" i="6"/>
  <c r="B8" i="6"/>
  <c r="F7" i="6"/>
  <c r="E7" i="6"/>
  <c r="D7" i="6"/>
  <c r="C7" i="6"/>
  <c r="B7" i="6"/>
  <c r="F6" i="6"/>
  <c r="E6" i="6"/>
  <c r="D6" i="6"/>
  <c r="C6" i="6"/>
  <c r="B6" i="6"/>
  <c r="F5" i="6"/>
  <c r="E5" i="6"/>
  <c r="D5" i="6"/>
  <c r="C5" i="6"/>
  <c r="B5" i="6"/>
  <c r="F4" i="6"/>
  <c r="E4" i="6"/>
  <c r="D4" i="6"/>
  <c r="C4" i="6"/>
  <c r="B4" i="6"/>
  <c r="F3" i="6"/>
  <c r="E3" i="6"/>
  <c r="D3" i="6"/>
  <c r="C3" i="6"/>
  <c r="B3" i="6"/>
  <c r="F2" i="6"/>
  <c r="E2" i="6"/>
  <c r="D2" i="6"/>
  <c r="C2" i="6"/>
  <c r="B2" i="6"/>
  <c r="G51" i="4"/>
  <c r="H51" i="4"/>
  <c r="F51" i="4"/>
  <c r="D50" i="4"/>
  <c r="C50" i="4"/>
  <c r="B50" i="4"/>
  <c r="D49" i="4"/>
  <c r="C49" i="4"/>
  <c r="B49" i="4"/>
  <c r="D48" i="4"/>
  <c r="C48" i="4"/>
  <c r="B48" i="4"/>
  <c r="D47" i="4"/>
  <c r="C47" i="4"/>
  <c r="B47" i="4"/>
  <c r="D46" i="4"/>
  <c r="C46" i="4"/>
  <c r="B46" i="4"/>
  <c r="D45" i="4"/>
  <c r="C45" i="4"/>
  <c r="B45" i="4"/>
  <c r="D44" i="4"/>
  <c r="C44" i="4"/>
  <c r="B44" i="4"/>
  <c r="D43" i="4"/>
  <c r="C43" i="4"/>
  <c r="B43" i="4"/>
  <c r="D42" i="4"/>
  <c r="C42" i="4"/>
  <c r="B42" i="4"/>
  <c r="D41" i="4"/>
  <c r="C41" i="4"/>
  <c r="B41" i="4"/>
  <c r="D40" i="4"/>
  <c r="C40" i="4"/>
  <c r="B40" i="4"/>
  <c r="D39" i="4"/>
  <c r="C39" i="4"/>
  <c r="B39" i="4"/>
  <c r="D38" i="4"/>
  <c r="C38" i="4"/>
  <c r="B38" i="4"/>
  <c r="D37" i="4"/>
  <c r="C37" i="4"/>
  <c r="B37" i="4"/>
  <c r="D36" i="4"/>
  <c r="C36" i="4"/>
  <c r="B36" i="4"/>
  <c r="D35" i="4"/>
  <c r="C35" i="4"/>
  <c r="B35" i="4"/>
  <c r="D34" i="4"/>
  <c r="C34" i="4"/>
  <c r="B34" i="4"/>
  <c r="D33" i="4"/>
  <c r="C33" i="4"/>
  <c r="B33" i="4"/>
  <c r="D32" i="4"/>
  <c r="C32" i="4"/>
  <c r="B32" i="4"/>
  <c r="D31" i="4"/>
  <c r="C31" i="4"/>
  <c r="D30" i="4"/>
  <c r="C30" i="4"/>
  <c r="B30" i="4"/>
  <c r="D29" i="4"/>
  <c r="C29" i="4"/>
  <c r="B29" i="4"/>
  <c r="D28" i="4"/>
  <c r="C28" i="4"/>
  <c r="B28" i="4"/>
  <c r="D27" i="4"/>
  <c r="C27" i="4"/>
  <c r="B27" i="4"/>
  <c r="D26" i="4"/>
  <c r="C26" i="4"/>
  <c r="B26" i="4"/>
  <c r="D25" i="4"/>
  <c r="C25" i="4"/>
  <c r="B25" i="4"/>
  <c r="D24" i="4"/>
  <c r="C24" i="4"/>
  <c r="B24" i="4"/>
  <c r="D23" i="4"/>
  <c r="C23" i="4"/>
  <c r="B23" i="4"/>
  <c r="D22" i="4"/>
  <c r="C22" i="4"/>
  <c r="B22" i="4"/>
  <c r="D21" i="4"/>
  <c r="C21" i="4"/>
  <c r="B21" i="4"/>
  <c r="B20" i="4"/>
  <c r="C20" i="4"/>
  <c r="D20" i="4"/>
  <c r="D19" i="4"/>
  <c r="C19" i="4"/>
  <c r="B19" i="4"/>
  <c r="D18" i="4"/>
  <c r="C18" i="4"/>
  <c r="B18" i="4"/>
  <c r="B17" i="4"/>
  <c r="C17" i="4"/>
  <c r="D17" i="4"/>
  <c r="D16" i="4"/>
  <c r="C16" i="4"/>
  <c r="D15" i="4"/>
  <c r="C15" i="4"/>
  <c r="B15" i="4"/>
  <c r="C14" i="4"/>
  <c r="D14" i="4"/>
  <c r="B14" i="4"/>
  <c r="D13" i="4"/>
  <c r="C13" i="4"/>
  <c r="B13" i="4"/>
  <c r="D12" i="4"/>
  <c r="C12" i="4"/>
  <c r="B12" i="4"/>
  <c r="D11" i="4"/>
  <c r="C11" i="4"/>
  <c r="B11" i="4"/>
  <c r="D10" i="4"/>
  <c r="C10" i="4"/>
  <c r="B10" i="4"/>
  <c r="D9" i="4"/>
  <c r="C9" i="4"/>
  <c r="B9" i="4"/>
  <c r="D8" i="4"/>
  <c r="C8" i="4"/>
  <c r="B8" i="4"/>
  <c r="C7" i="4"/>
  <c r="B7" i="4"/>
  <c r="D6" i="4"/>
  <c r="C6" i="4"/>
  <c r="B6" i="4"/>
  <c r="D5" i="4"/>
  <c r="C5" i="4"/>
  <c r="B5" i="4"/>
  <c r="D4" i="4"/>
  <c r="C4" i="4"/>
  <c r="B4" i="4"/>
  <c r="D3" i="4"/>
  <c r="C3" i="4"/>
  <c r="B3" i="4"/>
  <c r="D2" i="4"/>
  <c r="C2" i="4"/>
  <c r="B2" i="4"/>
  <c r="D19" i="3"/>
  <c r="C19" i="3"/>
  <c r="D18" i="3"/>
  <c r="C18" i="3"/>
  <c r="D17" i="3"/>
  <c r="C17" i="3"/>
  <c r="D16" i="3"/>
  <c r="C16" i="3"/>
  <c r="D15" i="3"/>
  <c r="C15" i="3"/>
  <c r="D14" i="3"/>
  <c r="C14" i="3"/>
  <c r="C13" i="3"/>
  <c r="D13" i="3"/>
  <c r="D12" i="3"/>
  <c r="C12" i="3"/>
  <c r="D11" i="3"/>
  <c r="C11" i="3"/>
  <c r="D10" i="3"/>
  <c r="C10" i="3"/>
  <c r="D9" i="3"/>
  <c r="C9" i="3"/>
  <c r="D8" i="3"/>
  <c r="C8" i="3"/>
  <c r="D7" i="3"/>
  <c r="C7" i="3"/>
  <c r="D6" i="3"/>
  <c r="C6" i="3"/>
  <c r="D5" i="3"/>
  <c r="C5" i="3"/>
  <c r="D4" i="3"/>
  <c r="C4" i="3"/>
  <c r="D3" i="3"/>
  <c r="C3" i="3"/>
  <c r="D2" i="3"/>
  <c r="C2" i="3"/>
  <c r="D50" i="3"/>
  <c r="C50" i="3"/>
  <c r="B50" i="3"/>
  <c r="D49" i="3"/>
  <c r="C49" i="3"/>
  <c r="B49" i="3"/>
  <c r="D48" i="3"/>
  <c r="C48" i="3"/>
  <c r="B48" i="3"/>
  <c r="D47" i="3"/>
  <c r="C47" i="3"/>
  <c r="B47" i="3"/>
  <c r="D46" i="3"/>
  <c r="C46" i="3"/>
  <c r="B46" i="3"/>
  <c r="D45" i="3"/>
  <c r="C45" i="3"/>
  <c r="B45" i="3"/>
  <c r="D44" i="3"/>
  <c r="C44" i="3"/>
  <c r="B44" i="3"/>
  <c r="D43" i="3"/>
  <c r="C43" i="3"/>
  <c r="B43" i="3"/>
  <c r="D42" i="3"/>
  <c r="C42" i="3"/>
  <c r="B42" i="3"/>
  <c r="D41" i="3"/>
  <c r="C41" i="3"/>
  <c r="B41" i="3"/>
  <c r="D40" i="3"/>
  <c r="C40" i="3"/>
  <c r="B40" i="3"/>
  <c r="D39" i="3"/>
  <c r="C39" i="3"/>
  <c r="B39" i="3"/>
  <c r="D38" i="3"/>
  <c r="C38" i="3"/>
  <c r="B38" i="3"/>
  <c r="C37" i="3"/>
  <c r="D37" i="3"/>
  <c r="B37" i="3"/>
  <c r="D36" i="3"/>
  <c r="C36" i="3"/>
  <c r="B36" i="3"/>
  <c r="D35" i="3"/>
  <c r="C35" i="3"/>
  <c r="B35" i="3"/>
  <c r="D34" i="3"/>
  <c r="C34" i="3"/>
  <c r="B34" i="3"/>
  <c r="D33" i="3"/>
  <c r="C33" i="3"/>
  <c r="B33" i="3"/>
  <c r="D32" i="3"/>
  <c r="C32" i="3"/>
  <c r="B32" i="3"/>
  <c r="D31" i="3"/>
  <c r="C31" i="3"/>
  <c r="B31" i="3"/>
  <c r="D30" i="3"/>
  <c r="C30" i="3"/>
  <c r="B30" i="3"/>
  <c r="D29" i="3"/>
  <c r="C29" i="3"/>
  <c r="B29" i="3"/>
  <c r="D28" i="3"/>
  <c r="C28" i="3"/>
  <c r="B28" i="3"/>
  <c r="D27" i="3"/>
  <c r="C27" i="3"/>
  <c r="B27" i="3"/>
  <c r="C26" i="3"/>
  <c r="B26" i="3"/>
  <c r="D25" i="3"/>
  <c r="C25" i="3"/>
  <c r="B25" i="3"/>
  <c r="D24" i="3"/>
  <c r="C24" i="3"/>
  <c r="B24" i="3"/>
  <c r="D23" i="3"/>
  <c r="C23" i="3"/>
  <c r="B23" i="3"/>
  <c r="C20" i="3"/>
  <c r="D20" i="3"/>
  <c r="D21" i="3"/>
  <c r="C21" i="3"/>
  <c r="D22" i="3"/>
  <c r="C22" i="3"/>
  <c r="B22" i="3"/>
  <c r="B21" i="3"/>
  <c r="B20" i="3"/>
  <c r="B19" i="3"/>
  <c r="B18" i="3"/>
  <c r="B17" i="3"/>
  <c r="B16" i="3"/>
  <c r="B15" i="3"/>
  <c r="B14" i="3"/>
  <c r="B13" i="3"/>
  <c r="B12" i="3"/>
  <c r="B11" i="3"/>
  <c r="B10" i="3"/>
  <c r="B9" i="3"/>
  <c r="B8" i="3"/>
  <c r="B7" i="3"/>
  <c r="B6" i="3"/>
  <c r="B5" i="3"/>
  <c r="B4" i="3"/>
  <c r="B3" i="3"/>
  <c r="B2" i="3"/>
  <c r="H277" i="1"/>
</calcChain>
</file>

<file path=xl/sharedStrings.xml><?xml version="1.0" encoding="utf-8"?>
<sst xmlns="http://schemas.openxmlformats.org/spreadsheetml/2006/main" count="19540" uniqueCount="2024">
  <si>
    <t>ID de respuesta</t>
  </si>
  <si>
    <t>Fecha de envío</t>
  </si>
  <si>
    <t>Municipio</t>
  </si>
  <si>
    <t>Provincia</t>
  </si>
  <si>
    <t>Número de habitantes</t>
  </si>
  <si>
    <t>¿En su ayuntamiento se hace uso de alguna herramienta informática para gestionar la documentación de una sesión del pleno?</t>
  </si>
  <si>
    <t>Indique el nombre de la herramienta.</t>
  </si>
  <si>
    <t>¿Cuáles son los formatos de archivos que pueden ser manejados por esta herramienta? [PDF.]</t>
  </si>
  <si>
    <t>¿Cuáles son los formatos de archivos que pueden ser manejados por esta herramienta? [CSV.]</t>
  </si>
  <si>
    <t>¿Cuáles son los formatos de archivos que pueden ser manejados por esta herramienta? [XLS/XLSX.]</t>
  </si>
  <si>
    <t>¿Cuáles son los formatos de archivos que pueden ser manejados por esta herramienta? [TXT.]</t>
  </si>
  <si>
    <t>¿Cuáles son los formatos de archivos que pueden ser manejados por esta herramienta? [DOC/DOCX.]</t>
  </si>
  <si>
    <t>¿Cuáles son los formatos de archivos que pueden ser manejados por esta herramienta? [RAR/ZIP.]</t>
  </si>
  <si>
    <t>¿Cuáles son los formatos de archivos que pueden ser manejados por esta herramienta? [Cualquier tipo de archivo.]</t>
  </si>
  <si>
    <t>¿Cuáles son los formatos de archivos que pueden ser manejados por esta herramienta? [Otro]</t>
  </si>
  <si>
    <t>¿Cuenta su ayuntamiento con un Reglamento Orgánico para las sesiones del pleno (ROM)?</t>
  </si>
  <si>
    <t>Indique la URL de acceso a este reglamento.</t>
  </si>
  <si>
    <t>¿De qué manera se gestiona la información de los puntos del orden del día?</t>
  </si>
  <si>
    <t>¿Quién propone temas a tratar en el pleno? [Alcalde/Alcaldesa.]</t>
  </si>
  <si>
    <t>¿Quién propone temas a tratar en el pleno? [Concejales/Concejalas.]</t>
  </si>
  <si>
    <t>¿Quién propone temas a tratar en el pleno? [Ciudadanía.]</t>
  </si>
  <si>
    <t>¿Quién propone temas a tratar en el pleno? [Otro]</t>
  </si>
  <si>
    <t>¿Quién aporta documentación a un punto del orden del día? [Alcalde/Alcaldesa.]</t>
  </si>
  <si>
    <t>¿Quién aporta documentación a un punto del orden del día? [Concejales/Concejalas.]</t>
  </si>
  <si>
    <t>¿Quién aporta documentación a un punto del orden del día? [Ciudadanía.]</t>
  </si>
  <si>
    <t>¿Quién aporta documentación a un punto del orden del día? [Otro]</t>
  </si>
  <si>
    <t>¿Cuáles son los medios por los que se comunica el orden del día de una sesión del pleno? [Página web del ayuntamiento.]</t>
  </si>
  <si>
    <t>¿Cuáles son los medios por los que se comunica el orden del día de una sesión del pleno? [Boletín electrónico.]</t>
  </si>
  <si>
    <t>¿Cuáles son los medios por los que se comunica el orden del día de una sesión del pleno? [Redes sociales.]</t>
  </si>
  <si>
    <t>¿Cuáles son los medios por los que se comunica el orden del día de una sesión del pleno? [Mensajería instantánea.]</t>
  </si>
  <si>
    <t>¿Cuáles son los medios por los que se comunica el orden del día de una sesión del pleno? [Tablones de anuncios.]</t>
  </si>
  <si>
    <t>¿Cuáles son los medios por los que se comunica el orden del día de una sesión del pleno? [Otro]</t>
  </si>
  <si>
    <t>¿Cuáles son los sistemas de accesibilidad relacionados al orden del día que emplea su ayuntamiento? [Lectura fácil.]</t>
  </si>
  <si>
    <t>¿Cuáles son los sistemas de accesibilidad relacionados al orden del día que emplea su ayuntamiento? [Lenguaje de signos.]</t>
  </si>
  <si>
    <t>¿Cuáles son los sistemas de accesibilidad relacionados al orden del día que emplea su ayuntamiento? [Audiodescripción.]</t>
  </si>
  <si>
    <t>¿Cuáles son los sistemas de accesibilidad relacionados al orden del día que emplea su ayuntamiento? [Transcripción.]</t>
  </si>
  <si>
    <t>¿Cuáles son los sistemas de accesibilidad relacionados al orden del día que emplea su ayuntamiento? [Ninguno.]</t>
  </si>
  <si>
    <t>¿Cuáles son los sistemas de accesibilidad relacionados al orden del día que emplea su ayuntamiento? [Otro]</t>
  </si>
  <si>
    <t>¿Quién puede consultar la documentación de un punto del orden del día? [Alcalde/Alcaldesa.]</t>
  </si>
  <si>
    <t>¿Quién puede consultar la documentación de un punto del orden del día? [Concejales/Concejalas.]</t>
  </si>
  <si>
    <t>¿Quién puede consultar la documentación de un punto del orden del día? [Ciudadanía.]</t>
  </si>
  <si>
    <t>¿Quién puede consultar la documentación de un punto del orden del día? [Otro]</t>
  </si>
  <si>
    <t>¿Cuáles son las formas de acceder a una sesión del pleno? [Presencial.]</t>
  </si>
  <si>
    <t>¿Cuáles son las formas de acceder a una sesión del pleno? [En línea.]</t>
  </si>
  <si>
    <t>Indique la URL donde solicitar acceso a la sesión del pleno.</t>
  </si>
  <si>
    <t>Indique la URL de acceso a la sesión del pleno en línea.</t>
  </si>
  <si>
    <t>En su ayuntamiento, ¿se utiliza el lenguaje de signos para facilitar su seguimiento a las personas sordas?</t>
  </si>
  <si>
    <t>¿Quién puede hacer uso de sistemas de grabación audiovisual durante la sesión del pleno? [Servicios municipales.]</t>
  </si>
  <si>
    <t>¿Quién puede hacer uso de sistemas de grabación audiovisual durante la sesión del pleno? [Medios de comunicación.]</t>
  </si>
  <si>
    <t>¿Quién puede hacer uso de sistemas de grabación audiovisual durante la sesión del pleno? [Ciudadanía.]</t>
  </si>
  <si>
    <t>¿Quién puede hacer uso de sistemas de grabación audiovisual durante la sesión del pleno? [No se permite la grabación audiovisual.]</t>
  </si>
  <si>
    <t>Durante la sesión del pleno, se permite la participación de la ciudadanía: [En relación a cualquier punto.]</t>
  </si>
  <si>
    <t>Durante la sesión del pleno, se permite la participación de la ciudadanía: [En propuestas presentadas por la ciudadanía.]</t>
  </si>
  <si>
    <t>Durante la sesión del pleno, se permite la participación de la ciudadanía: [Otro]</t>
  </si>
  <si>
    <t>¿Existe algún reglamento de participación ciudadana en el pleno?</t>
  </si>
  <si>
    <t>Indique la URL de acceso al reglamento.</t>
  </si>
  <si>
    <t>¿De qué forma se registra el sentido de los votos sobre los puntos del orden del día? [En el acta.]</t>
  </si>
  <si>
    <t>¿De qué forma se registra el sentido de los votos sobre los puntos del orden del día? [En un registro específico.]</t>
  </si>
  <si>
    <t>¿De qué forma se registra el sentido de los votos sobre los puntos del orden del día? [No se registran.]</t>
  </si>
  <si>
    <t>¿De qué forma se registra el sentido de los votos sobre los puntos del orden del día? [Otro]</t>
  </si>
  <si>
    <t>Indique los formatos en los que se publica el acta del pleno. [Texto.]</t>
  </si>
  <si>
    <t>Indique los formatos en los que se publica el acta del pleno. [Audiovisual.]</t>
  </si>
  <si>
    <t>Indique los formatos en los que se publica el acta del pleno. [Audiovisual interactivo.]</t>
  </si>
  <si>
    <t>Indique los formatos en los que se publica el acta del pleno. [Otro]</t>
  </si>
  <si>
    <t>¿Cuáles son los sistemas de accesibilidad relacionados al acta de la sesión del pleno que su ayuntamiento emplea? [Lectura fácil.]</t>
  </si>
  <si>
    <t>¿Cuáles son los sistemas de accesibilidad relacionados al acta de la sesión del pleno que su ayuntamiento emplea? [Lenguaje de signos.]</t>
  </si>
  <si>
    <t>¿Cuáles son los sistemas de accesibilidad relacionados al acta de la sesión del pleno que su ayuntamiento emplea? [Audio descripción.]</t>
  </si>
  <si>
    <t>¿Cuáles son los sistemas de accesibilidad relacionados al acta de la sesión del pleno que su ayuntamiento emplea? [Transcripción.]</t>
  </si>
  <si>
    <t>¿Cuáles son los sistemas de accesibilidad relacionados al acta de la sesión del pleno que su ayuntamiento emplea? [Ninguno.]</t>
  </si>
  <si>
    <t>¿Cuáles son los sistemas de accesibilidad relacionados al acta de la sesión del pleno que su ayuntamiento emplea? [Otro]</t>
  </si>
  <si>
    <t>¿Cuáles son los medios por los que se difunde el acta de una sesión del pleno? [Página web del ayuntamiento.]</t>
  </si>
  <si>
    <t>¿Cuáles son los medios por los que se difunde el acta de una sesión del pleno? [Boletín electrónico.]</t>
  </si>
  <si>
    <t>¿Cuáles son los medios por los que se difunde el acta de una sesión del pleno? [Redes sociales.]</t>
  </si>
  <si>
    <t>¿Cuáles son los medios por los que se difunde el acta de una sesión del pleno? [Mensajería instantánea.]</t>
  </si>
  <si>
    <t>¿Cuáles son los medios por los que se difunde el acta de una sesión del pleno? [Tablones de anuncios.]</t>
  </si>
  <si>
    <t>¿Cuáles son los medios por los que se difunde el acta de una sesión del pleno? [Otro]</t>
  </si>
  <si>
    <t>¿Dispone su ayuntamiento de algún sistema de evaluación y seguimiento de lo aprobado por el pleno?</t>
  </si>
  <si>
    <t>Descríbalo brevemente.</t>
  </si>
  <si>
    <t>¿Dispone su ayuntamiento de algún canal por el cual informar a la ciudadanía el grado de cumplimiento de los acuerdos aprobados en la sesión del pleno?</t>
  </si>
  <si>
    <t>Descríbalo brevemente. 2</t>
  </si>
  <si>
    <t>94</t>
  </si>
  <si>
    <t>2018-05-03 14:26:18</t>
  </si>
  <si>
    <t>Rasines</t>
  </si>
  <si>
    <t>Cantabria</t>
  </si>
  <si>
    <t>No</t>
  </si>
  <si>
    <t>N/A</t>
  </si>
  <si>
    <t>Ciertos puntos del orden del día requieren un expediente, mientras que otros no.</t>
  </si>
  <si>
    <t>Sí</t>
  </si>
  <si>
    <t>www.aytorasines.org</t>
  </si>
  <si>
    <t>Nunca</t>
  </si>
  <si>
    <t>101</t>
  </si>
  <si>
    <t>2018-05-03 14:46:43</t>
  </si>
  <si>
    <t>Ainsa-Sobrarbe</t>
  </si>
  <si>
    <t>Huesca</t>
  </si>
  <si>
    <t>Si</t>
  </si>
  <si>
    <t>GESTIONA</t>
  </si>
  <si>
    <t>Para cada punto del orden del día se abre un expediente donde se archiva la documentación necesaria.</t>
  </si>
  <si>
    <t>Técnicos</t>
  </si>
  <si>
    <t>Medios de comuniación</t>
  </si>
  <si>
    <t xml:space="preserve">NO existe
</t>
  </si>
  <si>
    <t>Al acabar el pleno</t>
  </si>
  <si>
    <t>103</t>
  </si>
  <si>
    <t>2018-05-03 14:46:46</t>
  </si>
  <si>
    <t>Vallanca</t>
  </si>
  <si>
    <t>València</t>
  </si>
  <si>
    <t>VALLANCA_ALC@GVA.ES</t>
  </si>
  <si>
    <t>122</t>
  </si>
  <si>
    <t>2018-05-03 15:23:02</t>
  </si>
  <si>
    <t>Santibañez de Bejar</t>
  </si>
  <si>
    <t>Salamanca</t>
  </si>
  <si>
    <t>SEDE ELECTRONICA</t>
  </si>
  <si>
    <t>SECRETARIO / OCASIONALMENTE PETICIONES CIUDADANOS</t>
  </si>
  <si>
    <t>SECRETARIO</t>
  </si>
  <si>
    <t>NOTIFICACION DIRECTA A ACONCEJALES</t>
  </si>
  <si>
    <t>http://santibanezdebejar.sedelectronica.es/info.0</t>
  </si>
  <si>
    <t>TRAS LA SESION</t>
  </si>
  <si>
    <t>WEB TRANSPARENCIA DIPUTACION</t>
  </si>
  <si>
    <t>125</t>
  </si>
  <si>
    <t>2018-05-03 15:26:43</t>
  </si>
  <si>
    <t>Figaró-Montman</t>
  </si>
  <si>
    <t>Barcelona</t>
  </si>
  <si>
    <t>Oposición</t>
  </si>
  <si>
    <t>Página Web del Ayuntamiento</t>
  </si>
  <si>
    <t>Ciudadania. Al final del Pleno</t>
  </si>
  <si>
    <t>Página web del Ayuntamiento</t>
  </si>
  <si>
    <t>Se graba la voz</t>
  </si>
  <si>
    <t>Por cada concejal se siguen los puntos acordados que se refrendan por la Secretaria</t>
  </si>
  <si>
    <t>Página web del ayuntamiento</t>
  </si>
  <si>
    <t>128</t>
  </si>
  <si>
    <t>2018-05-03 15:35:02</t>
  </si>
  <si>
    <t>Porreres</t>
  </si>
  <si>
    <t>Islas Baleares</t>
  </si>
  <si>
    <t>http://www.porreres.cat/</t>
  </si>
  <si>
    <t>http://www.porreres.cat/sites/default/files/documents/om_19._reg._participacio_ciutadana.pdf</t>
  </si>
  <si>
    <t>129</t>
  </si>
  <si>
    <t>2018-05-03 15:40:04</t>
  </si>
  <si>
    <t>L'Orxa</t>
  </si>
  <si>
    <t>Alicante</t>
  </si>
  <si>
    <t>Youtube</t>
  </si>
  <si>
    <t>mp4</t>
  </si>
  <si>
    <t>Bando municipal</t>
  </si>
  <si>
    <t>https://www.youtube.com/channel/UCmQ02OOWLtbgTE5DRVf8TCA?view_as=subscriber</t>
  </si>
  <si>
    <t>131</t>
  </si>
  <si>
    <t>2018-05-03 15:44:53</t>
  </si>
  <si>
    <t>Manuel</t>
  </si>
  <si>
    <t>canal de youtube del ajuntament de Manuel</t>
  </si>
  <si>
    <t>ruegos y preguntas</t>
  </si>
  <si>
    <t>140</t>
  </si>
  <si>
    <t>2018-05-03 16:22:21</t>
  </si>
  <si>
    <t>Portugalete</t>
  </si>
  <si>
    <t>Bizkaia</t>
  </si>
  <si>
    <t>www.portugalete.org</t>
  </si>
  <si>
    <t>Algunas veces</t>
  </si>
  <si>
    <t>141</t>
  </si>
  <si>
    <t>2018-05-03 16:15:12</t>
  </si>
  <si>
    <t>Bergondo</t>
  </si>
  <si>
    <t>A Coruña</t>
  </si>
  <si>
    <t>TEDEC</t>
  </si>
  <si>
    <t xml:space="preserve">se crea una URL para cada pleno. Se retransmiten en directo , via streaming. </t>
  </si>
  <si>
    <t xml:space="preserve">una vez acabado el pleno </t>
  </si>
  <si>
    <t>http://bop.dicoruna.es/bopportal/publicado/2017/10/27/2017_0000009066.pdf</t>
  </si>
  <si>
    <t>142</t>
  </si>
  <si>
    <t>2018-05-03 16:15:36</t>
  </si>
  <si>
    <t>Pelabravo</t>
  </si>
  <si>
    <t>Plataforma Espúblico-Gestiona</t>
  </si>
  <si>
    <t>Sede electrónica</t>
  </si>
  <si>
    <t>Portal de transparencia</t>
  </si>
  <si>
    <t>143</t>
  </si>
  <si>
    <t>2018-05-03 16:35:56</t>
  </si>
  <si>
    <t>Espinoso del Rey</t>
  </si>
  <si>
    <t>Toledo</t>
  </si>
  <si>
    <t>Pregon</t>
  </si>
  <si>
    <t>ahuntamientoespinoso@gmail.com</t>
  </si>
  <si>
    <t>Mediante preguntas en Ruegos y Preguntas</t>
  </si>
  <si>
    <t>Ley de Transparencia</t>
  </si>
  <si>
    <t>145</t>
  </si>
  <si>
    <t>2018-05-03 16:27:22</t>
  </si>
  <si>
    <t>Ames</t>
  </si>
  <si>
    <t>VIDEOACTA</t>
  </si>
  <si>
    <t>http://www.concellodeames.gal/media/documentos/regulamento_organico_municipal.pdf</t>
  </si>
  <si>
    <t>DEPARTAMENTOS</t>
  </si>
  <si>
    <t>AL FINALIZAR EL PLENO</t>
  </si>
  <si>
    <t>147</t>
  </si>
  <si>
    <t>2018-05-03 16:31:41</t>
  </si>
  <si>
    <t>Méntrida</t>
  </si>
  <si>
    <t>https://www.mentrida.es/ayuntamiento/participaci%C3%B3n-ciudadana-y-comunicaci%C3%B3n</t>
  </si>
  <si>
    <t>https://www.mentrida.es/ayuntamiento/actas-de-acuerdos-municipales/actas-de-plenos</t>
  </si>
  <si>
    <t>intervenciones al final del pleno</t>
  </si>
  <si>
    <t>148</t>
  </si>
  <si>
    <t>2018-05-03 16:35:07</t>
  </si>
  <si>
    <t>El Piñero</t>
  </si>
  <si>
    <t>Zamora</t>
  </si>
  <si>
    <t>240</t>
  </si>
  <si>
    <t>PC</t>
  </si>
  <si>
    <t>No existe</t>
  </si>
  <si>
    <t>151</t>
  </si>
  <si>
    <t>2018-05-03 16:46:46</t>
  </si>
  <si>
    <t xml:space="preserve">Churriana de la Vega </t>
  </si>
  <si>
    <t>Granada</t>
  </si>
  <si>
    <t>Gestiona</t>
  </si>
  <si>
    <t xml:space="preserve">No está reglamentado la participación en la sesión plenaria </t>
  </si>
  <si>
    <t>154</t>
  </si>
  <si>
    <t>2018-05-03 16:53:35</t>
  </si>
  <si>
    <t>Atzeneta del Maestrat</t>
  </si>
  <si>
    <t>Castellón</t>
  </si>
  <si>
    <t>http://atzenetadelmaestrat.sedelectronica.es</t>
  </si>
  <si>
    <t>155</t>
  </si>
  <si>
    <t>2018-05-03 16:52:45</t>
  </si>
  <si>
    <t>Moeche</t>
  </si>
  <si>
    <t>tedec</t>
  </si>
  <si>
    <t xml:space="preserve">www.moeche.gal
</t>
  </si>
  <si>
    <t>Al final de la sesión</t>
  </si>
  <si>
    <t>156</t>
  </si>
  <si>
    <t>2018-05-03 17:05:56</t>
  </si>
  <si>
    <t>Arboleas</t>
  </si>
  <si>
    <t>Almería</t>
  </si>
  <si>
    <t>CORREOS ELECTRONICOS</t>
  </si>
  <si>
    <t>Pagina WED del Ayto.</t>
  </si>
  <si>
    <t>Cuando sea de interes sobre un tema a tratar.</t>
  </si>
  <si>
    <t>Pagina WEB</t>
  </si>
  <si>
    <t>Redes sociales  -facebook-</t>
  </si>
  <si>
    <t>Villatuerta</t>
  </si>
  <si>
    <t>Navarra</t>
  </si>
  <si>
    <t>Ningún punto del orden del día requiere un expediente.</t>
  </si>
  <si>
    <t>NO</t>
  </si>
  <si>
    <t>162</t>
  </si>
  <si>
    <t>2018-05-03 17:43:55</t>
  </si>
  <si>
    <t>Peñarroya de Tastavins</t>
  </si>
  <si>
    <t>Teruel</t>
  </si>
  <si>
    <t>BANDOS</t>
  </si>
  <si>
    <t>163</t>
  </si>
  <si>
    <t>2018-05-03 17:55:07</t>
  </si>
  <si>
    <t>Pradoluengo</t>
  </si>
  <si>
    <t>Burgos</t>
  </si>
  <si>
    <t>La entrada es abierta a todo el público sin necesidad de solicitarlo</t>
  </si>
  <si>
    <t>Finalizada la sesión</t>
  </si>
  <si>
    <t>169</t>
  </si>
  <si>
    <t>2018-05-03 19:10:57</t>
  </si>
  <si>
    <t>Vimianzo</t>
  </si>
  <si>
    <t>PAPEL, EMAIL</t>
  </si>
  <si>
    <t>NO EXISTE</t>
  </si>
  <si>
    <t>AL FINAL</t>
  </si>
  <si>
    <t>175</t>
  </si>
  <si>
    <t>2018-05-03 21:08:50</t>
  </si>
  <si>
    <t>Belmez</t>
  </si>
  <si>
    <t>Córdoba</t>
  </si>
  <si>
    <t>Secretaría electrónica</t>
  </si>
  <si>
    <t>Desde secretaría-intervención</t>
  </si>
  <si>
    <t>Secretaría-intervencion</t>
  </si>
  <si>
    <t>Www.belmez.es</t>
  </si>
  <si>
    <t>176</t>
  </si>
  <si>
    <t>2018-05-03 21:09:48</t>
  </si>
  <si>
    <t>Encinasola</t>
  </si>
  <si>
    <t>Huelva</t>
  </si>
  <si>
    <t>Rush</t>
  </si>
  <si>
    <t>Tus</t>
  </si>
  <si>
    <t>Convocatoria pueblo plaza</t>
  </si>
  <si>
    <t>183</t>
  </si>
  <si>
    <t>2018-05-04 05:09:54</t>
  </si>
  <si>
    <t>Zubieta</t>
  </si>
  <si>
    <t>Secretario</t>
  </si>
  <si>
    <t>Notificación personal a concejales/as.</t>
  </si>
  <si>
    <t>Ninguna.</t>
  </si>
  <si>
    <t>Cambrils</t>
  </si>
  <si>
    <t>Tarragona</t>
  </si>
  <si>
    <t>BPM</t>
  </si>
  <si>
    <t>no</t>
  </si>
  <si>
    <t>190</t>
  </si>
  <si>
    <t>2018-05-04 05:44:28</t>
  </si>
  <si>
    <t>Montserrat</t>
  </si>
  <si>
    <t>CORREO ELECTRÓNICO</t>
  </si>
  <si>
    <t xml:space="preserve"> </t>
  </si>
  <si>
    <t>https://www.facebook.com/AjMontserrat/</t>
  </si>
  <si>
    <t>AL FINAL DEL PLENO TURNO DE PALABRAS ABIERTO A LA CIUDADANIA</t>
  </si>
  <si>
    <t xml:space="preserve">EMITIMOS EN DIRECTO POR LA TV LOCAL LOS PLENOS DESDE HACE MÁS DE 10 AÑOS </t>
  </si>
  <si>
    <t>192</t>
  </si>
  <si>
    <t>2018-05-04 05:46:16</t>
  </si>
  <si>
    <t>Uceda</t>
  </si>
  <si>
    <t>Guadalajara</t>
  </si>
  <si>
    <t>NINGUNA</t>
  </si>
  <si>
    <t>RUEGOS Y PREGUNTAS</t>
  </si>
  <si>
    <t>194</t>
  </si>
  <si>
    <t>2018-05-04 05:52:07</t>
  </si>
  <si>
    <t>A Pobra do Brollón</t>
  </si>
  <si>
    <t>Lugo</t>
  </si>
  <si>
    <t>http://concelloapobradobrollon.sedelectronica.es/board/97521486-f59b-11de-b600-00237da12c6a/</t>
  </si>
  <si>
    <t>no hace falta</t>
  </si>
  <si>
    <t>al final del pleno puede hacer preguntas y ruegos</t>
  </si>
  <si>
    <t>Texto y audio</t>
  </si>
  <si>
    <t>195</t>
  </si>
  <si>
    <t>2018-05-04 05:49:17</t>
  </si>
  <si>
    <t>Cella</t>
  </si>
  <si>
    <t>SCRETARÍA</t>
  </si>
  <si>
    <t>PORTAL DE TRANSPARENCIA</t>
  </si>
  <si>
    <t>NO HAY</t>
  </si>
  <si>
    <t>AUDIO</t>
  </si>
  <si>
    <t>197</t>
  </si>
  <si>
    <t>2018-05-04 05:51:32</t>
  </si>
  <si>
    <t>Colmenar Viejo</t>
  </si>
  <si>
    <t>Madrid</t>
  </si>
  <si>
    <t>GestDoc</t>
  </si>
  <si>
    <t>http://www.colmenarviejo.com/images/SecretariaGeneralpdf/ordenanzas/REGLAMENTO%20ORGANICO.pdf</t>
  </si>
  <si>
    <t>Acceso libre</t>
  </si>
  <si>
    <t>Se crea ad hoc en cada celebración</t>
  </si>
  <si>
    <t>Reugos y preguntas</t>
  </si>
  <si>
    <t>202</t>
  </si>
  <si>
    <t>2018-05-04 06:07:54</t>
  </si>
  <si>
    <t>Benferri</t>
  </si>
  <si>
    <t>GRABACION</t>
  </si>
  <si>
    <t>NOTIFICACION</t>
  </si>
  <si>
    <t>PAGINA WEB</t>
  </si>
  <si>
    <t>PREGUNTAS</t>
  </si>
  <si>
    <t>214</t>
  </si>
  <si>
    <t>2018-05-04 06:16:48</t>
  </si>
  <si>
    <t>Ansoain</t>
  </si>
  <si>
    <t xml:space="preserve">PROGRAMAS INFORMATICOS </t>
  </si>
  <si>
    <t>215</t>
  </si>
  <si>
    <t>2018-05-04 06:18:22</t>
  </si>
  <si>
    <t>Agudo</t>
  </si>
  <si>
    <t>Ciudad Real</t>
  </si>
  <si>
    <t>http://www.agudo.es/plenos/</t>
  </si>
  <si>
    <t>EN OCASIONES EXCEPCIONALES AL FINALIZAR LA SESIÓN PLENARIA</t>
  </si>
  <si>
    <t>219</t>
  </si>
  <si>
    <t>2018-05-04 06:16:04</t>
  </si>
  <si>
    <t>Valdeavellano de Tera</t>
  </si>
  <si>
    <t>Soria</t>
  </si>
  <si>
    <t>www.valdeavellanodetera.org</t>
  </si>
  <si>
    <t>220</t>
  </si>
  <si>
    <t>2018-05-04 06:29:29</t>
  </si>
  <si>
    <t>Sólo se accede presencialmente.</t>
  </si>
  <si>
    <t>Terminada la sesión puede abrirse, si existe interés, un turno de ruegos y preguntas para el público presente.</t>
  </si>
  <si>
    <t>221</t>
  </si>
  <si>
    <t>2018-05-04 06:18:51</t>
  </si>
  <si>
    <t>Bernuy de Porreros</t>
  </si>
  <si>
    <t>Segovia</t>
  </si>
  <si>
    <t>762</t>
  </si>
  <si>
    <t>PALATAFORMA GESTIONA</t>
  </si>
  <si>
    <t>SECRETARIO-INTERVENTOR</t>
  </si>
  <si>
    <t>NO ES NECESARIO SOLICITAR ACCESO, CUALQUIER PERSONA PUEDE ENTRAR AL SALÓN DE PLENOS</t>
  </si>
  <si>
    <t>AL FINALIZAR EL PLENO ORDINARIO</t>
  </si>
  <si>
    <t>225</t>
  </si>
  <si>
    <t>2018-05-04 06:24:40</t>
  </si>
  <si>
    <t>Xerta</t>
  </si>
  <si>
    <t>ACTIO (Diputación de Tarragona)</t>
  </si>
  <si>
    <t>Secretaria</t>
  </si>
  <si>
    <t>Ebando, Tablón electrónico, Sede electrónica</t>
  </si>
  <si>
    <t>Interesados del expediente</t>
  </si>
  <si>
    <t>Es presencial, no hay url.</t>
  </si>
  <si>
    <t>No se permite</t>
  </si>
  <si>
    <t>Portal de transparencia de la sede electrónica</t>
  </si>
  <si>
    <t>227</t>
  </si>
  <si>
    <t>Gumiel de Izán</t>
  </si>
  <si>
    <t>EMAIL</t>
  </si>
  <si>
    <t>PERSONAS INTERESADAS</t>
  </si>
  <si>
    <t>231</t>
  </si>
  <si>
    <t>2018-05-04 06:28:19</t>
  </si>
  <si>
    <t>Viver</t>
  </si>
  <si>
    <t xml:space="preserve">www.ayuntamientode viver.es
</t>
  </si>
  <si>
    <t>SI EL ALCALDE DA AUTORIZACIÓN, EL PUBLICO PUEDE INTERVENIR</t>
  </si>
  <si>
    <t>237</t>
  </si>
  <si>
    <t>2018-05-04 06:24:04</t>
  </si>
  <si>
    <t>Azaila</t>
  </si>
  <si>
    <t>.</t>
  </si>
  <si>
    <t>2018-05-04 06:30:49</t>
  </si>
  <si>
    <t>Santa Eufemia</t>
  </si>
  <si>
    <t>Aplicación GEX</t>
  </si>
  <si>
    <t>246</t>
  </si>
  <si>
    <t>2018-05-04 06:32:22</t>
  </si>
  <si>
    <t>Torrecampo</t>
  </si>
  <si>
    <t>GEX (Diputación Córdoba)</t>
  </si>
  <si>
    <t>http://www.torrecampo.es/</t>
  </si>
  <si>
    <t>250</t>
  </si>
  <si>
    <t>2018-05-04 06:33:54</t>
  </si>
  <si>
    <t>Cordobilla de Lácara</t>
  </si>
  <si>
    <t>Badajoz</t>
  </si>
  <si>
    <t>Secretaría-Intervención</t>
  </si>
  <si>
    <t>Secretaria-Intevencion</t>
  </si>
  <si>
    <t>NS/NC</t>
  </si>
  <si>
    <t>Final turno ruegos y preguntas</t>
  </si>
  <si>
    <t>252</t>
  </si>
  <si>
    <t>2018-05-04 06:49:04</t>
  </si>
  <si>
    <t>Huétor Vega</t>
  </si>
  <si>
    <t>odt</t>
  </si>
  <si>
    <t>http://huetorvega.sedelectronica.es/transparency/9ba6f1e8-27e0-429b-b439-4e15581fef13/</t>
  </si>
  <si>
    <t>Partidos políticos, funcionarios...</t>
  </si>
  <si>
    <t>Aplicación móvil</t>
  </si>
  <si>
    <t>Interesados en el expediente</t>
  </si>
  <si>
    <t>El acceso es libre (hasta completar aforo). No hay que solicitarlo.</t>
  </si>
  <si>
    <t>https://www.youtube.com/user/aytohuetorvega</t>
  </si>
  <si>
    <t>Ruego y Preguntas</t>
  </si>
  <si>
    <t>Portal de Transparencia</t>
  </si>
  <si>
    <t xml:space="preserve">Solo para las mociones y Proposiciones. Para el resto de puntos, no.
Se trata de una tabla que recoge los acuerdos adoptados con información del grupo político proponente, así como el el certificado del acuerdo plenario. En la última columna se va indicando su grado de cumplimiento (Aprobado, rechazado, en ejecución o finalizado).
Esta tabla se encuentra publicada en el portal de transparencia: http://huetorvega.sedelectronica.es/transparency/5d8edcdc-063d-41dc-a39f-2a6e291f5fbc/
</t>
  </si>
  <si>
    <t>255</t>
  </si>
  <si>
    <t>2018-05-04 06:42:02</t>
  </si>
  <si>
    <t>Pedro Abad</t>
  </si>
  <si>
    <t>SECRETARIA</t>
  </si>
  <si>
    <t>CITACIÓN PERTSONAL</t>
  </si>
  <si>
    <t>www.ayunpedroabad.es</t>
  </si>
  <si>
    <t>www.ayunpedroabad.es/participacion_ciudadana/reglamento</t>
  </si>
  <si>
    <t>Control de su desarrollo por secretaría - intervención</t>
  </si>
  <si>
    <t>257</t>
  </si>
  <si>
    <t>2018-05-04 06:38:34</t>
  </si>
  <si>
    <t>Diputación de Soria</t>
  </si>
  <si>
    <t xml:space="preserve">A los expedientes se aporta documentación por diversas personas: Diputados, ciudadanos, departamentos, </t>
  </si>
  <si>
    <t>correo ordinario y electrónico</t>
  </si>
  <si>
    <t>solo terminada la sesión</t>
  </si>
  <si>
    <t>266</t>
  </si>
  <si>
    <t>Horcajo de Santiago</t>
  </si>
  <si>
    <t>Cuenca</t>
  </si>
  <si>
    <t>gestiona</t>
  </si>
  <si>
    <t>www.horcajodesantiago.es</t>
  </si>
  <si>
    <t>269</t>
  </si>
  <si>
    <t>2018-05-04 06:41:00</t>
  </si>
  <si>
    <t>Baños de Molgas</t>
  </si>
  <si>
    <t>Ourense</t>
  </si>
  <si>
    <t>no hay URL</t>
  </si>
  <si>
    <t>Non hay URL</t>
  </si>
  <si>
    <t>273</t>
  </si>
  <si>
    <t>2018-05-04 06:53:54</t>
  </si>
  <si>
    <t>Pesquera</t>
  </si>
  <si>
    <t>PLATAFORMA TRANSPARENCIA</t>
  </si>
  <si>
    <t>http://pesquera.cumpletransparencia.es/Pesquera/Institucional/actuacion-de-los-organos-de-go-actas-de-los-plenos</t>
  </si>
  <si>
    <t>281</t>
  </si>
  <si>
    <t>2018-05-04 06:46:35</t>
  </si>
  <si>
    <t>Romangordo</t>
  </si>
  <si>
    <t>Cáceres</t>
  </si>
  <si>
    <t>Asociaciones</t>
  </si>
  <si>
    <t>El acceso a las sesiones plenarias es libre</t>
  </si>
  <si>
    <t>En ningún caso</t>
  </si>
  <si>
    <t>283</t>
  </si>
  <si>
    <t>2018-05-04 06:49:16</t>
  </si>
  <si>
    <t>La Tala</t>
  </si>
  <si>
    <t>NO DISPONIBLE</t>
  </si>
  <si>
    <t>NUNCA</t>
  </si>
  <si>
    <t>285</t>
  </si>
  <si>
    <t>2018-05-04 06:52:00</t>
  </si>
  <si>
    <t>Carcaixent</t>
  </si>
  <si>
    <t>Plataforma Electrónica Gestiona</t>
  </si>
  <si>
    <t>No disponible</t>
  </si>
  <si>
    <t>no disponible</t>
  </si>
  <si>
    <t>http://www.carcaixent.es/va/listado-resumen/pleno</t>
  </si>
  <si>
    <t>287</t>
  </si>
  <si>
    <t>2018-05-04 07:02:50</t>
  </si>
  <si>
    <t>L'Alcúdia de Crespins</t>
  </si>
  <si>
    <t>http://alcudiadecrespins.sedelectronica.es/transparency/</t>
  </si>
  <si>
    <t>notificacion electrónica</t>
  </si>
  <si>
    <t>En el último punto del orden del día "intervención público asistente".</t>
  </si>
  <si>
    <t>293</t>
  </si>
  <si>
    <t>2018-05-04 06:58:07</t>
  </si>
  <si>
    <t>Bustarviejo</t>
  </si>
  <si>
    <t>Google Drive</t>
  </si>
  <si>
    <t>Todos los de Google</t>
  </si>
  <si>
    <t>Consejos Sectoriales</t>
  </si>
  <si>
    <t xml:space="preserve">Consejos Sectoriales. </t>
  </si>
  <si>
    <t>No hay que solicitarla</t>
  </si>
  <si>
    <t>Al final, fuera de la sesión oficial. Durante un tiempo convocamos al principio, pero no venía nadie</t>
  </si>
  <si>
    <t>Una persona de administración da cumplimiento cuando tramita las actas. Y el alcalde y concejales/as del equipo de gobierno anotan tareas y resuelven. Desconozco si el resto de la corporación "hace sus deberes" haciendo el seguimiento.</t>
  </si>
  <si>
    <t>295</t>
  </si>
  <si>
    <t>2018-05-04 06:54:57</t>
  </si>
  <si>
    <t>Gallegos de Solmiron</t>
  </si>
  <si>
    <t>299</t>
  </si>
  <si>
    <t>2018-05-04 07:08:48</t>
  </si>
  <si>
    <t>Montan</t>
  </si>
  <si>
    <t>360</t>
  </si>
  <si>
    <t>PRESENCIAL</t>
  </si>
  <si>
    <t>300</t>
  </si>
  <si>
    <t>2018-05-04 07:00:37</t>
  </si>
  <si>
    <t>Tembleque</t>
  </si>
  <si>
    <t>https://tembleque.sedelectronica.es/info.0</t>
  </si>
  <si>
    <t>LA TRAMITACIÓN DE LOS CORRESPONDIENTES EXPEDIENTES Y PUNTOS DEL ORDEN DEL DIA TRATADO EN LOS PLENOS</t>
  </si>
  <si>
    <t>301</t>
  </si>
  <si>
    <t>2018-05-04 07:19:26</t>
  </si>
  <si>
    <t>Alfara de la Baronia</t>
  </si>
  <si>
    <t>secretario-interventor</t>
  </si>
  <si>
    <t>PÁGINA WEB AYUNTAMIENTO</t>
  </si>
  <si>
    <t>CUANDO DA LA PALABRA EL ALCALDE</t>
  </si>
  <si>
    <t>307</t>
  </si>
  <si>
    <t>2018-05-04 07:50:45</t>
  </si>
  <si>
    <t>Matet</t>
  </si>
  <si>
    <t>NOTIFICACIÓN ELECTRÓNICA  A LOS CONCEJALES</t>
  </si>
  <si>
    <t>matet.sedelectronica.es/carpetaelectronica.1</t>
  </si>
  <si>
    <t>312</t>
  </si>
  <si>
    <t>2018-05-04 07:21:31</t>
  </si>
  <si>
    <t>Algemesí</t>
  </si>
  <si>
    <t>Gestdoc</t>
  </si>
  <si>
    <t>https://sede.algemesi.es/documentos/66586AB18274CC4F9442C7C1A0F0C790.pdf</t>
  </si>
  <si>
    <t xml:space="preserve">Deparatamentos Ayuntamiento </t>
  </si>
  <si>
    <t>No tiene</t>
  </si>
  <si>
    <t>Después del pleno se abre turno de consultas a la ciudadania</t>
  </si>
  <si>
    <t>320</t>
  </si>
  <si>
    <t>2018-05-04 07:38:10</t>
  </si>
  <si>
    <t>Solana de los Barros</t>
  </si>
  <si>
    <t xml:space="preserve">SE PERMITE AL FINAL DE LA SESION </t>
  </si>
  <si>
    <t>321</t>
  </si>
  <si>
    <t>2018-05-04 07:39:03</t>
  </si>
  <si>
    <t>Viladecans</t>
  </si>
  <si>
    <t>eDICTA y eDICTA Mobile</t>
  </si>
  <si>
    <t xml:space="preserve">https://seu.viladecans.cat/ca/ordenances-i-reglaments/reglament-organic-municipal.html
</t>
  </si>
  <si>
    <t>Portal de Transparencia. eDicta Mobile</t>
  </si>
  <si>
    <t>Estamos trabajando para la incorporación del trámite de "Solicitud de participación ciudadana" en línia a través de la sede electrónica</t>
  </si>
  <si>
    <t>Previa solicitud y acceptación previa</t>
  </si>
  <si>
    <t>https://seu.viladecans.cat/Documentacio/Ordenances/2013/Ordenanzasmunicipales/40Reglamentparticipaciociutadana.pdf</t>
  </si>
  <si>
    <t>Portal de transparcia</t>
  </si>
  <si>
    <t>Des de la alcaldia se realiza un seguimiento y evaluación de las mociones aprobadas y de su estado de ejecución</t>
  </si>
  <si>
    <t>Información a través de la página web municipal así como de la ejecución del PAM (Plan de Actuación Municipal)</t>
  </si>
  <si>
    <t>323</t>
  </si>
  <si>
    <t>2018-05-04 07:33:23</t>
  </si>
  <si>
    <t>Cirat</t>
  </si>
  <si>
    <t>JPG</t>
  </si>
  <si>
    <t>SEDE ELECTRÓNICA</t>
  </si>
  <si>
    <t>INTERESADOS</t>
  </si>
  <si>
    <t>https://cirat.sedelectronica.es/</t>
  </si>
  <si>
    <t>329</t>
  </si>
  <si>
    <t>2018-05-04 07:32:49</t>
  </si>
  <si>
    <t>Santa María del Tietar</t>
  </si>
  <si>
    <t>Ávila</t>
  </si>
  <si>
    <t>PLATAFORMA GESTIONA</t>
  </si>
  <si>
    <t>PORTAL DE TRANSPARENCIA SEDE ELECTRONICA</t>
  </si>
  <si>
    <t>AL FINALIZAR LA SESION</t>
  </si>
  <si>
    <t>PORTAL TRASNPARENCIA</t>
  </si>
  <si>
    <t>Sant Joan d'Alacant</t>
  </si>
  <si>
    <t>336</t>
  </si>
  <si>
    <t>2018-05-04 07:29:08</t>
  </si>
  <si>
    <t>Bejis</t>
  </si>
  <si>
    <t>SECRETARIA INTERVENCIÓN</t>
  </si>
  <si>
    <t>CORREO</t>
  </si>
  <si>
    <t>WEB</t>
  </si>
  <si>
    <t>338</t>
  </si>
  <si>
    <t>2018-05-04 07:48:26</t>
  </si>
  <si>
    <t>Badalona</t>
  </si>
  <si>
    <t>òrgans de Govern (de desarrollo propio)</t>
  </si>
  <si>
    <t>https://seu.badalona.cat/portalWeb/getfile?dID=17140&amp;rendition=web</t>
  </si>
  <si>
    <t>trámite no disponible en línia</t>
  </si>
  <si>
    <t xml:space="preserve">http://endirecte.badalona.cat/
</t>
  </si>
  <si>
    <t>http://endirecte.badalona.cat/</t>
  </si>
  <si>
    <t>346</t>
  </si>
  <si>
    <t>2018-05-04 07:36:58</t>
  </si>
  <si>
    <t>Naut Aran</t>
  </si>
  <si>
    <t>Lleida</t>
  </si>
  <si>
    <t xml:space="preserve">info@nautaran.org </t>
  </si>
  <si>
    <t>353</t>
  </si>
  <si>
    <t>2018-05-04 07:41:04</t>
  </si>
  <si>
    <t>Madridejos</t>
  </si>
  <si>
    <t xml:space="preserve">https://www.madridejos.es/images/documentos/ordenanzas/reglamento-participacion-ciudadana.pdf
</t>
  </si>
  <si>
    <t>SI ES INTERESADO EN EL PUNTO DEL ORDEN DEL DÍA</t>
  </si>
  <si>
    <t>PRESENCIALMENTE, NO SE NECESITA SOLICITAR ACCESO.</t>
  </si>
  <si>
    <t>CONEXIÓN SIN SOLICITUD EN: https://www.youtube.com/c/MadridejosEsTuVilla/live</t>
  </si>
  <si>
    <t>https://www.madridejos.es/images/documentos/ordenanzas/reglamento-participacion-ciudadana.pdf</t>
  </si>
  <si>
    <t>PÁGINA WEB MUNICIPAL, REDES SOCIALES Y MENSAJERÍA INSTANTÁNEA.</t>
  </si>
  <si>
    <t>355</t>
  </si>
  <si>
    <t>2018-05-04 07:41:16</t>
  </si>
  <si>
    <t>A traves de facebook</t>
  </si>
  <si>
    <t>356</t>
  </si>
  <si>
    <t>2018-05-04 07:48:20</t>
  </si>
  <si>
    <t>Palma de Mallorca</t>
  </si>
  <si>
    <t>500</t>
  </si>
  <si>
    <t>Página web del Consell de Mallorca</t>
  </si>
  <si>
    <t>https://seu.conselldemallorca.net/ca/normativa_propia</t>
  </si>
  <si>
    <t>Grupos políticos</t>
  </si>
  <si>
    <t>Solicitud que se ha de presentar de manera presencial en el registro general</t>
  </si>
  <si>
    <t>Siempre</t>
  </si>
  <si>
    <t>2018-05-04 08:02:49</t>
  </si>
  <si>
    <t>http://www.zamora.es/contenidos.aspx?id=691</t>
  </si>
  <si>
    <t>El acceso a las sesiones plenarias es público, no es necesario solicitar acceso</t>
  </si>
  <si>
    <t>Las sesiones plenarias se emiten en streaming a través de youtube https://www.youtube.com/channel/UCv0iP6j42T43WbYw68ZOqJw</t>
  </si>
  <si>
    <t>Se permite la participación siempre y cuando lo solicite previamente y se le conceda la palabra</t>
  </si>
  <si>
    <t>http://www.zamora.es/ficheros/Reglamento%20Org%C3%A1nico.pdf
http://www.zamora.es/img/cargadas/REGLAMENTO%20DE%20PARTICIPACION%20CIUDADANA%20Aprob%202012%20web-1.pdf</t>
  </si>
  <si>
    <t>375</t>
  </si>
  <si>
    <t>2018-05-04 08:02:51</t>
  </si>
  <si>
    <t>Azuelo</t>
  </si>
  <si>
    <t>----</t>
  </si>
  <si>
    <t>378</t>
  </si>
  <si>
    <t>2018-05-04 08:08:58</t>
  </si>
  <si>
    <t>Sant Llorenç des Cardassar</t>
  </si>
  <si>
    <t xml:space="preserve">Acuerdos y Resoluciones.  ABsis Informatica </t>
  </si>
  <si>
    <t>http://www.santllorenc.cat/santllorenc/ca</t>
  </si>
  <si>
    <t>no se permite</t>
  </si>
  <si>
    <t>379</t>
  </si>
  <si>
    <t>2018-05-04 08:07:59</t>
  </si>
  <si>
    <t>Estepar</t>
  </si>
  <si>
    <t>secretaria</t>
  </si>
  <si>
    <t>no se puede seguir en línea</t>
  </si>
  <si>
    <t xml:space="preserve">no </t>
  </si>
  <si>
    <t>WEB AYUNTAMIENTO</t>
  </si>
  <si>
    <t>383</t>
  </si>
  <si>
    <t>2018-05-04 08:11:12</t>
  </si>
  <si>
    <t>Villargordo del Cabriel</t>
  </si>
  <si>
    <t>612</t>
  </si>
  <si>
    <t>Secretaría-intervención</t>
  </si>
  <si>
    <t>Bandomóvil</t>
  </si>
  <si>
    <t>Se solicita presesencial</t>
  </si>
  <si>
    <t>No hay participación ciudadana</t>
  </si>
  <si>
    <t>411</t>
  </si>
  <si>
    <t>2018-05-04 08:38:16</t>
  </si>
  <si>
    <t>Sant Just Desvern</t>
  </si>
  <si>
    <t>SIGANET, de creación municipal</t>
  </si>
  <si>
    <t xml:space="preserve">https://www.seu-e.cat/web/santjustdesvern/govern-obert-i-transparencia/accio-de-govern-i-normativa/normativa-plans-i-programes/ordenances-reguladores-i-reglaments
</t>
  </si>
  <si>
    <t>Equipo técnico</t>
  </si>
  <si>
    <t>mail, nota informativa</t>
  </si>
  <si>
    <t>Acceso abierto y en directo: http://ple.santjust.net/#/</t>
  </si>
  <si>
    <t>http://ple.santjust.net/#/</t>
  </si>
  <si>
    <t>Al final del pleno en un punto específico</t>
  </si>
  <si>
    <t>En el mismo ROM del Ayuntamiento se regula la participación del público.</t>
  </si>
  <si>
    <t>Se publica semestralmente toda la relación de mociones tratadas en el pleno y se da dicha información en el mismo pleno.</t>
  </si>
  <si>
    <t>412</t>
  </si>
  <si>
    <t>2018-05-04 08:38:00</t>
  </si>
  <si>
    <t>Yebes</t>
  </si>
  <si>
    <t>http://yebes.sedelectronica.es/transparency/507ee0ef-5d25-45be-85b7-61b83cca174d/</t>
  </si>
  <si>
    <t>Audio video</t>
  </si>
  <si>
    <t>http://yebes.sedelectronica.es/transparency/710677ea-88aa-4cf5-916c-c6ac4de5bb4b/</t>
  </si>
  <si>
    <t>En sesiones ordinarias, una vez finalizado el orden del día</t>
  </si>
  <si>
    <t>414</t>
  </si>
  <si>
    <t>2018-05-04 08:38:21</t>
  </si>
  <si>
    <t>Ayuntamiento de Collbató</t>
  </si>
  <si>
    <t xml:space="preserve">https://www.collbato.cat/ajuntament-seu-electronica.htm
</t>
  </si>
  <si>
    <t>después del turno de ruegos y preguntas</t>
  </si>
  <si>
    <t>Pagina web municipal</t>
  </si>
  <si>
    <t>419</t>
  </si>
  <si>
    <t>2018-05-04 08:43:56</t>
  </si>
  <si>
    <t>Palau-solità i Plegamans</t>
  </si>
  <si>
    <t>Absis Gestor de Expedientes (GEWEB)</t>
  </si>
  <si>
    <t>http://www.palauplegamans.cat/files/doc3847/rom-ple-26072012.pdf</t>
  </si>
  <si>
    <t>Grupos Municipales</t>
  </si>
  <si>
    <t>http://www.radiopalau.cat/pl3/programacio/id15/ple-de-l-ajuntament-retransmissio.htm</t>
  </si>
  <si>
    <t>Al Finalizar la sesión</t>
  </si>
  <si>
    <t>430</t>
  </si>
  <si>
    <t>2018-05-04 09:00:35</t>
  </si>
  <si>
    <t>Mondoñedo</t>
  </si>
  <si>
    <t>XESTIONA</t>
  </si>
  <si>
    <t>NO ESTA EN DISPOSICION EN UNA URL</t>
  </si>
  <si>
    <t>NO ESTA EN DISPOSICION DE NINGUNA URL</t>
  </si>
  <si>
    <t>437</t>
  </si>
  <si>
    <t>2018-05-04 09:08:36</t>
  </si>
  <si>
    <t>Nogueira de Ramuin</t>
  </si>
  <si>
    <t>GRAVADORA</t>
  </si>
  <si>
    <t>MAIL</t>
  </si>
  <si>
    <t>PAG. WEB</t>
  </si>
  <si>
    <t>438</t>
  </si>
  <si>
    <t>2018-05-04 09:13:54</t>
  </si>
  <si>
    <t>Membrio</t>
  </si>
  <si>
    <t>ADMINISTRACION</t>
  </si>
  <si>
    <t>NOTIFICACION PERSONAL</t>
  </si>
  <si>
    <t>PERSONAL</t>
  </si>
  <si>
    <t>440</t>
  </si>
  <si>
    <t>2018-05-04 09:18:41</t>
  </si>
  <si>
    <t>Cervera del Maestre</t>
  </si>
  <si>
    <t>650</t>
  </si>
  <si>
    <t>www.cerveradelmaestre.es</t>
  </si>
  <si>
    <t>442</t>
  </si>
  <si>
    <t>2018-05-04 09:21:00</t>
  </si>
  <si>
    <t>La Vall D'Ebo</t>
  </si>
  <si>
    <t>454</t>
  </si>
  <si>
    <t>2018-05-04 09:41:50</t>
  </si>
  <si>
    <t>Barbadillo</t>
  </si>
  <si>
    <t>NOTIFICACION CONCEJALES</t>
  </si>
  <si>
    <t>456</t>
  </si>
  <si>
    <t>2018-05-04 09:47:57</t>
  </si>
  <si>
    <t>Tossa de Mar</t>
  </si>
  <si>
    <t>Girona</t>
  </si>
  <si>
    <t>http://www.tossademar.cat/actadigital/</t>
  </si>
  <si>
    <t>457</t>
  </si>
  <si>
    <t>2018-05-04 09:50:08</t>
  </si>
  <si>
    <t>Torrelodones</t>
  </si>
  <si>
    <t>GEST DOC</t>
  </si>
  <si>
    <t xml:space="preserve">https://www.torrelodones.es/images/archivos/ordenanzas/TextoInicialReglamentoOrganicoMunicipal.pdf </t>
  </si>
  <si>
    <t>https://www.torrelodones.es/plenos-transparencia</t>
  </si>
  <si>
    <t>https://www.torrelodones.es/images/archivos/ordenanzas/TextoInicialReglamentoOrganicoMunicipal.pdf 
Art.106</t>
  </si>
  <si>
    <t>Revista municipal
Redes sociales Municipales</t>
  </si>
  <si>
    <t>470</t>
  </si>
  <si>
    <t>2018-05-04 10:08:14</t>
  </si>
  <si>
    <t>Miajas</t>
  </si>
  <si>
    <t>GESTOR DE EXPEDIENTES</t>
  </si>
  <si>
    <t>http://miajadas.org/</t>
  </si>
  <si>
    <t>473</t>
  </si>
  <si>
    <t>2018-05-04 10:14:14</t>
  </si>
  <si>
    <t>Alcudia de Veo</t>
  </si>
  <si>
    <t>NOTIFICACION ELECTRÓNICA</t>
  </si>
  <si>
    <t>http://alcudiadeveo.sedelectronica.es</t>
  </si>
  <si>
    <t>portal transparencia</t>
  </si>
  <si>
    <t>483</t>
  </si>
  <si>
    <t>2018-05-04 10:26:20</t>
  </si>
  <si>
    <t>El Toro</t>
  </si>
  <si>
    <t>GETIONA ESPUBLICO</t>
  </si>
  <si>
    <t>https://eltoro.sedelectronica.es/info.0</t>
  </si>
  <si>
    <t>AL FINAL DE LA SESIÓN PLENARIA</t>
  </si>
  <si>
    <t>486</t>
  </si>
  <si>
    <t>2018-05-04 10:28:15</t>
  </si>
  <si>
    <t>Sant Joan de les Abadesses</t>
  </si>
  <si>
    <t>Gestor de expedientes</t>
  </si>
  <si>
    <t>www.santjoandelesabadesses.cat</t>
  </si>
  <si>
    <t>En el turno abierto al final de la sesión plenaria</t>
  </si>
  <si>
    <t>487</t>
  </si>
  <si>
    <t>2018-05-04 10:35:51</t>
  </si>
  <si>
    <t>Castellar de Santiago</t>
  </si>
  <si>
    <t xml:space="preserve">ORDENADOR </t>
  </si>
  <si>
    <t>PROYECTOR</t>
  </si>
  <si>
    <t>www.castellarsedantiago.es
http://www.castellardesantiago.com/Ficheros/PTransparencia/normativaMunicipal/REGLAMENTO%20ORGANICO%20MUNICIPAL.2008.pdf</t>
  </si>
  <si>
    <t>No existe acceso directo a la sesión de pleno ya que debe ser presencial</t>
  </si>
  <si>
    <t>en ruegos y preguntas</t>
  </si>
  <si>
    <t>en la pagina web del ayuntamiento</t>
  </si>
  <si>
    <t>488</t>
  </si>
  <si>
    <t>2018-05-04 10:30:24</t>
  </si>
  <si>
    <t>Barreiros</t>
  </si>
  <si>
    <t>Gestiona (Es publico)</t>
  </si>
  <si>
    <t>otras Administraciones Públicas</t>
  </si>
  <si>
    <t>Solo se admite el acceso presencial</t>
  </si>
  <si>
    <t>en casos puntuales</t>
  </si>
  <si>
    <t>490</t>
  </si>
  <si>
    <t>2018-05-04 10:41:18</t>
  </si>
  <si>
    <t>Algueña</t>
  </si>
  <si>
    <t>GESTOR DOCUMENTAL GESTIONA. ES PÚBLICO</t>
  </si>
  <si>
    <t>https://www.youtube.com/channel/UCTDH89AYIxL9_7aV4JScDfg</t>
  </si>
  <si>
    <t>492</t>
  </si>
  <si>
    <t>2018-05-04 10:38:39</t>
  </si>
  <si>
    <t>Moratalla</t>
  </si>
  <si>
    <t>Murcia</t>
  </si>
  <si>
    <t>ES PUBLICO GESTIONA</t>
  </si>
  <si>
    <t>https://www.borm.es/borm/documento?obj=anu&amp;id=749314</t>
  </si>
  <si>
    <t>Acceso abierto</t>
  </si>
  <si>
    <t>http://www.ayuntamientomoratalla.com/index.php/sede-electronica/plenos-del-ayuntamiento-de-moratalla-en-directo</t>
  </si>
  <si>
    <t>PUNTO ESPECIFICO AL FINAL DE PLENO</t>
  </si>
  <si>
    <t>2018-05-04 10:47:14</t>
  </si>
  <si>
    <t>Maguilla</t>
  </si>
  <si>
    <t>WWW.MAGUILLA.ES</t>
  </si>
  <si>
    <t>502</t>
  </si>
  <si>
    <t>2018-05-04 10:59:55</t>
  </si>
  <si>
    <t>Bornos</t>
  </si>
  <si>
    <t>Cádiz</t>
  </si>
  <si>
    <t>Interesados en el procedimiento</t>
  </si>
  <si>
    <t>El acceso presencial es libre</t>
  </si>
  <si>
    <t>https://gobiernoabierto.dipucadiz.es/uploads/indicadores/1469429886685.pdf</t>
  </si>
  <si>
    <t>504</t>
  </si>
  <si>
    <t>2018-05-04 10:54:03</t>
  </si>
  <si>
    <t>Morcín</t>
  </si>
  <si>
    <t>Asturias</t>
  </si>
  <si>
    <t>Open Certiac Gestor de Documentos y luego se envían al Principado y al Estado por la Plataforma de Entidades Locales</t>
  </si>
  <si>
    <t>Personal Municipal (Secretario, Arquitecto, otros</t>
  </si>
  <si>
    <t xml:space="preserve">www.morcin.es
</t>
  </si>
  <si>
    <t>En principio no se ponen travas a nadie si quiere intervenir. No es muy frecuente</t>
  </si>
  <si>
    <t>El Secretario-Interventor a través del programa de gestor de expedientes</t>
  </si>
  <si>
    <t>507</t>
  </si>
  <si>
    <t>2018-05-04 11:12:23</t>
  </si>
  <si>
    <t>Bollullos de la Mitación</t>
  </si>
  <si>
    <t>Sevilla</t>
  </si>
  <si>
    <t>Convoca</t>
  </si>
  <si>
    <t>https://bollullosdelamitacion.org/consistorio/organos</t>
  </si>
  <si>
    <t>Personal técnico</t>
  </si>
  <si>
    <t xml:space="preserve">Vecinas/os que les afecte el punto del día.  </t>
  </si>
  <si>
    <t xml:space="preserve">No existe. Puede acceder sin permiso. </t>
  </si>
  <si>
    <t xml:space="preserve">Al final de la sesión plenaria, existe un turno de ruegos y preguntas. </t>
  </si>
  <si>
    <t>Videoacta</t>
  </si>
  <si>
    <t>510</t>
  </si>
  <si>
    <t>2018-05-04 11:11:23</t>
  </si>
  <si>
    <t>Isla Cristina</t>
  </si>
  <si>
    <t>WWW.islacristina.org</t>
  </si>
  <si>
    <t>DEPARTAMENTOS MUNICIPALES</t>
  </si>
  <si>
    <t>DEPARTAMENTOS MUNICIPAELS</t>
  </si>
  <si>
    <t>no hay</t>
  </si>
  <si>
    <t>página webb</t>
  </si>
  <si>
    <t>514</t>
  </si>
  <si>
    <t>2018-05-04 11:21:07</t>
  </si>
  <si>
    <t>Bimenes</t>
  </si>
  <si>
    <t>gestiona. espublico</t>
  </si>
  <si>
    <t>ninguna</t>
  </si>
  <si>
    <t>a través de las redes sociales</t>
  </si>
  <si>
    <t>515</t>
  </si>
  <si>
    <t>2018-05-04 11:24:11</t>
  </si>
  <si>
    <t>villanueva de azoague</t>
  </si>
  <si>
    <t>notificacion personal</t>
  </si>
  <si>
    <t>519</t>
  </si>
  <si>
    <t>2018-05-04 11:28:32</t>
  </si>
  <si>
    <t>Llaurí</t>
  </si>
  <si>
    <t>REGISTRO ENTRADA</t>
  </si>
  <si>
    <t>TEMAS DE INTERES MUNICIPAL</t>
  </si>
  <si>
    <t>REDES SOCIALES</t>
  </si>
  <si>
    <t>522</t>
  </si>
  <si>
    <t>2018-05-04 11:33:53</t>
  </si>
  <si>
    <t>Aitona</t>
  </si>
  <si>
    <t>Viafirma</t>
  </si>
  <si>
    <t>http://bop.diputaciolleida.cat/faces/consultaF/servlets/donarEdicte/?id=2017_81_2989
http://media.seu-e.cat/acteca/2503870005/2017/31097010-c5e2-4b9b-9683-b6d2a54d60a4/20170525%20acta.pdf</t>
  </si>
  <si>
    <t>Ninguno</t>
  </si>
  <si>
    <t>https://www.seu-e.cat/web/aitona/govern-obert-i-transparencia/accio-de-govern-i-normativa/accio-de-govern-i-partits-politics/actes-de-ple</t>
  </si>
  <si>
    <t>Se cuida el secretario.</t>
  </si>
  <si>
    <t>529</t>
  </si>
  <si>
    <t>2018-05-08 07:29:08</t>
  </si>
  <si>
    <t>Chiclana de la Frontera</t>
  </si>
  <si>
    <t>OCS Aplicación propia desarrollada usando OpenEdge</t>
  </si>
  <si>
    <t xml:space="preserve">https://www.chiclana.es/fileadmin/user_upload/acuerdos/ANUNCIO_INICIAL_Web_y_Tablon_modificacion_ROM_2018_firmado.pdf
</t>
  </si>
  <si>
    <t>es público</t>
  </si>
  <si>
    <t>531</t>
  </si>
  <si>
    <t>2018-05-04 11:42:29</t>
  </si>
  <si>
    <t>El Franco</t>
  </si>
  <si>
    <t>CORREO ELECTRONICO</t>
  </si>
  <si>
    <t>www.elfranco.es</t>
  </si>
  <si>
    <t>533</t>
  </si>
  <si>
    <t>2018-05-04 11:50:21</t>
  </si>
  <si>
    <t>Zarzalejo</t>
  </si>
  <si>
    <t>AYUNTAMIENTO</t>
  </si>
  <si>
    <t>NO SE ENTIENDE</t>
  </si>
  <si>
    <t>http://zarzalejo.sedelectronica.es</t>
  </si>
  <si>
    <t>UNA VEZ TERMINADO EL PLENO</t>
  </si>
  <si>
    <t>SE EJECUTAN LOS ACUERDOS ADOPTADOS</t>
  </si>
  <si>
    <t>PUEDEN CONSULTAR PRESENTANDO UN ESCRITO</t>
  </si>
  <si>
    <t>538</t>
  </si>
  <si>
    <t>2018-05-04 12:02:41</t>
  </si>
  <si>
    <t>Artés</t>
  </si>
  <si>
    <t>Gestiona (EsPublico)</t>
  </si>
  <si>
    <t>http://www.artes.cat/sites/default/files/documents/Reglament%20Org%C3%A0nic%20Municipal%20%28ROM%29.pdf
https://seu-e.cat/web/artes/govern-obert-i-transparencia/accio-de-govern-i-normativa/normativa-plans-i-programes/ordenances-reguladores-i-reglaments
http://cido.diba.cat/normativa_local/1578772/reglament-organic-municipal-ajuntament-dartes</t>
  </si>
  <si>
    <t>http://www.tvartes.cat</t>
  </si>
  <si>
    <t>543</t>
  </si>
  <si>
    <t>Tegueste</t>
  </si>
  <si>
    <t>S/C de Tenerife</t>
  </si>
  <si>
    <t>OPENSSESION</t>
  </si>
  <si>
    <t>https://sede.tegueste.es/publico/ordenanza/043</t>
  </si>
  <si>
    <t>http://www.tegueste.es/</t>
  </si>
  <si>
    <t>https://sede.tegueste.es/publico/ordenanza/050</t>
  </si>
  <si>
    <t>546</t>
  </si>
  <si>
    <t>2018-05-04 12:12:57</t>
  </si>
  <si>
    <t>Ayuntamiento de Dénia</t>
  </si>
  <si>
    <t xml:space="preserve">Solución de administración electrónica de Absis Berger-Levrault </t>
  </si>
  <si>
    <t>http://www.denia.es/adjuntos/normativa/rom.pdf</t>
  </si>
  <si>
    <t>Responsables de los departamentos</t>
  </si>
  <si>
    <t>http://www.denia.es/es/institucion/actes/index.aspx</t>
  </si>
  <si>
    <t>https://www.youtube.com/user/ajuntamentdedenia</t>
  </si>
  <si>
    <t>En el punto de ruegos y preguntas</t>
  </si>
  <si>
    <t>http://www.denia.es/adjuntos/normativa/reg_part_ciudadana.pdf</t>
  </si>
  <si>
    <t>561</t>
  </si>
  <si>
    <t>2018-05-04 12:33:20</t>
  </si>
  <si>
    <t>Merindad de Valdivielso</t>
  </si>
  <si>
    <t xml:space="preserve">GESTIONA </t>
  </si>
  <si>
    <t>562</t>
  </si>
  <si>
    <t>2018-05-04 12:38:55</t>
  </si>
  <si>
    <t>Benalup Casas Viejas</t>
  </si>
  <si>
    <t>www.ayuntamientode benalupcasasviejas</t>
  </si>
  <si>
    <t xml:space="preserve">PREVIA AUTORIZACION DE ALCALDIA </t>
  </si>
  <si>
    <t>566</t>
  </si>
  <si>
    <t>2018-05-04 12:53:04</t>
  </si>
  <si>
    <t>Torrejon de Ardoz</t>
  </si>
  <si>
    <t>WWW.AYTO-TORREJON.ES</t>
  </si>
  <si>
    <t>OPOSICION</t>
  </si>
  <si>
    <t>INTRANET Y EN PAPEL Y BANDOS DE ALCALDÍA</t>
  </si>
  <si>
    <t>PAPEL</t>
  </si>
  <si>
    <t>572</t>
  </si>
  <si>
    <t>2018-05-04 13:06:46</t>
  </si>
  <si>
    <t>Ciutadella de Menorca</t>
  </si>
  <si>
    <t>Gestor web</t>
  </si>
  <si>
    <t>http://www.ajciutadella.org/WebEditor/Pagines/file/Transparencia/REGLAMENT%20ORGANIC%20MUNICIPAL%20ROM(CORREGIT).pdf</t>
  </si>
  <si>
    <t>técnico/tecnica</t>
  </si>
  <si>
    <t>https://livestream.com/accounts/16175291</t>
  </si>
  <si>
    <t>http://www.ajciutadella.org/WebEditor/Pagines/file/Reglaments/Reglament%20participaci%C3%B3%20ciutadana%20(1).pdf  (actualment en revisió)</t>
  </si>
  <si>
    <t>577</t>
  </si>
  <si>
    <t>2018-05-04 14:04:51</t>
  </si>
  <si>
    <t>Arafo</t>
  </si>
  <si>
    <t>OPENSESION</t>
  </si>
  <si>
    <t>Video e Imagenes</t>
  </si>
  <si>
    <t>http://www.arafo.es/plenos.html</t>
  </si>
  <si>
    <t>Técnicos Municipales</t>
  </si>
  <si>
    <t xml:space="preserve">Formato Papel </t>
  </si>
  <si>
    <t>http://www.arafo.es/tramites-y-gestiones.html</t>
  </si>
  <si>
    <t>http://www.arafo.es/r-participacion-definitivo.html</t>
  </si>
  <si>
    <t>foramato papel</t>
  </si>
  <si>
    <t>Contestación a preguntas formuladas a traves del portal de Transparencia</t>
  </si>
  <si>
    <t>580</t>
  </si>
  <si>
    <t>2018-05-04 14:10:25</t>
  </si>
  <si>
    <t>Puente la Reina/Gares</t>
  </si>
  <si>
    <t>Técnicxs municipales</t>
  </si>
  <si>
    <t>Técnicxs</t>
  </si>
  <si>
    <t>http://www.puentelareina-gares.es/</t>
  </si>
  <si>
    <t>581</t>
  </si>
  <si>
    <t>2018-05-04 14:52:58</t>
  </si>
  <si>
    <t>Cambre</t>
  </si>
  <si>
    <t>TEDeC (Plataforma de tramitación electrónica de expedientes de la Diputación de A Coruña)</t>
  </si>
  <si>
    <t>http://www.cambre.es/wp-content/uploads/2018/02/Regulamento_Organico_Municipal_2018.pdf</t>
  </si>
  <si>
    <t>No se necesita cita previa para asistencia presencial. El salón de sesiones está abierto a todo el público que lo desee.</t>
  </si>
  <si>
    <t>http://www.cambre.es/concello/publicacions/plenos-municipais/</t>
  </si>
  <si>
    <t xml:space="preserve">Previa petición por escrito </t>
  </si>
  <si>
    <t>http://www.cambre.es/concello/publicacions/ordenanzas-municipais/</t>
  </si>
  <si>
    <t>video acta</t>
  </si>
  <si>
    <t>595</t>
  </si>
  <si>
    <t>2018-05-04 21:14:52</t>
  </si>
  <si>
    <t>Castellanos de Zapardiel</t>
  </si>
  <si>
    <t>CORREO CERTIFICADO</t>
  </si>
  <si>
    <t>aytocastellanosdezapardiel@yahoo.es</t>
  </si>
  <si>
    <t>pagina web, tablón de anuncios.</t>
  </si>
  <si>
    <t>pagina web y tablón de anuncios</t>
  </si>
  <si>
    <t>596</t>
  </si>
  <si>
    <t>2018-05-04 21:21:04</t>
  </si>
  <si>
    <t>Blasconuño de Matacabras</t>
  </si>
  <si>
    <t>aytoblasmatacabras@yahoo.es</t>
  </si>
  <si>
    <t>597</t>
  </si>
  <si>
    <t>2018-05-04 21:30:04</t>
  </si>
  <si>
    <t>Barroman</t>
  </si>
  <si>
    <t>aytobarroman@yahoo.es</t>
  </si>
  <si>
    <t>598</t>
  </si>
  <si>
    <t>2018-05-04 21:33:52</t>
  </si>
  <si>
    <t>San Esteban de Zapardiel</t>
  </si>
  <si>
    <t>aytosanestebandezapardiel@yahoo.es</t>
  </si>
  <si>
    <t>pagina web</t>
  </si>
  <si>
    <t>599</t>
  </si>
  <si>
    <t>2018-05-04 21:39:30</t>
  </si>
  <si>
    <t>Moraleja de Matacabras</t>
  </si>
  <si>
    <t>aytomoralejademtacabras@yahoo.es</t>
  </si>
  <si>
    <t>600</t>
  </si>
  <si>
    <t>2018-05-04 23:12:25</t>
  </si>
  <si>
    <t>Peñarroya-Pueblonuevo</t>
  </si>
  <si>
    <t>Correo electrónico</t>
  </si>
  <si>
    <t>https://bop.dipucordoba.es/show/20160602/announcement/1707</t>
  </si>
  <si>
    <t>Es de acceso libre, no hay necesidad de solicitar el acceso a la sesión de pleno.</t>
  </si>
  <si>
    <t>www.infoguadiato.com</t>
  </si>
  <si>
    <t>602</t>
  </si>
  <si>
    <t>2018-05-05 08:27:41</t>
  </si>
  <si>
    <t xml:space="preserve">Berlanga de Duero </t>
  </si>
  <si>
    <t xml:space="preserve">Gestiona público </t>
  </si>
  <si>
    <t xml:space="preserve">Alumnos del colegio </t>
  </si>
  <si>
    <t xml:space="preserve">Secretario </t>
  </si>
  <si>
    <t xml:space="preserve">Correo electrónico </t>
  </si>
  <si>
    <t>No se</t>
  </si>
  <si>
    <t xml:space="preserve">Al final En ruegos y preguntas </t>
  </si>
  <si>
    <t>605</t>
  </si>
  <si>
    <t>2018-05-05 19:37:49</t>
  </si>
  <si>
    <t>Cieza</t>
  </si>
  <si>
    <t>videoacta y Gestion documental de T-System</t>
  </si>
  <si>
    <t>https://sede.cieza.es/portal/sede/0se_contenedor1.jsp?seccion=s_fdoc_d4_v20.jsp&amp;contenido=119&amp;tipo=5&amp;nivel=1400&amp;layout=se_contenedor1.jsp&amp;codResi=1&amp;language=es&amp;codAdirecto=357</t>
  </si>
  <si>
    <t>plenos.cieza.es</t>
  </si>
  <si>
    <t>http://www.cieza.es/portal/2015ElAyuntamiento_IAC.jsp</t>
  </si>
  <si>
    <t>Este concejal de Transparencia se encarga de llevar una hoja excel que los acuerdos pendientes de realizar y anota cuando se cumplen.</t>
  </si>
  <si>
    <t>606</t>
  </si>
  <si>
    <t>2018-05-05 20:48:45</t>
  </si>
  <si>
    <t>Sant Feliu de Llobregat</t>
  </si>
  <si>
    <t>BPM (proveedor externo) y GD-Matrix (herramienta propia corporativa)</t>
  </si>
  <si>
    <t>http://www.santfeliu.cat/documents/d8175fd0-20fd-4be6-9c07-4b00c217d247/Reglament_Organic_Municipal_ROM.pdf</t>
  </si>
  <si>
    <t>Carpeta del concejal</t>
  </si>
  <si>
    <t>Presencialmente, el acceso a la sesión de pleno es libre. Para poder presentar una moción, se pueden dirigir o bien a través del Registro electrónico http://www.santfeliu.cat/common/cases/case_search.faces?smid=23240 o bien a la Oficina de Asistencia en materia de registros</t>
  </si>
  <si>
    <t>https://www.santfeliu.cat/common/util/blank.faces?xmid=26308</t>
  </si>
  <si>
    <t>Se recoge la participación ciudadana en el Pleno en el propio Reglamento Orgánico Municipal https://www.santfeliu.cat/documents/d8175fd0-20fd-4be6-9c07-4b00c217d247/Reglament_Organic_Municipal_ROM.pdf
Este Reglamento se remite al Reglamento de Participación y Colaboración Ciudadana que actualmente está en tramitación.</t>
  </si>
  <si>
    <t>Y en el propio BPM</t>
  </si>
  <si>
    <t>Estamos en fase de incorporar la video acta</t>
  </si>
  <si>
    <t>En fase de incorporación de la Video Acta</t>
  </si>
  <si>
    <t>El BPM permite hacer un seguimiento de los puntos del pleno. El funcionamiento es el siguiente: todos los puntos del pleno tienen un expediente asociado (incluidas las mociones) que se tramitan por los departamentos correspondientes, generando la propuesta de acuerdo que se eleva a la Comisión Informativa correspondiente. Una vez dictaminadas esas propuestas de acuerdo (mediante un expediente que se crea para cada una de las comisiones informativas), Secretaria abre el expediente de ACTA de pleno que recoge todos los dictámenes de las comisiones informativas. En ese expediente de ACTA de Pleno se genera el orden del día, el Acta del Pleno y los Acuerdos, devolviendo el resultado a los expedientes iniciales para que los departamentos puedan seguir con la tramitación (notificación, publicación, etc.)</t>
  </si>
  <si>
    <t>Existen diferentes maneras de informar del grado de cumplimiento de los acuerdos, en función del tipo de acuerdo. Aquellos relacionados con el PAM, se informa en la misma herramienta que está a disposición del Ayuntamiento: https://www.santfeliu.cat/go.faces?xmid=27425
Otra información está publicada en el Portal de Transparencia (subvenciones, convenios, presupuesto...): https://www.santfeliu.cat/common/doc/document.faces?xmid=21334
Estamos trabajando además para incorporar nuevas herramientas de rendición de cuentas relacionadas con el PIM y también mejorar la herramienta del PAM</t>
  </si>
  <si>
    <t>2018-05-06 18:41:23</t>
  </si>
  <si>
    <t>Moncofa</t>
  </si>
  <si>
    <t>Funcionarios</t>
  </si>
  <si>
    <t>https://www.youtube.com/channel/UCXWzYc8EYHbWfAk4EbjXWJw</t>
  </si>
  <si>
    <t>Tras el punto de ruegos y preguntas</t>
  </si>
  <si>
    <t>616</t>
  </si>
  <si>
    <t>2018-05-07 05:09:36</t>
  </si>
  <si>
    <t>Vilafames</t>
  </si>
  <si>
    <t>http://vilafames.org/es/</t>
  </si>
  <si>
    <t>618</t>
  </si>
  <si>
    <t>2018-05-07 06:02:43</t>
  </si>
  <si>
    <t>Carrocera</t>
  </si>
  <si>
    <t>León</t>
  </si>
  <si>
    <t>INEXISTENTE</t>
  </si>
  <si>
    <t>624</t>
  </si>
  <si>
    <t>2018-05-07 06:10:43</t>
  </si>
  <si>
    <t>Ogíjares</t>
  </si>
  <si>
    <t>FUNCIONARIOS</t>
  </si>
  <si>
    <t>http://ayuntamientodeogijares.es/retransmisiones-del-pleno/</t>
  </si>
  <si>
    <t>629</t>
  </si>
  <si>
    <t>2018-05-07 06:51:09</t>
  </si>
  <si>
    <t>Valdepeñas</t>
  </si>
  <si>
    <t>Gestor de expedientes propio</t>
  </si>
  <si>
    <t>Medios de comunicación locales</t>
  </si>
  <si>
    <t>http://plenos.valdepenas.es</t>
  </si>
  <si>
    <t>https://www.youtube.com/channel/UCBPiPoCkc8bS_7YOlKwblwQ</t>
  </si>
  <si>
    <t>No se permiten.</t>
  </si>
  <si>
    <t>Aplicación de gestión de la sesión</t>
  </si>
  <si>
    <t>634</t>
  </si>
  <si>
    <t>2018-05-07 06:52:36</t>
  </si>
  <si>
    <t>Torreblanca</t>
  </si>
  <si>
    <t>CONSTA EN EL EXPTE</t>
  </si>
  <si>
    <t>No consta ninguna url</t>
  </si>
  <si>
    <t>SE REALIZA MEDIANTE CONCEJALES</t>
  </si>
  <si>
    <t>638</t>
  </si>
  <si>
    <t>2018-05-07 07:06:07</t>
  </si>
  <si>
    <t>Polop</t>
  </si>
  <si>
    <t>Sede Electrónica, Portal de Transparencia</t>
  </si>
  <si>
    <t xml:space="preserve">no hay uRL. </t>
  </si>
  <si>
    <t>sede Electrónica y Portal de Tranparencia</t>
  </si>
  <si>
    <t>639</t>
  </si>
  <si>
    <t>2018-05-07 07:08:55</t>
  </si>
  <si>
    <t>Alcolea del Río</t>
  </si>
  <si>
    <t>notificación personal</t>
  </si>
  <si>
    <t>645</t>
  </si>
  <si>
    <t>2018-05-07 07:17:23</t>
  </si>
  <si>
    <t>Pozal de Gallinas</t>
  </si>
  <si>
    <t>Valladolid</t>
  </si>
  <si>
    <t>NO SE PERMITE</t>
  </si>
  <si>
    <t>2018-05-07 07:18:53</t>
  </si>
  <si>
    <t>Lupión</t>
  </si>
  <si>
    <t>Jaén</t>
  </si>
  <si>
    <t>659</t>
  </si>
  <si>
    <t>2018-05-07 07:26:41</t>
  </si>
  <si>
    <t>Moraleja de las Panaderas</t>
  </si>
  <si>
    <t>660</t>
  </si>
  <si>
    <t>2018-05-07 07:41:35</t>
  </si>
  <si>
    <t>Teror</t>
  </si>
  <si>
    <t>Las Palmas</t>
  </si>
  <si>
    <t>GESTIONA (GESTOR DE EXPEDIENTE)</t>
  </si>
  <si>
    <t>http://www.teror.es/images/stories/pdf/NORMATIVAS/reglamentos/Reglamento_pleno_comisiones_pleno.pdf</t>
  </si>
  <si>
    <t>NO ES NECESARIO HACER SOLICITUD</t>
  </si>
  <si>
    <t>https://www.youtube.com/channel/UCikiouO4P52DoCjrNnS69Uw/live</t>
  </si>
  <si>
    <t>NO SE PERMITE CON EL REGLAMENTO ACTUAL</t>
  </si>
  <si>
    <t>CADA CONCEJALÍA EJECUTA LO ACORDADO EN PLENO</t>
  </si>
  <si>
    <t>661</t>
  </si>
  <si>
    <t>2018-05-07 07:29:55</t>
  </si>
  <si>
    <t>Benifairó de les Valls</t>
  </si>
  <si>
    <t xml:space="preserve">gestiona </t>
  </si>
  <si>
    <t>664</t>
  </si>
  <si>
    <t>2018-05-07 07:36:07</t>
  </si>
  <si>
    <t>Secastilla</t>
  </si>
  <si>
    <t>VOZ SIN VOTO</t>
  </si>
  <si>
    <t>666</t>
  </si>
  <si>
    <t>2018-05-07 07:46:22</t>
  </si>
  <si>
    <t>Herrerias</t>
  </si>
  <si>
    <t>NOTIFICACION PERSONAL A LOS MIEMBROS DE LA CORPORACION</t>
  </si>
  <si>
    <t>http://www.aytoherrerias.es/</t>
  </si>
  <si>
    <t xml:space="preserve">NO ESTA PREVISTO </t>
  </si>
  <si>
    <t>Existe un seguimiento continúo de cada expediente por parte de la Alcaldía así como de la Secretaría-Intervención municipal</t>
  </si>
  <si>
    <t>669</t>
  </si>
  <si>
    <t>2018-05-07 07:46:15</t>
  </si>
  <si>
    <t>Alquería de Aznar</t>
  </si>
  <si>
    <t>GESTIONA - ÓRGANOS COLEGIADOS</t>
  </si>
  <si>
    <t xml:space="preserve">NO
</t>
  </si>
  <si>
    <t>672</t>
  </si>
  <si>
    <t>2018-05-07 07:45:05</t>
  </si>
  <si>
    <t>Teba</t>
  </si>
  <si>
    <t>Málaga</t>
  </si>
  <si>
    <t>Sesiones y puntos del día de seguimiento y autoevaluación de lo aprobado y/o preguntado por la oposición</t>
  </si>
  <si>
    <t>684</t>
  </si>
  <si>
    <t>2018-05-07 08:09:36</t>
  </si>
  <si>
    <t>collado mediano</t>
  </si>
  <si>
    <t>las áreas municipales</t>
  </si>
  <si>
    <t>https://aytocolladomediano.sedelectronica.es/</t>
  </si>
  <si>
    <t>Se trata de un control que se realiza por la Secretaria General que tiene encomendado especificamente el seguimiento y control de los acuerdos municipales.</t>
  </si>
  <si>
    <t>688</t>
  </si>
  <si>
    <t>2018-05-07 08:22:15</t>
  </si>
  <si>
    <t>Eslida</t>
  </si>
  <si>
    <t>NOTIFICACION ELECTRONICA</t>
  </si>
  <si>
    <t>http://eslida.sedelectronica.es</t>
  </si>
  <si>
    <t>SEDE</t>
  </si>
  <si>
    <t>692</t>
  </si>
  <si>
    <t>2018-05-07 08:33:55</t>
  </si>
  <si>
    <t>Ubrique</t>
  </si>
  <si>
    <t>http://transparencia.ayuntamientoubrique.es/?portfolio=presupuestos</t>
  </si>
  <si>
    <t>empleados públicos</t>
  </si>
  <si>
    <t>medios de comunicación</t>
  </si>
  <si>
    <t>https://www.youtube.com/user/aytoubrique</t>
  </si>
  <si>
    <t>cuando así se solicita con anterioridad</t>
  </si>
  <si>
    <t>http://transparencia.ayuntamientoubrique.es/</t>
  </si>
  <si>
    <t>698</t>
  </si>
  <si>
    <t>2018-05-07 09:38:37</t>
  </si>
  <si>
    <t>Cadrete</t>
  </si>
  <si>
    <t>Zaragoza</t>
  </si>
  <si>
    <t xml:space="preserve">https://cadrete.sedelectronica.es/transparency/232737e6-9f32-4782-bd06-9bd35f6e027b/
</t>
  </si>
  <si>
    <t>AL TERMINAR EL ORDEN DEL DÍA</t>
  </si>
  <si>
    <t>https://www.cadrete.es/wp-content/uploads/bsk-pdf-manager/2017/11/ORDENANZA-DEFINITIVA-CADRETE-2015-1.pdf</t>
  </si>
  <si>
    <t>699</t>
  </si>
  <si>
    <t>2018-05-07 09:22:43</t>
  </si>
  <si>
    <t>La Rambla</t>
  </si>
  <si>
    <t>GEX</t>
  </si>
  <si>
    <t>Boletín Oficial de la Provincia de Córdoba</t>
  </si>
  <si>
    <t>SERETARIA</t>
  </si>
  <si>
    <t>radio local</t>
  </si>
  <si>
    <t>Televisión Local  PASTORINI, ICA CONECTA</t>
  </si>
  <si>
    <t>Seguimiento desde Secretaría y Secretaría electrónica</t>
  </si>
  <si>
    <t>700</t>
  </si>
  <si>
    <t>2018-05-07 09:10:53</t>
  </si>
  <si>
    <t>Taragudo</t>
  </si>
  <si>
    <t xml:space="preserve">NO </t>
  </si>
  <si>
    <t>702</t>
  </si>
  <si>
    <t>2018-05-07 09:12:25</t>
  </si>
  <si>
    <t>Villa de Mazo</t>
  </si>
  <si>
    <t>Gestiona Espublico</t>
  </si>
  <si>
    <t>http://villademazo.sedelectronica.es</t>
  </si>
  <si>
    <t>Expediente electrónico (concejales)</t>
  </si>
  <si>
    <t>709</t>
  </si>
  <si>
    <t>2018-05-07 09:48:46</t>
  </si>
  <si>
    <t>Almunia de San Juan</t>
  </si>
  <si>
    <t>MOCIONES DE GRUPOS DE LA OPOSICION</t>
  </si>
  <si>
    <t>PERSONAS INTERESADAS EN EL EXPEDIENTE</t>
  </si>
  <si>
    <t>AL FINAL DEL PLENO</t>
  </si>
  <si>
    <t>712</t>
  </si>
  <si>
    <t>2018-05-07 09:55:10</t>
  </si>
  <si>
    <t>Ayuntamiento de Bilbao</t>
  </si>
  <si>
    <t>BILBAO.EUS</t>
  </si>
  <si>
    <t>LA ALCALDÍA CONTROLA Y HACE UNSEGUINMEINTO DE CADA COMPROMISO.</t>
  </si>
  <si>
    <t>A TRAVES DE LA COMISIÓN DE SUGERENCIAS Y RECLAMACIONES</t>
  </si>
  <si>
    <t>741</t>
  </si>
  <si>
    <t>2018-05-07 11:30:09</t>
  </si>
  <si>
    <t>Cartaya</t>
  </si>
  <si>
    <t>http://www.ayto-cartaya.es/images/files/reglamentos/Reglamento%20Organico%20Municipal.pdf</t>
  </si>
  <si>
    <t>Técnicos municipales</t>
  </si>
  <si>
    <t>La propia herramienta de administración electrónica interna los publica en diversas localizaciones</t>
  </si>
  <si>
    <t>Se emite en directo a través audio (Radio Cartaya) y video (Canal de Youtube de Radio Cartaya). Además al Pleno asiste presencialmente todo aquel que quiera simplemente visitando el Salón de Plenos del Ayuntamiento.</t>
  </si>
  <si>
    <t>Al final del Pleno en el punto de Ruegos y Preguntas</t>
  </si>
  <si>
    <t>Está actualmente en trámite de aprobación el Reglamento de Participación Ciudadana.</t>
  </si>
  <si>
    <t>742</t>
  </si>
  <si>
    <t>2018-05-07 11:36:30</t>
  </si>
  <si>
    <t>Caravaca de la Cuz</t>
  </si>
  <si>
    <t>junta de portavoces</t>
  </si>
  <si>
    <t>www.caravaca.org</t>
  </si>
  <si>
    <t>746</t>
  </si>
  <si>
    <t>2018-05-07 11:47:49</t>
  </si>
  <si>
    <t>Vilanova del Vallès</t>
  </si>
  <si>
    <t>https://bop.diba.cat/scripts/ftpisa.aspx?fnew?bop2016&amp;06/022016009276.pdf&amp;1</t>
  </si>
  <si>
    <t>Carpeta electrònica</t>
  </si>
  <si>
    <t>http://www.vilanovadelvalles.cat/ajuntament/informacio-oficial/plens-municipals/</t>
  </si>
  <si>
    <t>Una vez finalizada la sesión</t>
  </si>
  <si>
    <t>Transparencia y boletín electrónico</t>
  </si>
  <si>
    <t>750</t>
  </si>
  <si>
    <t>2018-05-07 11:58:14</t>
  </si>
  <si>
    <t>Puig-reig</t>
  </si>
  <si>
    <t>personal del ayuntamiento</t>
  </si>
  <si>
    <t xml:space="preserve">https://puig-reig.cat/
</t>
  </si>
  <si>
    <t>Al finalizar la sesión del Pleno se da la palabra a la ciudadania</t>
  </si>
  <si>
    <t>755</t>
  </si>
  <si>
    <t>2018-05-07 12:44:39</t>
  </si>
  <si>
    <t>Carreño</t>
  </si>
  <si>
    <t>AUPAC</t>
  </si>
  <si>
    <t>QUIEN GESTIONA EL EXPEDIENTE - ASUNTO</t>
  </si>
  <si>
    <t>Se publica el audio de cada sesión en los días posteriores a la finalización de la misma</t>
  </si>
  <si>
    <t>https://sedeelectronica.ayto-carreno.es/siac/Publicacion_ver_doc.aspx?coddoc=ACT10I02R&amp;id=1985</t>
  </si>
  <si>
    <t>Audio</t>
  </si>
  <si>
    <t>Se realiza una hoja de ejecución que se remite a los/as concejales/as con anterioridad al pleno siguiente.</t>
  </si>
  <si>
    <t>756</t>
  </si>
  <si>
    <t>2018-05-07 12:45:52</t>
  </si>
  <si>
    <t>Navalcarnero</t>
  </si>
  <si>
    <t>http://normativa.ayto-navalcarnero.com/navalcarnero/normativa/?category=7</t>
  </si>
  <si>
    <t>Los que se implementan en la aplicación Insuite</t>
  </si>
  <si>
    <t>El acceso es libre</t>
  </si>
  <si>
    <t>El acceso es libre. Se emiten en directo</t>
  </si>
  <si>
    <t xml:space="preserve">Al finalizar se abre un turno de intervenciones. </t>
  </si>
  <si>
    <t>Los que contiene la aplicación Insuite</t>
  </si>
  <si>
    <t>La propia concejalía que lo haya propuesto. En el caso de las mociones presentadas por los grupos municipales de oposición, lo aprobado se envía para su gestión al área correspondiente.</t>
  </si>
  <si>
    <t>Un canal genérico de información a través de la web municipal y a través de un número de whatsapp (previa petición).</t>
  </si>
  <si>
    <t>757</t>
  </si>
  <si>
    <t>2018-05-07 12:40:08</t>
  </si>
  <si>
    <t>Sando</t>
  </si>
  <si>
    <t xml:space="preserve">santamariadesando@gmail.com
</t>
  </si>
  <si>
    <t>760</t>
  </si>
  <si>
    <t>2018-05-07 12:42:35</t>
  </si>
  <si>
    <t>La Puebal de Castro</t>
  </si>
  <si>
    <t>Notificación electrónica y correo electrónico a los concejales</t>
  </si>
  <si>
    <t>https://lapuebladecastro.sedelectronica.es/info.0</t>
  </si>
  <si>
    <t>no se da concurrencia ciudadana</t>
  </si>
  <si>
    <t>2018-05-07 12:54:36</t>
  </si>
  <si>
    <t>Quart de Poblet</t>
  </si>
  <si>
    <t>Microsoft Word</t>
  </si>
  <si>
    <t>Los departamentos correspondintes.</t>
  </si>
  <si>
    <t>Correo electrónico (Para los concejales)</t>
  </si>
  <si>
    <t>Toda la ciudadanía puede asistir al pleno sin la necesidad de solicitar permiso para acceder.</t>
  </si>
  <si>
    <t>Sí, la ciudadanía puede participar tras la finalización del turno de ruegos y preguntas, y pueden tratar cualquier tema.</t>
  </si>
  <si>
    <t>En la página Web Municipal, en formato PDF.</t>
  </si>
  <si>
    <t>765</t>
  </si>
  <si>
    <t>2018-05-07 14:10:16</t>
  </si>
  <si>
    <t>Yaiza</t>
  </si>
  <si>
    <t>http://yaiza.sedelectronica.es/transparency/6b33d740-4d0b-42f5-84af-730b1566e044/</t>
  </si>
  <si>
    <t>Secretaría</t>
  </si>
  <si>
    <t>Concejales de la oposición</t>
  </si>
  <si>
    <t>Notificación en papel</t>
  </si>
  <si>
    <t>https://ayuntamientodeyaiza.es/Acceso/Entrada/?ReturnUrl=%2fprivate%2fadmin%2flibro%2fTramites.aspx</t>
  </si>
  <si>
    <t>http://yaiza.sedelectronica.es/transparency/e4bff9e5-690e-4a24-8ca5-380d3501c922/</t>
  </si>
  <si>
    <t>Portal transparencia</t>
  </si>
  <si>
    <t>774</t>
  </si>
  <si>
    <t>2018-05-07 16:56:56</t>
  </si>
  <si>
    <t xml:space="preserve">carrion de los condes </t>
  </si>
  <si>
    <t xml:space="preserve">Palencia </t>
  </si>
  <si>
    <t>windows</t>
  </si>
  <si>
    <t>secretario</t>
  </si>
  <si>
    <t>correo</t>
  </si>
  <si>
    <t>775</t>
  </si>
  <si>
    <t>2018-05-07 17:05:16</t>
  </si>
  <si>
    <t>Santovenia de Pisuerga</t>
  </si>
  <si>
    <t>No hay solicitud para acceder a la sesión de pleno, va cualquier vecino que así lo desee.</t>
  </si>
  <si>
    <t>cuando finaliza el pleno</t>
  </si>
  <si>
    <t>787</t>
  </si>
  <si>
    <t>2018-05-08 06:40:18</t>
  </si>
  <si>
    <t>Picassent</t>
  </si>
  <si>
    <t>Comisiones Informativas</t>
  </si>
  <si>
    <t>Técnicos (jurídicos, urbanísticos, etc.)</t>
  </si>
  <si>
    <t>En la página web del ayuntamiento (www.picassent.es) son expuestas las actas</t>
  </si>
  <si>
    <t>Finalizada la sesión se abre un turno de ruegos y preguntas para el ciudadano</t>
  </si>
  <si>
    <t>789</t>
  </si>
  <si>
    <t>2018-05-08 06:28:52</t>
  </si>
  <si>
    <t>La Iruela</t>
  </si>
  <si>
    <t>www.lairuela.es/portaldetransparencia</t>
  </si>
  <si>
    <t>La asistencia de público es escasa</t>
  </si>
  <si>
    <t>794</t>
  </si>
  <si>
    <t>2018-05-08 06:50:29</t>
  </si>
  <si>
    <t>Espadilla</t>
  </si>
  <si>
    <t>796</t>
  </si>
  <si>
    <t>2018-05-08 06:53:23</t>
  </si>
  <si>
    <t>Toga</t>
  </si>
  <si>
    <t>798</t>
  </si>
  <si>
    <t>2018-05-08 06:55:53</t>
  </si>
  <si>
    <t>Torrechiva</t>
  </si>
  <si>
    <t>814</t>
  </si>
  <si>
    <t>2018-05-08 07:51:21</t>
  </si>
  <si>
    <t>O Pereiro de Aguiar</t>
  </si>
  <si>
    <t>NOTIFICACIÓN PERSONAL</t>
  </si>
  <si>
    <t>www.concellopereiro.com</t>
  </si>
  <si>
    <t>827</t>
  </si>
  <si>
    <t>2018-05-08 08:13:36</t>
  </si>
  <si>
    <t>Villalgordo del Júcar</t>
  </si>
  <si>
    <t>Albacete</t>
  </si>
  <si>
    <t>Expediente electrónico</t>
  </si>
  <si>
    <t>Comunicaciones electrónicas</t>
  </si>
  <si>
    <t>www.villalgordodeljucar.es</t>
  </si>
  <si>
    <t xml:space="preserve">Web municipal </t>
  </si>
  <si>
    <t>831</t>
  </si>
  <si>
    <t>2018-05-08 08:32:56</t>
  </si>
  <si>
    <t>Cáñar</t>
  </si>
  <si>
    <t xml:space="preserve">CORREO ELECTRONICO </t>
  </si>
  <si>
    <t>NO SE DISPONE DE URL</t>
  </si>
  <si>
    <t>833</t>
  </si>
  <si>
    <t>2018-05-08 08:44:15</t>
  </si>
  <si>
    <t>Garrovillas de Alconétar</t>
  </si>
  <si>
    <t>www.garrovillasdealconetar.es</t>
  </si>
  <si>
    <t>846</t>
  </si>
  <si>
    <t>2018-05-08 09:57:08</t>
  </si>
  <si>
    <t>Cantagallo</t>
  </si>
  <si>
    <t>http://cantagallo.sedeelectronica.es</t>
  </si>
  <si>
    <t>849</t>
  </si>
  <si>
    <t>2018-05-08 10:21:06</t>
  </si>
  <si>
    <t>El Romeral</t>
  </si>
  <si>
    <t>Mensajeria municipal</t>
  </si>
  <si>
    <t>853</t>
  </si>
  <si>
    <t>2018-05-08 10:43:09</t>
  </si>
  <si>
    <t>Llerena</t>
  </si>
  <si>
    <t>firmadoc</t>
  </si>
  <si>
    <t>llerena.org</t>
  </si>
  <si>
    <t>856</t>
  </si>
  <si>
    <t>2018-05-08 10:53:40</t>
  </si>
  <si>
    <t>Aín</t>
  </si>
  <si>
    <t>ALCALDE Y SECRETARIA</t>
  </si>
  <si>
    <t>NOTIFICACIÓN ELECTRÓNICA Y PAPEL</t>
  </si>
  <si>
    <t>http://ain.sedelectronica.es</t>
  </si>
  <si>
    <t>PORTAL TRANSPARENCIA</t>
  </si>
  <si>
    <t>857</t>
  </si>
  <si>
    <t>2018-05-08 11:12:29</t>
  </si>
  <si>
    <t>videoacta</t>
  </si>
  <si>
    <t>jjjjj</t>
  </si>
  <si>
    <t>gggg</t>
  </si>
  <si>
    <t>FFFF</t>
  </si>
  <si>
    <t>FFFFF</t>
  </si>
  <si>
    <t>863</t>
  </si>
  <si>
    <t>2018-05-08 13:24:12</t>
  </si>
  <si>
    <t>Borja</t>
  </si>
  <si>
    <t>http://borja.sedelectronica.es/transparency/70f403a0-227e-43e5-9ae5-0b708ca8bdc2/</t>
  </si>
  <si>
    <t>Trabajadores</t>
  </si>
  <si>
    <t>ciudadanía depende naturaleza</t>
  </si>
  <si>
    <t>No se solicita es un acto público y se retrasmiten por Facebook cuando no hay problemas técnicos. Es muy inusual que asista público presencial.</t>
  </si>
  <si>
    <t>Tras ruegos y preguntas</t>
  </si>
  <si>
    <t>A través del gestor electrónico de expedientes</t>
  </si>
  <si>
    <t>867</t>
  </si>
  <si>
    <t>2018-05-08 14:01:12</t>
  </si>
  <si>
    <t>Santiago del Teide</t>
  </si>
  <si>
    <t>https://sede.santiagodelteide.es/publico/ordenanza/RE02</t>
  </si>
  <si>
    <t>No es necesario solicitarlo. Acceso libre.</t>
  </si>
  <si>
    <t>https://sede.santiagodelteide.es/publico/ordenanza/RE13</t>
  </si>
  <si>
    <t>871</t>
  </si>
  <si>
    <t>2018-05-08 17:19:36</t>
  </si>
  <si>
    <t>Benetússer</t>
  </si>
  <si>
    <t>No es necesario solicitar acceso</t>
  </si>
  <si>
    <t>Al finalizar el orden del día</t>
  </si>
  <si>
    <t>875</t>
  </si>
  <si>
    <t>2018-05-09 06:12:08</t>
  </si>
  <si>
    <t>Orisoain</t>
  </si>
  <si>
    <t>No está establecido</t>
  </si>
  <si>
    <t>Previamente al pleno se celebra una asamblea vecinal en el que la ciudadanía puede intervenir. Al pleno no suelen acudir otras personas que alcaldía y concejales</t>
  </si>
  <si>
    <t>881</t>
  </si>
  <si>
    <t>2018-05-09 06:54:27</t>
  </si>
  <si>
    <t>Xeraco</t>
  </si>
  <si>
    <t>esPublico Gestiona   y Regmeet ( Videoplenarios - gestor de sesiones plenarias y Audioacta - actas digitales)</t>
  </si>
  <si>
    <t>dwg y más</t>
  </si>
  <si>
    <t>otros organismos</t>
  </si>
  <si>
    <t xml:space="preserve"> Regmeet ( Videoplenarios - gestor de sesiones plenarias y Audioacta - actas digitales), Portal de Transparencia</t>
  </si>
  <si>
    <t>video y audio</t>
  </si>
  <si>
    <t>http://regmeet.com/Ayuntamiento_de_Xeraco?idioma=castellano</t>
  </si>
  <si>
    <t>A final de la sesión</t>
  </si>
  <si>
    <t>audio y video</t>
  </si>
  <si>
    <t>Se sigue con la tramitación del expediente</t>
  </si>
  <si>
    <t>883</t>
  </si>
  <si>
    <t>2018-05-09 06:59:23</t>
  </si>
  <si>
    <t>Mugardos</t>
  </si>
  <si>
    <t>https://www.dacoruna.gal/concellos/ordenanzas/?valorenvio=soloentidad&amp;tipobusqueda=&amp;id=&amp;entidad=62&amp;Submit=Mostrar+entidad</t>
  </si>
  <si>
    <t>DEPARTAMENTOS TRAMITADORES</t>
  </si>
  <si>
    <t>UNA VEZ FINALAZADA LA SESIÓN SE PERMITEN PREGUNTAS DE LOS CIUDADANOS</t>
  </si>
  <si>
    <t>FORMATO AUDIO</t>
  </si>
  <si>
    <t>884</t>
  </si>
  <si>
    <t>2018-05-09 07:14:05</t>
  </si>
  <si>
    <t>Miajadas</t>
  </si>
  <si>
    <t>notificación personal por funcionario</t>
  </si>
  <si>
    <t>Secretaría e Intervención</t>
  </si>
  <si>
    <t>No procede.</t>
  </si>
  <si>
    <t>Seguimiento de los expedientes por Secretaría, Intervención y Técnicos Municipales.</t>
  </si>
  <si>
    <t>888</t>
  </si>
  <si>
    <t>2018-05-09 07:16:07</t>
  </si>
  <si>
    <t>Pineda de Mar</t>
  </si>
  <si>
    <t>PROGRAMA DE ADMINISTRACION ELECTRONICA AUPAC I SISTEMA DE VIDEOACTA AMBISER</t>
  </si>
  <si>
    <t>https://seu-e.cat/documents/2357019/5640336/Reglament+org%C3%A0nic+municipal/a67e0e1b-2492-4d41-9c9d-2bf1ac6758c5</t>
  </si>
  <si>
    <t>portal de transparencia</t>
  </si>
  <si>
    <t>http://videoacta.pinedademar.org/</t>
  </si>
  <si>
    <t>http://videoacta.pinedademar.org/
Tambien en you tube</t>
  </si>
  <si>
    <t>No se contempla</t>
  </si>
  <si>
    <t>https://seu-e.cat/documents/2357019/5640336/Reglament+de+participaci%C3%B3+ciutadana/3a8fdd88-d24d-426b-85b8-b4363744eb99</t>
  </si>
  <si>
    <t>890</t>
  </si>
  <si>
    <t>2018-05-09 07:31:32</t>
  </si>
  <si>
    <t>FIRMADOC</t>
  </si>
  <si>
    <t>http://www.huelva.es/portal/sites/default/files/documentos/ordenanzas/reglamentos/reglamento_organico.pdf</t>
  </si>
  <si>
    <t>http://huelvatv.com/category/programas/plenos/</t>
  </si>
  <si>
    <t>http://huelvatv.com/directo/</t>
  </si>
  <si>
    <t>http://www.huelva.es/portal/es/documentos/actual-reglamento-de-participaci%C3%B3n-ciudadana</t>
  </si>
  <si>
    <t>891</t>
  </si>
  <si>
    <t>2018-05-09 07:42:38</t>
  </si>
  <si>
    <t>Terrassa</t>
  </si>
  <si>
    <t>Utinc</t>
  </si>
  <si>
    <t>https://aoberta.terrassa.cat/normativa/detallNormativa.jsp?id=01444</t>
  </si>
  <si>
    <t>Utinc (intranet)</t>
  </si>
  <si>
    <t>No hay web de petición de acceso.</t>
  </si>
  <si>
    <t>https://aoberta.terrassa.cat/normativa/detallNormativa.jsp?id=00341</t>
  </si>
  <si>
    <t>A través del ejercicion de las funciones propias de los Grups políticos municipales de la oposición y a través de los propios servicions municipales encargados del cumplimiento de los acuerdos.</t>
  </si>
  <si>
    <t>899</t>
  </si>
  <si>
    <t>2018-05-09 08:26:54</t>
  </si>
  <si>
    <t>Navas de Riofrío</t>
  </si>
  <si>
    <t>Al concluir el pleno apartado ruegos y preguntas de los ciudadanos</t>
  </si>
  <si>
    <t>900</t>
  </si>
  <si>
    <t>2018-05-09 08:16:43</t>
  </si>
  <si>
    <t>Vilarmaior</t>
  </si>
  <si>
    <t>www.concellodevilarmaior.org</t>
  </si>
  <si>
    <t>903</t>
  </si>
  <si>
    <t>2018-05-09 08:30:34</t>
  </si>
  <si>
    <t>Torremolinos</t>
  </si>
  <si>
    <t>Audio se coge de la televisión local y se transcribe con Office</t>
  </si>
  <si>
    <t>http://transparencia.torremolinos.es/relevanciajuridica/</t>
  </si>
  <si>
    <t>http://torremolinostv.com/category/plenos/</t>
  </si>
  <si>
    <t>904</t>
  </si>
  <si>
    <t>2018-05-09 09:05:54</t>
  </si>
  <si>
    <t>Castelldefels</t>
  </si>
  <si>
    <t>E-PAC (Aplicativo integrado comercializado por la empresa T-Systems)</t>
  </si>
  <si>
    <t xml:space="preserve">http://www.castelldefels.org/ca/DocsArea_ordenances.asp?plana=DocsArea_ordenances.asp&amp;pmp_id=738
</t>
  </si>
  <si>
    <t>correo electrónico</t>
  </si>
  <si>
    <t>La sesión es pública y libre por parte de los ciudadanos</t>
  </si>
  <si>
    <t xml:space="preserve">
http://www.castelldefelstv.org/castelldefels-ple-municipal-26-04-2018/
</t>
  </si>
  <si>
    <t xml:space="preserve">http://www.castelldefels.org/ca/DocsArea_ordenances.asp?plana=DocsArea_ordenances.asp&amp;pmp_id=747
</t>
  </si>
  <si>
    <t>905</t>
  </si>
  <si>
    <t>2018-05-09 09:30:21</t>
  </si>
  <si>
    <t>Calatayud</t>
  </si>
  <si>
    <t>http://calatayud.sedelectronica.es/?x=EedNdIWe3h*X6WHBgrPd7p8CbPMWCRTNi5NHB1Ie9d9JKliVrPIMuCiV87nDh-s0TCNe*pLPeDaLxvbond4tq4wAqrV1aos*Ek0HW77ve7grhEGhqO3SZQ</t>
  </si>
  <si>
    <t>No hay que solicitar acceso, es abierto.</t>
  </si>
  <si>
    <t>Preguntas o ruegos ciudadanos</t>
  </si>
  <si>
    <t>http://calatayud.sedelectronica.es/?x=EedNdIWe3h*X6WHBgrPd7p8CbPMWCRTNi5NHB1Ie9d9JKliVrPIMuCiV87nDh-s0Rtnf-ps-uq9kIEU2j*hHg-iBmJ4DggyNgewHqGZ6dGePhfyC7XSq-Q</t>
  </si>
  <si>
    <t>EXTRACTO ACUERDOS</t>
  </si>
  <si>
    <t>907</t>
  </si>
  <si>
    <t>2018-05-09 10:00:17</t>
  </si>
  <si>
    <t>Lesaka</t>
  </si>
  <si>
    <t>GESTION EXPEDIENTES</t>
  </si>
  <si>
    <t>Notificacion personal</t>
  </si>
  <si>
    <t>No se solicita, es sesión abierta</t>
  </si>
  <si>
    <t>sólo haciendo un receso</t>
  </si>
  <si>
    <t>audio</t>
  </si>
  <si>
    <t>927</t>
  </si>
  <si>
    <t>2018-05-10 06:46:46</t>
  </si>
  <si>
    <t>Favara</t>
  </si>
  <si>
    <t>APP I BANS</t>
  </si>
  <si>
    <t>OPOSICIÓ POLÍTICA</t>
  </si>
  <si>
    <t>WEB MUNICIPAL</t>
  </si>
  <si>
    <t>SEMPRE</t>
  </si>
  <si>
    <t>SEGUIMENT PER SECRETARIA I ALCALDIA</t>
  </si>
  <si>
    <t>930</t>
  </si>
  <si>
    <t>2018-05-10 07:03:58</t>
  </si>
  <si>
    <t>Bormujos</t>
  </si>
  <si>
    <t>CONVOC@</t>
  </si>
  <si>
    <t>http://www.dipusevilla.es/system/modules/com.saga.sagasuite.theme.diputacion.sevilla.corporativo/handlers/download-bop.pdf?id=41b56032-c2ba-11e6-b7a4-0050569fe27b</t>
  </si>
  <si>
    <t>WWW.BORMUJOS.ES /</t>
  </si>
  <si>
    <t>http://facebook.com/aytobormujos</t>
  </si>
  <si>
    <t>932</t>
  </si>
  <si>
    <t>2018-05-10 07:15:44</t>
  </si>
  <si>
    <t>san nicolas del puerto</t>
  </si>
  <si>
    <t>convoca</t>
  </si>
  <si>
    <t>empleados municipales</t>
  </si>
  <si>
    <t>938</t>
  </si>
  <si>
    <t>2018-05-10 08:09:09</t>
  </si>
  <si>
    <t>Rollan</t>
  </si>
  <si>
    <t>www.rollan.es/administracion-electronica</t>
  </si>
  <si>
    <t>PÁGINA TRANSPARENCIAS</t>
  </si>
  <si>
    <t>LA SECRETARIA Y EL ALCALDE COMPRUEBAN QUE SE EJECUTE LO APROBADO POR EL PLENO</t>
  </si>
  <si>
    <t>EL ALCALDE HACE REUNIONES PERIÓDICAS PARA LOS VECINOS CON LAS ACTUACIONES LLEVADAS A CABO.</t>
  </si>
  <si>
    <t>942</t>
  </si>
  <si>
    <t>2018-05-10 08:31:11</t>
  </si>
  <si>
    <t>Barakaldo</t>
  </si>
  <si>
    <t>OFFICE 2007</t>
  </si>
  <si>
    <t>http://www.barakaldo.org/portal/web/el-ayuntamiento/ordenanzas-y-reglamentos/reglamentos?p_p_id=listadocontenidos_INSTANCE_80Ya&amp;p_p_lifecycle=0&amp;p_p_state=normal&amp;p_p_mode=view&amp;p_p_col_id=column-2&amp;p_p_col_pos=1&amp;p_p_col_count=2&amp;_listadocontenidos_INSTANCE_80Ya_struts_action=%2Fext%2Flistadocontenidos%2Fviewcontenido&amp;p_p_state=10317&amp;_listadocontenidos_INSTANCE_80Ya_groupId=10317&amp;_listadocontenidos_INSTANCE_80Ya_articleId=60283&amp;_listadocontenidos_INSTANCE_80Ya_structureId=NORMATIVA_Y_ORDENANZAS&amp;_listadocontenidos_INSTANCE_80Ya_templateId=NORMATIVA_Y_ORDENANZAS&amp;_listadocontenidos_INSTANCE_80Ya_version=1.1</t>
  </si>
  <si>
    <t>ACCESO LIBRE</t>
  </si>
  <si>
    <t>http://www.barakaldo.org/portal/web/el-ayuntamiento/emisiones-en-directo</t>
  </si>
  <si>
    <t>LA MISMA URL QUE LA DEL REGLAMENTO ORGÁNICO</t>
  </si>
  <si>
    <t>PORTAL WEB</t>
  </si>
  <si>
    <t>943</t>
  </si>
  <si>
    <t>2018-05-10 08:26:39</t>
  </si>
  <si>
    <t>Turegano</t>
  </si>
  <si>
    <t>ES PRESENCIAL</t>
  </si>
  <si>
    <t>955</t>
  </si>
  <si>
    <t>2018-05-10 11:55:57</t>
  </si>
  <si>
    <t>Vitoria-Gasteiz</t>
  </si>
  <si>
    <t>Araba</t>
  </si>
  <si>
    <t>AGENDA DE SESIONES</t>
  </si>
  <si>
    <t xml:space="preserve">
vitoria-gasteiz.org</t>
  </si>
  <si>
    <t>SERVICIOS MUNICIPALES</t>
  </si>
  <si>
    <t>vitoria-gasteiz.org</t>
  </si>
  <si>
    <t>958</t>
  </si>
  <si>
    <t>2018-05-10 12:14:40</t>
  </si>
  <si>
    <t>Betxí</t>
  </si>
  <si>
    <t>http://betxi.sedelectronica.es</t>
  </si>
  <si>
    <t>963</t>
  </si>
  <si>
    <t>2018-05-10 12:51:53</t>
  </si>
  <si>
    <t>Castellví de Rosanes</t>
  </si>
  <si>
    <t>http://www.castellviderosanes.cat/wp-content/uploads/2015/01/Reglament-organic-municipal-2012.pdf</t>
  </si>
  <si>
    <t>Otras administraciones</t>
  </si>
  <si>
    <t>Las propuestas se cuelgan en la web, igual que las actas, una vez aprobadas</t>
  </si>
  <si>
    <t>El àudio de cada sesión se cuelga en la web municipal junto con el resto de documentación de la misma: http://www.castellviderosanes.cat/?p=3595</t>
  </si>
  <si>
    <t>http://www.castellviderosanes.cat/?p=3595 (una vez finalizada la sesión, en un plazo de unas 24 horas si el pleno es de lunes a jueves, el àudio está disponible)</t>
  </si>
  <si>
    <t>Àudi de la sesión</t>
  </si>
  <si>
    <t>Áudio de la sesión (no como acta)</t>
  </si>
  <si>
    <t>Audio a través de las redes sociales</t>
  </si>
  <si>
    <t>Los acuerdos vinculados al plan de Gobierno, se evalúan (pendiente, realizado, en trámite) en el apartado web dedicado al Gobierno municipal. De los otros puntos aprobados, se da cuenta a través de las noticias que se publican en la misma web.</t>
  </si>
  <si>
    <t>965</t>
  </si>
  <si>
    <t>2018-05-10 13:21:51</t>
  </si>
  <si>
    <t>O Grove</t>
  </si>
  <si>
    <t>Pontevedra</t>
  </si>
  <si>
    <t>COPERNIC</t>
  </si>
  <si>
    <t>WWW.CONCELLODOGROVE.ES</t>
  </si>
  <si>
    <t>SERVICIOS ADMINISTRATIVOS</t>
  </si>
  <si>
    <t>WWW.CONCELLODOGROVE.ES/RETRANSMISIONS</t>
  </si>
  <si>
    <t>CON PREVIA COMUNICACIÓN AL AYUNTAMIENTO</t>
  </si>
  <si>
    <t>Los servicios adminitrativos comunican los acuerdos a los interesados y se envían telemáticamente a la Comunidad Autónoma.</t>
  </si>
  <si>
    <t>974</t>
  </si>
  <si>
    <t>2018-05-11 06:46:10</t>
  </si>
  <si>
    <t xml:space="preserve">http://www.avila.es/ayuntamiento/ordenanzas-municipales/1308-reglamento-organico-municipal-del-excmo-ayuntamiento-de-avila
</t>
  </si>
  <si>
    <t>JUNTA DE PORTAVOCES</t>
  </si>
  <si>
    <t>SERVCIOS TÉCNICOS</t>
  </si>
  <si>
    <t>LOS INTERESADOS</t>
  </si>
  <si>
    <t>Para acudir presencial no se precisa ningún requisito.
Se retransmite en directo en el Canal de Youtube del Ayuntamiento: https://www.youtube.com/user/ayuntamientoavila
La url de cada sesión varía para cada pleno. Se difunde al comienzo de cada sesión a través de la web y redes sociales (Twitter y Facebook)</t>
  </si>
  <si>
    <t xml:space="preserve">https://www.youtube.com/user/ayuntamientoavila
</t>
  </si>
  <si>
    <t>EN TURNO ESPECÍFICO AL CONCLUIR LA SESIÓN</t>
  </si>
  <si>
    <t>SE PUBLICA EN LA PÁGINA WEB UNA RELACIÓN DE PROPOSICIONES APROBADAS POR LOS GRUPOS POLÍTICOS Y SE INDICA EL ESTADO
http://www.avila.es/component/k2/item/3055-mociones-de-los-grupos-politicos-presentadas-en-plenos</t>
  </si>
  <si>
    <t>977</t>
  </si>
  <si>
    <t>2018-05-11 09:06:09</t>
  </si>
  <si>
    <t>Torreblascopedro</t>
  </si>
  <si>
    <t>http://torreblascopedro.sedelectronica.es/transparency/a4b9c14c-2cb1-45a9-8b7d-55a2f6c3bdbd/</t>
  </si>
  <si>
    <t>984</t>
  </si>
  <si>
    <t>2018-05-11 11:38:10</t>
  </si>
  <si>
    <t>Pajares de la Laguna</t>
  </si>
  <si>
    <t>www.ayuntamientopajaresdelalaguna.es</t>
  </si>
  <si>
    <t>992</t>
  </si>
  <si>
    <t>2018-05-11 13:18:56</t>
  </si>
  <si>
    <t>El Casar</t>
  </si>
  <si>
    <t>https://web.elcasar.es</t>
  </si>
  <si>
    <t>SECRETARIO-INTERVENTOR DEL AYUNTAMIENTO</t>
  </si>
  <si>
    <t>La asistencia al Pleno es libre. No se solicita previamente.</t>
  </si>
  <si>
    <t>htpps://we.elcasar.es</t>
  </si>
  <si>
    <t>Grabación audiovisual de la votación</t>
  </si>
  <si>
    <t>Existe un personal  municipal asignado al seguimiento de Plenos y Juntas de Gobierno. Se realizan Fichas con los asuntos tratados y Cronograma de cumplimiento. Dichas Fichas se evalúan con periodicidad por el Secretario-Interventor y personal asignado.</t>
  </si>
  <si>
    <t>995</t>
  </si>
  <si>
    <t>2018-05-11 14:49:36</t>
  </si>
  <si>
    <t>Tarancon</t>
  </si>
  <si>
    <t>Gestiona: espublico</t>
  </si>
  <si>
    <t>Servicios municipales</t>
  </si>
  <si>
    <t>Interesados</t>
  </si>
  <si>
    <t>www.tarancon.es</t>
  </si>
  <si>
    <t>1000</t>
  </si>
  <si>
    <t>2018-05-14 05:49:54</t>
  </si>
  <si>
    <t>San Lorenzo de El Escorial</t>
  </si>
  <si>
    <t>No es necesario</t>
  </si>
  <si>
    <t>www.aytosanlorenzo.es</t>
  </si>
  <si>
    <t>Al final del pleno.</t>
  </si>
  <si>
    <t>https://www.aytosanlorenzo.es/wp-content/uploads/2016/08/Borrador-de-Reg-Part-Ciu_SanLorenzoEscorial_Elaborado-por-Comision-Informativa.pdf</t>
  </si>
  <si>
    <t>1003</t>
  </si>
  <si>
    <t>2018-05-14 07:42:58</t>
  </si>
  <si>
    <t>BPM + BUSINESS PROCESS MANAGEMENT + VIDEOACTA</t>
  </si>
  <si>
    <t>.mar</t>
  </si>
  <si>
    <t>www.cambrils.cat/ca/l-ajuntament/el-ple/reglament-organic-municipal</t>
  </si>
  <si>
    <t>Comisión informativa correspondiente, grupos políticos municipales</t>
  </si>
  <si>
    <t>Comisiones informativas y grupos políticos municipales</t>
  </si>
  <si>
    <t>correo electrónico concejales y sede electrónica</t>
  </si>
  <si>
    <t xml:space="preserve">Videoacta.cambrils.cat
www.cambrils.cat/ca/l-ajuntament/el-ple/retransmissio </t>
  </si>
  <si>
    <t xml:space="preserve"> 
https://seu.cambrils.cat/normativaAnunciPublic/categories/Reglaments
</t>
  </si>
  <si>
    <t>En el video, en la videoacta</t>
  </si>
  <si>
    <t>VIDEO</t>
  </si>
  <si>
    <t>1009</t>
  </si>
  <si>
    <t>2018-05-14 08:51:26</t>
  </si>
  <si>
    <t>Guardamar del Segura</t>
  </si>
  <si>
    <t>https://guardamardelsegura.sedelectronica.es/transparency/b19a8c9f-3f46-48fb-9d9e-d2609213036b/</t>
  </si>
  <si>
    <t>http://www.guardamardelsegura.es/el-ayuntamiento/plenos-del-ayuntamiento/</t>
  </si>
  <si>
    <t>FASE RUEGOS Y PREGUNTAS</t>
  </si>
  <si>
    <t>PERSONAL EQUIPO ALCALDIA</t>
  </si>
  <si>
    <t>1018</t>
  </si>
  <si>
    <t>2018-05-14 09:30:49</t>
  </si>
  <si>
    <t>Puntagorda</t>
  </si>
  <si>
    <t>MICROSOFT WORD, ESPUBLICO GESTIONA</t>
  </si>
  <si>
    <t>SECRETARIA-INTERVENCION</t>
  </si>
  <si>
    <t>http://www.puntagorda.es</t>
  </si>
  <si>
    <t>NO SE PERMITE DURANTE EL DESARROLLO</t>
  </si>
  <si>
    <t>1024</t>
  </si>
  <si>
    <t>2018-05-14 10:57:57</t>
  </si>
  <si>
    <t>Albaida</t>
  </si>
  <si>
    <t>Empleados publicos</t>
  </si>
  <si>
    <t>No hay</t>
  </si>
  <si>
    <t>1025</t>
  </si>
  <si>
    <t>2018-05-14 11:02:08</t>
  </si>
  <si>
    <t>L´Alfàs del Pi</t>
  </si>
  <si>
    <t>ORDENADORES CONECTADOS A LA RED</t>
  </si>
  <si>
    <t>https://www.lalfas.es/list-transparencia/oyr/reglamentos/reglamento-organico-municipal/</t>
  </si>
  <si>
    <t>CANAL DE YOUTUBE ¨CLIPALFAS ¨Y EN LAS REDES SOCIALES</t>
  </si>
  <si>
    <t>ACUERDOS EN TEXTO</t>
  </si>
  <si>
    <t>1028</t>
  </si>
  <si>
    <t>2018-05-14 11:08:47</t>
  </si>
  <si>
    <t>Diputación Provincial de Guadalajara</t>
  </si>
  <si>
    <t>VIDEO-ACTA</t>
  </si>
  <si>
    <t>MMP4, EXE, F4V</t>
  </si>
  <si>
    <t>En papel</t>
  </si>
  <si>
    <t>Jefel del Servicio</t>
  </si>
  <si>
    <t>http://plenos.dguadalajara.es/</t>
  </si>
  <si>
    <t>1033</t>
  </si>
  <si>
    <t>2018-05-14 11:58:10</t>
  </si>
  <si>
    <t>Gran Canaria</t>
  </si>
  <si>
    <t>http://cabildo.grancanaria.com/documents/10180/5379616/Reglamento+Org%C3%A1nico+del+Pleno+del+Excmo.+Cabildo+Insular+de+Gran+Canaria/87cb6302-22da-4006-b1ab-2e043ad40140</t>
  </si>
  <si>
    <t xml:space="preserve">
¿De qué forma se registra el sentido de los votos sobre los puntos del orden del día?
Marque las opciones que correspondan
    En el acta.
    En un registro específico.
    No se registran.
    Otro: </t>
  </si>
  <si>
    <t>1039</t>
  </si>
  <si>
    <t>2018-05-17 08:17:23</t>
  </si>
  <si>
    <t>Albalat dels Sorells</t>
  </si>
  <si>
    <t>https://bop.dival.es/bop/drvisapi.dll?LO=00000001a6b7c8d9000000050000004500000106434d9c55000000000001000000000000000000000000000000000000000000000000000000000000000000000000000000000000&amp;type=application/pdf</t>
  </si>
  <si>
    <t>https://albalatdelssorells.sedelectronica.es/</t>
  </si>
  <si>
    <t>https://www.youtube.com/channel/UC-vWJ1zaJFJLJnsfsEt24qA</t>
  </si>
  <si>
    <t>Solo pueden intervenir al final del pleno.</t>
  </si>
  <si>
    <t>Plataforma Gestiona</t>
  </si>
  <si>
    <t>Depende del acuerdo plenario se decide un método y otro (publicación, notificación,...)</t>
  </si>
  <si>
    <t>1046</t>
  </si>
  <si>
    <t>2018-05-15 08:52:35</t>
  </si>
  <si>
    <t>Beniel</t>
  </si>
  <si>
    <t>Notificación en papel a la corporación</t>
  </si>
  <si>
    <t>http://replay.redctnet.es/plenos/Beniel</t>
  </si>
  <si>
    <t>http://transparencia.beniel.es/directo</t>
  </si>
  <si>
    <t>No se permite su participación</t>
  </si>
  <si>
    <t>Es un documento en PDF del estado de ejecución de los acuerdos o mociones aprobadas.</t>
  </si>
  <si>
    <t>1047</t>
  </si>
  <si>
    <t>2018-05-15 08:59:56</t>
  </si>
  <si>
    <t>Moya</t>
  </si>
  <si>
    <t>SECRETARÍA</t>
  </si>
  <si>
    <t>RADIO MUNICIPAL</t>
  </si>
  <si>
    <t>EMISIÓN EN DIRECTO POR LA RADIO MUNICIPAL</t>
  </si>
  <si>
    <t>SE EMITE EN DIRECTO POR LA RADIO MUNICIPAL</t>
  </si>
  <si>
    <t>POR SISTEMA MANUAL DEL PERSONAL DE SECRETARÍA</t>
  </si>
  <si>
    <t>1051</t>
  </si>
  <si>
    <t>2018-05-15 09:27:46</t>
  </si>
  <si>
    <t>Alagón del Río</t>
  </si>
  <si>
    <t>ESPUBLICO GESTIONA</t>
  </si>
  <si>
    <t>http://alagondelrio.sedelectronica.es/info.0</t>
  </si>
  <si>
    <t>Al finalizar la sesión</t>
  </si>
  <si>
    <t>1057</t>
  </si>
  <si>
    <t>2018-05-15 10:46:43</t>
  </si>
  <si>
    <t>San Agustín del Guadalix</t>
  </si>
  <si>
    <t>ABSIS</t>
  </si>
  <si>
    <t>ES PUBLICA NO ES NECESARIO SOLICITAR ACCESO.</t>
  </si>
  <si>
    <t>UNA VEZ FINALIZADO</t>
  </si>
  <si>
    <t>1065</t>
  </si>
  <si>
    <t>2018-05-15 11:37:35</t>
  </si>
  <si>
    <t>Castell-Platja d'Aro</t>
  </si>
  <si>
    <t>Gestor d'expedients d'Audifilm</t>
  </si>
  <si>
    <t>No està en la web, és en papel no en formato doc. o pdf.</t>
  </si>
  <si>
    <t>Interventor. Secretario</t>
  </si>
  <si>
    <t>No hace falta, es pública.</t>
  </si>
  <si>
    <t>en los casos legalmente previstos</t>
  </si>
  <si>
    <t>video</t>
  </si>
  <si>
    <t>escrita ninguno</t>
  </si>
  <si>
    <t>El responsable d ecada expedient se encarga de su seguimiento.</t>
  </si>
  <si>
    <t>1066</t>
  </si>
  <si>
    <t>2018-05-15 11:48:56</t>
  </si>
  <si>
    <t>Leganés</t>
  </si>
  <si>
    <t>ACTAS</t>
  </si>
  <si>
    <t>MDB</t>
  </si>
  <si>
    <t xml:space="preserve">http://www.leganes.org/portal/contenedor_ficha.jsp?seccion=s_fdoc_d4_v1.jsp&amp;contenido=100240&amp;nivel=1400&amp;tipo=5&amp;codMenuPN=4&amp;codMenuSN=1949&amp;codMenuTN=1978&amp;codMenu=2140
</t>
  </si>
  <si>
    <t xml:space="preserve">http://www.leganes.org/portal/contenedor_ficha.jsp?seccion=s_fdoc_d4_v1.jsp&amp;contenido=97194&amp;nivel=1400&amp;tipo=5&amp;codMenuPN=4&amp;codMenuSN=1946&amp;codMenuTN=1959&amp;codMenu=2019
</t>
  </si>
  <si>
    <t xml:space="preserve">http://www.leganes.org/PlenoOnline/EnDirecto.jsp
</t>
  </si>
  <si>
    <t xml:space="preserve">http://www.leganes.org/portal/contenedor_ficha.jsp?seccion=s_fdoc_d4_v1.jsp&amp;contenido=100330&amp;nivel=1400&amp;tipo=5&amp;codMenuPN=4&amp;codMenuSN=1949&amp;codMenuTN=1978&amp;codMenu=2140
</t>
  </si>
  <si>
    <t>grabación con audio</t>
  </si>
  <si>
    <t>1067</t>
  </si>
  <si>
    <t>2018-05-15 12:47:43</t>
  </si>
  <si>
    <t>Alzira</t>
  </si>
  <si>
    <t>Para la gestión del expediente de Pleno todavía no se ha implantado el gestor de expedientes, aunque el tratamiento del acta de la sesión plenaria se efectúa con la herramienta Videoacta.</t>
  </si>
  <si>
    <t>Archivos de vídeo</t>
  </si>
  <si>
    <t>http://www.alzira.es/alzira_vpm/contenidos/OrdenanzasReglamentos/Val/reglament_organitzacio_i_funcionament_de_ajuntament_alzira.pdf</t>
  </si>
  <si>
    <t>Para asistir como público a la celebración de una sesión plenaria únicamente han de acudir al Salón de Sesiones.</t>
  </si>
  <si>
    <t>Para la visualización en directo de las sesiones plenarias online:
http://alzira.videoacta.es/</t>
  </si>
  <si>
    <t>En todas las sesiones ordinarias, al finalizar la sesión plenaria, en un turno de intervenciones del público. En alguna ocasión, en el tratamiento de algún punto del orden del día, previa solicitud de conformidad con el artículo 106 del Reglamento de Organización y Funcionamient del Ayuntamiento de Alzira y el artículo 228 del Real Decreto 2568/1986, de 28 de noviembre, por el que se aprueba el Reglamento de Organización, Funcionamiento y Régimen Jurídico de las entidades locales.</t>
  </si>
  <si>
    <t>1068</t>
  </si>
  <si>
    <t>2018-05-15 12:07:09</t>
  </si>
  <si>
    <t>Lucena</t>
  </si>
  <si>
    <t>gex</t>
  </si>
  <si>
    <t>https://www.aytolucena.es/ayuntamiento/alcadia_y_organos_de_gobierno/pleno</t>
  </si>
  <si>
    <t>https://www.lucena.es/noticia/emision-del-pleno-del-ayuntamiento-en-directo</t>
  </si>
  <si>
    <t>Cornella de Llobregat</t>
  </si>
  <si>
    <t>1073</t>
  </si>
  <si>
    <t>2018-05-15 12:01:33</t>
  </si>
  <si>
    <t>Roses</t>
  </si>
  <si>
    <t>https://www.roses.cat/ajuntament/informacio-administrativa/ordenances-i-bans-1/304</t>
  </si>
  <si>
    <t>https://actes.roses.cat/session/portadaPublica</t>
  </si>
  <si>
    <t>1085</t>
  </si>
  <si>
    <t>2018-05-15 15:59:19</t>
  </si>
  <si>
    <t>Jerica</t>
  </si>
  <si>
    <t>No procede</t>
  </si>
  <si>
    <t>Seguimiento administrativo.</t>
  </si>
  <si>
    <t>1091</t>
  </si>
  <si>
    <t>2018-05-16 06:35:25</t>
  </si>
  <si>
    <t>Ayuntamiento de Tudela</t>
  </si>
  <si>
    <t>http://www.tudela.es/docs/reglamentos/reg-organico.pdf</t>
  </si>
  <si>
    <t>https://www.youtube.com/channel/UCNNFd55_LUtJqhNpPmUayVg/live</t>
  </si>
  <si>
    <t>1092</t>
  </si>
  <si>
    <t>2018-05-16 06:49:26</t>
  </si>
  <si>
    <t>Valderas</t>
  </si>
  <si>
    <t>AYTOVALDERAS@YAHOO.ES</t>
  </si>
  <si>
    <t>1096</t>
  </si>
  <si>
    <t>2018-05-16 08:25:53</t>
  </si>
  <si>
    <t>Salou</t>
  </si>
  <si>
    <t>AUPAC de Grupo Meana</t>
  </si>
  <si>
    <t>http://transparencia.salou.cat/la-transparencia/normativa-i-informacio-juridica/codi-de-bon-govern-i-reglament-organic-municipal/reglament-organic-muncipal-de-lajuntament-de-salou</t>
  </si>
  <si>
    <t>(no se necesita solicitud)</t>
  </si>
  <si>
    <t>http://www.ov.salou.cat/SIAC/info.aspx?info=ple</t>
  </si>
  <si>
    <t>de acuerdo con el ROM</t>
  </si>
  <si>
    <t>1098</t>
  </si>
  <si>
    <t>2018-05-16 09:03:26</t>
  </si>
  <si>
    <t>Santovenia de la Valdoncina</t>
  </si>
  <si>
    <t>CONVOCATORIA A CONCEJALES EN  CORREO ELECTRÓNICO SOLICITADO</t>
  </si>
  <si>
    <t>CORREO ELECTRÓNICO Y PAPEL</t>
  </si>
  <si>
    <t>NO EXISTE HASTA QUE NO SE TERMINE CON LA IMPLANTACIÓN DE LA ADMINISTRACIÓN ELECTRÓNICA</t>
  </si>
  <si>
    <t>PAGINA WEB AYUNTAMIENTO Y TABLÓN DE ANUNCIOS</t>
  </si>
  <si>
    <t>FORMATO PAPEL EN AYUNTAMIENTO Y JUNTA DE CASTILLA Y LEÓN Y SUBDELEGACIÓN DEL GOBIERNO</t>
  </si>
  <si>
    <t>NOTIFICACIONES DE LOS ACUERDOS POR PARTE DEL SECRETARIO-INTERVENTOR</t>
  </si>
  <si>
    <t>1106</t>
  </si>
  <si>
    <t>2018-05-16 14:53:54</t>
  </si>
  <si>
    <t>Sant Esteve Sesrovires</t>
  </si>
  <si>
    <t>Areas del Ayuntamiento</t>
  </si>
  <si>
    <t>Notificación electrónica</t>
  </si>
  <si>
    <t>http://santestevesesrovires.eadministracio.cat/transparency/7b5a3d6b-228d-4d58-818a-7630601ba897/</t>
  </si>
  <si>
    <t xml:space="preserve">http://santestevesesrovires.eadministracio.cat/transparency/ee762a89-6ce7-4176-bc47-78f7cdab2ece/
</t>
  </si>
  <si>
    <t>sede electrónica</t>
  </si>
  <si>
    <t>1107</t>
  </si>
  <si>
    <t>2018-05-16 14:45:17</t>
  </si>
  <si>
    <t>Mediona</t>
  </si>
  <si>
    <t xml:space="preserve">www.mediona.cat </t>
  </si>
  <si>
    <t>1110</t>
  </si>
  <si>
    <t>2018-05-17 04:54:30</t>
  </si>
  <si>
    <t>Maello</t>
  </si>
  <si>
    <t>correo electgrónico y presencialmente</t>
  </si>
  <si>
    <t>www.ayuntamientodemaello.es</t>
  </si>
  <si>
    <t>a veces, al finalizar la sesión</t>
  </si>
  <si>
    <t>1114</t>
  </si>
  <si>
    <t>2018-05-17 07:40:33</t>
  </si>
  <si>
    <t>L´Atzúbia</t>
  </si>
  <si>
    <t>https://atzubia.sedelectronica.es/</t>
  </si>
  <si>
    <t>1117</t>
  </si>
  <si>
    <t>2018-05-17 09:32:49</t>
  </si>
  <si>
    <t>Figueroles</t>
  </si>
  <si>
    <t>sedeelectronica ayuntamiento de figueroles</t>
  </si>
  <si>
    <t>sede electronica</t>
  </si>
  <si>
    <t>1119</t>
  </si>
  <si>
    <t>2018-05-17 10:07:09</t>
  </si>
  <si>
    <t>Alboraya</t>
  </si>
  <si>
    <t>ODT</t>
  </si>
  <si>
    <t>http://www.alboraya.org/es_ES/web/tu-ayuntamiento/detalle-normativa-municipal?groupId=10643&amp;articleId=25584</t>
  </si>
  <si>
    <t>PERSONAL TECNICO Y ADMVO</t>
  </si>
  <si>
    <t>ACCESIBILIDAD EN LA WEB</t>
  </si>
  <si>
    <t>AL FINALIZAR EL PLENO HAY UN TURNO PARA EL PÚBLICO</t>
  </si>
  <si>
    <t>CUADRO RESUMEN SEGUIMIENTO MOCIONES</t>
  </si>
  <si>
    <t>1121</t>
  </si>
  <si>
    <t>2018-05-17 10:40:21</t>
  </si>
  <si>
    <t>Villar del Olmo</t>
  </si>
  <si>
    <t>PERSONAL RESPONSABLE</t>
  </si>
  <si>
    <t>A CRITERIO DE LA ALCALESA</t>
  </si>
  <si>
    <t>1126</t>
  </si>
  <si>
    <t>2018-05-17 12:46:20</t>
  </si>
  <si>
    <t>Tomelloso</t>
  </si>
  <si>
    <t>SIGEM</t>
  </si>
  <si>
    <t>Servicios administrativos, ciudadanos, concejales y Alcaldía</t>
  </si>
  <si>
    <t>http:/www.tomelloso.es/ciudad/tomelloso-tv/category/plenos</t>
  </si>
  <si>
    <t>https://www.youtube.com/channel/UCP5mMutks_npEaUoiCzucaQ</t>
  </si>
  <si>
    <t>De acuerdo con regulación ROF</t>
  </si>
  <si>
    <t>1128</t>
  </si>
  <si>
    <t>2018-05-17 14:33:19</t>
  </si>
  <si>
    <t>Ayuntamiento de Tiurana</t>
  </si>
  <si>
    <t>Lérida</t>
  </si>
  <si>
    <t>WWW.tiurana.cat</t>
  </si>
  <si>
    <t>1130</t>
  </si>
  <si>
    <t>2018-05-18 06:58:18</t>
  </si>
  <si>
    <t>Mótoles</t>
  </si>
  <si>
    <t>RESPONSABLE DEL SERVICIO</t>
  </si>
  <si>
    <t>https://www.mostoles.es/mostoles/cm</t>
  </si>
  <si>
    <t>1135</t>
  </si>
  <si>
    <t>2018-05-18 07:31:37</t>
  </si>
  <si>
    <t>Las unidades administrativas</t>
  </si>
  <si>
    <t>Correo electrónico, gabinete de prensa</t>
  </si>
  <si>
    <t>Los interesados en el expediante</t>
  </si>
  <si>
    <t>No se precisa solicitud</t>
  </si>
  <si>
    <t>Se permite una vez concluida la sesión</t>
  </si>
  <si>
    <t>http://www.teruel.es/portal/contenedor1.jsp?seccion=s_fdes_d4_v1.jsp&amp;codbusqueda=193&amp;language=es&amp;codResi=1&amp;codMenuPN=57&amp;codMenuSN=439&amp;codMenu=169</t>
  </si>
  <si>
    <t>Se hace seguimiento de las mociones y proposiciones aprobadas en pleno, del que trimestralmente se da cuenta en la CMI de Bienestar Social y Transparencia.</t>
  </si>
  <si>
    <t>En el Consejo de Participación Ciudadana en el que se hayan representadas todas las asociaciones vecinales de la ciudad, así como en el Consejo Sectorial de Desarrollo Local, Consejo Escolar Municipal y Consejo Municipal de Infancia y Adolescencia.</t>
  </si>
  <si>
    <t>1137</t>
  </si>
  <si>
    <t>2018-05-18 08:24:16</t>
  </si>
  <si>
    <t>Castro-Urdiales</t>
  </si>
  <si>
    <t xml:space="preserve">registro@castro-urdiales.net
</t>
  </si>
  <si>
    <t>Ruegos y Preguntas</t>
  </si>
  <si>
    <t>Se notifica a los interesados las resoluciones tomadas en el pleno.</t>
  </si>
  <si>
    <t>1143</t>
  </si>
  <si>
    <t>2018-05-18 10:39:32</t>
  </si>
  <si>
    <t>Paquete Office Microsoft</t>
  </si>
  <si>
    <t>http://www.cornella.cat/files/contenidos/Normativa/Normativa%20Organica/Reglament%20Organic%20i%20altres/ROM%202013_%20SIGNAT.pdf</t>
  </si>
  <si>
    <t>Secretaria, Comisiones informativas y Grupos políticos municipales</t>
  </si>
  <si>
    <t>Las areas que lo tramitan, Secretaria, Comisiones informativas y Grupos políticos municipales</t>
  </si>
  <si>
    <t>La entrada es libre</t>
  </si>
  <si>
    <t>http://plenscornella.citilab.eu/</t>
  </si>
  <si>
    <t>VIDEOACTAS</t>
  </si>
  <si>
    <t xml:space="preserve">A través de noticias en la web y en el boletín municipal "Cornellà Informa".  </t>
  </si>
  <si>
    <t>1144</t>
  </si>
  <si>
    <t>2018-05-18 11:07:01</t>
  </si>
  <si>
    <t>Castellar del Vallès</t>
  </si>
  <si>
    <t>ABS INFORMATICA SLU</t>
  </si>
  <si>
    <t>https://seu.castellarvalles.cat/arxius/ordenanca/62/arxiu/r_033_reglament_organic_municipal_1a_modif_31516.pdf</t>
  </si>
  <si>
    <t>https://actes.castellarvalles.cat</t>
  </si>
  <si>
    <t>https://seu.castellarvalles.cat/arxius/ordenanca/39/arxiu/O_037_Ordenana_participaci_ciutadana.pdf</t>
  </si>
  <si>
    <t>1145</t>
  </si>
  <si>
    <t>2018-05-18 12:49:31</t>
  </si>
  <si>
    <t>Sant Joan Despí</t>
  </si>
  <si>
    <t>Gestor de expedientes municipal (Genesys i3)</t>
  </si>
  <si>
    <t xml:space="preserve">http://cido.diba.cat/normativa_local/117169/reglament-organic-municipal-ajuntament-de-sant-joan-despi
</t>
  </si>
  <si>
    <t>correo electronico miembros pleno</t>
  </si>
  <si>
    <t>http://wca.sjdespi.net/es/ayuntamiento/el-pleno-municipal</t>
  </si>
  <si>
    <t>https://www.youtube.com/watch?v=NZREvp5mEyA</t>
  </si>
  <si>
    <t xml:space="preserve">http://cido.diba.cat/normativa_local/1493/reglament-de-participacio-ciutadana-ajuntament-de-sant-joan-despi </t>
  </si>
  <si>
    <t>Videoacta (Junio 2018)</t>
  </si>
  <si>
    <t>1147</t>
  </si>
  <si>
    <t>2018-05-18 16:11:52</t>
  </si>
  <si>
    <t>Geldo</t>
  </si>
  <si>
    <t>https://geldo.sedelectronica.es</t>
  </si>
  <si>
    <t>1151</t>
  </si>
  <si>
    <t>2018-05-21 07:34:05</t>
  </si>
  <si>
    <t>Diputación de Alicante</t>
  </si>
  <si>
    <t>Notificación personal</t>
  </si>
  <si>
    <t xml:space="preserve">https://www.youtube.com/user/diputacionalicantetv </t>
  </si>
  <si>
    <t>1152</t>
  </si>
  <si>
    <t>2018-05-21 08:08:27</t>
  </si>
  <si>
    <t>Mont-roig del Camp</t>
  </si>
  <si>
    <t>https://mont-roig.cat/lajuntament/funcionament/normativa-municipal/</t>
  </si>
  <si>
    <t>https://mont-roig.cat/ple-en-directe/</t>
  </si>
  <si>
    <t>1154</t>
  </si>
  <si>
    <t>2018-05-21 08:30:18</t>
  </si>
  <si>
    <t>Salobreña</t>
  </si>
  <si>
    <t>PLATAFOR5MA DE LA EMPRESA ABS INFORMÁTICA</t>
  </si>
  <si>
    <t xml:space="preserve">.
</t>
  </si>
  <si>
    <t>AL FINALIZAR LA SESIÓN</t>
  </si>
  <si>
    <t>1156</t>
  </si>
  <si>
    <t>2018-05-21 10:07:30</t>
  </si>
  <si>
    <t>Ayuntamiento de Ferrol</t>
  </si>
  <si>
    <t>No tiene un nombre concreto, es un programa diseñado por el Centro de Recursos Informáticos de Ferrol</t>
  </si>
  <si>
    <t>https://www.ferrol.es/arquivos/documentos/normativa/Regulamento_Organico.pdf</t>
  </si>
  <si>
    <t>Es libre</t>
  </si>
  <si>
    <t>https://www.ferrol.es/arquivos/documentos/normativa/regulamento_participacion.pdf#page=58</t>
  </si>
  <si>
    <t>1159</t>
  </si>
  <si>
    <t>2018-05-21 10:24:49</t>
  </si>
  <si>
    <t>Vélez-Málaga</t>
  </si>
  <si>
    <t>LibreOffice</t>
  </si>
  <si>
    <t>ods, odt</t>
  </si>
  <si>
    <t>http://www.velezmalaga.es/index.php?mod=normativamunicipal&amp;id=17</t>
  </si>
  <si>
    <t>Informes Técnicos y Jurídicos</t>
  </si>
  <si>
    <t>Personalmente a los Concejales y en Sede electrónica  a la ciudadanía</t>
  </si>
  <si>
    <t xml:space="preserve">No es necesario solicitar el acceso al salón de plenos. Se retransmite por televisión local.
</t>
  </si>
  <si>
    <t>las asociaciones defendiendo intereses sectoriales o generales legítimos; y al finalizar el pleno</t>
  </si>
  <si>
    <t>Comisión Especial de seguimiento de acuerdos de pleno</t>
  </si>
  <si>
    <t>1161</t>
  </si>
  <si>
    <t>2018-05-21 11:17:50</t>
  </si>
  <si>
    <t>VILORIA</t>
  </si>
  <si>
    <t>NO HAY ENLACE DE ACCESO AL PLENO</t>
  </si>
  <si>
    <t>UNA VEZ ACABADO EL PLENO</t>
  </si>
  <si>
    <t>1162</t>
  </si>
  <si>
    <t>2018-05-21 11:20:41</t>
  </si>
  <si>
    <t>Torre del bierzo</t>
  </si>
  <si>
    <t>http://torredelbierzo.es/</t>
  </si>
  <si>
    <t>quien lo solicita</t>
  </si>
  <si>
    <t>Desde el equipo de gobierno</t>
  </si>
  <si>
    <t>1163</t>
  </si>
  <si>
    <t>2018-05-21 12:13:41</t>
  </si>
  <si>
    <t>Griegos</t>
  </si>
  <si>
    <t>SEDE ELECTRONICA GESTIONA</t>
  </si>
  <si>
    <t xml:space="preserve">SEDE ELECTRONICA </t>
  </si>
  <si>
    <t>https//:griegos.sedelectronica.es/</t>
  </si>
  <si>
    <t>1169</t>
  </si>
  <si>
    <t>2018-05-22 08:21:15</t>
  </si>
  <si>
    <t>Irun</t>
  </si>
  <si>
    <t>Gipuzkoa</t>
  </si>
  <si>
    <t xml:space="preserve">http://www.irun.org/cod/ordenanzas/ordenanza.asp?idioma=1&amp;Clave=40&amp;Clave2=-1%7Cseleccione&amp;texto1=&amp;operlogico=AND&amp;texto2=
</t>
  </si>
  <si>
    <t>El área</t>
  </si>
  <si>
    <t xml:space="preserve">
</t>
  </si>
  <si>
    <t>http://www.irun.org/transparencia/ficha_transparencia.asp?codigo=5202</t>
  </si>
  <si>
    <t>Se puede visualizar la sesión y escuchar su audio en la web</t>
  </si>
  <si>
    <t>1170</t>
  </si>
  <si>
    <t>2018-05-22 08:19:37</t>
  </si>
  <si>
    <t xml:space="preserve">MICROSOFT OFFICE, REGISTRO DEL PLENO, BASES DE DATOS VARIAS </t>
  </si>
  <si>
    <t>http://www.madrid.es/UnidadesDescentralizadas/UDCPleno/CentroDocumentacion/ReglamentoOrganico/ROP%20consolidado%20V3.pdf</t>
  </si>
  <si>
    <t>ÁREAS DE GOBIERNO</t>
  </si>
  <si>
    <t>GRUPOS POLÍTICOS MUNICIPALES</t>
  </si>
  <si>
    <t>https://sede.madrid.es/sites/v/index.jsp?vgnextoid=f6906a38d1bed010VgnVCM2000000c205a0aRCRD&amp;vgnextchannel=23a99c5ffb020310VgnVCM100000171f5a0aRCRD</t>
  </si>
  <si>
    <t>http://www.madrid.es/portales/munimadrid/es/Inicio/El-Ayuntamiento/El-Pleno/Retransmisiones-del-Pleno-y-de-las-Comisiones/?vgnextfmt=default&amp;vgnextchannel=b309d9ea9c8c5310VgnVCM100000171f5a0aRCRD&amp;vgnextoid=b309d9ea9c8c5310VgnVCM100000171f5a0aRCRD</t>
  </si>
  <si>
    <t>PUBLICACIÓN EN EL BOLETÍN OFICIAL DEL AYUNTAMIENTO DE MADRID Y DE LA COMUNIDAD DE MADRID.</t>
  </si>
  <si>
    <t xml:space="preserve">EN DATOS ABIERTOS DEL PORTAL DE TRANSPARENCIA DEL AYUNTAMIENTO DE MADRID SE PUBLICA, ENTRE OTROS DATOS, LO PRESUPUESTADO Y LOS GASTADO, SE INCORPORA ENLACE COMO EJEMPLO.
https://presupuestosabiertos.madrid.es/es/politicas#view=functional&amp;year=2017
</t>
  </si>
  <si>
    <t>1171</t>
  </si>
  <si>
    <t>2018-05-22 08:21:30</t>
  </si>
  <si>
    <t>Los Barrios</t>
  </si>
  <si>
    <t>Todos</t>
  </si>
  <si>
    <t>No disponemos</t>
  </si>
  <si>
    <t>1172</t>
  </si>
  <si>
    <t>2018-05-22 08:22:00</t>
  </si>
  <si>
    <t xml:space="preserve">Villafranca de Córdoba </t>
  </si>
  <si>
    <t>Software informático</t>
  </si>
  <si>
    <t xml:space="preserve">BOP diputación de Córdoba </t>
  </si>
  <si>
    <t xml:space="preserve">No es necesario hacer solicitudes </t>
  </si>
  <si>
    <t>1175</t>
  </si>
  <si>
    <t>2018-05-22 11:06:25</t>
  </si>
  <si>
    <t>La Sénia</t>
  </si>
  <si>
    <t>Presencialmente se pùede venir sin solicitar acceso</t>
  </si>
  <si>
    <t>Cada departamente sigue y avalua las propuestas aprobadas</t>
  </si>
  <si>
    <t>1177</t>
  </si>
  <si>
    <t>2018-05-22 11:16:46</t>
  </si>
  <si>
    <t>Santanyí</t>
  </si>
  <si>
    <t>http://santanyiportales.com/aj/portal/transparencia/</t>
  </si>
  <si>
    <t>a veces</t>
  </si>
  <si>
    <t>1180</t>
  </si>
  <si>
    <t>2018-05-22 21:42:39</t>
  </si>
  <si>
    <t>Alcorcon</t>
  </si>
  <si>
    <t>TRATAMIENTOS DE TEXTOS, DE IMAGÉNES, CORREOS ELECTRÓNICOS</t>
  </si>
  <si>
    <t>https://www.ayto-alcorcon.es/documentos/descargar?path=Ordenanzas\REGLAMENTO_ORGANICO_MUNICIPAL_AYUNTAMIENTO_DE_ALCORCON.pdf</t>
  </si>
  <si>
    <t>NO ES NECESARIO AUTORIZACIÓN PREVIA A TRAVÉS LA PÁGINA WEB</t>
  </si>
  <si>
    <t>htpps://www.youtube.com/c/AytoAlcorcónOficial/live</t>
  </si>
  <si>
    <t>SOLICITUD DE INTERVENCIÓN EN VIRTUD DEL ROM, POR PARTE DE VECINOS, ASOCIACIONES, ETC</t>
  </si>
  <si>
    <t>https://www.ayto-alcorcon.es/component/rsfiles/descargar?path=Participacion\Reglamento_Participacion_ciudadana_BOCM-20120810-57.PDF</t>
  </si>
  <si>
    <t>A TRAVÉS DE LA SECRETARIA GENERAL DEL PLENO</t>
  </si>
  <si>
    <t>A TRAVÉS DE LA PROPIA PÁGINA WEB MUNICIPAL Y EN REDES SOCIALES POR CUENTAS OFICIALES</t>
  </si>
  <si>
    <t>1182</t>
  </si>
  <si>
    <t>2018-05-22 22:04:45</t>
  </si>
  <si>
    <t>Alhendin</t>
  </si>
  <si>
    <t>Gestiona de esPublico</t>
  </si>
  <si>
    <t>Los Tecnicos</t>
  </si>
  <si>
    <t>Los Técnicos</t>
  </si>
  <si>
    <t>Tecnicos Municipales y ciudadanos implicados en el expediente</t>
  </si>
  <si>
    <t>http://alhendin.sedelectronica.es/transparency/71cce9f9-fc2d-4e26-833e-5435a6d15069/</t>
  </si>
  <si>
    <t>1186</t>
  </si>
  <si>
    <t>2018-05-23 12:07:15</t>
  </si>
  <si>
    <t>Petrer</t>
  </si>
  <si>
    <t>http://petrer.es/cas/documentos_con_periodo_de_informacion_publica.html</t>
  </si>
  <si>
    <t>OTRAS ADMINISTRACIONES</t>
  </si>
  <si>
    <t>POR EMAIL</t>
  </si>
  <si>
    <t>https://sede.petrer.es/portal/sede/se_contenedor1.jsp?seccion=s_ltra_d12_v1.jsp&amp;codbusqueda=68&amp;language=es&amp;codResi=1&amp;codMenuPN=22&amp;codMenu=54&amp;layout=se_contenedor1.jsp&amp;layout=se_contenedor1.jsp</t>
  </si>
  <si>
    <t>https://www.youtube.com/playlist?list=PLtlvsStwngyCeS6yqY5ax0Fz3QZY0RBN7</t>
  </si>
  <si>
    <t>http://www.dip-alicante.es/bop2/pdftotal/2016/10/20_202/2016_011140.pdf</t>
  </si>
  <si>
    <t>COMISIÓN DE SEGUIMIENTO</t>
  </si>
  <si>
    <t>1193</t>
  </si>
  <si>
    <t>2018-05-24 08:00:09</t>
  </si>
  <si>
    <t>Fresno de Torote</t>
  </si>
  <si>
    <t>ATM  -  GERE</t>
  </si>
  <si>
    <t>tablon electronico</t>
  </si>
  <si>
    <t xml:space="preserve">ES DE LIBRE ACCESO </t>
  </si>
  <si>
    <t>EN EL PORTAL DE TRANSPARENCIA DEL AYUNTAMIENTO</t>
  </si>
  <si>
    <t>PORTAL DE TRASPARENCIA</t>
  </si>
  <si>
    <t>1195</t>
  </si>
  <si>
    <t>2018-05-24 10:55:32</t>
  </si>
  <si>
    <t>Puigverd de Lleida</t>
  </si>
  <si>
    <t>Ebando</t>
  </si>
  <si>
    <t>https://www.seu-e.cat/web/puigverddelleida</t>
  </si>
  <si>
    <t>La ciutadania puede hacer las preguntas que crean una vez finalize la sesión.</t>
  </si>
  <si>
    <t>1196</t>
  </si>
  <si>
    <t>2018-05-24 13:15:51</t>
  </si>
  <si>
    <t>Esplugues de Llobregat</t>
  </si>
  <si>
    <t>http://www.esplugues.cat/ambits/temes/participacio/normativa-sobre-participacio-ciutadana/participacio-ciutadana-rom/view</t>
  </si>
  <si>
    <t>http://www.esplugues.cat/noticias/emissio-en-directe-del-ple-maig-2018</t>
  </si>
  <si>
    <t>1198</t>
  </si>
  <si>
    <t>2018-05-27 18:31:01</t>
  </si>
  <si>
    <t>Gáldar</t>
  </si>
  <si>
    <t>https://www.galdar.es/wp-content/uploads/2017/12/REGLAMENTO-DE-FUNCIONAMIENTO-DEL-AYUNTAMIENTO-PLENO-Y-DE-LAS-COMISIONES-INFORMATIVAS.pdf</t>
  </si>
  <si>
    <t>Notas de prensa en todos los medios de comunicación</t>
  </si>
  <si>
    <t>galdar.es/radio</t>
  </si>
  <si>
    <t>http://www.boplaspalmas.net/boletines/2004/11-6-04/11-6-04.pdf</t>
  </si>
  <si>
    <t>Medios de comunicación</t>
  </si>
  <si>
    <t>A través de las Comisiones de Pleno</t>
  </si>
  <si>
    <t>A través del Portal de Transparencia</t>
  </si>
  <si>
    <t>1248</t>
  </si>
  <si>
    <t>2018-05-31 15:23:36</t>
  </si>
  <si>
    <t>Gijón</t>
  </si>
  <si>
    <t>ERP TAO 2.0 (registro electrónico, gestión de órganos colegiados, expediente electrónico, libro de actas electrónico, etc.)</t>
  </si>
  <si>
    <t>Todos los contemplados en las normas técnicas de interoperabilidad</t>
  </si>
  <si>
    <t>https://sedeelectronica.gijon.es/from/6024/publicacions/show/1227-reglamento-organico-de-funcionamiento-del-pleno</t>
  </si>
  <si>
    <t>Pautas de Accesibilidad para el Contenido Web en su versión 2.0 (WCAG 2.0)  Nivel de Conformidad AA</t>
  </si>
  <si>
    <t>https://sedeelectronica.gijon.es/page/12172-sesiones-del-pleno</t>
  </si>
  <si>
    <t>http://gobierno.gijon.es/page/14136-sesion-del-pleno-en-directo</t>
  </si>
  <si>
    <t>https://sedeelectronica.gijon.es/from/6024/publicacions/show/1240-reglamento-organico-de-participacion-ciudadana
https://sedeelectronica.gijon.es/from/6024/publicacions/show/1238-reglamento-de-organizacion-y-funcionamiento-de-los-distritos-de-la-ciudad-de-gijon</t>
  </si>
  <si>
    <t>http://proposiciones.gijon.es/</t>
  </si>
  <si>
    <t>1250</t>
  </si>
  <si>
    <t>2018-06-01 13:45:47</t>
  </si>
  <si>
    <t>Sinarcas</t>
  </si>
  <si>
    <t>AL TERMINAR EL PLENO</t>
  </si>
  <si>
    <t>180 si</t>
  </si>
  <si>
    <t>91 no</t>
  </si>
  <si>
    <t>Albacete.</t>
  </si>
  <si>
    <t>Álava.</t>
  </si>
  <si>
    <t>Asturias.</t>
  </si>
  <si>
    <t>Bizcaia</t>
  </si>
  <si>
    <t>Guipuzkoa</t>
  </si>
  <si>
    <t>Islas baleares</t>
  </si>
  <si>
    <t>Palencia</t>
  </si>
  <si>
    <t>Santa Cruz de Tenerife</t>
  </si>
  <si>
    <t>Valencia</t>
  </si>
  <si>
    <t>Andalucia</t>
  </si>
  <si>
    <t xml:space="preserve">Aragón </t>
  </si>
  <si>
    <t>Canarias</t>
  </si>
  <si>
    <t>Castilla-La Mancha</t>
  </si>
  <si>
    <t>Castilla y León</t>
  </si>
  <si>
    <t>Cataluña</t>
  </si>
  <si>
    <t>Comunidad Valenciana</t>
  </si>
  <si>
    <t>Extremadura</t>
  </si>
  <si>
    <t>Galicia</t>
  </si>
  <si>
    <t>País Vasco</t>
  </si>
  <si>
    <t>Comunidad Autónoma</t>
  </si>
  <si>
    <t>Alcaldía</t>
  </si>
  <si>
    <t>Concejalía</t>
  </si>
  <si>
    <t>Ciudadanía</t>
  </si>
  <si>
    <t>Otros</t>
  </si>
  <si>
    <t>TOTAL</t>
  </si>
  <si>
    <t>Alcaldia</t>
  </si>
  <si>
    <t>Concejalia</t>
  </si>
  <si>
    <t>Ciudadania</t>
  </si>
  <si>
    <t>Boletín electrónico</t>
  </si>
  <si>
    <t>Mensajería instantánea</t>
  </si>
  <si>
    <t>Tablón de anuncios</t>
  </si>
  <si>
    <t>Otro</t>
  </si>
  <si>
    <t>Lectura fácil</t>
  </si>
  <si>
    <t>Lenguaje de signos</t>
  </si>
  <si>
    <t>Audiodescripción</t>
  </si>
  <si>
    <t>Transcripción</t>
  </si>
  <si>
    <t>Pautas de accesibilidad para el Contenido Web en su version 2.0 (WCAG 2.0) Nivel de conformidad AA</t>
  </si>
  <si>
    <t>Emisión</t>
  </si>
  <si>
    <t xml:space="preserve">Papel, </t>
  </si>
  <si>
    <t>Álava</t>
  </si>
  <si>
    <t>Concejalías</t>
  </si>
  <si>
    <t>Presencial</t>
  </si>
  <si>
    <t>En línea</t>
  </si>
  <si>
    <t>No se permite la grabación audiovisual</t>
  </si>
  <si>
    <t>En relación con cualquier punto</t>
  </si>
  <si>
    <t>En propuestas presentadas por la ciudadaniaq</t>
  </si>
  <si>
    <t>Total</t>
  </si>
  <si>
    <t>Andalucia 29</t>
  </si>
  <si>
    <t>Aragón 12</t>
  </si>
  <si>
    <t>Asturias 5</t>
  </si>
  <si>
    <t>Canarias 10</t>
  </si>
  <si>
    <t>Cantabria 4</t>
  </si>
  <si>
    <t>Castilla-La Mancha 17</t>
  </si>
  <si>
    <t>Castilla y León 39</t>
  </si>
  <si>
    <t>Cataluña 33</t>
  </si>
  <si>
    <t>Comunidad Valenciana 54</t>
  </si>
  <si>
    <t>Extremadura 10</t>
  </si>
  <si>
    <t>Madrid 15</t>
  </si>
  <si>
    <t>Murcia 4</t>
  </si>
  <si>
    <t>Navarra 8</t>
  </si>
  <si>
    <t>País Vasco 5</t>
  </si>
  <si>
    <t>Galicia 15</t>
  </si>
  <si>
    <t>Islas Baleares 5</t>
  </si>
  <si>
    <t>En el acta</t>
  </si>
  <si>
    <t>En un registro específico</t>
  </si>
  <si>
    <t>No se registran</t>
  </si>
  <si>
    <t>Texto</t>
  </si>
  <si>
    <t>Audiovisual</t>
  </si>
  <si>
    <t>Audiovisual interactivo</t>
  </si>
  <si>
    <t>Audio descripción</t>
  </si>
  <si>
    <t>Página web</t>
  </si>
  <si>
    <t>Boletines electrónicos</t>
  </si>
  <si>
    <t>Redes sociales</t>
  </si>
  <si>
    <t>Tablones de anuncios</t>
  </si>
  <si>
    <t xml:space="preserve">Sí </t>
  </si>
  <si>
    <t>Para cada punto del orden del día se abre un expediente donde se archiva la documentación necesaria</t>
  </si>
  <si>
    <t>Ciertos puntos del orden del día requieren un expediente, mientras que otros no</t>
  </si>
  <si>
    <t>Ningún punto del orden del día requiere un expediente</t>
  </si>
  <si>
    <t>Habitantes</t>
  </si>
  <si>
    <t>5000 a 10000</t>
  </si>
  <si>
    <t>&gt;10000</t>
  </si>
  <si>
    <t>Población</t>
  </si>
  <si>
    <t>&lt;5000</t>
  </si>
  <si>
    <t>Castilla la Mancha</t>
  </si>
  <si>
    <t>Andalucía</t>
  </si>
  <si>
    <t>Aragón</t>
  </si>
  <si>
    <t>Islas Canarias</t>
  </si>
  <si>
    <t>Galucia</t>
  </si>
  <si>
    <t>Comunidad de Madrid</t>
  </si>
  <si>
    <t>5001 a 10.000</t>
  </si>
  <si>
    <t>0 a 5.000</t>
  </si>
  <si>
    <t>&gt;10.000</t>
  </si>
  <si>
    <t>Montserrat no</t>
  </si>
  <si>
    <t>Alhendin no</t>
  </si>
  <si>
    <t>Carreño no</t>
  </si>
  <si>
    <t>Beniel no</t>
  </si>
  <si>
    <t>Llerena no</t>
  </si>
  <si>
    <t>Moncofa no</t>
  </si>
  <si>
    <t>Bimenes no</t>
  </si>
  <si>
    <t>Jerica no</t>
  </si>
  <si>
    <t>Agudo no</t>
  </si>
  <si>
    <t>Lucena si</t>
  </si>
  <si>
    <t>Velez si</t>
  </si>
  <si>
    <t>Irun no</t>
  </si>
  <si>
    <t>Cornella no</t>
  </si>
  <si>
    <t>Castro urdiales no</t>
  </si>
  <si>
    <t>Alzira no</t>
  </si>
  <si>
    <t>Benetuser no</t>
  </si>
  <si>
    <t>Bormujos no</t>
  </si>
  <si>
    <t>Teror no</t>
  </si>
  <si>
    <t>Tarancon no</t>
  </si>
  <si>
    <t>¿Cuenta su ayuntamiento con un Reglamento Orgánico para las sesiones del pleno (ROM)? VERSION 2</t>
  </si>
  <si>
    <t>¿Existe algún reglamento de participación ciudadana en el pleno? VERSION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</si>
</sst>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 #,##0.00\ &quot;€&quot;_-;\-* #,##0.00\ &quot;€&quot;_-;_-* &quot;-&quot;??\ &quot;€&quot;_-;_-@_-"/>
  </numFmts>
  <fonts count="4" x14ac:knownFonts="1">
    <font>
      <sz val="11"/>
      <color indexed="8"/>
      <name val="Calibri"/>
      <family val="2"/>
      <scheme val="minor"/>
    </font>
    <font>
      <sz val="11"/>
      <color indexed="8"/>
      <name val="Calibri"/>
      <family val="2"/>
      <scheme val="minor"/>
    </font>
    <font>
      <b/>
      <sz val="11"/>
      <color indexed="8"/>
      <name val="Calibri"/>
      <family val="2"/>
      <scheme val="minor"/>
    </font>
    <font>
      <b/>
      <sz val="11"/>
      <color rgb="FF00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
    <border>
      <left/>
      <right/>
      <top/>
      <bottom/>
      <diagonal/>
    </border>
  </borders>
  <cellStyleXfs count="3">
    <xf numFmtId="0" fontId="0" fillId="0" borderId="0"/>
    <xf numFmtId="9" fontId="1" fillId="0" borderId="0" applyFont="0" applyFill="0" applyBorder="0" applyAlignment="0" applyProtection="0"/>
    <xf numFmtId="44" fontId="1" fillId="0" borderId="0" applyFont="0" applyFill="0" applyBorder="0" applyAlignment="0" applyProtection="0"/>
  </cellStyleXfs>
  <cellXfs count="13">
    <xf numFmtId="0" fontId="0" fillId="0" borderId="0" xfId="0"/>
    <xf numFmtId="0" fontId="0" fillId="0" borderId="0" xfId="0" applyFill="1"/>
    <xf numFmtId="9" fontId="0" fillId="0" borderId="0" xfId="1" applyFont="1"/>
    <xf numFmtId="0" fontId="0" fillId="0" borderId="0" xfId="1" applyNumberFormat="1" applyFont="1"/>
    <xf numFmtId="12" fontId="0" fillId="0" borderId="0" xfId="1" applyNumberFormat="1" applyFont="1"/>
    <xf numFmtId="0" fontId="2" fillId="0" borderId="0" xfId="0" applyFont="1"/>
    <xf numFmtId="0" fontId="3" fillId="0" borderId="0" xfId="0" applyFont="1"/>
    <xf numFmtId="9" fontId="2" fillId="0" borderId="0" xfId="1" applyFont="1"/>
    <xf numFmtId="9" fontId="3" fillId="0" borderId="0" xfId="1" applyFont="1"/>
    <xf numFmtId="44" fontId="0" fillId="0" borderId="0" xfId="2" applyFont="1"/>
    <xf numFmtId="3" fontId="0" fillId="0" borderId="0" xfId="0" applyNumberFormat="1" applyFill="1"/>
    <xf numFmtId="0" fontId="0" fillId="2" borderId="0" xfId="0" applyFill="1"/>
    <xf numFmtId="0" fontId="0" fillId="3" borderId="0" xfId="0" applyFill="1"/>
  </cellXfs>
  <cellStyles count="3">
    <cellStyle name="Moneda" xfId="2" builtinId="4"/>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Porcentaje de municipios que disponen de Reglamento Orgánico del pleno según segmentos de población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tx>
            <c:strRef>
              <c:f>'Pregunta 5'!$B$1</c:f>
              <c:strCache>
                <c:ptCount val="1"/>
                <c:pt idx="0">
                  <c:v>Sí</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79AA-46E9-BF4F-6EFA50B7655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79AA-46E9-BF4F-6EFA50B7655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79AA-46E9-BF4F-6EFA50B76554}"/>
              </c:ext>
            </c:extLst>
          </c:dPt>
          <c:dLbls>
            <c:dLbl>
              <c:idx val="0"/>
              <c:layout>
                <c:manualLayout>
                  <c:x val="-4.3324365704287063E-2"/>
                  <c:y val="9.2816418780985704E-2"/>
                </c:manualLayout>
              </c:layout>
              <c:tx>
                <c:rich>
                  <a:bodyPr/>
                  <a:lstStyle/>
                  <a:p>
                    <a:fld id="{3A929BD3-2131-49B4-B00C-6D7B6A74A42B}" type="VALUE">
                      <a:rPr lang="en-US"/>
                      <a:pPr/>
                      <a:t>[VALOR]</a:t>
                    </a:fld>
                    <a:r>
                      <a:rPr lang="en-US" baseline="0"/>
                      <a:t> </a:t>
                    </a:r>
                  </a:p>
                </c:rich>
              </c:tx>
              <c:dLblPos val="bestFit"/>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79AA-46E9-BF4F-6EFA50B76554}"/>
                </c:ext>
              </c:extLst>
            </c:dLbl>
            <c:dLbl>
              <c:idx val="1"/>
              <c:tx>
                <c:rich>
                  <a:bodyPr/>
                  <a:lstStyle/>
                  <a:p>
                    <a:fld id="{8C5E40DB-DEAF-48E8-9FEA-7C6AE423654B}" type="VALUE">
                      <a:rPr lang="en-US"/>
                      <a:pPr/>
                      <a:t>[VALOR]</a:t>
                    </a:fld>
                    <a:endParaRPr lang="es-ES"/>
                  </a:p>
                </c:rich>
              </c:tx>
              <c:dLblPos val="inEnd"/>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79AA-46E9-BF4F-6EFA50B76554}"/>
                </c:ext>
              </c:extLst>
            </c:dLbl>
            <c:dLbl>
              <c:idx val="2"/>
              <c:tx>
                <c:rich>
                  <a:bodyPr/>
                  <a:lstStyle/>
                  <a:p>
                    <a:fld id="{BC7B125E-1674-43D3-BDDF-40F6B691F7B6}" type="VALUE">
                      <a:rPr lang="en-US"/>
                      <a:pPr/>
                      <a:t>[VALOR]</a:t>
                    </a:fld>
                    <a:endParaRPr lang="es-ES"/>
                  </a:p>
                </c:rich>
              </c:tx>
              <c:dLblPos val="inEnd"/>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79AA-46E9-BF4F-6EFA50B7655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in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'Pregunta 5'!$A$2:$A$4</c:f>
              <c:strCache>
                <c:ptCount val="3"/>
                <c:pt idx="0">
                  <c:v>0 a 5.000</c:v>
                </c:pt>
                <c:pt idx="1">
                  <c:v>5001 a 10.000</c:v>
                </c:pt>
                <c:pt idx="2">
                  <c:v>&gt;10.000</c:v>
                </c:pt>
              </c:strCache>
            </c:strRef>
          </c:cat>
          <c:val>
            <c:numRef>
              <c:f>'Pregunta 5'!$B$2:$B$4</c:f>
              <c:numCache>
                <c:formatCode>0%</c:formatCode>
                <c:ptCount val="3"/>
                <c:pt idx="0">
                  <c:v>0.11258278145695365</c:v>
                </c:pt>
                <c:pt idx="1">
                  <c:v>0.26666666666666666</c:v>
                </c:pt>
                <c:pt idx="2">
                  <c:v>0.75294117647058822</c:v>
                </c:pt>
              </c:numCache>
            </c:numRef>
          </c:val>
          <c:extLst>
            <c:ext xmlns:c16="http://schemas.microsoft.com/office/drawing/2014/chart" uri="{C3380CC4-5D6E-409C-BE32-E72D297353CC}">
              <c16:uniqueId val="{00000000-79AA-46E9-BF4F-6EFA50B76554}"/>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ES"/>
        </a:p>
      </c:txPr>
    </c:title>
    <c:autoTitleDeleted val="0"/>
    <c:plotArea>
      <c:layout/>
      <c:barChart>
        <c:barDir val="col"/>
        <c:grouping val="clustered"/>
        <c:varyColors val="0"/>
        <c:ser>
          <c:idx val="0"/>
          <c:order val="0"/>
          <c:tx>
            <c:strRef>
              <c:f>Pregunta11!$B$1</c:f>
              <c:strCache>
                <c:ptCount val="1"/>
                <c:pt idx="0">
                  <c:v>Alcaldía</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Pregunta11!$A$2:$A$50</c:f>
              <c:strCache>
                <c:ptCount val="49"/>
                <c:pt idx="0">
                  <c:v>A Coruña</c:v>
                </c:pt>
                <c:pt idx="1">
                  <c:v>Albacete.</c:v>
                </c:pt>
                <c:pt idx="2">
                  <c:v>Alicante</c:v>
                </c:pt>
                <c:pt idx="3">
                  <c:v>Almería</c:v>
                </c:pt>
                <c:pt idx="4">
                  <c:v>Álava.</c:v>
                </c:pt>
                <c:pt idx="5">
                  <c:v>Asturias.</c:v>
                </c:pt>
                <c:pt idx="6">
                  <c:v>Ávila</c:v>
                </c:pt>
                <c:pt idx="7">
                  <c:v>Badajoz</c:v>
                </c:pt>
                <c:pt idx="8">
                  <c:v>Barcelona</c:v>
                </c:pt>
                <c:pt idx="9">
                  <c:v>Bizcaia</c:v>
                </c:pt>
                <c:pt idx="10">
                  <c:v>Burgos</c:v>
                </c:pt>
                <c:pt idx="11">
                  <c:v>Cáceres</c:v>
                </c:pt>
                <c:pt idx="12">
                  <c:v>Cádiz</c:v>
                </c:pt>
                <c:pt idx="13">
                  <c:v>Cantabria</c:v>
                </c:pt>
                <c:pt idx="14">
                  <c:v>Castellón</c:v>
                </c:pt>
                <c:pt idx="15">
                  <c:v>Ciudad Real</c:v>
                </c:pt>
                <c:pt idx="16">
                  <c:v>Córdoba</c:v>
                </c:pt>
                <c:pt idx="17">
                  <c:v>Cuenca</c:v>
                </c:pt>
                <c:pt idx="18">
                  <c:v>Guipuzkoa</c:v>
                </c:pt>
                <c:pt idx="19">
                  <c:v>Girona</c:v>
                </c:pt>
                <c:pt idx="20">
                  <c:v>Granada</c:v>
                </c:pt>
                <c:pt idx="21">
                  <c:v>Guadalajara</c:v>
                </c:pt>
                <c:pt idx="22">
                  <c:v>Huelva</c:v>
                </c:pt>
                <c:pt idx="23">
                  <c:v>Huesca</c:v>
                </c:pt>
                <c:pt idx="24">
                  <c:v>Islas baleares</c:v>
                </c:pt>
                <c:pt idx="25">
                  <c:v>Jaén</c:v>
                </c:pt>
                <c:pt idx="26">
                  <c:v>Las Palmas</c:v>
                </c:pt>
                <c:pt idx="27">
                  <c:v>León</c:v>
                </c:pt>
                <c:pt idx="28">
                  <c:v>Lérida</c:v>
                </c:pt>
                <c:pt idx="29">
                  <c:v>Lugo</c:v>
                </c:pt>
                <c:pt idx="30">
                  <c:v>Madrid</c:v>
                </c:pt>
                <c:pt idx="31">
                  <c:v>Málaga</c:v>
                </c:pt>
                <c:pt idx="32">
                  <c:v>Murcia</c:v>
                </c:pt>
                <c:pt idx="33">
                  <c:v>Navarra</c:v>
                </c:pt>
                <c:pt idx="34">
                  <c:v>Ourense</c:v>
                </c:pt>
                <c:pt idx="35">
                  <c:v>Palencia</c:v>
                </c:pt>
                <c:pt idx="36">
                  <c:v>Pontevedra</c:v>
                </c:pt>
                <c:pt idx="37">
                  <c:v>Santa Cruz de Tenerife</c:v>
                </c:pt>
                <c:pt idx="38">
                  <c:v>Salamanca</c:v>
                </c:pt>
                <c:pt idx="39">
                  <c:v>Segovia</c:v>
                </c:pt>
                <c:pt idx="40">
                  <c:v>Sevilla</c:v>
                </c:pt>
                <c:pt idx="41">
                  <c:v>Soria</c:v>
                </c:pt>
                <c:pt idx="42">
                  <c:v>Tarragona</c:v>
                </c:pt>
                <c:pt idx="43">
                  <c:v>Teruel</c:v>
                </c:pt>
                <c:pt idx="44">
                  <c:v>Toledo</c:v>
                </c:pt>
                <c:pt idx="45">
                  <c:v>Valencia</c:v>
                </c:pt>
                <c:pt idx="46">
                  <c:v>Valladolid</c:v>
                </c:pt>
                <c:pt idx="47">
                  <c:v>Zamora</c:v>
                </c:pt>
                <c:pt idx="48">
                  <c:v>Zaragoza</c:v>
                </c:pt>
              </c:strCache>
            </c:strRef>
          </c:cat>
          <c:val>
            <c:numRef>
              <c:f>Pregunta11!$B$2:$B$50</c:f>
              <c:numCache>
                <c:formatCode>0%</c:formatCode>
                <c:ptCount val="49"/>
                <c:pt idx="0">
                  <c:v>1</c:v>
                </c:pt>
                <c:pt idx="1">
                  <c:v>1</c:v>
                </c:pt>
                <c:pt idx="2">
                  <c:v>0.76923076923076927</c:v>
                </c:pt>
                <c:pt idx="3">
                  <c:v>1</c:v>
                </c:pt>
                <c:pt idx="4">
                  <c:v>1</c:v>
                </c:pt>
                <c:pt idx="5">
                  <c:v>1</c:v>
                </c:pt>
                <c:pt idx="6">
                  <c:v>0.875</c:v>
                </c:pt>
                <c:pt idx="7">
                  <c:v>1</c:v>
                </c:pt>
                <c:pt idx="8">
                  <c:v>1</c:v>
                </c:pt>
                <c:pt idx="9">
                  <c:v>1</c:v>
                </c:pt>
                <c:pt idx="10">
                  <c:v>0.75</c:v>
                </c:pt>
                <c:pt idx="11">
                  <c:v>1</c:v>
                </c:pt>
                <c:pt idx="12">
                  <c:v>0.6</c:v>
                </c:pt>
                <c:pt idx="13">
                  <c:v>1</c:v>
                </c:pt>
                <c:pt idx="14">
                  <c:v>1</c:v>
                </c:pt>
                <c:pt idx="15">
                  <c:v>0.75</c:v>
                </c:pt>
                <c:pt idx="16">
                  <c:v>1</c:v>
                </c:pt>
                <c:pt idx="17">
                  <c:v>1</c:v>
                </c:pt>
                <c:pt idx="18">
                  <c:v>1</c:v>
                </c:pt>
                <c:pt idx="19">
                  <c:v>1</c:v>
                </c:pt>
                <c:pt idx="20">
                  <c:v>0.8571428571428571</c:v>
                </c:pt>
                <c:pt idx="21">
                  <c:v>0.8</c:v>
                </c:pt>
                <c:pt idx="22">
                  <c:v>1</c:v>
                </c:pt>
                <c:pt idx="23">
                  <c:v>1</c:v>
                </c:pt>
                <c:pt idx="24">
                  <c:v>0.8</c:v>
                </c:pt>
                <c:pt idx="25">
                  <c:v>1</c:v>
                </c:pt>
                <c:pt idx="26">
                  <c:v>1</c:v>
                </c:pt>
                <c:pt idx="27">
                  <c:v>0.75</c:v>
                </c:pt>
                <c:pt idx="28">
                  <c:v>1</c:v>
                </c:pt>
                <c:pt idx="29">
                  <c:v>0.66666666666666663</c:v>
                </c:pt>
                <c:pt idx="30">
                  <c:v>1</c:v>
                </c:pt>
                <c:pt idx="31">
                  <c:v>1</c:v>
                </c:pt>
                <c:pt idx="32">
                  <c:v>1</c:v>
                </c:pt>
                <c:pt idx="33">
                  <c:v>1</c:v>
                </c:pt>
                <c:pt idx="34">
                  <c:v>1</c:v>
                </c:pt>
                <c:pt idx="35">
                  <c:v>1</c:v>
                </c:pt>
                <c:pt idx="36">
                  <c:v>1</c:v>
                </c:pt>
                <c:pt idx="37">
                  <c:v>1</c:v>
                </c:pt>
                <c:pt idx="38">
                  <c:v>1</c:v>
                </c:pt>
                <c:pt idx="39">
                  <c:v>1</c:v>
                </c:pt>
                <c:pt idx="40">
                  <c:v>1</c:v>
                </c:pt>
                <c:pt idx="41">
                  <c:v>0.66666666666666663</c:v>
                </c:pt>
                <c:pt idx="42">
                  <c:v>1</c:v>
                </c:pt>
                <c:pt idx="43">
                  <c:v>0.8</c:v>
                </c:pt>
                <c:pt idx="44">
                  <c:v>1</c:v>
                </c:pt>
                <c:pt idx="45">
                  <c:v>0.9</c:v>
                </c:pt>
                <c:pt idx="46">
                  <c:v>1</c:v>
                </c:pt>
                <c:pt idx="47">
                  <c:v>1</c:v>
                </c:pt>
                <c:pt idx="48">
                  <c:v>1</c:v>
                </c:pt>
              </c:numCache>
            </c:numRef>
          </c:val>
          <c:extLst>
            <c:ext xmlns:c16="http://schemas.microsoft.com/office/drawing/2014/chart" uri="{C3380CC4-5D6E-409C-BE32-E72D297353CC}">
              <c16:uniqueId val="{00000000-A73E-4229-8718-57E4B4660703}"/>
            </c:ext>
          </c:extLst>
        </c:ser>
        <c:ser>
          <c:idx val="1"/>
          <c:order val="1"/>
          <c:tx>
            <c:strRef>
              <c:f>Pregunta11!$C$1</c:f>
              <c:strCache>
                <c:ptCount val="1"/>
                <c:pt idx="0">
                  <c:v>Concejalía</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Pregunta11!$A$2:$A$50</c:f>
              <c:strCache>
                <c:ptCount val="49"/>
                <c:pt idx="0">
                  <c:v>A Coruña</c:v>
                </c:pt>
                <c:pt idx="1">
                  <c:v>Albacete.</c:v>
                </c:pt>
                <c:pt idx="2">
                  <c:v>Alicante</c:v>
                </c:pt>
                <c:pt idx="3">
                  <c:v>Almería</c:v>
                </c:pt>
                <c:pt idx="4">
                  <c:v>Álava.</c:v>
                </c:pt>
                <c:pt idx="5">
                  <c:v>Asturias.</c:v>
                </c:pt>
                <c:pt idx="6">
                  <c:v>Ávila</c:v>
                </c:pt>
                <c:pt idx="7">
                  <c:v>Badajoz</c:v>
                </c:pt>
                <c:pt idx="8">
                  <c:v>Barcelona</c:v>
                </c:pt>
                <c:pt idx="9">
                  <c:v>Bizcaia</c:v>
                </c:pt>
                <c:pt idx="10">
                  <c:v>Burgos</c:v>
                </c:pt>
                <c:pt idx="11">
                  <c:v>Cáceres</c:v>
                </c:pt>
                <c:pt idx="12">
                  <c:v>Cádiz</c:v>
                </c:pt>
                <c:pt idx="13">
                  <c:v>Cantabria</c:v>
                </c:pt>
                <c:pt idx="14">
                  <c:v>Castellón</c:v>
                </c:pt>
                <c:pt idx="15">
                  <c:v>Ciudad Real</c:v>
                </c:pt>
                <c:pt idx="16">
                  <c:v>Córdoba</c:v>
                </c:pt>
                <c:pt idx="17">
                  <c:v>Cuenca</c:v>
                </c:pt>
                <c:pt idx="18">
                  <c:v>Guipuzkoa</c:v>
                </c:pt>
                <c:pt idx="19">
                  <c:v>Girona</c:v>
                </c:pt>
                <c:pt idx="20">
                  <c:v>Granada</c:v>
                </c:pt>
                <c:pt idx="21">
                  <c:v>Guadalajara</c:v>
                </c:pt>
                <c:pt idx="22">
                  <c:v>Huelva</c:v>
                </c:pt>
                <c:pt idx="23">
                  <c:v>Huesca</c:v>
                </c:pt>
                <c:pt idx="24">
                  <c:v>Islas baleares</c:v>
                </c:pt>
                <c:pt idx="25">
                  <c:v>Jaén</c:v>
                </c:pt>
                <c:pt idx="26">
                  <c:v>Las Palmas</c:v>
                </c:pt>
                <c:pt idx="27">
                  <c:v>León</c:v>
                </c:pt>
                <c:pt idx="28">
                  <c:v>Lérida</c:v>
                </c:pt>
                <c:pt idx="29">
                  <c:v>Lugo</c:v>
                </c:pt>
                <c:pt idx="30">
                  <c:v>Madrid</c:v>
                </c:pt>
                <c:pt idx="31">
                  <c:v>Málaga</c:v>
                </c:pt>
                <c:pt idx="32">
                  <c:v>Murcia</c:v>
                </c:pt>
                <c:pt idx="33">
                  <c:v>Navarra</c:v>
                </c:pt>
                <c:pt idx="34">
                  <c:v>Ourense</c:v>
                </c:pt>
                <c:pt idx="35">
                  <c:v>Palencia</c:v>
                </c:pt>
                <c:pt idx="36">
                  <c:v>Pontevedra</c:v>
                </c:pt>
                <c:pt idx="37">
                  <c:v>Santa Cruz de Tenerife</c:v>
                </c:pt>
                <c:pt idx="38">
                  <c:v>Salamanca</c:v>
                </c:pt>
                <c:pt idx="39">
                  <c:v>Segovia</c:v>
                </c:pt>
                <c:pt idx="40">
                  <c:v>Sevilla</c:v>
                </c:pt>
                <c:pt idx="41">
                  <c:v>Soria</c:v>
                </c:pt>
                <c:pt idx="42">
                  <c:v>Tarragona</c:v>
                </c:pt>
                <c:pt idx="43">
                  <c:v>Teruel</c:v>
                </c:pt>
                <c:pt idx="44">
                  <c:v>Toledo</c:v>
                </c:pt>
                <c:pt idx="45">
                  <c:v>Valencia</c:v>
                </c:pt>
                <c:pt idx="46">
                  <c:v>Valladolid</c:v>
                </c:pt>
                <c:pt idx="47">
                  <c:v>Zamora</c:v>
                </c:pt>
                <c:pt idx="48">
                  <c:v>Zaragoza</c:v>
                </c:pt>
              </c:strCache>
            </c:strRef>
          </c:cat>
          <c:val>
            <c:numRef>
              <c:f>Pregunta11!$C$2:$C$50</c:f>
              <c:numCache>
                <c:formatCode>0%</c:formatCode>
                <c:ptCount val="49"/>
                <c:pt idx="0">
                  <c:v>1</c:v>
                </c:pt>
                <c:pt idx="1">
                  <c:v>1</c:v>
                </c:pt>
                <c:pt idx="2">
                  <c:v>1</c:v>
                </c:pt>
                <c:pt idx="3">
                  <c:v>1</c:v>
                </c:pt>
                <c:pt idx="4">
                  <c:v>1</c:v>
                </c:pt>
                <c:pt idx="5">
                  <c:v>1</c:v>
                </c:pt>
                <c:pt idx="6">
                  <c:v>1</c:v>
                </c:pt>
                <c:pt idx="7">
                  <c:v>1</c:v>
                </c:pt>
                <c:pt idx="8">
                  <c:v>1</c:v>
                </c:pt>
                <c:pt idx="9">
                  <c:v>1</c:v>
                </c:pt>
                <c:pt idx="10">
                  <c:v>1</c:v>
                </c:pt>
                <c:pt idx="11">
                  <c:v>1</c:v>
                </c:pt>
                <c:pt idx="12">
                  <c:v>0.8</c:v>
                </c:pt>
                <c:pt idx="13">
                  <c:v>1</c:v>
                </c:pt>
                <c:pt idx="14">
                  <c:v>1</c:v>
                </c:pt>
                <c:pt idx="15">
                  <c:v>1</c:v>
                </c:pt>
                <c:pt idx="16">
                  <c:v>1</c:v>
                </c:pt>
                <c:pt idx="17">
                  <c:v>1</c:v>
                </c:pt>
                <c:pt idx="18">
                  <c:v>1</c:v>
                </c:pt>
                <c:pt idx="19">
                  <c:v>1</c:v>
                </c:pt>
                <c:pt idx="20">
                  <c:v>1</c:v>
                </c:pt>
                <c:pt idx="21">
                  <c:v>1</c:v>
                </c:pt>
                <c:pt idx="22">
                  <c:v>1</c:v>
                </c:pt>
                <c:pt idx="23">
                  <c:v>1</c:v>
                </c:pt>
                <c:pt idx="24">
                  <c:v>1</c:v>
                </c:pt>
                <c:pt idx="25">
                  <c:v>1</c:v>
                </c:pt>
                <c:pt idx="26">
                  <c:v>0.8</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numCache>
            </c:numRef>
          </c:val>
          <c:extLst>
            <c:ext xmlns:c16="http://schemas.microsoft.com/office/drawing/2014/chart" uri="{C3380CC4-5D6E-409C-BE32-E72D297353CC}">
              <c16:uniqueId val="{00000001-A73E-4229-8718-57E4B4660703}"/>
            </c:ext>
          </c:extLst>
        </c:ser>
        <c:ser>
          <c:idx val="2"/>
          <c:order val="2"/>
          <c:tx>
            <c:strRef>
              <c:f>Pregunta11!$D$1</c:f>
              <c:strCache>
                <c:ptCount val="1"/>
                <c:pt idx="0">
                  <c:v>Ciudadanía</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cat>
            <c:strRef>
              <c:f>Pregunta11!$A$2:$A$50</c:f>
              <c:strCache>
                <c:ptCount val="49"/>
                <c:pt idx="0">
                  <c:v>A Coruña</c:v>
                </c:pt>
                <c:pt idx="1">
                  <c:v>Albacete.</c:v>
                </c:pt>
                <c:pt idx="2">
                  <c:v>Alicante</c:v>
                </c:pt>
                <c:pt idx="3">
                  <c:v>Almería</c:v>
                </c:pt>
                <c:pt idx="4">
                  <c:v>Álava.</c:v>
                </c:pt>
                <c:pt idx="5">
                  <c:v>Asturias.</c:v>
                </c:pt>
                <c:pt idx="6">
                  <c:v>Ávila</c:v>
                </c:pt>
                <c:pt idx="7">
                  <c:v>Badajoz</c:v>
                </c:pt>
                <c:pt idx="8">
                  <c:v>Barcelona</c:v>
                </c:pt>
                <c:pt idx="9">
                  <c:v>Bizcaia</c:v>
                </c:pt>
                <c:pt idx="10">
                  <c:v>Burgos</c:v>
                </c:pt>
                <c:pt idx="11">
                  <c:v>Cáceres</c:v>
                </c:pt>
                <c:pt idx="12">
                  <c:v>Cádiz</c:v>
                </c:pt>
                <c:pt idx="13">
                  <c:v>Cantabria</c:v>
                </c:pt>
                <c:pt idx="14">
                  <c:v>Castellón</c:v>
                </c:pt>
                <c:pt idx="15">
                  <c:v>Ciudad Real</c:v>
                </c:pt>
                <c:pt idx="16">
                  <c:v>Córdoba</c:v>
                </c:pt>
                <c:pt idx="17">
                  <c:v>Cuenca</c:v>
                </c:pt>
                <c:pt idx="18">
                  <c:v>Guipuzkoa</c:v>
                </c:pt>
                <c:pt idx="19">
                  <c:v>Girona</c:v>
                </c:pt>
                <c:pt idx="20">
                  <c:v>Granada</c:v>
                </c:pt>
                <c:pt idx="21">
                  <c:v>Guadalajara</c:v>
                </c:pt>
                <c:pt idx="22">
                  <c:v>Huelva</c:v>
                </c:pt>
                <c:pt idx="23">
                  <c:v>Huesca</c:v>
                </c:pt>
                <c:pt idx="24">
                  <c:v>Islas baleares</c:v>
                </c:pt>
                <c:pt idx="25">
                  <c:v>Jaén</c:v>
                </c:pt>
                <c:pt idx="26">
                  <c:v>Las Palmas</c:v>
                </c:pt>
                <c:pt idx="27">
                  <c:v>León</c:v>
                </c:pt>
                <c:pt idx="28">
                  <c:v>Lérida</c:v>
                </c:pt>
                <c:pt idx="29">
                  <c:v>Lugo</c:v>
                </c:pt>
                <c:pt idx="30">
                  <c:v>Madrid</c:v>
                </c:pt>
                <c:pt idx="31">
                  <c:v>Málaga</c:v>
                </c:pt>
                <c:pt idx="32">
                  <c:v>Murcia</c:v>
                </c:pt>
                <c:pt idx="33">
                  <c:v>Navarra</c:v>
                </c:pt>
                <c:pt idx="34">
                  <c:v>Ourense</c:v>
                </c:pt>
                <c:pt idx="35">
                  <c:v>Palencia</c:v>
                </c:pt>
                <c:pt idx="36">
                  <c:v>Pontevedra</c:v>
                </c:pt>
                <c:pt idx="37">
                  <c:v>Santa Cruz de Tenerife</c:v>
                </c:pt>
                <c:pt idx="38">
                  <c:v>Salamanca</c:v>
                </c:pt>
                <c:pt idx="39">
                  <c:v>Segovia</c:v>
                </c:pt>
                <c:pt idx="40">
                  <c:v>Sevilla</c:v>
                </c:pt>
                <c:pt idx="41">
                  <c:v>Soria</c:v>
                </c:pt>
                <c:pt idx="42">
                  <c:v>Tarragona</c:v>
                </c:pt>
                <c:pt idx="43">
                  <c:v>Teruel</c:v>
                </c:pt>
                <c:pt idx="44">
                  <c:v>Toledo</c:v>
                </c:pt>
                <c:pt idx="45">
                  <c:v>Valencia</c:v>
                </c:pt>
                <c:pt idx="46">
                  <c:v>Valladolid</c:v>
                </c:pt>
                <c:pt idx="47">
                  <c:v>Zamora</c:v>
                </c:pt>
                <c:pt idx="48">
                  <c:v>Zaragoza</c:v>
                </c:pt>
              </c:strCache>
            </c:strRef>
          </c:cat>
          <c:val>
            <c:numRef>
              <c:f>Pregunta11!$D$2:$D$50</c:f>
              <c:numCache>
                <c:formatCode>0%</c:formatCode>
                <c:ptCount val="49"/>
                <c:pt idx="0">
                  <c:v>0</c:v>
                </c:pt>
                <c:pt idx="1">
                  <c:v>0</c:v>
                </c:pt>
                <c:pt idx="2">
                  <c:v>0.15384615384615385</c:v>
                </c:pt>
                <c:pt idx="3">
                  <c:v>1</c:v>
                </c:pt>
                <c:pt idx="4">
                  <c:v>0</c:v>
                </c:pt>
                <c:pt idx="5">
                  <c:v>0</c:v>
                </c:pt>
                <c:pt idx="6">
                  <c:v>0.5</c:v>
                </c:pt>
                <c:pt idx="7">
                  <c:v>0.25</c:v>
                </c:pt>
                <c:pt idx="8">
                  <c:v>0.25</c:v>
                </c:pt>
                <c:pt idx="9">
                  <c:v>0.66666666666666663</c:v>
                </c:pt>
                <c:pt idx="10">
                  <c:v>0.25</c:v>
                </c:pt>
                <c:pt idx="11">
                  <c:v>0</c:v>
                </c:pt>
                <c:pt idx="12">
                  <c:v>0</c:v>
                </c:pt>
                <c:pt idx="13">
                  <c:v>0.4</c:v>
                </c:pt>
                <c:pt idx="14">
                  <c:v>0.19047619047619047</c:v>
                </c:pt>
                <c:pt idx="15">
                  <c:v>0.25</c:v>
                </c:pt>
                <c:pt idx="16">
                  <c:v>0.25</c:v>
                </c:pt>
                <c:pt idx="17">
                  <c:v>0</c:v>
                </c:pt>
                <c:pt idx="18">
                  <c:v>0</c:v>
                </c:pt>
                <c:pt idx="19">
                  <c:v>0.25</c:v>
                </c:pt>
                <c:pt idx="20">
                  <c:v>0.14285714285714285</c:v>
                </c:pt>
                <c:pt idx="21">
                  <c:v>0.2</c:v>
                </c:pt>
                <c:pt idx="22">
                  <c:v>0.5</c:v>
                </c:pt>
                <c:pt idx="23">
                  <c:v>0.25</c:v>
                </c:pt>
                <c:pt idx="24">
                  <c:v>0.6</c:v>
                </c:pt>
                <c:pt idx="25">
                  <c:v>0.33333333333333331</c:v>
                </c:pt>
                <c:pt idx="26">
                  <c:v>0</c:v>
                </c:pt>
                <c:pt idx="27">
                  <c:v>0.25</c:v>
                </c:pt>
                <c:pt idx="28">
                  <c:v>0.25</c:v>
                </c:pt>
                <c:pt idx="29">
                  <c:v>0</c:v>
                </c:pt>
                <c:pt idx="30">
                  <c:v>0.13333333333333333</c:v>
                </c:pt>
                <c:pt idx="31">
                  <c:v>0.33333333333333331</c:v>
                </c:pt>
                <c:pt idx="32">
                  <c:v>0</c:v>
                </c:pt>
                <c:pt idx="33">
                  <c:v>0.125</c:v>
                </c:pt>
                <c:pt idx="34">
                  <c:v>1</c:v>
                </c:pt>
                <c:pt idx="35">
                  <c:v>0</c:v>
                </c:pt>
                <c:pt idx="36">
                  <c:v>0</c:v>
                </c:pt>
                <c:pt idx="37">
                  <c:v>0</c:v>
                </c:pt>
                <c:pt idx="38">
                  <c:v>0.33333333333333331</c:v>
                </c:pt>
                <c:pt idx="39">
                  <c:v>0.33333333333333331</c:v>
                </c:pt>
                <c:pt idx="40">
                  <c:v>0.5</c:v>
                </c:pt>
                <c:pt idx="41">
                  <c:v>0.33333333333333331</c:v>
                </c:pt>
                <c:pt idx="42">
                  <c:v>0.2</c:v>
                </c:pt>
                <c:pt idx="43">
                  <c:v>0.4</c:v>
                </c:pt>
                <c:pt idx="44">
                  <c:v>0.4</c:v>
                </c:pt>
                <c:pt idx="45">
                  <c:v>0.1</c:v>
                </c:pt>
                <c:pt idx="46">
                  <c:v>0</c:v>
                </c:pt>
                <c:pt idx="47">
                  <c:v>0.33333333333333331</c:v>
                </c:pt>
                <c:pt idx="48">
                  <c:v>0</c:v>
                </c:pt>
              </c:numCache>
            </c:numRef>
          </c:val>
          <c:extLst>
            <c:ext xmlns:c16="http://schemas.microsoft.com/office/drawing/2014/chart" uri="{C3380CC4-5D6E-409C-BE32-E72D297353CC}">
              <c16:uniqueId val="{00000002-A73E-4229-8718-57E4B4660703}"/>
            </c:ext>
          </c:extLst>
        </c:ser>
        <c:ser>
          <c:idx val="3"/>
          <c:order val="3"/>
          <c:tx>
            <c:strRef>
              <c:f>Pregunta11!$E$1</c:f>
              <c:strCache>
                <c:ptCount val="1"/>
                <c:pt idx="0">
                  <c:v>Otros</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cat>
            <c:strRef>
              <c:f>Pregunta11!$A$2:$A$50</c:f>
              <c:strCache>
                <c:ptCount val="49"/>
                <c:pt idx="0">
                  <c:v>A Coruña</c:v>
                </c:pt>
                <c:pt idx="1">
                  <c:v>Albacete.</c:v>
                </c:pt>
                <c:pt idx="2">
                  <c:v>Alicante</c:v>
                </c:pt>
                <c:pt idx="3">
                  <c:v>Almería</c:v>
                </c:pt>
                <c:pt idx="4">
                  <c:v>Álava.</c:v>
                </c:pt>
                <c:pt idx="5">
                  <c:v>Asturias.</c:v>
                </c:pt>
                <c:pt idx="6">
                  <c:v>Ávila</c:v>
                </c:pt>
                <c:pt idx="7">
                  <c:v>Badajoz</c:v>
                </c:pt>
                <c:pt idx="8">
                  <c:v>Barcelona</c:v>
                </c:pt>
                <c:pt idx="9">
                  <c:v>Bizcaia</c:v>
                </c:pt>
                <c:pt idx="10">
                  <c:v>Burgos</c:v>
                </c:pt>
                <c:pt idx="11">
                  <c:v>Cáceres</c:v>
                </c:pt>
                <c:pt idx="12">
                  <c:v>Cádiz</c:v>
                </c:pt>
                <c:pt idx="13">
                  <c:v>Cantabria</c:v>
                </c:pt>
                <c:pt idx="14">
                  <c:v>Castellón</c:v>
                </c:pt>
                <c:pt idx="15">
                  <c:v>Ciudad Real</c:v>
                </c:pt>
                <c:pt idx="16">
                  <c:v>Córdoba</c:v>
                </c:pt>
                <c:pt idx="17">
                  <c:v>Cuenca</c:v>
                </c:pt>
                <c:pt idx="18">
                  <c:v>Guipuzkoa</c:v>
                </c:pt>
                <c:pt idx="19">
                  <c:v>Girona</c:v>
                </c:pt>
                <c:pt idx="20">
                  <c:v>Granada</c:v>
                </c:pt>
                <c:pt idx="21">
                  <c:v>Guadalajara</c:v>
                </c:pt>
                <c:pt idx="22">
                  <c:v>Huelva</c:v>
                </c:pt>
                <c:pt idx="23">
                  <c:v>Huesca</c:v>
                </c:pt>
                <c:pt idx="24">
                  <c:v>Islas baleares</c:v>
                </c:pt>
                <c:pt idx="25">
                  <c:v>Jaén</c:v>
                </c:pt>
                <c:pt idx="26">
                  <c:v>Las Palmas</c:v>
                </c:pt>
                <c:pt idx="27">
                  <c:v>León</c:v>
                </c:pt>
                <c:pt idx="28">
                  <c:v>Lérida</c:v>
                </c:pt>
                <c:pt idx="29">
                  <c:v>Lugo</c:v>
                </c:pt>
                <c:pt idx="30">
                  <c:v>Madrid</c:v>
                </c:pt>
                <c:pt idx="31">
                  <c:v>Málaga</c:v>
                </c:pt>
                <c:pt idx="32">
                  <c:v>Murcia</c:v>
                </c:pt>
                <c:pt idx="33">
                  <c:v>Navarra</c:v>
                </c:pt>
                <c:pt idx="34">
                  <c:v>Ourense</c:v>
                </c:pt>
                <c:pt idx="35">
                  <c:v>Palencia</c:v>
                </c:pt>
                <c:pt idx="36">
                  <c:v>Pontevedra</c:v>
                </c:pt>
                <c:pt idx="37">
                  <c:v>Santa Cruz de Tenerife</c:v>
                </c:pt>
                <c:pt idx="38">
                  <c:v>Salamanca</c:v>
                </c:pt>
                <c:pt idx="39">
                  <c:v>Segovia</c:v>
                </c:pt>
                <c:pt idx="40">
                  <c:v>Sevilla</c:v>
                </c:pt>
                <c:pt idx="41">
                  <c:v>Soria</c:v>
                </c:pt>
                <c:pt idx="42">
                  <c:v>Tarragona</c:v>
                </c:pt>
                <c:pt idx="43">
                  <c:v>Teruel</c:v>
                </c:pt>
                <c:pt idx="44">
                  <c:v>Toledo</c:v>
                </c:pt>
                <c:pt idx="45">
                  <c:v>Valencia</c:v>
                </c:pt>
                <c:pt idx="46">
                  <c:v>Valladolid</c:v>
                </c:pt>
                <c:pt idx="47">
                  <c:v>Zamora</c:v>
                </c:pt>
                <c:pt idx="48">
                  <c:v>Zaragoza</c:v>
                </c:pt>
              </c:strCache>
            </c:strRef>
          </c:cat>
          <c:val>
            <c:numRef>
              <c:f>Pregunta11!$E$2:$E$50</c:f>
              <c:numCache>
                <c:formatCode>0%</c:formatCode>
                <c:ptCount val="49"/>
                <c:pt idx="24">
                  <c:v>0.2</c:v>
                </c:pt>
                <c:pt idx="33">
                  <c:v>0.125</c:v>
                </c:pt>
                <c:pt idx="38">
                  <c:v>0.1111111111111111</c:v>
                </c:pt>
                <c:pt idx="40">
                  <c:v>0.25</c:v>
                </c:pt>
                <c:pt idx="42">
                  <c:v>0.2</c:v>
                </c:pt>
                <c:pt idx="43">
                  <c:v>0.2</c:v>
                </c:pt>
                <c:pt idx="44">
                  <c:v>0.2</c:v>
                </c:pt>
                <c:pt idx="45">
                  <c:v>0.05</c:v>
                </c:pt>
                <c:pt idx="48">
                  <c:v>0.33333333333333331</c:v>
                </c:pt>
              </c:numCache>
            </c:numRef>
          </c:val>
          <c:extLst>
            <c:ext xmlns:c16="http://schemas.microsoft.com/office/drawing/2014/chart" uri="{C3380CC4-5D6E-409C-BE32-E72D297353CC}">
              <c16:uniqueId val="{00000003-A73E-4229-8718-57E4B4660703}"/>
            </c:ext>
          </c:extLst>
        </c:ser>
        <c:dLbls>
          <c:showLegendKey val="0"/>
          <c:showVal val="0"/>
          <c:showCatName val="0"/>
          <c:showSerName val="0"/>
          <c:showPercent val="0"/>
          <c:showBubbleSize val="0"/>
        </c:dLbls>
        <c:gapWidth val="100"/>
        <c:overlap val="-24"/>
        <c:axId val="519893856"/>
        <c:axId val="519893200"/>
      </c:barChart>
      <c:catAx>
        <c:axId val="519893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519893200"/>
        <c:crosses val="autoZero"/>
        <c:auto val="1"/>
        <c:lblAlgn val="ctr"/>
        <c:lblOffset val="100"/>
        <c:noMultiLvlLbl val="0"/>
      </c:catAx>
      <c:valAx>
        <c:axId val="519893200"/>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5198938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ES"/>
        </a:p>
      </c:txPr>
    </c:title>
    <c:autoTitleDeleted val="0"/>
    <c:plotArea>
      <c:layout/>
      <c:barChart>
        <c:barDir val="col"/>
        <c:grouping val="clustered"/>
        <c:varyColors val="0"/>
        <c:ser>
          <c:idx val="0"/>
          <c:order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Pregunta11!$B$1:$E$1</c:f>
              <c:strCache>
                <c:ptCount val="4"/>
                <c:pt idx="0">
                  <c:v>Alcaldía</c:v>
                </c:pt>
                <c:pt idx="1">
                  <c:v>Concejalía</c:v>
                </c:pt>
                <c:pt idx="2">
                  <c:v>Ciudadanía</c:v>
                </c:pt>
                <c:pt idx="3">
                  <c:v>Otros</c:v>
                </c:pt>
              </c:strCache>
            </c:strRef>
          </c:cat>
          <c:val>
            <c:numRef>
              <c:f>Pregunta11!$B$51:$E$51</c:f>
              <c:numCache>
                <c:formatCode>0%</c:formatCode>
                <c:ptCount val="4"/>
                <c:pt idx="0">
                  <c:v>0.937037037037037</c:v>
                </c:pt>
                <c:pt idx="1">
                  <c:v>0.99259259259259258</c:v>
                </c:pt>
                <c:pt idx="2">
                  <c:v>0.22222222222222221</c:v>
                </c:pt>
                <c:pt idx="3">
                  <c:v>3.3333333333333333E-2</c:v>
                </c:pt>
              </c:numCache>
            </c:numRef>
          </c:val>
          <c:extLst>
            <c:ext xmlns:c16="http://schemas.microsoft.com/office/drawing/2014/chart" uri="{C3380CC4-5D6E-409C-BE32-E72D297353CC}">
              <c16:uniqueId val="{00000000-FC87-4B3E-99C7-1A6B79F0ADDE}"/>
            </c:ext>
          </c:extLst>
        </c:ser>
        <c:dLbls>
          <c:showLegendKey val="0"/>
          <c:showVal val="0"/>
          <c:showCatName val="0"/>
          <c:showSerName val="0"/>
          <c:showPercent val="0"/>
          <c:showBubbleSize val="0"/>
        </c:dLbls>
        <c:gapWidth val="100"/>
        <c:overlap val="-24"/>
        <c:axId val="594602896"/>
        <c:axId val="594603880"/>
      </c:barChart>
      <c:catAx>
        <c:axId val="594602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594603880"/>
        <c:crosses val="autoZero"/>
        <c:auto val="1"/>
        <c:lblAlgn val="ctr"/>
        <c:lblOffset val="100"/>
        <c:noMultiLvlLbl val="0"/>
      </c:catAx>
      <c:valAx>
        <c:axId val="5946038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594602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s-ES"/>
              <a:t>Porcentaje</a:t>
            </a:r>
            <a:r>
              <a:rPr lang="es-ES" baseline="0"/>
              <a:t> de </a:t>
            </a:r>
            <a:endParaRPr lang="es-E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ES"/>
        </a:p>
      </c:txPr>
    </c:title>
    <c:autoTitleDeleted val="0"/>
    <c:plotArea>
      <c:layout/>
      <c:barChart>
        <c:barDir val="col"/>
        <c:grouping val="clustered"/>
        <c:varyColors val="0"/>
        <c:ser>
          <c:idx val="0"/>
          <c:order val="0"/>
          <c:tx>
            <c:strRef>
              <c:f>Pregunta11!$B$53</c:f>
              <c:strCache>
                <c:ptCount val="1"/>
                <c:pt idx="0">
                  <c:v>Alcaldía</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Pregunta11!$A$54:$A$69</c:f>
              <c:strCache>
                <c:ptCount val="16"/>
                <c:pt idx="0">
                  <c:v>Andalucia</c:v>
                </c:pt>
                <c:pt idx="1">
                  <c:v>Aragón </c:v>
                </c:pt>
                <c:pt idx="2">
                  <c:v>Asturias</c:v>
                </c:pt>
                <c:pt idx="3">
                  <c:v>Canarias</c:v>
                </c:pt>
                <c:pt idx="4">
                  <c:v>Cantabria</c:v>
                </c:pt>
                <c:pt idx="5">
                  <c:v>Castilla-La Mancha</c:v>
                </c:pt>
                <c:pt idx="6">
                  <c:v>Castilla y León</c:v>
                </c:pt>
                <c:pt idx="7">
                  <c:v>Cataluña</c:v>
                </c:pt>
                <c:pt idx="8">
                  <c:v>Comunidad Valenciana</c:v>
                </c:pt>
                <c:pt idx="9">
                  <c:v>Extremadura</c:v>
                </c:pt>
                <c:pt idx="10">
                  <c:v>Galicia</c:v>
                </c:pt>
                <c:pt idx="11">
                  <c:v>Islas Baleares</c:v>
                </c:pt>
                <c:pt idx="12">
                  <c:v>Madrid</c:v>
                </c:pt>
                <c:pt idx="13">
                  <c:v>Murcia</c:v>
                </c:pt>
                <c:pt idx="14">
                  <c:v>Navarra</c:v>
                </c:pt>
                <c:pt idx="15">
                  <c:v>País Vasco</c:v>
                </c:pt>
              </c:strCache>
            </c:strRef>
          </c:cat>
          <c:val>
            <c:numRef>
              <c:f>Pregunta11!$B$54:$B$69</c:f>
              <c:numCache>
                <c:formatCode>0%</c:formatCode>
                <c:ptCount val="16"/>
                <c:pt idx="0">
                  <c:v>0.89655172413793105</c:v>
                </c:pt>
                <c:pt idx="1">
                  <c:v>0.91666666666666663</c:v>
                </c:pt>
                <c:pt idx="2">
                  <c:v>1</c:v>
                </c:pt>
                <c:pt idx="3">
                  <c:v>1</c:v>
                </c:pt>
                <c:pt idx="4">
                  <c:v>1</c:v>
                </c:pt>
                <c:pt idx="5">
                  <c:v>0.88235294117647056</c:v>
                </c:pt>
                <c:pt idx="6">
                  <c:v>0.89743589743589747</c:v>
                </c:pt>
                <c:pt idx="7">
                  <c:v>1</c:v>
                </c:pt>
                <c:pt idx="8">
                  <c:v>0.90740740740740744</c:v>
                </c:pt>
                <c:pt idx="9">
                  <c:v>1</c:v>
                </c:pt>
                <c:pt idx="10">
                  <c:v>0.93333333333333335</c:v>
                </c:pt>
                <c:pt idx="11">
                  <c:v>0.8</c:v>
                </c:pt>
                <c:pt idx="12">
                  <c:v>1</c:v>
                </c:pt>
                <c:pt idx="13">
                  <c:v>1</c:v>
                </c:pt>
                <c:pt idx="14">
                  <c:v>1</c:v>
                </c:pt>
                <c:pt idx="15">
                  <c:v>1</c:v>
                </c:pt>
              </c:numCache>
            </c:numRef>
          </c:val>
          <c:extLst>
            <c:ext xmlns:c16="http://schemas.microsoft.com/office/drawing/2014/chart" uri="{C3380CC4-5D6E-409C-BE32-E72D297353CC}">
              <c16:uniqueId val="{00000000-5E0B-4838-98B3-3659E16D4C05}"/>
            </c:ext>
          </c:extLst>
        </c:ser>
        <c:ser>
          <c:idx val="1"/>
          <c:order val="1"/>
          <c:tx>
            <c:strRef>
              <c:f>Pregunta11!$C$53</c:f>
              <c:strCache>
                <c:ptCount val="1"/>
                <c:pt idx="0">
                  <c:v>Concejalías</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Pregunta11!$A$54:$A$69</c:f>
              <c:strCache>
                <c:ptCount val="16"/>
                <c:pt idx="0">
                  <c:v>Andalucia</c:v>
                </c:pt>
                <c:pt idx="1">
                  <c:v>Aragón </c:v>
                </c:pt>
                <c:pt idx="2">
                  <c:v>Asturias</c:v>
                </c:pt>
                <c:pt idx="3">
                  <c:v>Canarias</c:v>
                </c:pt>
                <c:pt idx="4">
                  <c:v>Cantabria</c:v>
                </c:pt>
                <c:pt idx="5">
                  <c:v>Castilla-La Mancha</c:v>
                </c:pt>
                <c:pt idx="6">
                  <c:v>Castilla y León</c:v>
                </c:pt>
                <c:pt idx="7">
                  <c:v>Cataluña</c:v>
                </c:pt>
                <c:pt idx="8">
                  <c:v>Comunidad Valenciana</c:v>
                </c:pt>
                <c:pt idx="9">
                  <c:v>Extremadura</c:v>
                </c:pt>
                <c:pt idx="10">
                  <c:v>Galicia</c:v>
                </c:pt>
                <c:pt idx="11">
                  <c:v>Islas Baleares</c:v>
                </c:pt>
                <c:pt idx="12">
                  <c:v>Madrid</c:v>
                </c:pt>
                <c:pt idx="13">
                  <c:v>Murcia</c:v>
                </c:pt>
                <c:pt idx="14">
                  <c:v>Navarra</c:v>
                </c:pt>
                <c:pt idx="15">
                  <c:v>País Vasco</c:v>
                </c:pt>
              </c:strCache>
            </c:strRef>
          </c:cat>
          <c:val>
            <c:numRef>
              <c:f>Pregunta11!$C$54:$C$69</c:f>
              <c:numCache>
                <c:formatCode>0%</c:formatCode>
                <c:ptCount val="16"/>
                <c:pt idx="0">
                  <c:v>0.96551724137931039</c:v>
                </c:pt>
                <c:pt idx="1">
                  <c:v>1</c:v>
                </c:pt>
                <c:pt idx="2">
                  <c:v>1</c:v>
                </c:pt>
                <c:pt idx="3">
                  <c:v>0.9</c:v>
                </c:pt>
                <c:pt idx="4">
                  <c:v>1</c:v>
                </c:pt>
                <c:pt idx="5">
                  <c:v>1</c:v>
                </c:pt>
                <c:pt idx="6">
                  <c:v>1</c:v>
                </c:pt>
                <c:pt idx="7">
                  <c:v>1</c:v>
                </c:pt>
                <c:pt idx="8">
                  <c:v>1</c:v>
                </c:pt>
                <c:pt idx="9">
                  <c:v>1</c:v>
                </c:pt>
                <c:pt idx="10">
                  <c:v>1</c:v>
                </c:pt>
                <c:pt idx="11">
                  <c:v>1</c:v>
                </c:pt>
                <c:pt idx="12">
                  <c:v>1</c:v>
                </c:pt>
                <c:pt idx="13">
                  <c:v>1</c:v>
                </c:pt>
                <c:pt idx="14">
                  <c:v>1</c:v>
                </c:pt>
                <c:pt idx="15">
                  <c:v>1</c:v>
                </c:pt>
              </c:numCache>
            </c:numRef>
          </c:val>
          <c:extLst>
            <c:ext xmlns:c16="http://schemas.microsoft.com/office/drawing/2014/chart" uri="{C3380CC4-5D6E-409C-BE32-E72D297353CC}">
              <c16:uniqueId val="{00000001-5E0B-4838-98B3-3659E16D4C05}"/>
            </c:ext>
          </c:extLst>
        </c:ser>
        <c:ser>
          <c:idx val="2"/>
          <c:order val="2"/>
          <c:tx>
            <c:strRef>
              <c:f>Pregunta11!$D$53</c:f>
              <c:strCache>
                <c:ptCount val="1"/>
                <c:pt idx="0">
                  <c:v>Ciudadanía</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cat>
            <c:strRef>
              <c:f>Pregunta11!$A$54:$A$69</c:f>
              <c:strCache>
                <c:ptCount val="16"/>
                <c:pt idx="0">
                  <c:v>Andalucia</c:v>
                </c:pt>
                <c:pt idx="1">
                  <c:v>Aragón </c:v>
                </c:pt>
                <c:pt idx="2">
                  <c:v>Asturias</c:v>
                </c:pt>
                <c:pt idx="3">
                  <c:v>Canarias</c:v>
                </c:pt>
                <c:pt idx="4">
                  <c:v>Cantabria</c:v>
                </c:pt>
                <c:pt idx="5">
                  <c:v>Castilla-La Mancha</c:v>
                </c:pt>
                <c:pt idx="6">
                  <c:v>Castilla y León</c:v>
                </c:pt>
                <c:pt idx="7">
                  <c:v>Cataluña</c:v>
                </c:pt>
                <c:pt idx="8">
                  <c:v>Comunidad Valenciana</c:v>
                </c:pt>
                <c:pt idx="9">
                  <c:v>Extremadura</c:v>
                </c:pt>
                <c:pt idx="10">
                  <c:v>Galicia</c:v>
                </c:pt>
                <c:pt idx="11">
                  <c:v>Islas Baleares</c:v>
                </c:pt>
                <c:pt idx="12">
                  <c:v>Madrid</c:v>
                </c:pt>
                <c:pt idx="13">
                  <c:v>Murcia</c:v>
                </c:pt>
                <c:pt idx="14">
                  <c:v>Navarra</c:v>
                </c:pt>
                <c:pt idx="15">
                  <c:v>País Vasco</c:v>
                </c:pt>
              </c:strCache>
            </c:strRef>
          </c:cat>
          <c:val>
            <c:numRef>
              <c:f>Pregunta11!$D$54:$D$69</c:f>
              <c:numCache>
                <c:formatCode>0%</c:formatCode>
                <c:ptCount val="16"/>
                <c:pt idx="0">
                  <c:v>0.34482758620689657</c:v>
                </c:pt>
                <c:pt idx="1">
                  <c:v>0.25</c:v>
                </c:pt>
                <c:pt idx="2">
                  <c:v>0</c:v>
                </c:pt>
                <c:pt idx="3">
                  <c:v>0</c:v>
                </c:pt>
                <c:pt idx="4">
                  <c:v>0.4</c:v>
                </c:pt>
                <c:pt idx="5">
                  <c:v>0.23529411764705882</c:v>
                </c:pt>
                <c:pt idx="6">
                  <c:v>0.30769230769230771</c:v>
                </c:pt>
                <c:pt idx="7">
                  <c:v>0.24242424242424243</c:v>
                </c:pt>
                <c:pt idx="8">
                  <c:v>0.14814814814814814</c:v>
                </c:pt>
                <c:pt idx="9">
                  <c:v>0.1</c:v>
                </c:pt>
                <c:pt idx="10">
                  <c:v>0.2</c:v>
                </c:pt>
                <c:pt idx="11">
                  <c:v>0.6</c:v>
                </c:pt>
                <c:pt idx="12">
                  <c:v>0.13333333333333333</c:v>
                </c:pt>
                <c:pt idx="13">
                  <c:v>0</c:v>
                </c:pt>
                <c:pt idx="14">
                  <c:v>0.125</c:v>
                </c:pt>
                <c:pt idx="15">
                  <c:v>0.4</c:v>
                </c:pt>
              </c:numCache>
            </c:numRef>
          </c:val>
          <c:extLst>
            <c:ext xmlns:c16="http://schemas.microsoft.com/office/drawing/2014/chart" uri="{C3380CC4-5D6E-409C-BE32-E72D297353CC}">
              <c16:uniqueId val="{00000002-5E0B-4838-98B3-3659E16D4C05}"/>
            </c:ext>
          </c:extLst>
        </c:ser>
        <c:ser>
          <c:idx val="3"/>
          <c:order val="3"/>
          <c:tx>
            <c:strRef>
              <c:f>Pregunta11!$E$53</c:f>
              <c:strCache>
                <c:ptCount val="1"/>
                <c:pt idx="0">
                  <c:v>Otros</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cat>
            <c:strRef>
              <c:f>Pregunta11!$A$54:$A$69</c:f>
              <c:strCache>
                <c:ptCount val="16"/>
                <c:pt idx="0">
                  <c:v>Andalucia</c:v>
                </c:pt>
                <c:pt idx="1">
                  <c:v>Aragón </c:v>
                </c:pt>
                <c:pt idx="2">
                  <c:v>Asturias</c:v>
                </c:pt>
                <c:pt idx="3">
                  <c:v>Canarias</c:v>
                </c:pt>
                <c:pt idx="4">
                  <c:v>Cantabria</c:v>
                </c:pt>
                <c:pt idx="5">
                  <c:v>Castilla-La Mancha</c:v>
                </c:pt>
                <c:pt idx="6">
                  <c:v>Castilla y León</c:v>
                </c:pt>
                <c:pt idx="7">
                  <c:v>Cataluña</c:v>
                </c:pt>
                <c:pt idx="8">
                  <c:v>Comunidad Valenciana</c:v>
                </c:pt>
                <c:pt idx="9">
                  <c:v>Extremadura</c:v>
                </c:pt>
                <c:pt idx="10">
                  <c:v>Galicia</c:v>
                </c:pt>
                <c:pt idx="11">
                  <c:v>Islas Baleares</c:v>
                </c:pt>
                <c:pt idx="12">
                  <c:v>Madrid</c:v>
                </c:pt>
                <c:pt idx="13">
                  <c:v>Murcia</c:v>
                </c:pt>
                <c:pt idx="14">
                  <c:v>Navarra</c:v>
                </c:pt>
                <c:pt idx="15">
                  <c:v>País Vasco</c:v>
                </c:pt>
              </c:strCache>
            </c:strRef>
          </c:cat>
          <c:val>
            <c:numRef>
              <c:f>Pregunta11!$E$54:$E$69</c:f>
              <c:numCache>
                <c:formatCode>0%</c:formatCode>
                <c:ptCount val="16"/>
                <c:pt idx="0">
                  <c:v>3.4482758620689655E-2</c:v>
                </c:pt>
                <c:pt idx="1">
                  <c:v>0.16666666666666666</c:v>
                </c:pt>
                <c:pt idx="5">
                  <c:v>5.8823529411764705E-2</c:v>
                </c:pt>
                <c:pt idx="6">
                  <c:v>2.564102564102564E-2</c:v>
                </c:pt>
                <c:pt idx="7">
                  <c:v>3.0303030303030304E-2</c:v>
                </c:pt>
                <c:pt idx="8">
                  <c:v>0.05</c:v>
                </c:pt>
                <c:pt idx="11">
                  <c:v>0.2</c:v>
                </c:pt>
                <c:pt idx="14">
                  <c:v>0.125</c:v>
                </c:pt>
              </c:numCache>
            </c:numRef>
          </c:val>
          <c:extLst>
            <c:ext xmlns:c16="http://schemas.microsoft.com/office/drawing/2014/chart" uri="{C3380CC4-5D6E-409C-BE32-E72D297353CC}">
              <c16:uniqueId val="{00000003-5E0B-4838-98B3-3659E16D4C05}"/>
            </c:ext>
          </c:extLst>
        </c:ser>
        <c:dLbls>
          <c:showLegendKey val="0"/>
          <c:showVal val="0"/>
          <c:showCatName val="0"/>
          <c:showSerName val="0"/>
          <c:showPercent val="0"/>
          <c:showBubbleSize val="0"/>
        </c:dLbls>
        <c:gapWidth val="100"/>
        <c:overlap val="-24"/>
        <c:axId val="618438584"/>
        <c:axId val="618436616"/>
      </c:barChart>
      <c:catAx>
        <c:axId val="618438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618436616"/>
        <c:crosses val="autoZero"/>
        <c:auto val="1"/>
        <c:lblAlgn val="ctr"/>
        <c:lblOffset val="100"/>
        <c:noMultiLvlLbl val="0"/>
      </c:catAx>
      <c:valAx>
        <c:axId val="618436616"/>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6184385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ES"/>
        </a:p>
      </c:txPr>
    </c:title>
    <c:autoTitleDeleted val="0"/>
    <c:plotArea>
      <c:layout/>
      <c:barChart>
        <c:barDir val="col"/>
        <c:grouping val="clustered"/>
        <c:varyColors val="0"/>
        <c:ser>
          <c:idx val="0"/>
          <c:order val="0"/>
          <c:tx>
            <c:strRef>
              <c:f>'Pregunta 12'!$B$53</c:f>
              <c:strCache>
                <c:ptCount val="1"/>
                <c:pt idx="0">
                  <c:v>Presencial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'Pregunta 12'!$A$54:$A$69</c:f>
              <c:strCache>
                <c:ptCount val="16"/>
                <c:pt idx="0">
                  <c:v>Andalucia</c:v>
                </c:pt>
                <c:pt idx="1">
                  <c:v>Aragón </c:v>
                </c:pt>
                <c:pt idx="2">
                  <c:v>Asturias</c:v>
                </c:pt>
                <c:pt idx="3">
                  <c:v>Canarias</c:v>
                </c:pt>
                <c:pt idx="4">
                  <c:v>Cantabria</c:v>
                </c:pt>
                <c:pt idx="5">
                  <c:v>Castilla-La Mancha</c:v>
                </c:pt>
                <c:pt idx="6">
                  <c:v>Castilla y León</c:v>
                </c:pt>
                <c:pt idx="7">
                  <c:v>Cataluña</c:v>
                </c:pt>
                <c:pt idx="8">
                  <c:v>Comunidad Valenciana</c:v>
                </c:pt>
                <c:pt idx="9">
                  <c:v>Extremadura</c:v>
                </c:pt>
                <c:pt idx="10">
                  <c:v>Galicia</c:v>
                </c:pt>
                <c:pt idx="11">
                  <c:v>Islas Baleares</c:v>
                </c:pt>
                <c:pt idx="12">
                  <c:v>Madrid</c:v>
                </c:pt>
                <c:pt idx="13">
                  <c:v>Murcia</c:v>
                </c:pt>
                <c:pt idx="14">
                  <c:v>Navarra</c:v>
                </c:pt>
                <c:pt idx="15">
                  <c:v>País Vasco</c:v>
                </c:pt>
              </c:strCache>
            </c:strRef>
          </c:cat>
          <c:val>
            <c:numRef>
              <c:f>'Pregunta 12'!$B$54:$B$69</c:f>
              <c:numCache>
                <c:formatCode>0%</c:formatCode>
                <c:ptCount val="16"/>
                <c:pt idx="0">
                  <c:v>0.89655172413793105</c:v>
                </c:pt>
                <c:pt idx="1">
                  <c:v>0.91666666666666663</c:v>
                </c:pt>
                <c:pt idx="2">
                  <c:v>1</c:v>
                </c:pt>
                <c:pt idx="3">
                  <c:v>1</c:v>
                </c:pt>
                <c:pt idx="4">
                  <c:v>1</c:v>
                </c:pt>
                <c:pt idx="5">
                  <c:v>1</c:v>
                </c:pt>
                <c:pt idx="6">
                  <c:v>0.97435897435897434</c:v>
                </c:pt>
                <c:pt idx="7">
                  <c:v>0.81818181818181823</c:v>
                </c:pt>
                <c:pt idx="8">
                  <c:v>0.98148148148148151</c:v>
                </c:pt>
                <c:pt idx="9">
                  <c:v>1</c:v>
                </c:pt>
                <c:pt idx="10">
                  <c:v>0.93333333333333335</c:v>
                </c:pt>
                <c:pt idx="11">
                  <c:v>1</c:v>
                </c:pt>
                <c:pt idx="12">
                  <c:v>1</c:v>
                </c:pt>
                <c:pt idx="13">
                  <c:v>1</c:v>
                </c:pt>
                <c:pt idx="14">
                  <c:v>0.875</c:v>
                </c:pt>
                <c:pt idx="15">
                  <c:v>1</c:v>
                </c:pt>
              </c:numCache>
            </c:numRef>
          </c:val>
          <c:extLst>
            <c:ext xmlns:c16="http://schemas.microsoft.com/office/drawing/2014/chart" uri="{C3380CC4-5D6E-409C-BE32-E72D297353CC}">
              <c16:uniqueId val="{00000000-8F0F-4A5D-ACC8-51476352571F}"/>
            </c:ext>
          </c:extLst>
        </c:ser>
        <c:ser>
          <c:idx val="1"/>
          <c:order val="1"/>
          <c:tx>
            <c:strRef>
              <c:f>'Pregunta 12'!$C$53</c:f>
              <c:strCache>
                <c:ptCount val="1"/>
                <c:pt idx="0">
                  <c:v>En línea</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'Pregunta 12'!$A$54:$A$69</c:f>
              <c:strCache>
                <c:ptCount val="16"/>
                <c:pt idx="0">
                  <c:v>Andalucia</c:v>
                </c:pt>
                <c:pt idx="1">
                  <c:v>Aragón </c:v>
                </c:pt>
                <c:pt idx="2">
                  <c:v>Asturias</c:v>
                </c:pt>
                <c:pt idx="3">
                  <c:v>Canarias</c:v>
                </c:pt>
                <c:pt idx="4">
                  <c:v>Cantabria</c:v>
                </c:pt>
                <c:pt idx="5">
                  <c:v>Castilla-La Mancha</c:v>
                </c:pt>
                <c:pt idx="6">
                  <c:v>Castilla y León</c:v>
                </c:pt>
                <c:pt idx="7">
                  <c:v>Cataluña</c:v>
                </c:pt>
                <c:pt idx="8">
                  <c:v>Comunidad Valenciana</c:v>
                </c:pt>
                <c:pt idx="9">
                  <c:v>Extremadura</c:v>
                </c:pt>
                <c:pt idx="10">
                  <c:v>Galicia</c:v>
                </c:pt>
                <c:pt idx="11">
                  <c:v>Islas Baleares</c:v>
                </c:pt>
                <c:pt idx="12">
                  <c:v>Madrid</c:v>
                </c:pt>
                <c:pt idx="13">
                  <c:v>Murcia</c:v>
                </c:pt>
                <c:pt idx="14">
                  <c:v>Navarra</c:v>
                </c:pt>
                <c:pt idx="15">
                  <c:v>País Vasco</c:v>
                </c:pt>
              </c:strCache>
            </c:strRef>
          </c:cat>
          <c:val>
            <c:numRef>
              <c:f>'Pregunta 12'!$C$54:$C$69</c:f>
              <c:numCache>
                <c:formatCode>0%</c:formatCode>
                <c:ptCount val="16"/>
                <c:pt idx="0">
                  <c:v>0.41379310344827586</c:v>
                </c:pt>
                <c:pt idx="1">
                  <c:v>8.3333333333333329E-2</c:v>
                </c:pt>
                <c:pt idx="2">
                  <c:v>0.2</c:v>
                </c:pt>
                <c:pt idx="3">
                  <c:v>0.4</c:v>
                </c:pt>
                <c:pt idx="4">
                  <c:v>0</c:v>
                </c:pt>
                <c:pt idx="5">
                  <c:v>0.29411764705882354</c:v>
                </c:pt>
                <c:pt idx="6">
                  <c:v>0.10256410256410256</c:v>
                </c:pt>
                <c:pt idx="7">
                  <c:v>0.54545454545454541</c:v>
                </c:pt>
                <c:pt idx="8">
                  <c:v>0.25925925925925924</c:v>
                </c:pt>
                <c:pt idx="9">
                  <c:v>0</c:v>
                </c:pt>
                <c:pt idx="10">
                  <c:v>0.33333333333333331</c:v>
                </c:pt>
                <c:pt idx="11">
                  <c:v>0.2</c:v>
                </c:pt>
                <c:pt idx="12">
                  <c:v>0.6</c:v>
                </c:pt>
                <c:pt idx="13">
                  <c:v>0.21428571428571427</c:v>
                </c:pt>
                <c:pt idx="14">
                  <c:v>0.25</c:v>
                </c:pt>
                <c:pt idx="15">
                  <c:v>1</c:v>
                </c:pt>
              </c:numCache>
            </c:numRef>
          </c:val>
          <c:extLst>
            <c:ext xmlns:c16="http://schemas.microsoft.com/office/drawing/2014/chart" uri="{C3380CC4-5D6E-409C-BE32-E72D297353CC}">
              <c16:uniqueId val="{00000001-8F0F-4A5D-ACC8-51476352571F}"/>
            </c:ext>
          </c:extLst>
        </c:ser>
        <c:dLbls>
          <c:showLegendKey val="0"/>
          <c:showVal val="0"/>
          <c:showCatName val="0"/>
          <c:showSerName val="0"/>
          <c:showPercent val="0"/>
          <c:showBubbleSize val="0"/>
        </c:dLbls>
        <c:gapWidth val="100"/>
        <c:overlap val="-24"/>
        <c:axId val="615759528"/>
        <c:axId val="615756248"/>
      </c:barChart>
      <c:catAx>
        <c:axId val="615759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615756248"/>
        <c:crosses val="autoZero"/>
        <c:auto val="1"/>
        <c:lblAlgn val="ctr"/>
        <c:lblOffset val="100"/>
        <c:noMultiLvlLbl val="0"/>
      </c:catAx>
      <c:valAx>
        <c:axId val="6157562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6157595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'Pregunta 12'!$B$1</c:f>
              <c:strCache>
                <c:ptCount val="1"/>
                <c:pt idx="0">
                  <c:v>Presencial</c:v>
                </c:pt>
              </c:strCache>
            </c:strRef>
          </c:tx>
          <c:spPr>
            <a:solidFill>
              <a:schemeClr val="accent1"/>
            </a:solidFill>
            <a:ln>
              <a:noFill/>
            </a:ln>
            <a:effectLst/>
          </c:spPr>
          <c:invertIfNegative val="0"/>
          <c:cat>
            <c:strRef>
              <c:f>'Pregunta 12'!$A$2:$A$50</c:f>
              <c:strCache>
                <c:ptCount val="49"/>
                <c:pt idx="0">
                  <c:v>A Coruña</c:v>
                </c:pt>
                <c:pt idx="1">
                  <c:v>Albacete.</c:v>
                </c:pt>
                <c:pt idx="2">
                  <c:v>Alicante</c:v>
                </c:pt>
                <c:pt idx="3">
                  <c:v>Almería</c:v>
                </c:pt>
                <c:pt idx="4">
                  <c:v>Álava.</c:v>
                </c:pt>
                <c:pt idx="5">
                  <c:v>Asturias.</c:v>
                </c:pt>
                <c:pt idx="6">
                  <c:v>Ávila</c:v>
                </c:pt>
                <c:pt idx="7">
                  <c:v>Badajoz</c:v>
                </c:pt>
                <c:pt idx="8">
                  <c:v>Barcelona</c:v>
                </c:pt>
                <c:pt idx="9">
                  <c:v>Bizcaia</c:v>
                </c:pt>
                <c:pt idx="10">
                  <c:v>Burgos</c:v>
                </c:pt>
                <c:pt idx="11">
                  <c:v>Cáceres</c:v>
                </c:pt>
                <c:pt idx="12">
                  <c:v>Cádiz</c:v>
                </c:pt>
                <c:pt idx="13">
                  <c:v>Cantabria</c:v>
                </c:pt>
                <c:pt idx="14">
                  <c:v>Castellón</c:v>
                </c:pt>
                <c:pt idx="15">
                  <c:v>Ciudad Real</c:v>
                </c:pt>
                <c:pt idx="16">
                  <c:v>Córdoba</c:v>
                </c:pt>
                <c:pt idx="17">
                  <c:v>Cuenca</c:v>
                </c:pt>
                <c:pt idx="18">
                  <c:v>Guipuzkoa</c:v>
                </c:pt>
                <c:pt idx="19">
                  <c:v>Girona</c:v>
                </c:pt>
                <c:pt idx="20">
                  <c:v>Granada</c:v>
                </c:pt>
                <c:pt idx="21">
                  <c:v>Guadalajara</c:v>
                </c:pt>
                <c:pt idx="22">
                  <c:v>Huelva</c:v>
                </c:pt>
                <c:pt idx="23">
                  <c:v>Huesca</c:v>
                </c:pt>
                <c:pt idx="24">
                  <c:v>Islas baleares</c:v>
                </c:pt>
                <c:pt idx="25">
                  <c:v>Jaén</c:v>
                </c:pt>
                <c:pt idx="26">
                  <c:v>Las Palmas</c:v>
                </c:pt>
                <c:pt idx="27">
                  <c:v>León</c:v>
                </c:pt>
                <c:pt idx="28">
                  <c:v>Lérida</c:v>
                </c:pt>
                <c:pt idx="29">
                  <c:v>Lugo</c:v>
                </c:pt>
                <c:pt idx="30">
                  <c:v>Madrid</c:v>
                </c:pt>
                <c:pt idx="31">
                  <c:v>Málaga</c:v>
                </c:pt>
                <c:pt idx="32">
                  <c:v>Murcia</c:v>
                </c:pt>
                <c:pt idx="33">
                  <c:v>Navarra</c:v>
                </c:pt>
                <c:pt idx="34">
                  <c:v>Ourense</c:v>
                </c:pt>
                <c:pt idx="35">
                  <c:v>Palencia</c:v>
                </c:pt>
                <c:pt idx="36">
                  <c:v>Pontevedra</c:v>
                </c:pt>
                <c:pt idx="37">
                  <c:v>Santa Cruz de Tenerife</c:v>
                </c:pt>
                <c:pt idx="38">
                  <c:v>Salamanca</c:v>
                </c:pt>
                <c:pt idx="39">
                  <c:v>Segovia</c:v>
                </c:pt>
                <c:pt idx="40">
                  <c:v>Sevilla</c:v>
                </c:pt>
                <c:pt idx="41">
                  <c:v>Soria</c:v>
                </c:pt>
                <c:pt idx="42">
                  <c:v>Tarragona</c:v>
                </c:pt>
                <c:pt idx="43">
                  <c:v>Teruel</c:v>
                </c:pt>
                <c:pt idx="44">
                  <c:v>Toledo</c:v>
                </c:pt>
                <c:pt idx="45">
                  <c:v>Valencia</c:v>
                </c:pt>
                <c:pt idx="46">
                  <c:v>Valladolid</c:v>
                </c:pt>
                <c:pt idx="47">
                  <c:v>Zamora</c:v>
                </c:pt>
                <c:pt idx="48">
                  <c:v>Zaragoza</c:v>
                </c:pt>
              </c:strCache>
            </c:strRef>
          </c:cat>
          <c:val>
            <c:numRef>
              <c:f>'Pregunta 12'!$B$2:$B$50</c:f>
              <c:numCache>
                <c:formatCode>0%</c:formatCode>
                <c:ptCount val="49"/>
                <c:pt idx="0">
                  <c:v>0.875</c:v>
                </c:pt>
                <c:pt idx="1">
                  <c:v>1</c:v>
                </c:pt>
                <c:pt idx="2">
                  <c:v>0.92307692307692313</c:v>
                </c:pt>
                <c:pt idx="3">
                  <c:v>1</c:v>
                </c:pt>
                <c:pt idx="4">
                  <c:v>1</c:v>
                </c:pt>
                <c:pt idx="5">
                  <c:v>1</c:v>
                </c:pt>
                <c:pt idx="6">
                  <c:v>1</c:v>
                </c:pt>
                <c:pt idx="7">
                  <c:v>1</c:v>
                </c:pt>
                <c:pt idx="8">
                  <c:v>0.85</c:v>
                </c:pt>
                <c:pt idx="9">
                  <c:v>1</c:v>
                </c:pt>
                <c:pt idx="10">
                  <c:v>1</c:v>
                </c:pt>
                <c:pt idx="11">
                  <c:v>1</c:v>
                </c:pt>
                <c:pt idx="12">
                  <c:v>1</c:v>
                </c:pt>
                <c:pt idx="13">
                  <c:v>1</c:v>
                </c:pt>
                <c:pt idx="14">
                  <c:v>1</c:v>
                </c:pt>
                <c:pt idx="15">
                  <c:v>1</c:v>
                </c:pt>
                <c:pt idx="16">
                  <c:v>0.875</c:v>
                </c:pt>
                <c:pt idx="17">
                  <c:v>1</c:v>
                </c:pt>
                <c:pt idx="18">
                  <c:v>1</c:v>
                </c:pt>
                <c:pt idx="19">
                  <c:v>0.75</c:v>
                </c:pt>
                <c:pt idx="20">
                  <c:v>0.8571428571428571</c:v>
                </c:pt>
                <c:pt idx="21">
                  <c:v>1</c:v>
                </c:pt>
                <c:pt idx="22">
                  <c:v>1</c:v>
                </c:pt>
                <c:pt idx="23">
                  <c:v>1</c:v>
                </c:pt>
                <c:pt idx="24">
                  <c:v>1</c:v>
                </c:pt>
                <c:pt idx="25">
                  <c:v>1</c:v>
                </c:pt>
                <c:pt idx="26">
                  <c:v>1</c:v>
                </c:pt>
                <c:pt idx="27">
                  <c:v>1</c:v>
                </c:pt>
                <c:pt idx="28">
                  <c:v>0.75</c:v>
                </c:pt>
                <c:pt idx="29">
                  <c:v>1</c:v>
                </c:pt>
                <c:pt idx="30">
                  <c:v>1</c:v>
                </c:pt>
                <c:pt idx="31">
                  <c:v>1</c:v>
                </c:pt>
                <c:pt idx="32">
                  <c:v>1</c:v>
                </c:pt>
                <c:pt idx="33">
                  <c:v>0.875</c:v>
                </c:pt>
                <c:pt idx="34">
                  <c:v>1</c:v>
                </c:pt>
                <c:pt idx="35">
                  <c:v>1</c:v>
                </c:pt>
                <c:pt idx="36">
                  <c:v>1</c:v>
                </c:pt>
                <c:pt idx="37">
                  <c:v>1</c:v>
                </c:pt>
                <c:pt idx="38">
                  <c:v>0.88888888888888884</c:v>
                </c:pt>
                <c:pt idx="39">
                  <c:v>1</c:v>
                </c:pt>
                <c:pt idx="40">
                  <c:v>0.75</c:v>
                </c:pt>
                <c:pt idx="41">
                  <c:v>1</c:v>
                </c:pt>
                <c:pt idx="42">
                  <c:v>0.8</c:v>
                </c:pt>
                <c:pt idx="43">
                  <c:v>0.8</c:v>
                </c:pt>
                <c:pt idx="44">
                  <c:v>1</c:v>
                </c:pt>
                <c:pt idx="45">
                  <c:v>1</c:v>
                </c:pt>
                <c:pt idx="46">
                  <c:v>1</c:v>
                </c:pt>
                <c:pt idx="47">
                  <c:v>1</c:v>
                </c:pt>
                <c:pt idx="48">
                  <c:v>1</c:v>
                </c:pt>
              </c:numCache>
            </c:numRef>
          </c:val>
          <c:extLst>
            <c:ext xmlns:c16="http://schemas.microsoft.com/office/drawing/2014/chart" uri="{C3380CC4-5D6E-409C-BE32-E72D297353CC}">
              <c16:uniqueId val="{00000000-5136-4B7A-90F5-A1ADA538997D}"/>
            </c:ext>
          </c:extLst>
        </c:ser>
        <c:ser>
          <c:idx val="1"/>
          <c:order val="1"/>
          <c:tx>
            <c:strRef>
              <c:f>'Pregunta 12'!$C$1</c:f>
              <c:strCache>
                <c:ptCount val="1"/>
                <c:pt idx="0">
                  <c:v>En línea</c:v>
                </c:pt>
              </c:strCache>
            </c:strRef>
          </c:tx>
          <c:spPr>
            <a:solidFill>
              <a:schemeClr val="accent2"/>
            </a:solidFill>
            <a:ln>
              <a:noFill/>
            </a:ln>
            <a:effectLst/>
          </c:spPr>
          <c:invertIfNegative val="0"/>
          <c:cat>
            <c:strRef>
              <c:f>'Pregunta 12'!$A$2:$A$50</c:f>
              <c:strCache>
                <c:ptCount val="49"/>
                <c:pt idx="0">
                  <c:v>A Coruña</c:v>
                </c:pt>
                <c:pt idx="1">
                  <c:v>Albacete.</c:v>
                </c:pt>
                <c:pt idx="2">
                  <c:v>Alicante</c:v>
                </c:pt>
                <c:pt idx="3">
                  <c:v>Almería</c:v>
                </c:pt>
                <c:pt idx="4">
                  <c:v>Álava.</c:v>
                </c:pt>
                <c:pt idx="5">
                  <c:v>Asturias.</c:v>
                </c:pt>
                <c:pt idx="6">
                  <c:v>Ávila</c:v>
                </c:pt>
                <c:pt idx="7">
                  <c:v>Badajoz</c:v>
                </c:pt>
                <c:pt idx="8">
                  <c:v>Barcelona</c:v>
                </c:pt>
                <c:pt idx="9">
                  <c:v>Bizcaia</c:v>
                </c:pt>
                <c:pt idx="10">
                  <c:v>Burgos</c:v>
                </c:pt>
                <c:pt idx="11">
                  <c:v>Cáceres</c:v>
                </c:pt>
                <c:pt idx="12">
                  <c:v>Cádiz</c:v>
                </c:pt>
                <c:pt idx="13">
                  <c:v>Cantabria</c:v>
                </c:pt>
                <c:pt idx="14">
                  <c:v>Castellón</c:v>
                </c:pt>
                <c:pt idx="15">
                  <c:v>Ciudad Real</c:v>
                </c:pt>
                <c:pt idx="16">
                  <c:v>Córdoba</c:v>
                </c:pt>
                <c:pt idx="17">
                  <c:v>Cuenca</c:v>
                </c:pt>
                <c:pt idx="18">
                  <c:v>Guipuzkoa</c:v>
                </c:pt>
                <c:pt idx="19">
                  <c:v>Girona</c:v>
                </c:pt>
                <c:pt idx="20">
                  <c:v>Granada</c:v>
                </c:pt>
                <c:pt idx="21">
                  <c:v>Guadalajara</c:v>
                </c:pt>
                <c:pt idx="22">
                  <c:v>Huelva</c:v>
                </c:pt>
                <c:pt idx="23">
                  <c:v>Huesca</c:v>
                </c:pt>
                <c:pt idx="24">
                  <c:v>Islas baleares</c:v>
                </c:pt>
                <c:pt idx="25">
                  <c:v>Jaén</c:v>
                </c:pt>
                <c:pt idx="26">
                  <c:v>Las Palmas</c:v>
                </c:pt>
                <c:pt idx="27">
                  <c:v>León</c:v>
                </c:pt>
                <c:pt idx="28">
                  <c:v>Lérida</c:v>
                </c:pt>
                <c:pt idx="29">
                  <c:v>Lugo</c:v>
                </c:pt>
                <c:pt idx="30">
                  <c:v>Madrid</c:v>
                </c:pt>
                <c:pt idx="31">
                  <c:v>Málaga</c:v>
                </c:pt>
                <c:pt idx="32">
                  <c:v>Murcia</c:v>
                </c:pt>
                <c:pt idx="33">
                  <c:v>Navarra</c:v>
                </c:pt>
                <c:pt idx="34">
                  <c:v>Ourense</c:v>
                </c:pt>
                <c:pt idx="35">
                  <c:v>Palencia</c:v>
                </c:pt>
                <c:pt idx="36">
                  <c:v>Pontevedra</c:v>
                </c:pt>
                <c:pt idx="37">
                  <c:v>Santa Cruz de Tenerife</c:v>
                </c:pt>
                <c:pt idx="38">
                  <c:v>Salamanca</c:v>
                </c:pt>
                <c:pt idx="39">
                  <c:v>Segovia</c:v>
                </c:pt>
                <c:pt idx="40">
                  <c:v>Sevilla</c:v>
                </c:pt>
                <c:pt idx="41">
                  <c:v>Soria</c:v>
                </c:pt>
                <c:pt idx="42">
                  <c:v>Tarragona</c:v>
                </c:pt>
                <c:pt idx="43">
                  <c:v>Teruel</c:v>
                </c:pt>
                <c:pt idx="44">
                  <c:v>Toledo</c:v>
                </c:pt>
                <c:pt idx="45">
                  <c:v>Valencia</c:v>
                </c:pt>
                <c:pt idx="46">
                  <c:v>Valladolid</c:v>
                </c:pt>
                <c:pt idx="47">
                  <c:v>Zamora</c:v>
                </c:pt>
                <c:pt idx="48">
                  <c:v>Zaragoza</c:v>
                </c:pt>
              </c:strCache>
            </c:strRef>
          </c:cat>
          <c:val>
            <c:numRef>
              <c:f>'Pregunta 12'!$C$2:$C$50</c:f>
              <c:numCache>
                <c:formatCode>0%</c:formatCode>
                <c:ptCount val="49"/>
                <c:pt idx="0">
                  <c:v>0.5</c:v>
                </c:pt>
                <c:pt idx="1">
                  <c:v>0</c:v>
                </c:pt>
                <c:pt idx="2">
                  <c:v>0.38461538461538464</c:v>
                </c:pt>
                <c:pt idx="3">
                  <c:v>0</c:v>
                </c:pt>
                <c:pt idx="4">
                  <c:v>1</c:v>
                </c:pt>
                <c:pt idx="5">
                  <c:v>0.2</c:v>
                </c:pt>
                <c:pt idx="6">
                  <c:v>0.125</c:v>
                </c:pt>
                <c:pt idx="7">
                  <c:v>0</c:v>
                </c:pt>
                <c:pt idx="8">
                  <c:v>0.65</c:v>
                </c:pt>
                <c:pt idx="9">
                  <c:v>1</c:v>
                </c:pt>
                <c:pt idx="10">
                  <c:v>0</c:v>
                </c:pt>
                <c:pt idx="11">
                  <c:v>0</c:v>
                </c:pt>
                <c:pt idx="12">
                  <c:v>0.2</c:v>
                </c:pt>
                <c:pt idx="13">
                  <c:v>0</c:v>
                </c:pt>
                <c:pt idx="14">
                  <c:v>9.5238095238095233E-2</c:v>
                </c:pt>
                <c:pt idx="15">
                  <c:v>0.5</c:v>
                </c:pt>
                <c:pt idx="16">
                  <c:v>0.5</c:v>
                </c:pt>
                <c:pt idx="17">
                  <c:v>0</c:v>
                </c:pt>
                <c:pt idx="18">
                  <c:v>1</c:v>
                </c:pt>
                <c:pt idx="19">
                  <c:v>0.25</c:v>
                </c:pt>
                <c:pt idx="20">
                  <c:v>0.2857142857142857</c:v>
                </c:pt>
                <c:pt idx="21">
                  <c:v>0.2</c:v>
                </c:pt>
                <c:pt idx="22">
                  <c:v>0.5</c:v>
                </c:pt>
                <c:pt idx="23">
                  <c:v>0</c:v>
                </c:pt>
                <c:pt idx="24">
                  <c:v>0.2</c:v>
                </c:pt>
                <c:pt idx="25">
                  <c:v>0</c:v>
                </c:pt>
                <c:pt idx="26">
                  <c:v>0.6</c:v>
                </c:pt>
                <c:pt idx="27">
                  <c:v>0</c:v>
                </c:pt>
                <c:pt idx="28">
                  <c:v>0.25</c:v>
                </c:pt>
                <c:pt idx="29">
                  <c:v>0</c:v>
                </c:pt>
                <c:pt idx="30">
                  <c:v>0.6</c:v>
                </c:pt>
                <c:pt idx="31">
                  <c:v>0</c:v>
                </c:pt>
                <c:pt idx="32">
                  <c:v>0.75</c:v>
                </c:pt>
                <c:pt idx="33">
                  <c:v>0.25</c:v>
                </c:pt>
                <c:pt idx="34">
                  <c:v>0</c:v>
                </c:pt>
                <c:pt idx="35">
                  <c:v>0</c:v>
                </c:pt>
                <c:pt idx="36">
                  <c:v>1</c:v>
                </c:pt>
                <c:pt idx="37">
                  <c:v>0.2</c:v>
                </c:pt>
                <c:pt idx="38">
                  <c:v>0.1111111111111111</c:v>
                </c:pt>
                <c:pt idx="39">
                  <c:v>0</c:v>
                </c:pt>
                <c:pt idx="40">
                  <c:v>0.75</c:v>
                </c:pt>
                <c:pt idx="41">
                  <c:v>0.33333333333333331</c:v>
                </c:pt>
                <c:pt idx="42">
                  <c:v>0.6</c:v>
                </c:pt>
                <c:pt idx="43">
                  <c:v>0.2</c:v>
                </c:pt>
                <c:pt idx="44">
                  <c:v>0.4</c:v>
                </c:pt>
                <c:pt idx="45">
                  <c:v>0.35</c:v>
                </c:pt>
                <c:pt idx="46">
                  <c:v>0</c:v>
                </c:pt>
                <c:pt idx="47">
                  <c:v>0.33333333333333331</c:v>
                </c:pt>
                <c:pt idx="48">
                  <c:v>0</c:v>
                </c:pt>
              </c:numCache>
            </c:numRef>
          </c:val>
          <c:extLst>
            <c:ext xmlns:c16="http://schemas.microsoft.com/office/drawing/2014/chart" uri="{C3380CC4-5D6E-409C-BE32-E72D297353CC}">
              <c16:uniqueId val="{00000001-5136-4B7A-90F5-A1ADA538997D}"/>
            </c:ext>
          </c:extLst>
        </c:ser>
        <c:dLbls>
          <c:showLegendKey val="0"/>
          <c:showVal val="0"/>
          <c:showCatName val="0"/>
          <c:showSerName val="0"/>
          <c:showPercent val="0"/>
          <c:showBubbleSize val="0"/>
        </c:dLbls>
        <c:gapWidth val="219"/>
        <c:overlap val="-27"/>
        <c:axId val="519307368"/>
        <c:axId val="519307696"/>
      </c:barChart>
      <c:catAx>
        <c:axId val="519307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19307696"/>
        <c:crosses val="autoZero"/>
        <c:auto val="1"/>
        <c:lblAlgn val="ctr"/>
        <c:lblOffset val="100"/>
        <c:noMultiLvlLbl val="0"/>
      </c:catAx>
      <c:valAx>
        <c:axId val="5193076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19307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ES"/>
        </a:p>
      </c:txPr>
    </c:title>
    <c:autoTitleDeleted val="0"/>
    <c:plotArea>
      <c:layout/>
      <c:barChart>
        <c:barDir val="col"/>
        <c:grouping val="clustered"/>
        <c:varyColors val="0"/>
        <c:ser>
          <c:idx val="0"/>
          <c:order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'Pregunta 12'!$B$1:$C$1</c:f>
              <c:strCache>
                <c:ptCount val="2"/>
                <c:pt idx="0">
                  <c:v>Presencial</c:v>
                </c:pt>
                <c:pt idx="1">
                  <c:v>En línea</c:v>
                </c:pt>
              </c:strCache>
            </c:strRef>
          </c:cat>
          <c:val>
            <c:numRef>
              <c:f>'Pregunta 12'!$B$51:$C$51</c:f>
              <c:numCache>
                <c:formatCode>0%</c:formatCode>
                <c:ptCount val="2"/>
                <c:pt idx="0">
                  <c:v>0.94814814814814818</c:v>
                </c:pt>
                <c:pt idx="1">
                  <c:v>0.34074074074074073</c:v>
                </c:pt>
              </c:numCache>
            </c:numRef>
          </c:val>
          <c:extLst>
            <c:ext xmlns:c16="http://schemas.microsoft.com/office/drawing/2014/chart" uri="{C3380CC4-5D6E-409C-BE32-E72D297353CC}">
              <c16:uniqueId val="{00000000-6D10-4610-B3F1-CD6C4F400927}"/>
            </c:ext>
          </c:extLst>
        </c:ser>
        <c:dLbls>
          <c:showLegendKey val="0"/>
          <c:showVal val="0"/>
          <c:showCatName val="0"/>
          <c:showSerName val="0"/>
          <c:showPercent val="0"/>
          <c:showBubbleSize val="0"/>
        </c:dLbls>
        <c:gapWidth val="100"/>
        <c:overlap val="-24"/>
        <c:axId val="618442192"/>
        <c:axId val="618437928"/>
      </c:barChart>
      <c:catAx>
        <c:axId val="618442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618437928"/>
        <c:crosses val="autoZero"/>
        <c:auto val="1"/>
        <c:lblAlgn val="ctr"/>
        <c:lblOffset val="100"/>
        <c:noMultiLvlLbl val="0"/>
      </c:catAx>
      <c:valAx>
        <c:axId val="6184379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6184421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t>Porcentaja de municipios que no disponen</a:t>
            </a:r>
            <a:r>
              <a:rPr lang="en-US" baseline="0"/>
              <a:t> de Reglamento Orgánico del pleno según segmentos de población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ES"/>
        </a:p>
      </c:txPr>
    </c:title>
    <c:autoTitleDeleted val="0"/>
    <c:plotArea>
      <c:layout/>
      <c:pieChart>
        <c:varyColors val="1"/>
        <c:ser>
          <c:idx val="0"/>
          <c:order val="0"/>
          <c:tx>
            <c:strRef>
              <c:f>'Pregunta 5'!$C$1</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D38-444B-A6E6-8BD7CE68A26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D38-444B-A6E6-8BD7CE68A26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D38-444B-A6E6-8BD7CE68A26A}"/>
              </c:ext>
            </c:extLst>
          </c:dPt>
          <c:cat>
            <c:strRef>
              <c:f>'Pregunta 5'!$A$2:$A$4</c:f>
              <c:strCache>
                <c:ptCount val="3"/>
                <c:pt idx="0">
                  <c:v>0 a 5.000</c:v>
                </c:pt>
                <c:pt idx="1">
                  <c:v>5001 a 10.000</c:v>
                </c:pt>
                <c:pt idx="2">
                  <c:v>&gt;10.000</c:v>
                </c:pt>
              </c:strCache>
            </c:strRef>
          </c:cat>
          <c:val>
            <c:numRef>
              <c:f>'Pregunta 5'!$C$2:$C$4</c:f>
              <c:numCache>
                <c:formatCode>0%</c:formatCode>
                <c:ptCount val="3"/>
                <c:pt idx="0">
                  <c:v>0.89102564102564108</c:v>
                </c:pt>
                <c:pt idx="1">
                  <c:v>0.73333333333333328</c:v>
                </c:pt>
                <c:pt idx="2">
                  <c:v>0.24705882352941178</c:v>
                </c:pt>
              </c:numCache>
            </c:numRef>
          </c:val>
          <c:extLst>
            <c:ext xmlns:c16="http://schemas.microsoft.com/office/drawing/2014/chart" uri="{C3380CC4-5D6E-409C-BE32-E72D297353CC}">
              <c16:uniqueId val="{00000000-F270-4714-9B66-0EDC3B53CC70}"/>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Porcentaje de aportación de proposiciones de </a:t>
            </a:r>
            <a:br>
              <a:rPr lang="en-US"/>
            </a:br>
            <a:r>
              <a:rPr lang="en-US"/>
              <a:t>temas en los Plenos por parte</a:t>
            </a:r>
            <a:r>
              <a:rPr lang="en-US" baseline="0"/>
              <a:t> de la a</a:t>
            </a:r>
            <a:r>
              <a:rPr lang="en-US"/>
              <a:t>lcaldía por provincia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'Pregunta 7'!$B$1</c:f>
              <c:strCache>
                <c:ptCount val="1"/>
                <c:pt idx="0">
                  <c:v>Alcaldía</c:v>
                </c:pt>
              </c:strCache>
            </c:strRef>
          </c:tx>
          <c:spPr>
            <a:solidFill>
              <a:schemeClr val="accent1"/>
            </a:solidFill>
            <a:ln>
              <a:noFill/>
            </a:ln>
            <a:effectLst/>
          </c:spPr>
          <c:invertIfNegative val="0"/>
          <c:cat>
            <c:strRef>
              <c:f>'Pregunta 7'!$A$2:$A$51</c:f>
              <c:strCache>
                <c:ptCount val="50"/>
                <c:pt idx="0">
                  <c:v>A Coruña</c:v>
                </c:pt>
                <c:pt idx="1">
                  <c:v>Albacete.</c:v>
                </c:pt>
                <c:pt idx="2">
                  <c:v>Alicante</c:v>
                </c:pt>
                <c:pt idx="3">
                  <c:v>Almería</c:v>
                </c:pt>
                <c:pt idx="4">
                  <c:v>Álava.</c:v>
                </c:pt>
                <c:pt idx="5">
                  <c:v>Asturias.</c:v>
                </c:pt>
                <c:pt idx="6">
                  <c:v>Ávila</c:v>
                </c:pt>
                <c:pt idx="7">
                  <c:v>Badajoz</c:v>
                </c:pt>
                <c:pt idx="8">
                  <c:v>Barcelona</c:v>
                </c:pt>
                <c:pt idx="9">
                  <c:v>Bizcaia</c:v>
                </c:pt>
                <c:pt idx="10">
                  <c:v>Burgos</c:v>
                </c:pt>
                <c:pt idx="11">
                  <c:v>Cáceres</c:v>
                </c:pt>
                <c:pt idx="12">
                  <c:v>Cádiz</c:v>
                </c:pt>
                <c:pt idx="13">
                  <c:v>Cantabria</c:v>
                </c:pt>
                <c:pt idx="14">
                  <c:v>Castellón</c:v>
                </c:pt>
                <c:pt idx="15">
                  <c:v>Ciudad Real</c:v>
                </c:pt>
                <c:pt idx="16">
                  <c:v>Córdoba</c:v>
                </c:pt>
                <c:pt idx="17">
                  <c:v>Cuenca</c:v>
                </c:pt>
                <c:pt idx="18">
                  <c:v>Guipuzkoa</c:v>
                </c:pt>
                <c:pt idx="19">
                  <c:v>Girona</c:v>
                </c:pt>
                <c:pt idx="20">
                  <c:v>Granada</c:v>
                </c:pt>
                <c:pt idx="21">
                  <c:v>Guadalajara</c:v>
                </c:pt>
                <c:pt idx="22">
                  <c:v>Huelva</c:v>
                </c:pt>
                <c:pt idx="23">
                  <c:v>Huesca</c:v>
                </c:pt>
                <c:pt idx="24">
                  <c:v>Islas baleares</c:v>
                </c:pt>
                <c:pt idx="25">
                  <c:v>Jaén</c:v>
                </c:pt>
                <c:pt idx="26">
                  <c:v>Las Palmas</c:v>
                </c:pt>
                <c:pt idx="27">
                  <c:v>León</c:v>
                </c:pt>
                <c:pt idx="28">
                  <c:v>Lérida</c:v>
                </c:pt>
                <c:pt idx="29">
                  <c:v>Lugo</c:v>
                </c:pt>
                <c:pt idx="30">
                  <c:v>Madrid</c:v>
                </c:pt>
                <c:pt idx="31">
                  <c:v>Málaga</c:v>
                </c:pt>
                <c:pt idx="32">
                  <c:v>Murcia</c:v>
                </c:pt>
                <c:pt idx="33">
                  <c:v>Navarra</c:v>
                </c:pt>
                <c:pt idx="34">
                  <c:v>Ourense</c:v>
                </c:pt>
                <c:pt idx="35">
                  <c:v>Palencia</c:v>
                </c:pt>
                <c:pt idx="36">
                  <c:v>Pontevedra</c:v>
                </c:pt>
                <c:pt idx="37">
                  <c:v>Santa Cruz de Tenerife</c:v>
                </c:pt>
                <c:pt idx="38">
                  <c:v>Salamanca</c:v>
                </c:pt>
                <c:pt idx="39">
                  <c:v>Segovia</c:v>
                </c:pt>
                <c:pt idx="40">
                  <c:v>Sevilla</c:v>
                </c:pt>
                <c:pt idx="41">
                  <c:v>Soria</c:v>
                </c:pt>
                <c:pt idx="42">
                  <c:v>Tarragona</c:v>
                </c:pt>
                <c:pt idx="43">
                  <c:v>Teruel</c:v>
                </c:pt>
                <c:pt idx="44">
                  <c:v>Toledo</c:v>
                </c:pt>
                <c:pt idx="45">
                  <c:v>Valencia</c:v>
                </c:pt>
                <c:pt idx="46">
                  <c:v>Valladolid</c:v>
                </c:pt>
                <c:pt idx="47">
                  <c:v>Zamora</c:v>
                </c:pt>
                <c:pt idx="48">
                  <c:v>Zaragoza</c:v>
                </c:pt>
                <c:pt idx="49">
                  <c:v>TOTAL</c:v>
                </c:pt>
              </c:strCache>
            </c:strRef>
          </c:cat>
          <c:val>
            <c:numRef>
              <c:f>'Pregunta 7'!$B$2:$B$51</c:f>
              <c:numCache>
                <c:formatCode>0%</c:formatCode>
                <c:ptCount val="50"/>
                <c:pt idx="0">
                  <c:v>1</c:v>
                </c:pt>
                <c:pt idx="1">
                  <c:v>1</c:v>
                </c:pt>
                <c:pt idx="2">
                  <c:v>1</c:v>
                </c:pt>
                <c:pt idx="3">
                  <c:v>1</c:v>
                </c:pt>
                <c:pt idx="4">
                  <c:v>1</c:v>
                </c:pt>
                <c:pt idx="5">
                  <c:v>1</c:v>
                </c:pt>
                <c:pt idx="6">
                  <c:v>1</c:v>
                </c:pt>
                <c:pt idx="7">
                  <c:v>1</c:v>
                </c:pt>
                <c:pt idx="8">
                  <c:v>1</c:v>
                </c:pt>
                <c:pt idx="9">
                  <c:v>1</c:v>
                </c:pt>
                <c:pt idx="10">
                  <c:v>1</c:v>
                </c:pt>
                <c:pt idx="11">
                  <c:v>1</c:v>
                </c:pt>
                <c:pt idx="12">
                  <c:v>0.8</c:v>
                </c:pt>
                <c:pt idx="13">
                  <c:v>1</c:v>
                </c:pt>
                <c:pt idx="14">
                  <c:v>0.90476190476190477</c:v>
                </c:pt>
                <c:pt idx="15">
                  <c:v>1</c:v>
                </c:pt>
                <c:pt idx="16">
                  <c:v>1</c:v>
                </c:pt>
                <c:pt idx="17">
                  <c:v>1</c:v>
                </c:pt>
                <c:pt idx="18">
                  <c:v>0</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0.98523985239852396</c:v>
                </c:pt>
              </c:numCache>
            </c:numRef>
          </c:val>
          <c:extLst>
            <c:ext xmlns:c16="http://schemas.microsoft.com/office/drawing/2014/chart" uri="{C3380CC4-5D6E-409C-BE32-E72D297353CC}">
              <c16:uniqueId val="{00000000-AE6D-45AE-8DD7-99B60B56602D}"/>
            </c:ext>
          </c:extLst>
        </c:ser>
        <c:dLbls>
          <c:showLegendKey val="0"/>
          <c:showVal val="0"/>
          <c:showCatName val="0"/>
          <c:showSerName val="0"/>
          <c:showPercent val="0"/>
          <c:showBubbleSize val="0"/>
        </c:dLbls>
        <c:gapWidth val="219"/>
        <c:overlap val="-27"/>
        <c:axId val="395782416"/>
        <c:axId val="395782744"/>
      </c:barChart>
      <c:catAx>
        <c:axId val="395782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395782744"/>
        <c:crosses val="autoZero"/>
        <c:auto val="1"/>
        <c:lblAlgn val="ctr"/>
        <c:lblOffset val="100"/>
        <c:noMultiLvlLbl val="0"/>
      </c:catAx>
      <c:valAx>
        <c:axId val="39578274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395782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Porcentaje de aportación de proposiciones de </a:t>
            </a:r>
            <a:br>
              <a:rPr lang="en-US"/>
            </a:br>
            <a:r>
              <a:rPr lang="en-US"/>
              <a:t>temas en los Plenos</a:t>
            </a:r>
            <a:r>
              <a:rPr lang="en-US" baseline="0"/>
              <a:t> por parte de la c</a:t>
            </a:r>
            <a:r>
              <a:rPr lang="en-US"/>
              <a:t>oncejalía por provincia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'Pregunta 7'!$C$1</c:f>
              <c:strCache>
                <c:ptCount val="1"/>
                <c:pt idx="0">
                  <c:v>Concejalía</c:v>
                </c:pt>
              </c:strCache>
            </c:strRef>
          </c:tx>
          <c:spPr>
            <a:solidFill>
              <a:schemeClr val="accent1"/>
            </a:solidFill>
            <a:ln>
              <a:noFill/>
            </a:ln>
            <a:effectLst/>
          </c:spPr>
          <c:invertIfNegative val="0"/>
          <c:cat>
            <c:strRef>
              <c:f>'Pregunta 7'!$A$2:$A$50</c:f>
              <c:strCache>
                <c:ptCount val="49"/>
                <c:pt idx="0">
                  <c:v>A Coruña</c:v>
                </c:pt>
                <c:pt idx="1">
                  <c:v>Albacete.</c:v>
                </c:pt>
                <c:pt idx="2">
                  <c:v>Alicante</c:v>
                </c:pt>
                <c:pt idx="3">
                  <c:v>Almería</c:v>
                </c:pt>
                <c:pt idx="4">
                  <c:v>Álava.</c:v>
                </c:pt>
                <c:pt idx="5">
                  <c:v>Asturias.</c:v>
                </c:pt>
                <c:pt idx="6">
                  <c:v>Ávila</c:v>
                </c:pt>
                <c:pt idx="7">
                  <c:v>Badajoz</c:v>
                </c:pt>
                <c:pt idx="8">
                  <c:v>Barcelona</c:v>
                </c:pt>
                <c:pt idx="9">
                  <c:v>Bizcaia</c:v>
                </c:pt>
                <c:pt idx="10">
                  <c:v>Burgos</c:v>
                </c:pt>
                <c:pt idx="11">
                  <c:v>Cáceres</c:v>
                </c:pt>
                <c:pt idx="12">
                  <c:v>Cádiz</c:v>
                </c:pt>
                <c:pt idx="13">
                  <c:v>Cantabria</c:v>
                </c:pt>
                <c:pt idx="14">
                  <c:v>Castellón</c:v>
                </c:pt>
                <c:pt idx="15">
                  <c:v>Ciudad Real</c:v>
                </c:pt>
                <c:pt idx="16">
                  <c:v>Córdoba</c:v>
                </c:pt>
                <c:pt idx="17">
                  <c:v>Cuenca</c:v>
                </c:pt>
                <c:pt idx="18">
                  <c:v>Guipuzkoa</c:v>
                </c:pt>
                <c:pt idx="19">
                  <c:v>Girona</c:v>
                </c:pt>
                <c:pt idx="20">
                  <c:v>Granada</c:v>
                </c:pt>
                <c:pt idx="21">
                  <c:v>Guadalajara</c:v>
                </c:pt>
                <c:pt idx="22">
                  <c:v>Huelva</c:v>
                </c:pt>
                <c:pt idx="23">
                  <c:v>Huesca</c:v>
                </c:pt>
                <c:pt idx="24">
                  <c:v>Islas baleares</c:v>
                </c:pt>
                <c:pt idx="25">
                  <c:v>Jaén</c:v>
                </c:pt>
                <c:pt idx="26">
                  <c:v>Las Palmas</c:v>
                </c:pt>
                <c:pt idx="27">
                  <c:v>León</c:v>
                </c:pt>
                <c:pt idx="28">
                  <c:v>Lérida</c:v>
                </c:pt>
                <c:pt idx="29">
                  <c:v>Lugo</c:v>
                </c:pt>
                <c:pt idx="30">
                  <c:v>Madrid</c:v>
                </c:pt>
                <c:pt idx="31">
                  <c:v>Málaga</c:v>
                </c:pt>
                <c:pt idx="32">
                  <c:v>Murcia</c:v>
                </c:pt>
                <c:pt idx="33">
                  <c:v>Navarra</c:v>
                </c:pt>
                <c:pt idx="34">
                  <c:v>Ourense</c:v>
                </c:pt>
                <c:pt idx="35">
                  <c:v>Palencia</c:v>
                </c:pt>
                <c:pt idx="36">
                  <c:v>Pontevedra</c:v>
                </c:pt>
                <c:pt idx="37">
                  <c:v>Santa Cruz de Tenerife</c:v>
                </c:pt>
                <c:pt idx="38">
                  <c:v>Salamanca</c:v>
                </c:pt>
                <c:pt idx="39">
                  <c:v>Segovia</c:v>
                </c:pt>
                <c:pt idx="40">
                  <c:v>Sevilla</c:v>
                </c:pt>
                <c:pt idx="41">
                  <c:v>Soria</c:v>
                </c:pt>
                <c:pt idx="42">
                  <c:v>Tarragona</c:v>
                </c:pt>
                <c:pt idx="43">
                  <c:v>Teruel</c:v>
                </c:pt>
                <c:pt idx="44">
                  <c:v>Toledo</c:v>
                </c:pt>
                <c:pt idx="45">
                  <c:v>Valencia</c:v>
                </c:pt>
                <c:pt idx="46">
                  <c:v>Valladolid</c:v>
                </c:pt>
                <c:pt idx="47">
                  <c:v>Zamora</c:v>
                </c:pt>
                <c:pt idx="48">
                  <c:v>Zaragoza</c:v>
                </c:pt>
              </c:strCache>
            </c:strRef>
          </c:cat>
          <c:val>
            <c:numRef>
              <c:f>'Pregunta 7'!$C$2:$C$50</c:f>
              <c:numCache>
                <c:formatCode>0%</c:formatCode>
                <c:ptCount val="49"/>
                <c:pt idx="0">
                  <c:v>0.5</c:v>
                </c:pt>
                <c:pt idx="1">
                  <c:v>0</c:v>
                </c:pt>
                <c:pt idx="2">
                  <c:v>0.84615384615384615</c:v>
                </c:pt>
                <c:pt idx="3">
                  <c:v>1</c:v>
                </c:pt>
                <c:pt idx="4">
                  <c:v>1</c:v>
                </c:pt>
                <c:pt idx="5">
                  <c:v>1</c:v>
                </c:pt>
                <c:pt idx="6">
                  <c:v>0.625</c:v>
                </c:pt>
                <c:pt idx="7">
                  <c:v>0.25</c:v>
                </c:pt>
                <c:pt idx="8">
                  <c:v>0.9</c:v>
                </c:pt>
                <c:pt idx="9">
                  <c:v>1</c:v>
                </c:pt>
                <c:pt idx="10">
                  <c:v>0.5</c:v>
                </c:pt>
                <c:pt idx="11">
                  <c:v>0.5</c:v>
                </c:pt>
                <c:pt idx="12">
                  <c:v>1</c:v>
                </c:pt>
                <c:pt idx="13">
                  <c:v>1</c:v>
                </c:pt>
                <c:pt idx="14">
                  <c:v>0.5714285714285714</c:v>
                </c:pt>
                <c:pt idx="15">
                  <c:v>0.75</c:v>
                </c:pt>
                <c:pt idx="16">
                  <c:v>0.25</c:v>
                </c:pt>
                <c:pt idx="17">
                  <c:v>1</c:v>
                </c:pt>
                <c:pt idx="18">
                  <c:v>0</c:v>
                </c:pt>
                <c:pt idx="19">
                  <c:v>0.75</c:v>
                </c:pt>
                <c:pt idx="20">
                  <c:v>0.8571428571428571</c:v>
                </c:pt>
                <c:pt idx="21">
                  <c:v>0.4</c:v>
                </c:pt>
                <c:pt idx="22">
                  <c:v>1</c:v>
                </c:pt>
                <c:pt idx="23">
                  <c:v>0.25</c:v>
                </c:pt>
                <c:pt idx="24">
                  <c:v>0.8</c:v>
                </c:pt>
                <c:pt idx="25">
                  <c:v>0.66666666666666663</c:v>
                </c:pt>
                <c:pt idx="26">
                  <c:v>0.4</c:v>
                </c:pt>
                <c:pt idx="27">
                  <c:v>0.5</c:v>
                </c:pt>
                <c:pt idx="28">
                  <c:v>0.5</c:v>
                </c:pt>
                <c:pt idx="29">
                  <c:v>0.66666666666666663</c:v>
                </c:pt>
                <c:pt idx="30">
                  <c:v>0.73333333333333328</c:v>
                </c:pt>
                <c:pt idx="31">
                  <c:v>0.66666666666666663</c:v>
                </c:pt>
                <c:pt idx="32">
                  <c:v>0.75</c:v>
                </c:pt>
                <c:pt idx="33">
                  <c:v>0.875</c:v>
                </c:pt>
                <c:pt idx="34">
                  <c:v>0.66666666666666663</c:v>
                </c:pt>
                <c:pt idx="35">
                  <c:v>0</c:v>
                </c:pt>
                <c:pt idx="36">
                  <c:v>1</c:v>
                </c:pt>
                <c:pt idx="37">
                  <c:v>0.8</c:v>
                </c:pt>
                <c:pt idx="38">
                  <c:v>0.44444444444444442</c:v>
                </c:pt>
                <c:pt idx="39">
                  <c:v>1</c:v>
                </c:pt>
                <c:pt idx="40">
                  <c:v>0.75</c:v>
                </c:pt>
                <c:pt idx="41">
                  <c:v>0.33333333333333331</c:v>
                </c:pt>
                <c:pt idx="42">
                  <c:v>1</c:v>
                </c:pt>
                <c:pt idx="43">
                  <c:v>0.2</c:v>
                </c:pt>
                <c:pt idx="44">
                  <c:v>0.6</c:v>
                </c:pt>
                <c:pt idx="45">
                  <c:v>0.7</c:v>
                </c:pt>
                <c:pt idx="46">
                  <c:v>0.5</c:v>
                </c:pt>
                <c:pt idx="47">
                  <c:v>0.33333333333333331</c:v>
                </c:pt>
                <c:pt idx="48">
                  <c:v>0.66666666666666663</c:v>
                </c:pt>
              </c:numCache>
            </c:numRef>
          </c:val>
          <c:extLst>
            <c:ext xmlns:c16="http://schemas.microsoft.com/office/drawing/2014/chart" uri="{C3380CC4-5D6E-409C-BE32-E72D297353CC}">
              <c16:uniqueId val="{00000000-BE37-4EB8-B503-AC8FEE7C9B7C}"/>
            </c:ext>
          </c:extLst>
        </c:ser>
        <c:dLbls>
          <c:showLegendKey val="0"/>
          <c:showVal val="0"/>
          <c:showCatName val="0"/>
          <c:showSerName val="0"/>
          <c:showPercent val="0"/>
          <c:showBubbleSize val="0"/>
        </c:dLbls>
        <c:gapWidth val="219"/>
        <c:overlap val="-27"/>
        <c:axId val="364898576"/>
        <c:axId val="392140696"/>
      </c:barChart>
      <c:catAx>
        <c:axId val="364898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392140696"/>
        <c:crosses val="autoZero"/>
        <c:auto val="1"/>
        <c:lblAlgn val="ctr"/>
        <c:lblOffset val="100"/>
        <c:noMultiLvlLbl val="0"/>
      </c:catAx>
      <c:valAx>
        <c:axId val="392140696"/>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364898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Porcenteje</a:t>
            </a:r>
            <a:r>
              <a:rPr lang="en-US" baseline="0"/>
              <a:t> de aportación de proposiciones de </a:t>
            </a:r>
            <a:br>
              <a:rPr lang="en-US" baseline="0"/>
            </a:br>
            <a:r>
              <a:rPr lang="en-US" baseline="0"/>
              <a:t>temas en los Plenos por parte de la c</a:t>
            </a:r>
            <a:r>
              <a:rPr lang="en-US"/>
              <a:t>iudadanía por provincia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'Pregunta 7'!$D$1</c:f>
              <c:strCache>
                <c:ptCount val="1"/>
                <c:pt idx="0">
                  <c:v>Ciudadanía</c:v>
                </c:pt>
              </c:strCache>
            </c:strRef>
          </c:tx>
          <c:spPr>
            <a:solidFill>
              <a:schemeClr val="accent1"/>
            </a:solidFill>
            <a:ln>
              <a:noFill/>
            </a:ln>
            <a:effectLst/>
          </c:spPr>
          <c:invertIfNegative val="0"/>
          <c:cat>
            <c:strRef>
              <c:f>'Pregunta 7'!$A$2:$A$50</c:f>
              <c:strCache>
                <c:ptCount val="49"/>
                <c:pt idx="0">
                  <c:v>A Coruña</c:v>
                </c:pt>
                <c:pt idx="1">
                  <c:v>Albacete.</c:v>
                </c:pt>
                <c:pt idx="2">
                  <c:v>Alicante</c:v>
                </c:pt>
                <c:pt idx="3">
                  <c:v>Almería</c:v>
                </c:pt>
                <c:pt idx="4">
                  <c:v>Álava.</c:v>
                </c:pt>
                <c:pt idx="5">
                  <c:v>Asturias.</c:v>
                </c:pt>
                <c:pt idx="6">
                  <c:v>Ávila</c:v>
                </c:pt>
                <c:pt idx="7">
                  <c:v>Badajoz</c:v>
                </c:pt>
                <c:pt idx="8">
                  <c:v>Barcelona</c:v>
                </c:pt>
                <c:pt idx="9">
                  <c:v>Bizcaia</c:v>
                </c:pt>
                <c:pt idx="10">
                  <c:v>Burgos</c:v>
                </c:pt>
                <c:pt idx="11">
                  <c:v>Cáceres</c:v>
                </c:pt>
                <c:pt idx="12">
                  <c:v>Cádiz</c:v>
                </c:pt>
                <c:pt idx="13">
                  <c:v>Cantabria</c:v>
                </c:pt>
                <c:pt idx="14">
                  <c:v>Castellón</c:v>
                </c:pt>
                <c:pt idx="15">
                  <c:v>Ciudad Real</c:v>
                </c:pt>
                <c:pt idx="16">
                  <c:v>Córdoba</c:v>
                </c:pt>
                <c:pt idx="17">
                  <c:v>Cuenca</c:v>
                </c:pt>
                <c:pt idx="18">
                  <c:v>Guipuzkoa</c:v>
                </c:pt>
                <c:pt idx="19">
                  <c:v>Girona</c:v>
                </c:pt>
                <c:pt idx="20">
                  <c:v>Granada</c:v>
                </c:pt>
                <c:pt idx="21">
                  <c:v>Guadalajara</c:v>
                </c:pt>
                <c:pt idx="22">
                  <c:v>Huelva</c:v>
                </c:pt>
                <c:pt idx="23">
                  <c:v>Huesca</c:v>
                </c:pt>
                <c:pt idx="24">
                  <c:v>Islas baleares</c:v>
                </c:pt>
                <c:pt idx="25">
                  <c:v>Jaén</c:v>
                </c:pt>
                <c:pt idx="26">
                  <c:v>Las Palmas</c:v>
                </c:pt>
                <c:pt idx="27">
                  <c:v>León</c:v>
                </c:pt>
                <c:pt idx="28">
                  <c:v>Lérida</c:v>
                </c:pt>
                <c:pt idx="29">
                  <c:v>Lugo</c:v>
                </c:pt>
                <c:pt idx="30">
                  <c:v>Madrid</c:v>
                </c:pt>
                <c:pt idx="31">
                  <c:v>Málaga</c:v>
                </c:pt>
                <c:pt idx="32">
                  <c:v>Murcia</c:v>
                </c:pt>
                <c:pt idx="33">
                  <c:v>Navarra</c:v>
                </c:pt>
                <c:pt idx="34">
                  <c:v>Ourense</c:v>
                </c:pt>
                <c:pt idx="35">
                  <c:v>Palencia</c:v>
                </c:pt>
                <c:pt idx="36">
                  <c:v>Pontevedra</c:v>
                </c:pt>
                <c:pt idx="37">
                  <c:v>Santa Cruz de Tenerife</c:v>
                </c:pt>
                <c:pt idx="38">
                  <c:v>Salamanca</c:v>
                </c:pt>
                <c:pt idx="39">
                  <c:v>Segovia</c:v>
                </c:pt>
                <c:pt idx="40">
                  <c:v>Sevilla</c:v>
                </c:pt>
                <c:pt idx="41">
                  <c:v>Soria</c:v>
                </c:pt>
                <c:pt idx="42">
                  <c:v>Tarragona</c:v>
                </c:pt>
                <c:pt idx="43">
                  <c:v>Teruel</c:v>
                </c:pt>
                <c:pt idx="44">
                  <c:v>Toledo</c:v>
                </c:pt>
                <c:pt idx="45">
                  <c:v>Valencia</c:v>
                </c:pt>
                <c:pt idx="46">
                  <c:v>Valladolid</c:v>
                </c:pt>
                <c:pt idx="47">
                  <c:v>Zamora</c:v>
                </c:pt>
                <c:pt idx="48">
                  <c:v>Zaragoza</c:v>
                </c:pt>
              </c:strCache>
            </c:strRef>
          </c:cat>
          <c:val>
            <c:numRef>
              <c:f>'Pregunta 7'!$D$2:$D$50</c:f>
              <c:numCache>
                <c:formatCode>0%</c:formatCode>
                <c:ptCount val="49"/>
                <c:pt idx="0">
                  <c:v>0.25</c:v>
                </c:pt>
                <c:pt idx="1">
                  <c:v>0</c:v>
                </c:pt>
                <c:pt idx="2">
                  <c:v>0.30769230769230771</c:v>
                </c:pt>
                <c:pt idx="3">
                  <c:v>0</c:v>
                </c:pt>
                <c:pt idx="4">
                  <c:v>1</c:v>
                </c:pt>
                <c:pt idx="5">
                  <c:v>0.4</c:v>
                </c:pt>
                <c:pt idx="6">
                  <c:v>0</c:v>
                </c:pt>
                <c:pt idx="7">
                  <c:v>0.25</c:v>
                </c:pt>
                <c:pt idx="8">
                  <c:v>0.35</c:v>
                </c:pt>
                <c:pt idx="9">
                  <c:v>0.66666666666666663</c:v>
                </c:pt>
                <c:pt idx="10">
                  <c:v>0</c:v>
                </c:pt>
                <c:pt idx="11">
                  <c:v>0.16666666666666666</c:v>
                </c:pt>
                <c:pt idx="12">
                  <c:v>0.6</c:v>
                </c:pt>
                <c:pt idx="13">
                  <c:v>0.5</c:v>
                </c:pt>
                <c:pt idx="14">
                  <c:v>0</c:v>
                </c:pt>
                <c:pt idx="15">
                  <c:v>0</c:v>
                </c:pt>
                <c:pt idx="16">
                  <c:v>0</c:v>
                </c:pt>
                <c:pt idx="17">
                  <c:v>0</c:v>
                </c:pt>
                <c:pt idx="18">
                  <c:v>1</c:v>
                </c:pt>
                <c:pt idx="19">
                  <c:v>0.25</c:v>
                </c:pt>
                <c:pt idx="20">
                  <c:v>0.14285714285714285</c:v>
                </c:pt>
                <c:pt idx="21">
                  <c:v>0</c:v>
                </c:pt>
                <c:pt idx="22">
                  <c:v>0.5</c:v>
                </c:pt>
                <c:pt idx="23">
                  <c:v>0</c:v>
                </c:pt>
                <c:pt idx="24">
                  <c:v>0.2</c:v>
                </c:pt>
                <c:pt idx="25">
                  <c:v>0</c:v>
                </c:pt>
                <c:pt idx="26">
                  <c:v>0.2</c:v>
                </c:pt>
                <c:pt idx="27">
                  <c:v>0</c:v>
                </c:pt>
                <c:pt idx="28">
                  <c:v>0</c:v>
                </c:pt>
                <c:pt idx="29">
                  <c:v>0.66666666666666663</c:v>
                </c:pt>
                <c:pt idx="30">
                  <c:v>0.33333333333333331</c:v>
                </c:pt>
                <c:pt idx="31">
                  <c:v>0</c:v>
                </c:pt>
                <c:pt idx="32">
                  <c:v>0.5</c:v>
                </c:pt>
                <c:pt idx="33">
                  <c:v>0.75</c:v>
                </c:pt>
                <c:pt idx="34">
                  <c:v>0</c:v>
                </c:pt>
                <c:pt idx="35">
                  <c:v>0</c:v>
                </c:pt>
                <c:pt idx="36">
                  <c:v>0</c:v>
                </c:pt>
                <c:pt idx="37">
                  <c:v>0.2</c:v>
                </c:pt>
                <c:pt idx="38">
                  <c:v>0.33333333333333331</c:v>
                </c:pt>
                <c:pt idx="39">
                  <c:v>0</c:v>
                </c:pt>
                <c:pt idx="40">
                  <c:v>0.25</c:v>
                </c:pt>
                <c:pt idx="41">
                  <c:v>0</c:v>
                </c:pt>
                <c:pt idx="42">
                  <c:v>0.2</c:v>
                </c:pt>
                <c:pt idx="43">
                  <c:v>0</c:v>
                </c:pt>
                <c:pt idx="44">
                  <c:v>0</c:v>
                </c:pt>
                <c:pt idx="45">
                  <c:v>0.1</c:v>
                </c:pt>
                <c:pt idx="46">
                  <c:v>0</c:v>
                </c:pt>
                <c:pt idx="47">
                  <c:v>0</c:v>
                </c:pt>
                <c:pt idx="48">
                  <c:v>0.33333333333333331</c:v>
                </c:pt>
              </c:numCache>
            </c:numRef>
          </c:val>
          <c:extLst>
            <c:ext xmlns:c16="http://schemas.microsoft.com/office/drawing/2014/chart" uri="{C3380CC4-5D6E-409C-BE32-E72D297353CC}">
              <c16:uniqueId val="{00000000-A25D-46EF-B60B-A322F2820504}"/>
            </c:ext>
          </c:extLst>
        </c:ser>
        <c:dLbls>
          <c:showLegendKey val="0"/>
          <c:showVal val="0"/>
          <c:showCatName val="0"/>
          <c:showSerName val="0"/>
          <c:showPercent val="0"/>
          <c:showBubbleSize val="0"/>
        </c:dLbls>
        <c:gapWidth val="219"/>
        <c:overlap val="-27"/>
        <c:axId val="558410688"/>
        <c:axId val="395781432"/>
      </c:barChart>
      <c:catAx>
        <c:axId val="558410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395781432"/>
        <c:crosses val="autoZero"/>
        <c:auto val="1"/>
        <c:lblAlgn val="ctr"/>
        <c:lblOffset val="100"/>
        <c:noMultiLvlLbl val="0"/>
      </c:catAx>
      <c:valAx>
        <c:axId val="395781432"/>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58410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cat>
            <c:strRef>
              <c:f>'Pregunta 7'!$B$1:$D$1</c:f>
              <c:strCache>
                <c:ptCount val="3"/>
                <c:pt idx="0">
                  <c:v>Alcaldía</c:v>
                </c:pt>
                <c:pt idx="1">
                  <c:v>Concejalía</c:v>
                </c:pt>
                <c:pt idx="2">
                  <c:v>Ciudadanía</c:v>
                </c:pt>
              </c:strCache>
            </c:strRef>
          </c:cat>
          <c:val>
            <c:numRef>
              <c:f>'Pregunta 7'!$B$51:$D$51</c:f>
              <c:numCache>
                <c:formatCode>0%</c:formatCode>
                <c:ptCount val="3"/>
                <c:pt idx="0">
                  <c:v>0.98523985239852396</c:v>
                </c:pt>
                <c:pt idx="1">
                  <c:v>0.66789667896678961</c:v>
                </c:pt>
                <c:pt idx="2">
                  <c:v>0.20664206642066421</c:v>
                </c:pt>
              </c:numCache>
            </c:numRef>
          </c:val>
          <c:extLst>
            <c:ext xmlns:c16="http://schemas.microsoft.com/office/drawing/2014/chart" uri="{C3380CC4-5D6E-409C-BE32-E72D297353CC}">
              <c16:uniqueId val="{00000000-5B67-49D3-ADE3-96957F28DC1E}"/>
            </c:ext>
          </c:extLst>
        </c:ser>
        <c:dLbls>
          <c:showLegendKey val="0"/>
          <c:showVal val="0"/>
          <c:showCatName val="0"/>
          <c:showSerName val="0"/>
          <c:showPercent val="0"/>
          <c:showBubbleSize val="0"/>
        </c:dLbls>
        <c:gapWidth val="219"/>
        <c:overlap val="-27"/>
        <c:axId val="650364680"/>
        <c:axId val="650361400"/>
      </c:barChart>
      <c:catAx>
        <c:axId val="650364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50361400"/>
        <c:crosses val="autoZero"/>
        <c:auto val="1"/>
        <c:lblAlgn val="ctr"/>
        <c:lblOffset val="100"/>
        <c:noMultiLvlLbl val="0"/>
      </c:catAx>
      <c:valAx>
        <c:axId val="6503614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503646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s-ES"/>
              <a:t>Porcentaje total de Sistemas de accesibilidad relacionados al orden del día que emplean los ayuntamientos por Comunidad Autónoma</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ES"/>
        </a:p>
      </c:txPr>
    </c:title>
    <c:autoTitleDeleted val="0"/>
    <c:plotArea>
      <c:layout/>
      <c:barChart>
        <c:barDir val="col"/>
        <c:grouping val="clustered"/>
        <c:varyColors val="0"/>
        <c:ser>
          <c:idx val="0"/>
          <c:order val="0"/>
          <c:tx>
            <c:strRef>
              <c:f>'Pregunta 10'!$B$53</c:f>
              <c:strCache>
                <c:ptCount val="1"/>
                <c:pt idx="0">
                  <c:v>Lectura fácil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'Pregunta 10'!$A$54:$A$69</c:f>
              <c:strCache>
                <c:ptCount val="16"/>
                <c:pt idx="0">
                  <c:v>Andalucia</c:v>
                </c:pt>
                <c:pt idx="1">
                  <c:v>Aragón </c:v>
                </c:pt>
                <c:pt idx="2">
                  <c:v>Asturias</c:v>
                </c:pt>
                <c:pt idx="3">
                  <c:v>Canarias</c:v>
                </c:pt>
                <c:pt idx="4">
                  <c:v>Cantabria</c:v>
                </c:pt>
                <c:pt idx="5">
                  <c:v>Castilla-La Mancha</c:v>
                </c:pt>
                <c:pt idx="6">
                  <c:v>Castilla y León</c:v>
                </c:pt>
                <c:pt idx="7">
                  <c:v>Cataluña</c:v>
                </c:pt>
                <c:pt idx="8">
                  <c:v>Comunidad Valenciana</c:v>
                </c:pt>
                <c:pt idx="9">
                  <c:v>Extremadura</c:v>
                </c:pt>
                <c:pt idx="10">
                  <c:v>Galicia</c:v>
                </c:pt>
                <c:pt idx="11">
                  <c:v>Islas Baleares</c:v>
                </c:pt>
                <c:pt idx="12">
                  <c:v>Madrid</c:v>
                </c:pt>
                <c:pt idx="13">
                  <c:v>Murcia</c:v>
                </c:pt>
                <c:pt idx="14">
                  <c:v>Navarra</c:v>
                </c:pt>
                <c:pt idx="15">
                  <c:v>País Vasco</c:v>
                </c:pt>
              </c:strCache>
            </c:strRef>
          </c:cat>
          <c:val>
            <c:numRef>
              <c:f>'Pregunta 10'!$B$54:$B$69</c:f>
              <c:numCache>
                <c:formatCode>0%</c:formatCode>
                <c:ptCount val="16"/>
                <c:pt idx="0">
                  <c:v>0.44827586206896552</c:v>
                </c:pt>
                <c:pt idx="1">
                  <c:v>0.16666666666666666</c:v>
                </c:pt>
                <c:pt idx="2">
                  <c:v>0.2</c:v>
                </c:pt>
                <c:pt idx="3">
                  <c:v>0.4</c:v>
                </c:pt>
                <c:pt idx="4">
                  <c:v>0.25</c:v>
                </c:pt>
                <c:pt idx="5">
                  <c:v>0.125</c:v>
                </c:pt>
                <c:pt idx="6">
                  <c:v>0.44117647058823528</c:v>
                </c:pt>
                <c:pt idx="7">
                  <c:v>0.39393939393939392</c:v>
                </c:pt>
                <c:pt idx="8">
                  <c:v>0.25925925925925924</c:v>
                </c:pt>
                <c:pt idx="9">
                  <c:v>0.3</c:v>
                </c:pt>
                <c:pt idx="10">
                  <c:v>0.46666666666666667</c:v>
                </c:pt>
                <c:pt idx="11">
                  <c:v>0.4</c:v>
                </c:pt>
                <c:pt idx="12">
                  <c:v>0.33333333333333331</c:v>
                </c:pt>
                <c:pt idx="13">
                  <c:v>0</c:v>
                </c:pt>
                <c:pt idx="14">
                  <c:v>0.5</c:v>
                </c:pt>
                <c:pt idx="15">
                  <c:v>0.4</c:v>
                </c:pt>
              </c:numCache>
            </c:numRef>
          </c:val>
          <c:extLst>
            <c:ext xmlns:c16="http://schemas.microsoft.com/office/drawing/2014/chart" uri="{C3380CC4-5D6E-409C-BE32-E72D297353CC}">
              <c16:uniqueId val="{00000000-3700-4C70-8B13-96561A0867FA}"/>
            </c:ext>
          </c:extLst>
        </c:ser>
        <c:ser>
          <c:idx val="1"/>
          <c:order val="1"/>
          <c:tx>
            <c:strRef>
              <c:f>'Pregunta 10'!$C$53</c:f>
              <c:strCache>
                <c:ptCount val="1"/>
                <c:pt idx="0">
                  <c:v>Lenguaje de signos</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'Pregunta 10'!$A$54:$A$69</c:f>
              <c:strCache>
                <c:ptCount val="16"/>
                <c:pt idx="0">
                  <c:v>Andalucia</c:v>
                </c:pt>
                <c:pt idx="1">
                  <c:v>Aragón </c:v>
                </c:pt>
                <c:pt idx="2">
                  <c:v>Asturias</c:v>
                </c:pt>
                <c:pt idx="3">
                  <c:v>Canarias</c:v>
                </c:pt>
                <c:pt idx="4">
                  <c:v>Cantabria</c:v>
                </c:pt>
                <c:pt idx="5">
                  <c:v>Castilla-La Mancha</c:v>
                </c:pt>
                <c:pt idx="6">
                  <c:v>Castilla y León</c:v>
                </c:pt>
                <c:pt idx="7">
                  <c:v>Cataluña</c:v>
                </c:pt>
                <c:pt idx="8">
                  <c:v>Comunidad Valenciana</c:v>
                </c:pt>
                <c:pt idx="9">
                  <c:v>Extremadura</c:v>
                </c:pt>
                <c:pt idx="10">
                  <c:v>Galicia</c:v>
                </c:pt>
                <c:pt idx="11">
                  <c:v>Islas Baleares</c:v>
                </c:pt>
                <c:pt idx="12">
                  <c:v>Madrid</c:v>
                </c:pt>
                <c:pt idx="13">
                  <c:v>Murcia</c:v>
                </c:pt>
                <c:pt idx="14">
                  <c:v>Navarra</c:v>
                </c:pt>
                <c:pt idx="15">
                  <c:v>País Vasco</c:v>
                </c:pt>
              </c:strCache>
            </c:strRef>
          </c:cat>
          <c:val>
            <c:numRef>
              <c:f>'Pregunta 10'!$C$54:$C$69</c:f>
              <c:numCache>
                <c:formatCode>0%</c:formatCode>
                <c:ptCount val="16"/>
                <c:pt idx="0">
                  <c:v>3.4482758620689655E-2</c:v>
                </c:pt>
                <c:pt idx="1">
                  <c:v>0</c:v>
                </c:pt>
                <c:pt idx="2">
                  <c:v>0</c:v>
                </c:pt>
                <c:pt idx="3">
                  <c:v>0</c:v>
                </c:pt>
                <c:pt idx="4">
                  <c:v>0</c:v>
                </c:pt>
                <c:pt idx="5">
                  <c:v>0</c:v>
                </c:pt>
                <c:pt idx="6">
                  <c:v>0</c:v>
                </c:pt>
                <c:pt idx="7">
                  <c:v>0</c:v>
                </c:pt>
                <c:pt idx="8">
                  <c:v>0</c:v>
                </c:pt>
                <c:pt idx="9">
                  <c:v>0</c:v>
                </c:pt>
                <c:pt idx="10">
                  <c:v>0</c:v>
                </c:pt>
                <c:pt idx="11">
                  <c:v>0.2</c:v>
                </c:pt>
                <c:pt idx="12">
                  <c:v>0</c:v>
                </c:pt>
                <c:pt idx="13">
                  <c:v>0</c:v>
                </c:pt>
                <c:pt idx="14">
                  <c:v>0</c:v>
                </c:pt>
                <c:pt idx="15">
                  <c:v>0</c:v>
                </c:pt>
              </c:numCache>
            </c:numRef>
          </c:val>
          <c:extLst>
            <c:ext xmlns:c16="http://schemas.microsoft.com/office/drawing/2014/chart" uri="{C3380CC4-5D6E-409C-BE32-E72D297353CC}">
              <c16:uniqueId val="{00000001-3700-4C70-8B13-96561A0867FA}"/>
            </c:ext>
          </c:extLst>
        </c:ser>
        <c:ser>
          <c:idx val="2"/>
          <c:order val="2"/>
          <c:tx>
            <c:strRef>
              <c:f>'Pregunta 10'!$D$53</c:f>
              <c:strCache>
                <c:ptCount val="1"/>
                <c:pt idx="0">
                  <c:v>Audiodescripción</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cat>
            <c:strRef>
              <c:f>'Pregunta 10'!$A$54:$A$69</c:f>
              <c:strCache>
                <c:ptCount val="16"/>
                <c:pt idx="0">
                  <c:v>Andalucia</c:v>
                </c:pt>
                <c:pt idx="1">
                  <c:v>Aragón </c:v>
                </c:pt>
                <c:pt idx="2">
                  <c:v>Asturias</c:v>
                </c:pt>
                <c:pt idx="3">
                  <c:v>Canarias</c:v>
                </c:pt>
                <c:pt idx="4">
                  <c:v>Cantabria</c:v>
                </c:pt>
                <c:pt idx="5">
                  <c:v>Castilla-La Mancha</c:v>
                </c:pt>
                <c:pt idx="6">
                  <c:v>Castilla y León</c:v>
                </c:pt>
                <c:pt idx="7">
                  <c:v>Cataluña</c:v>
                </c:pt>
                <c:pt idx="8">
                  <c:v>Comunidad Valenciana</c:v>
                </c:pt>
                <c:pt idx="9">
                  <c:v>Extremadura</c:v>
                </c:pt>
                <c:pt idx="10">
                  <c:v>Galicia</c:v>
                </c:pt>
                <c:pt idx="11">
                  <c:v>Islas Baleares</c:v>
                </c:pt>
                <c:pt idx="12">
                  <c:v>Madrid</c:v>
                </c:pt>
                <c:pt idx="13">
                  <c:v>Murcia</c:v>
                </c:pt>
                <c:pt idx="14">
                  <c:v>Navarra</c:v>
                </c:pt>
                <c:pt idx="15">
                  <c:v>País Vasco</c:v>
                </c:pt>
              </c:strCache>
            </c:strRef>
          </c:cat>
          <c:val>
            <c:numRef>
              <c:f>'Pregunta 10'!$D$54:$D$69</c:f>
              <c:numCache>
                <c:formatCode>0%</c:formatCode>
                <c:ptCount val="16"/>
                <c:pt idx="0">
                  <c:v>0</c:v>
                </c:pt>
                <c:pt idx="1">
                  <c:v>0</c:v>
                </c:pt>
                <c:pt idx="2">
                  <c:v>0</c:v>
                </c:pt>
                <c:pt idx="3">
                  <c:v>0.1</c:v>
                </c:pt>
                <c:pt idx="4">
                  <c:v>0</c:v>
                </c:pt>
                <c:pt idx="5">
                  <c:v>0</c:v>
                </c:pt>
                <c:pt idx="6">
                  <c:v>0</c:v>
                </c:pt>
                <c:pt idx="7">
                  <c:v>3.0303030303030304E-2</c:v>
                </c:pt>
                <c:pt idx="8">
                  <c:v>1.8518518518518517E-2</c:v>
                </c:pt>
                <c:pt idx="9">
                  <c:v>0</c:v>
                </c:pt>
                <c:pt idx="10">
                  <c:v>6.6666666666666666E-2</c:v>
                </c:pt>
                <c:pt idx="11">
                  <c:v>0</c:v>
                </c:pt>
                <c:pt idx="12">
                  <c:v>0.13333333333333333</c:v>
                </c:pt>
                <c:pt idx="13">
                  <c:v>0</c:v>
                </c:pt>
                <c:pt idx="14">
                  <c:v>0.125</c:v>
                </c:pt>
                <c:pt idx="15">
                  <c:v>0.4</c:v>
                </c:pt>
              </c:numCache>
            </c:numRef>
          </c:val>
          <c:extLst>
            <c:ext xmlns:c16="http://schemas.microsoft.com/office/drawing/2014/chart" uri="{C3380CC4-5D6E-409C-BE32-E72D297353CC}">
              <c16:uniqueId val="{00000002-3700-4C70-8B13-96561A0867FA}"/>
            </c:ext>
          </c:extLst>
        </c:ser>
        <c:ser>
          <c:idx val="3"/>
          <c:order val="3"/>
          <c:tx>
            <c:strRef>
              <c:f>'Pregunta 10'!$E$53</c:f>
              <c:strCache>
                <c:ptCount val="1"/>
                <c:pt idx="0">
                  <c:v>Transcripción</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cat>
            <c:strRef>
              <c:f>'Pregunta 10'!$A$54:$A$69</c:f>
              <c:strCache>
                <c:ptCount val="16"/>
                <c:pt idx="0">
                  <c:v>Andalucia</c:v>
                </c:pt>
                <c:pt idx="1">
                  <c:v>Aragón </c:v>
                </c:pt>
                <c:pt idx="2">
                  <c:v>Asturias</c:v>
                </c:pt>
                <c:pt idx="3">
                  <c:v>Canarias</c:v>
                </c:pt>
                <c:pt idx="4">
                  <c:v>Cantabria</c:v>
                </c:pt>
                <c:pt idx="5">
                  <c:v>Castilla-La Mancha</c:v>
                </c:pt>
                <c:pt idx="6">
                  <c:v>Castilla y León</c:v>
                </c:pt>
                <c:pt idx="7">
                  <c:v>Cataluña</c:v>
                </c:pt>
                <c:pt idx="8">
                  <c:v>Comunidad Valenciana</c:v>
                </c:pt>
                <c:pt idx="9">
                  <c:v>Extremadura</c:v>
                </c:pt>
                <c:pt idx="10">
                  <c:v>Galicia</c:v>
                </c:pt>
                <c:pt idx="11">
                  <c:v>Islas Baleares</c:v>
                </c:pt>
                <c:pt idx="12">
                  <c:v>Madrid</c:v>
                </c:pt>
                <c:pt idx="13">
                  <c:v>Murcia</c:v>
                </c:pt>
                <c:pt idx="14">
                  <c:v>Navarra</c:v>
                </c:pt>
                <c:pt idx="15">
                  <c:v>País Vasco</c:v>
                </c:pt>
              </c:strCache>
            </c:strRef>
          </c:cat>
          <c:val>
            <c:numRef>
              <c:f>'Pregunta 10'!$E$54:$E$69</c:f>
              <c:numCache>
                <c:formatCode>0%</c:formatCode>
                <c:ptCount val="16"/>
                <c:pt idx="0">
                  <c:v>0.17241379310344829</c:v>
                </c:pt>
                <c:pt idx="1">
                  <c:v>8.3333333333333329E-2</c:v>
                </c:pt>
                <c:pt idx="2">
                  <c:v>0.2</c:v>
                </c:pt>
                <c:pt idx="3">
                  <c:v>0.2</c:v>
                </c:pt>
                <c:pt idx="4">
                  <c:v>0</c:v>
                </c:pt>
                <c:pt idx="5">
                  <c:v>0.25</c:v>
                </c:pt>
                <c:pt idx="6">
                  <c:v>0.26470588235294118</c:v>
                </c:pt>
                <c:pt idx="7">
                  <c:v>0.24242424242424243</c:v>
                </c:pt>
                <c:pt idx="8">
                  <c:v>0.18518518518518517</c:v>
                </c:pt>
                <c:pt idx="9">
                  <c:v>0.1</c:v>
                </c:pt>
                <c:pt idx="10">
                  <c:v>0.13333333333333333</c:v>
                </c:pt>
                <c:pt idx="11">
                  <c:v>0</c:v>
                </c:pt>
                <c:pt idx="12">
                  <c:v>0.2</c:v>
                </c:pt>
                <c:pt idx="13">
                  <c:v>0</c:v>
                </c:pt>
                <c:pt idx="14">
                  <c:v>0.25</c:v>
                </c:pt>
                <c:pt idx="15">
                  <c:v>0.4</c:v>
                </c:pt>
              </c:numCache>
            </c:numRef>
          </c:val>
          <c:extLst>
            <c:ext xmlns:c16="http://schemas.microsoft.com/office/drawing/2014/chart" uri="{C3380CC4-5D6E-409C-BE32-E72D297353CC}">
              <c16:uniqueId val="{00000003-3700-4C70-8B13-96561A0867FA}"/>
            </c:ext>
          </c:extLst>
        </c:ser>
        <c:ser>
          <c:idx val="4"/>
          <c:order val="4"/>
          <c:tx>
            <c:strRef>
              <c:f>'Pregunta 10'!$F$53</c:f>
              <c:strCache>
                <c:ptCount val="1"/>
                <c:pt idx="0">
                  <c:v>Ninguno</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invertIfNegative val="0"/>
          <c:cat>
            <c:strRef>
              <c:f>'Pregunta 10'!$A$54:$A$69</c:f>
              <c:strCache>
                <c:ptCount val="16"/>
                <c:pt idx="0">
                  <c:v>Andalucia</c:v>
                </c:pt>
                <c:pt idx="1">
                  <c:v>Aragón </c:v>
                </c:pt>
                <c:pt idx="2">
                  <c:v>Asturias</c:v>
                </c:pt>
                <c:pt idx="3">
                  <c:v>Canarias</c:v>
                </c:pt>
                <c:pt idx="4">
                  <c:v>Cantabria</c:v>
                </c:pt>
                <c:pt idx="5">
                  <c:v>Castilla-La Mancha</c:v>
                </c:pt>
                <c:pt idx="6">
                  <c:v>Castilla y León</c:v>
                </c:pt>
                <c:pt idx="7">
                  <c:v>Cataluña</c:v>
                </c:pt>
                <c:pt idx="8">
                  <c:v>Comunidad Valenciana</c:v>
                </c:pt>
                <c:pt idx="9">
                  <c:v>Extremadura</c:v>
                </c:pt>
                <c:pt idx="10">
                  <c:v>Galicia</c:v>
                </c:pt>
                <c:pt idx="11">
                  <c:v>Islas Baleares</c:v>
                </c:pt>
                <c:pt idx="12">
                  <c:v>Madrid</c:v>
                </c:pt>
                <c:pt idx="13">
                  <c:v>Murcia</c:v>
                </c:pt>
                <c:pt idx="14">
                  <c:v>Navarra</c:v>
                </c:pt>
                <c:pt idx="15">
                  <c:v>País Vasco</c:v>
                </c:pt>
              </c:strCache>
            </c:strRef>
          </c:cat>
          <c:val>
            <c:numRef>
              <c:f>'Pregunta 10'!$F$54:$F$69</c:f>
              <c:numCache>
                <c:formatCode>0%</c:formatCode>
                <c:ptCount val="16"/>
                <c:pt idx="0">
                  <c:v>0.51724137931034486</c:v>
                </c:pt>
                <c:pt idx="1">
                  <c:v>0.75</c:v>
                </c:pt>
                <c:pt idx="2">
                  <c:v>0.4</c:v>
                </c:pt>
                <c:pt idx="3">
                  <c:v>0.3</c:v>
                </c:pt>
                <c:pt idx="4">
                  <c:v>0.75</c:v>
                </c:pt>
                <c:pt idx="5">
                  <c:v>0.41666666666666669</c:v>
                </c:pt>
                <c:pt idx="6">
                  <c:v>0.47058823529411764</c:v>
                </c:pt>
                <c:pt idx="7">
                  <c:v>0.39393939393939392</c:v>
                </c:pt>
                <c:pt idx="8">
                  <c:v>0.35185185185185186</c:v>
                </c:pt>
                <c:pt idx="9">
                  <c:v>0.6</c:v>
                </c:pt>
                <c:pt idx="10">
                  <c:v>0.46666666666666667</c:v>
                </c:pt>
                <c:pt idx="11">
                  <c:v>0.4</c:v>
                </c:pt>
                <c:pt idx="12">
                  <c:v>0.33333333333333331</c:v>
                </c:pt>
                <c:pt idx="13">
                  <c:v>1</c:v>
                </c:pt>
                <c:pt idx="14">
                  <c:v>0.25</c:v>
                </c:pt>
                <c:pt idx="15">
                  <c:v>0.4</c:v>
                </c:pt>
              </c:numCache>
            </c:numRef>
          </c:val>
          <c:extLst>
            <c:ext xmlns:c16="http://schemas.microsoft.com/office/drawing/2014/chart" uri="{C3380CC4-5D6E-409C-BE32-E72D297353CC}">
              <c16:uniqueId val="{00000004-3700-4C70-8B13-96561A0867FA}"/>
            </c:ext>
          </c:extLst>
        </c:ser>
        <c:dLbls>
          <c:showLegendKey val="0"/>
          <c:showVal val="0"/>
          <c:showCatName val="0"/>
          <c:showSerName val="0"/>
          <c:showPercent val="0"/>
          <c:showBubbleSize val="0"/>
        </c:dLbls>
        <c:gapWidth val="100"/>
        <c:overlap val="-24"/>
        <c:axId val="509552632"/>
        <c:axId val="509552304"/>
      </c:barChart>
      <c:catAx>
        <c:axId val="509552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509552304"/>
        <c:crosses val="autoZero"/>
        <c:auto val="1"/>
        <c:lblAlgn val="ctr"/>
        <c:lblOffset val="100"/>
        <c:noMultiLvlLbl val="0"/>
      </c:catAx>
      <c:valAx>
        <c:axId val="50955230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5095526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s-ES"/>
              <a:t>Porcentaje total de Sistemas de accesibilidad relacionados al orden del día que emplean los ayuntamientos por provincias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ES"/>
        </a:p>
      </c:txPr>
    </c:title>
    <c:autoTitleDeleted val="0"/>
    <c:plotArea>
      <c:layout/>
      <c:barChart>
        <c:barDir val="col"/>
        <c:grouping val="clustered"/>
        <c:varyColors val="0"/>
        <c:ser>
          <c:idx val="0"/>
          <c:order val="0"/>
          <c:tx>
            <c:strRef>
              <c:f>'Pregunta 10'!$B$1</c:f>
              <c:strCache>
                <c:ptCount val="1"/>
                <c:pt idx="0">
                  <c:v>Lectura fácil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'Pregunta 10'!$A$2:$A$50</c:f>
              <c:strCache>
                <c:ptCount val="49"/>
                <c:pt idx="0">
                  <c:v>A Coruña</c:v>
                </c:pt>
                <c:pt idx="1">
                  <c:v>Albacete</c:v>
                </c:pt>
                <c:pt idx="2">
                  <c:v>Alicante</c:v>
                </c:pt>
                <c:pt idx="3">
                  <c:v>Almería</c:v>
                </c:pt>
                <c:pt idx="4">
                  <c:v>Álava</c:v>
                </c:pt>
                <c:pt idx="5">
                  <c:v>Asturias.</c:v>
                </c:pt>
                <c:pt idx="6">
                  <c:v>Ávila</c:v>
                </c:pt>
                <c:pt idx="7">
                  <c:v>Badajoz</c:v>
                </c:pt>
                <c:pt idx="8">
                  <c:v>Barcelona</c:v>
                </c:pt>
                <c:pt idx="9">
                  <c:v>Bizcaia</c:v>
                </c:pt>
                <c:pt idx="10">
                  <c:v>Burgos</c:v>
                </c:pt>
                <c:pt idx="11">
                  <c:v>Cáceres</c:v>
                </c:pt>
                <c:pt idx="12">
                  <c:v>Cádiz</c:v>
                </c:pt>
                <c:pt idx="13">
                  <c:v>Cantabria</c:v>
                </c:pt>
                <c:pt idx="14">
                  <c:v>Castellón</c:v>
                </c:pt>
                <c:pt idx="15">
                  <c:v>Ciudad Real</c:v>
                </c:pt>
                <c:pt idx="16">
                  <c:v>Córdoba</c:v>
                </c:pt>
                <c:pt idx="17">
                  <c:v>Cuenca</c:v>
                </c:pt>
                <c:pt idx="18">
                  <c:v>Guipuzkoa</c:v>
                </c:pt>
                <c:pt idx="19">
                  <c:v>Girona</c:v>
                </c:pt>
                <c:pt idx="20">
                  <c:v>Granada</c:v>
                </c:pt>
                <c:pt idx="21">
                  <c:v>Guadalajara</c:v>
                </c:pt>
                <c:pt idx="22">
                  <c:v>Huelva</c:v>
                </c:pt>
                <c:pt idx="23">
                  <c:v>Huesca</c:v>
                </c:pt>
                <c:pt idx="24">
                  <c:v>Islas baleares</c:v>
                </c:pt>
                <c:pt idx="25">
                  <c:v>Jaén</c:v>
                </c:pt>
                <c:pt idx="26">
                  <c:v>Las Palmas</c:v>
                </c:pt>
                <c:pt idx="27">
                  <c:v>León</c:v>
                </c:pt>
                <c:pt idx="28">
                  <c:v>Lérida</c:v>
                </c:pt>
                <c:pt idx="29">
                  <c:v>Lugo</c:v>
                </c:pt>
                <c:pt idx="30">
                  <c:v>Madrid</c:v>
                </c:pt>
                <c:pt idx="31">
                  <c:v>Málaga</c:v>
                </c:pt>
                <c:pt idx="32">
                  <c:v>Murcia</c:v>
                </c:pt>
                <c:pt idx="33">
                  <c:v>Navarra</c:v>
                </c:pt>
                <c:pt idx="34">
                  <c:v>Ourense</c:v>
                </c:pt>
                <c:pt idx="35">
                  <c:v>Palencia</c:v>
                </c:pt>
                <c:pt idx="36">
                  <c:v>Pontevedra</c:v>
                </c:pt>
                <c:pt idx="37">
                  <c:v>Santa Cruz de Tenerife</c:v>
                </c:pt>
                <c:pt idx="38">
                  <c:v>Salamanca</c:v>
                </c:pt>
                <c:pt idx="39">
                  <c:v>Segovia</c:v>
                </c:pt>
                <c:pt idx="40">
                  <c:v>Sevilla</c:v>
                </c:pt>
                <c:pt idx="41">
                  <c:v>Soria</c:v>
                </c:pt>
                <c:pt idx="42">
                  <c:v>Tarragona</c:v>
                </c:pt>
                <c:pt idx="43">
                  <c:v>Teruel</c:v>
                </c:pt>
                <c:pt idx="44">
                  <c:v>Toledo</c:v>
                </c:pt>
                <c:pt idx="45">
                  <c:v>Valencia</c:v>
                </c:pt>
                <c:pt idx="46">
                  <c:v>Valladolid</c:v>
                </c:pt>
                <c:pt idx="47">
                  <c:v>Zamora</c:v>
                </c:pt>
                <c:pt idx="48">
                  <c:v>Zaragoza</c:v>
                </c:pt>
              </c:strCache>
            </c:strRef>
          </c:cat>
          <c:val>
            <c:numRef>
              <c:f>'Pregunta 10'!$B$2:$B$50</c:f>
              <c:numCache>
                <c:formatCode>0%</c:formatCode>
                <c:ptCount val="49"/>
                <c:pt idx="0">
                  <c:v>0.375</c:v>
                </c:pt>
                <c:pt idx="1">
                  <c:v>0</c:v>
                </c:pt>
                <c:pt idx="2">
                  <c:v>0.38461538461538464</c:v>
                </c:pt>
                <c:pt idx="3">
                  <c:v>0</c:v>
                </c:pt>
                <c:pt idx="4">
                  <c:v>0</c:v>
                </c:pt>
                <c:pt idx="5">
                  <c:v>0.2</c:v>
                </c:pt>
                <c:pt idx="6">
                  <c:v>0</c:v>
                </c:pt>
                <c:pt idx="7">
                  <c:v>0</c:v>
                </c:pt>
                <c:pt idx="8">
                  <c:v>0.55000000000000004</c:v>
                </c:pt>
                <c:pt idx="9">
                  <c:v>0.66666666666666663</c:v>
                </c:pt>
                <c:pt idx="10">
                  <c:v>0.75</c:v>
                </c:pt>
                <c:pt idx="11">
                  <c:v>0.5</c:v>
                </c:pt>
                <c:pt idx="12">
                  <c:v>0</c:v>
                </c:pt>
                <c:pt idx="13">
                  <c:v>0.25</c:v>
                </c:pt>
                <c:pt idx="14">
                  <c:v>0.14285714285714285</c:v>
                </c:pt>
                <c:pt idx="15">
                  <c:v>0.5</c:v>
                </c:pt>
                <c:pt idx="16">
                  <c:v>0.25</c:v>
                </c:pt>
                <c:pt idx="17">
                  <c:v>0</c:v>
                </c:pt>
                <c:pt idx="18">
                  <c:v>0</c:v>
                </c:pt>
                <c:pt idx="19">
                  <c:v>0</c:v>
                </c:pt>
                <c:pt idx="20">
                  <c:v>0.5714285714285714</c:v>
                </c:pt>
                <c:pt idx="21">
                  <c:v>0</c:v>
                </c:pt>
                <c:pt idx="22">
                  <c:v>0.75</c:v>
                </c:pt>
                <c:pt idx="23">
                  <c:v>0.25</c:v>
                </c:pt>
                <c:pt idx="24">
                  <c:v>0.4</c:v>
                </c:pt>
                <c:pt idx="25">
                  <c:v>0.33333333333333331</c:v>
                </c:pt>
                <c:pt idx="26">
                  <c:v>0.2</c:v>
                </c:pt>
                <c:pt idx="27">
                  <c:v>0.5</c:v>
                </c:pt>
                <c:pt idx="28">
                  <c:v>0.25</c:v>
                </c:pt>
                <c:pt idx="29">
                  <c:v>0</c:v>
                </c:pt>
                <c:pt idx="30">
                  <c:v>0.33333333333333331</c:v>
                </c:pt>
                <c:pt idx="31">
                  <c:v>0.33333333333333331</c:v>
                </c:pt>
                <c:pt idx="32">
                  <c:v>0</c:v>
                </c:pt>
                <c:pt idx="33">
                  <c:v>0.5</c:v>
                </c:pt>
                <c:pt idx="34">
                  <c:v>1</c:v>
                </c:pt>
                <c:pt idx="35">
                  <c:v>1</c:v>
                </c:pt>
                <c:pt idx="36">
                  <c:v>1</c:v>
                </c:pt>
                <c:pt idx="37">
                  <c:v>0.6</c:v>
                </c:pt>
                <c:pt idx="38">
                  <c:v>0.66666666666666663</c:v>
                </c:pt>
                <c:pt idx="39">
                  <c:v>0.33333333333333331</c:v>
                </c:pt>
                <c:pt idx="40">
                  <c:v>0.5</c:v>
                </c:pt>
                <c:pt idx="41">
                  <c:v>0</c:v>
                </c:pt>
                <c:pt idx="42">
                  <c:v>0.2</c:v>
                </c:pt>
                <c:pt idx="43">
                  <c:v>0.2</c:v>
                </c:pt>
                <c:pt idx="44">
                  <c:v>0.2</c:v>
                </c:pt>
                <c:pt idx="45">
                  <c:v>0.3</c:v>
                </c:pt>
                <c:pt idx="46">
                  <c:v>0.25</c:v>
                </c:pt>
                <c:pt idx="47">
                  <c:v>0.33333333333333331</c:v>
                </c:pt>
                <c:pt idx="48">
                  <c:v>0</c:v>
                </c:pt>
              </c:numCache>
            </c:numRef>
          </c:val>
          <c:extLst>
            <c:ext xmlns:c16="http://schemas.microsoft.com/office/drawing/2014/chart" uri="{C3380CC4-5D6E-409C-BE32-E72D297353CC}">
              <c16:uniqueId val="{00000000-47BA-4B41-95B7-CE6ACE64FB4C}"/>
            </c:ext>
          </c:extLst>
        </c:ser>
        <c:ser>
          <c:idx val="1"/>
          <c:order val="1"/>
          <c:tx>
            <c:strRef>
              <c:f>'Pregunta 10'!$C$1</c:f>
              <c:strCache>
                <c:ptCount val="1"/>
                <c:pt idx="0">
                  <c:v>Lenguaje de signos</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'Pregunta 10'!$A$2:$A$50</c:f>
              <c:strCache>
                <c:ptCount val="49"/>
                <c:pt idx="0">
                  <c:v>A Coruña</c:v>
                </c:pt>
                <c:pt idx="1">
                  <c:v>Albacete</c:v>
                </c:pt>
                <c:pt idx="2">
                  <c:v>Alicante</c:v>
                </c:pt>
                <c:pt idx="3">
                  <c:v>Almería</c:v>
                </c:pt>
                <c:pt idx="4">
                  <c:v>Álava</c:v>
                </c:pt>
                <c:pt idx="5">
                  <c:v>Asturias.</c:v>
                </c:pt>
                <c:pt idx="6">
                  <c:v>Ávila</c:v>
                </c:pt>
                <c:pt idx="7">
                  <c:v>Badajoz</c:v>
                </c:pt>
                <c:pt idx="8">
                  <c:v>Barcelona</c:v>
                </c:pt>
                <c:pt idx="9">
                  <c:v>Bizcaia</c:v>
                </c:pt>
                <c:pt idx="10">
                  <c:v>Burgos</c:v>
                </c:pt>
                <c:pt idx="11">
                  <c:v>Cáceres</c:v>
                </c:pt>
                <c:pt idx="12">
                  <c:v>Cádiz</c:v>
                </c:pt>
                <c:pt idx="13">
                  <c:v>Cantabria</c:v>
                </c:pt>
                <c:pt idx="14">
                  <c:v>Castellón</c:v>
                </c:pt>
                <c:pt idx="15">
                  <c:v>Ciudad Real</c:v>
                </c:pt>
                <c:pt idx="16">
                  <c:v>Córdoba</c:v>
                </c:pt>
                <c:pt idx="17">
                  <c:v>Cuenca</c:v>
                </c:pt>
                <c:pt idx="18">
                  <c:v>Guipuzkoa</c:v>
                </c:pt>
                <c:pt idx="19">
                  <c:v>Girona</c:v>
                </c:pt>
                <c:pt idx="20">
                  <c:v>Granada</c:v>
                </c:pt>
                <c:pt idx="21">
                  <c:v>Guadalajara</c:v>
                </c:pt>
                <c:pt idx="22">
                  <c:v>Huelva</c:v>
                </c:pt>
                <c:pt idx="23">
                  <c:v>Huesca</c:v>
                </c:pt>
                <c:pt idx="24">
                  <c:v>Islas baleares</c:v>
                </c:pt>
                <c:pt idx="25">
                  <c:v>Jaén</c:v>
                </c:pt>
                <c:pt idx="26">
                  <c:v>Las Palmas</c:v>
                </c:pt>
                <c:pt idx="27">
                  <c:v>León</c:v>
                </c:pt>
                <c:pt idx="28">
                  <c:v>Lérida</c:v>
                </c:pt>
                <c:pt idx="29">
                  <c:v>Lugo</c:v>
                </c:pt>
                <c:pt idx="30">
                  <c:v>Madrid</c:v>
                </c:pt>
                <c:pt idx="31">
                  <c:v>Málaga</c:v>
                </c:pt>
                <c:pt idx="32">
                  <c:v>Murcia</c:v>
                </c:pt>
                <c:pt idx="33">
                  <c:v>Navarra</c:v>
                </c:pt>
                <c:pt idx="34">
                  <c:v>Ourense</c:v>
                </c:pt>
                <c:pt idx="35">
                  <c:v>Palencia</c:v>
                </c:pt>
                <c:pt idx="36">
                  <c:v>Pontevedra</c:v>
                </c:pt>
                <c:pt idx="37">
                  <c:v>Santa Cruz de Tenerife</c:v>
                </c:pt>
                <c:pt idx="38">
                  <c:v>Salamanca</c:v>
                </c:pt>
                <c:pt idx="39">
                  <c:v>Segovia</c:v>
                </c:pt>
                <c:pt idx="40">
                  <c:v>Sevilla</c:v>
                </c:pt>
                <c:pt idx="41">
                  <c:v>Soria</c:v>
                </c:pt>
                <c:pt idx="42">
                  <c:v>Tarragona</c:v>
                </c:pt>
                <c:pt idx="43">
                  <c:v>Teruel</c:v>
                </c:pt>
                <c:pt idx="44">
                  <c:v>Toledo</c:v>
                </c:pt>
                <c:pt idx="45">
                  <c:v>Valencia</c:v>
                </c:pt>
                <c:pt idx="46">
                  <c:v>Valladolid</c:v>
                </c:pt>
                <c:pt idx="47">
                  <c:v>Zamora</c:v>
                </c:pt>
                <c:pt idx="48">
                  <c:v>Zaragoza</c:v>
                </c:pt>
              </c:strCache>
            </c:strRef>
          </c:cat>
          <c:val>
            <c:numRef>
              <c:f>'Pregunta 10'!$C$2:$C$50</c:f>
              <c:numCache>
                <c:formatCode>0%</c:formatCode>
                <c:ptCount val="4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0.2</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0.25</c:v>
                </c:pt>
                <c:pt idx="41">
                  <c:v>0</c:v>
                </c:pt>
                <c:pt idx="42">
                  <c:v>0</c:v>
                </c:pt>
                <c:pt idx="43">
                  <c:v>0</c:v>
                </c:pt>
                <c:pt idx="44">
                  <c:v>0</c:v>
                </c:pt>
                <c:pt idx="45">
                  <c:v>0</c:v>
                </c:pt>
                <c:pt idx="46">
                  <c:v>0</c:v>
                </c:pt>
                <c:pt idx="47">
                  <c:v>0</c:v>
                </c:pt>
                <c:pt idx="48">
                  <c:v>0</c:v>
                </c:pt>
              </c:numCache>
            </c:numRef>
          </c:val>
          <c:extLst>
            <c:ext xmlns:c16="http://schemas.microsoft.com/office/drawing/2014/chart" uri="{C3380CC4-5D6E-409C-BE32-E72D297353CC}">
              <c16:uniqueId val="{00000001-47BA-4B41-95B7-CE6ACE64FB4C}"/>
            </c:ext>
          </c:extLst>
        </c:ser>
        <c:ser>
          <c:idx val="2"/>
          <c:order val="2"/>
          <c:tx>
            <c:strRef>
              <c:f>'Pregunta 10'!$D$1</c:f>
              <c:strCache>
                <c:ptCount val="1"/>
                <c:pt idx="0">
                  <c:v>Audiodescripción</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cat>
            <c:strRef>
              <c:f>'Pregunta 10'!$A$2:$A$50</c:f>
              <c:strCache>
                <c:ptCount val="49"/>
                <c:pt idx="0">
                  <c:v>A Coruña</c:v>
                </c:pt>
                <c:pt idx="1">
                  <c:v>Albacete</c:v>
                </c:pt>
                <c:pt idx="2">
                  <c:v>Alicante</c:v>
                </c:pt>
                <c:pt idx="3">
                  <c:v>Almería</c:v>
                </c:pt>
                <c:pt idx="4">
                  <c:v>Álava</c:v>
                </c:pt>
                <c:pt idx="5">
                  <c:v>Asturias.</c:v>
                </c:pt>
                <c:pt idx="6">
                  <c:v>Ávila</c:v>
                </c:pt>
                <c:pt idx="7">
                  <c:v>Badajoz</c:v>
                </c:pt>
                <c:pt idx="8">
                  <c:v>Barcelona</c:v>
                </c:pt>
                <c:pt idx="9">
                  <c:v>Bizcaia</c:v>
                </c:pt>
                <c:pt idx="10">
                  <c:v>Burgos</c:v>
                </c:pt>
                <c:pt idx="11">
                  <c:v>Cáceres</c:v>
                </c:pt>
                <c:pt idx="12">
                  <c:v>Cádiz</c:v>
                </c:pt>
                <c:pt idx="13">
                  <c:v>Cantabria</c:v>
                </c:pt>
                <c:pt idx="14">
                  <c:v>Castellón</c:v>
                </c:pt>
                <c:pt idx="15">
                  <c:v>Ciudad Real</c:v>
                </c:pt>
                <c:pt idx="16">
                  <c:v>Córdoba</c:v>
                </c:pt>
                <c:pt idx="17">
                  <c:v>Cuenca</c:v>
                </c:pt>
                <c:pt idx="18">
                  <c:v>Guipuzkoa</c:v>
                </c:pt>
                <c:pt idx="19">
                  <c:v>Girona</c:v>
                </c:pt>
                <c:pt idx="20">
                  <c:v>Granada</c:v>
                </c:pt>
                <c:pt idx="21">
                  <c:v>Guadalajara</c:v>
                </c:pt>
                <c:pt idx="22">
                  <c:v>Huelva</c:v>
                </c:pt>
                <c:pt idx="23">
                  <c:v>Huesca</c:v>
                </c:pt>
                <c:pt idx="24">
                  <c:v>Islas baleares</c:v>
                </c:pt>
                <c:pt idx="25">
                  <c:v>Jaén</c:v>
                </c:pt>
                <c:pt idx="26">
                  <c:v>Las Palmas</c:v>
                </c:pt>
                <c:pt idx="27">
                  <c:v>León</c:v>
                </c:pt>
                <c:pt idx="28">
                  <c:v>Lérida</c:v>
                </c:pt>
                <c:pt idx="29">
                  <c:v>Lugo</c:v>
                </c:pt>
                <c:pt idx="30">
                  <c:v>Madrid</c:v>
                </c:pt>
                <c:pt idx="31">
                  <c:v>Málaga</c:v>
                </c:pt>
                <c:pt idx="32">
                  <c:v>Murcia</c:v>
                </c:pt>
                <c:pt idx="33">
                  <c:v>Navarra</c:v>
                </c:pt>
                <c:pt idx="34">
                  <c:v>Ourense</c:v>
                </c:pt>
                <c:pt idx="35">
                  <c:v>Palencia</c:v>
                </c:pt>
                <c:pt idx="36">
                  <c:v>Pontevedra</c:v>
                </c:pt>
                <c:pt idx="37">
                  <c:v>Santa Cruz de Tenerife</c:v>
                </c:pt>
                <c:pt idx="38">
                  <c:v>Salamanca</c:v>
                </c:pt>
                <c:pt idx="39">
                  <c:v>Segovia</c:v>
                </c:pt>
                <c:pt idx="40">
                  <c:v>Sevilla</c:v>
                </c:pt>
                <c:pt idx="41">
                  <c:v>Soria</c:v>
                </c:pt>
                <c:pt idx="42">
                  <c:v>Tarragona</c:v>
                </c:pt>
                <c:pt idx="43">
                  <c:v>Teruel</c:v>
                </c:pt>
                <c:pt idx="44">
                  <c:v>Toledo</c:v>
                </c:pt>
                <c:pt idx="45">
                  <c:v>Valencia</c:v>
                </c:pt>
                <c:pt idx="46">
                  <c:v>Valladolid</c:v>
                </c:pt>
                <c:pt idx="47">
                  <c:v>Zamora</c:v>
                </c:pt>
                <c:pt idx="48">
                  <c:v>Zaragoza</c:v>
                </c:pt>
              </c:strCache>
            </c:strRef>
          </c:cat>
          <c:val>
            <c:numRef>
              <c:f>'Pregunta 10'!$D$2:$D$50</c:f>
              <c:numCache>
                <c:formatCode>0%</c:formatCode>
                <c:ptCount val="49"/>
                <c:pt idx="0">
                  <c:v>0.125</c:v>
                </c:pt>
                <c:pt idx="1">
                  <c:v>0</c:v>
                </c:pt>
                <c:pt idx="2">
                  <c:v>0</c:v>
                </c:pt>
                <c:pt idx="3">
                  <c:v>0</c:v>
                </c:pt>
                <c:pt idx="4">
                  <c:v>1</c:v>
                </c:pt>
                <c:pt idx="5">
                  <c:v>0</c:v>
                </c:pt>
                <c:pt idx="6">
                  <c:v>0</c:v>
                </c:pt>
                <c:pt idx="7">
                  <c:v>0</c:v>
                </c:pt>
                <c:pt idx="8">
                  <c:v>0</c:v>
                </c:pt>
                <c:pt idx="9">
                  <c:v>0.33333333333333331</c:v>
                </c:pt>
                <c:pt idx="10">
                  <c:v>0</c:v>
                </c:pt>
                <c:pt idx="11">
                  <c:v>0</c:v>
                </c:pt>
                <c:pt idx="12">
                  <c:v>0</c:v>
                </c:pt>
                <c:pt idx="13">
                  <c:v>0</c:v>
                </c:pt>
                <c:pt idx="14">
                  <c:v>0</c:v>
                </c:pt>
                <c:pt idx="15">
                  <c:v>0</c:v>
                </c:pt>
                <c:pt idx="16">
                  <c:v>0</c:v>
                </c:pt>
                <c:pt idx="17">
                  <c:v>0</c:v>
                </c:pt>
                <c:pt idx="18">
                  <c:v>0</c:v>
                </c:pt>
                <c:pt idx="19">
                  <c:v>0.25</c:v>
                </c:pt>
                <c:pt idx="20">
                  <c:v>0</c:v>
                </c:pt>
                <c:pt idx="21">
                  <c:v>0</c:v>
                </c:pt>
                <c:pt idx="22">
                  <c:v>0</c:v>
                </c:pt>
                <c:pt idx="23">
                  <c:v>0</c:v>
                </c:pt>
                <c:pt idx="24">
                  <c:v>0</c:v>
                </c:pt>
                <c:pt idx="25">
                  <c:v>0</c:v>
                </c:pt>
                <c:pt idx="26">
                  <c:v>0.2</c:v>
                </c:pt>
                <c:pt idx="27">
                  <c:v>0</c:v>
                </c:pt>
                <c:pt idx="28">
                  <c:v>0</c:v>
                </c:pt>
                <c:pt idx="29">
                  <c:v>0</c:v>
                </c:pt>
                <c:pt idx="30">
                  <c:v>0.13333333333333333</c:v>
                </c:pt>
                <c:pt idx="31">
                  <c:v>0</c:v>
                </c:pt>
                <c:pt idx="32">
                  <c:v>0</c:v>
                </c:pt>
                <c:pt idx="33">
                  <c:v>0.125</c:v>
                </c:pt>
                <c:pt idx="34">
                  <c:v>0</c:v>
                </c:pt>
                <c:pt idx="35">
                  <c:v>0</c:v>
                </c:pt>
                <c:pt idx="36">
                  <c:v>0</c:v>
                </c:pt>
                <c:pt idx="37">
                  <c:v>0</c:v>
                </c:pt>
                <c:pt idx="38">
                  <c:v>0</c:v>
                </c:pt>
                <c:pt idx="39">
                  <c:v>0</c:v>
                </c:pt>
                <c:pt idx="40">
                  <c:v>0</c:v>
                </c:pt>
                <c:pt idx="41">
                  <c:v>0</c:v>
                </c:pt>
                <c:pt idx="42">
                  <c:v>0</c:v>
                </c:pt>
                <c:pt idx="43">
                  <c:v>0</c:v>
                </c:pt>
                <c:pt idx="44">
                  <c:v>0</c:v>
                </c:pt>
                <c:pt idx="45">
                  <c:v>0.05</c:v>
                </c:pt>
                <c:pt idx="46">
                  <c:v>0</c:v>
                </c:pt>
                <c:pt idx="47">
                  <c:v>0</c:v>
                </c:pt>
                <c:pt idx="48">
                  <c:v>0</c:v>
                </c:pt>
              </c:numCache>
            </c:numRef>
          </c:val>
          <c:extLst>
            <c:ext xmlns:c16="http://schemas.microsoft.com/office/drawing/2014/chart" uri="{C3380CC4-5D6E-409C-BE32-E72D297353CC}">
              <c16:uniqueId val="{00000002-47BA-4B41-95B7-CE6ACE64FB4C}"/>
            </c:ext>
          </c:extLst>
        </c:ser>
        <c:ser>
          <c:idx val="3"/>
          <c:order val="3"/>
          <c:tx>
            <c:strRef>
              <c:f>'Pregunta 10'!$E$1</c:f>
              <c:strCache>
                <c:ptCount val="1"/>
                <c:pt idx="0">
                  <c:v>Transcripción</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cat>
            <c:strRef>
              <c:f>'Pregunta 10'!$A$2:$A$50</c:f>
              <c:strCache>
                <c:ptCount val="49"/>
                <c:pt idx="0">
                  <c:v>A Coruña</c:v>
                </c:pt>
                <c:pt idx="1">
                  <c:v>Albacete</c:v>
                </c:pt>
                <c:pt idx="2">
                  <c:v>Alicante</c:v>
                </c:pt>
                <c:pt idx="3">
                  <c:v>Almería</c:v>
                </c:pt>
                <c:pt idx="4">
                  <c:v>Álava</c:v>
                </c:pt>
                <c:pt idx="5">
                  <c:v>Asturias.</c:v>
                </c:pt>
                <c:pt idx="6">
                  <c:v>Ávila</c:v>
                </c:pt>
                <c:pt idx="7">
                  <c:v>Badajoz</c:v>
                </c:pt>
                <c:pt idx="8">
                  <c:v>Barcelona</c:v>
                </c:pt>
                <c:pt idx="9">
                  <c:v>Bizcaia</c:v>
                </c:pt>
                <c:pt idx="10">
                  <c:v>Burgos</c:v>
                </c:pt>
                <c:pt idx="11">
                  <c:v>Cáceres</c:v>
                </c:pt>
                <c:pt idx="12">
                  <c:v>Cádiz</c:v>
                </c:pt>
                <c:pt idx="13">
                  <c:v>Cantabria</c:v>
                </c:pt>
                <c:pt idx="14">
                  <c:v>Castellón</c:v>
                </c:pt>
                <c:pt idx="15">
                  <c:v>Ciudad Real</c:v>
                </c:pt>
                <c:pt idx="16">
                  <c:v>Córdoba</c:v>
                </c:pt>
                <c:pt idx="17">
                  <c:v>Cuenca</c:v>
                </c:pt>
                <c:pt idx="18">
                  <c:v>Guipuzkoa</c:v>
                </c:pt>
                <c:pt idx="19">
                  <c:v>Girona</c:v>
                </c:pt>
                <c:pt idx="20">
                  <c:v>Granada</c:v>
                </c:pt>
                <c:pt idx="21">
                  <c:v>Guadalajara</c:v>
                </c:pt>
                <c:pt idx="22">
                  <c:v>Huelva</c:v>
                </c:pt>
                <c:pt idx="23">
                  <c:v>Huesca</c:v>
                </c:pt>
                <c:pt idx="24">
                  <c:v>Islas baleares</c:v>
                </c:pt>
                <c:pt idx="25">
                  <c:v>Jaén</c:v>
                </c:pt>
                <c:pt idx="26">
                  <c:v>Las Palmas</c:v>
                </c:pt>
                <c:pt idx="27">
                  <c:v>León</c:v>
                </c:pt>
                <c:pt idx="28">
                  <c:v>Lérida</c:v>
                </c:pt>
                <c:pt idx="29">
                  <c:v>Lugo</c:v>
                </c:pt>
                <c:pt idx="30">
                  <c:v>Madrid</c:v>
                </c:pt>
                <c:pt idx="31">
                  <c:v>Málaga</c:v>
                </c:pt>
                <c:pt idx="32">
                  <c:v>Murcia</c:v>
                </c:pt>
                <c:pt idx="33">
                  <c:v>Navarra</c:v>
                </c:pt>
                <c:pt idx="34">
                  <c:v>Ourense</c:v>
                </c:pt>
                <c:pt idx="35">
                  <c:v>Palencia</c:v>
                </c:pt>
                <c:pt idx="36">
                  <c:v>Pontevedra</c:v>
                </c:pt>
                <c:pt idx="37">
                  <c:v>Santa Cruz de Tenerife</c:v>
                </c:pt>
                <c:pt idx="38">
                  <c:v>Salamanca</c:v>
                </c:pt>
                <c:pt idx="39">
                  <c:v>Segovia</c:v>
                </c:pt>
                <c:pt idx="40">
                  <c:v>Sevilla</c:v>
                </c:pt>
                <c:pt idx="41">
                  <c:v>Soria</c:v>
                </c:pt>
                <c:pt idx="42">
                  <c:v>Tarragona</c:v>
                </c:pt>
                <c:pt idx="43">
                  <c:v>Teruel</c:v>
                </c:pt>
                <c:pt idx="44">
                  <c:v>Toledo</c:v>
                </c:pt>
                <c:pt idx="45">
                  <c:v>Valencia</c:v>
                </c:pt>
                <c:pt idx="46">
                  <c:v>Valladolid</c:v>
                </c:pt>
                <c:pt idx="47">
                  <c:v>Zamora</c:v>
                </c:pt>
                <c:pt idx="48">
                  <c:v>Zaragoza</c:v>
                </c:pt>
              </c:strCache>
            </c:strRef>
          </c:cat>
          <c:val>
            <c:numRef>
              <c:f>'Pregunta 10'!$E$2:$E$50</c:f>
              <c:numCache>
                <c:formatCode>0%</c:formatCode>
                <c:ptCount val="49"/>
                <c:pt idx="0">
                  <c:v>0.25</c:v>
                </c:pt>
                <c:pt idx="1">
                  <c:v>0</c:v>
                </c:pt>
                <c:pt idx="2">
                  <c:v>0.23076923076923078</c:v>
                </c:pt>
                <c:pt idx="3">
                  <c:v>0</c:v>
                </c:pt>
                <c:pt idx="4">
                  <c:v>0</c:v>
                </c:pt>
                <c:pt idx="5">
                  <c:v>0.2</c:v>
                </c:pt>
                <c:pt idx="6">
                  <c:v>0.75</c:v>
                </c:pt>
                <c:pt idx="7">
                  <c:v>0.25</c:v>
                </c:pt>
                <c:pt idx="8">
                  <c:v>0.25</c:v>
                </c:pt>
                <c:pt idx="9">
                  <c:v>0.66666666666666663</c:v>
                </c:pt>
                <c:pt idx="10">
                  <c:v>0.25</c:v>
                </c:pt>
                <c:pt idx="11">
                  <c:v>0</c:v>
                </c:pt>
                <c:pt idx="12">
                  <c:v>0</c:v>
                </c:pt>
                <c:pt idx="13">
                  <c:v>0</c:v>
                </c:pt>
                <c:pt idx="14">
                  <c:v>9.5238095238095233E-2</c:v>
                </c:pt>
                <c:pt idx="15">
                  <c:v>0.25</c:v>
                </c:pt>
                <c:pt idx="16">
                  <c:v>0.125</c:v>
                </c:pt>
                <c:pt idx="17">
                  <c:v>0</c:v>
                </c:pt>
                <c:pt idx="18">
                  <c:v>0</c:v>
                </c:pt>
                <c:pt idx="19">
                  <c:v>0.25</c:v>
                </c:pt>
                <c:pt idx="20">
                  <c:v>0</c:v>
                </c:pt>
                <c:pt idx="21">
                  <c:v>0.6</c:v>
                </c:pt>
                <c:pt idx="22">
                  <c:v>0.25</c:v>
                </c:pt>
                <c:pt idx="23">
                  <c:v>0.25</c:v>
                </c:pt>
                <c:pt idx="24">
                  <c:v>0</c:v>
                </c:pt>
                <c:pt idx="25">
                  <c:v>0</c:v>
                </c:pt>
                <c:pt idx="26">
                  <c:v>0.2</c:v>
                </c:pt>
                <c:pt idx="27">
                  <c:v>0.25</c:v>
                </c:pt>
                <c:pt idx="28">
                  <c:v>0</c:v>
                </c:pt>
                <c:pt idx="29">
                  <c:v>0</c:v>
                </c:pt>
                <c:pt idx="30">
                  <c:v>0.2</c:v>
                </c:pt>
                <c:pt idx="31">
                  <c:v>0.66666666666666663</c:v>
                </c:pt>
                <c:pt idx="32">
                  <c:v>0</c:v>
                </c:pt>
                <c:pt idx="33">
                  <c:v>0.25</c:v>
                </c:pt>
                <c:pt idx="34">
                  <c:v>0</c:v>
                </c:pt>
                <c:pt idx="35">
                  <c:v>0</c:v>
                </c:pt>
                <c:pt idx="36">
                  <c:v>0</c:v>
                </c:pt>
                <c:pt idx="37">
                  <c:v>0.2</c:v>
                </c:pt>
                <c:pt idx="38">
                  <c:v>0</c:v>
                </c:pt>
                <c:pt idx="39">
                  <c:v>0</c:v>
                </c:pt>
                <c:pt idx="40">
                  <c:v>0.25</c:v>
                </c:pt>
                <c:pt idx="41">
                  <c:v>0.33333333333333331</c:v>
                </c:pt>
                <c:pt idx="42">
                  <c:v>0.4</c:v>
                </c:pt>
                <c:pt idx="43">
                  <c:v>0</c:v>
                </c:pt>
                <c:pt idx="44">
                  <c:v>0.4</c:v>
                </c:pt>
                <c:pt idx="45">
                  <c:v>0.25</c:v>
                </c:pt>
                <c:pt idx="46">
                  <c:v>0</c:v>
                </c:pt>
                <c:pt idx="47">
                  <c:v>0</c:v>
                </c:pt>
                <c:pt idx="48">
                  <c:v>0</c:v>
                </c:pt>
              </c:numCache>
            </c:numRef>
          </c:val>
          <c:extLst>
            <c:ext xmlns:c16="http://schemas.microsoft.com/office/drawing/2014/chart" uri="{C3380CC4-5D6E-409C-BE32-E72D297353CC}">
              <c16:uniqueId val="{00000003-47BA-4B41-95B7-CE6ACE64FB4C}"/>
            </c:ext>
          </c:extLst>
        </c:ser>
        <c:ser>
          <c:idx val="4"/>
          <c:order val="4"/>
          <c:tx>
            <c:strRef>
              <c:f>'Pregunta 10'!$F$1</c:f>
              <c:strCache>
                <c:ptCount val="1"/>
                <c:pt idx="0">
                  <c:v>Ninguno</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invertIfNegative val="0"/>
          <c:cat>
            <c:strRef>
              <c:f>'Pregunta 10'!$A$2:$A$50</c:f>
              <c:strCache>
                <c:ptCount val="49"/>
                <c:pt idx="0">
                  <c:v>A Coruña</c:v>
                </c:pt>
                <c:pt idx="1">
                  <c:v>Albacete</c:v>
                </c:pt>
                <c:pt idx="2">
                  <c:v>Alicante</c:v>
                </c:pt>
                <c:pt idx="3">
                  <c:v>Almería</c:v>
                </c:pt>
                <c:pt idx="4">
                  <c:v>Álava</c:v>
                </c:pt>
                <c:pt idx="5">
                  <c:v>Asturias.</c:v>
                </c:pt>
                <c:pt idx="6">
                  <c:v>Ávila</c:v>
                </c:pt>
                <c:pt idx="7">
                  <c:v>Badajoz</c:v>
                </c:pt>
                <c:pt idx="8">
                  <c:v>Barcelona</c:v>
                </c:pt>
                <c:pt idx="9">
                  <c:v>Bizcaia</c:v>
                </c:pt>
                <c:pt idx="10">
                  <c:v>Burgos</c:v>
                </c:pt>
                <c:pt idx="11">
                  <c:v>Cáceres</c:v>
                </c:pt>
                <c:pt idx="12">
                  <c:v>Cádiz</c:v>
                </c:pt>
                <c:pt idx="13">
                  <c:v>Cantabria</c:v>
                </c:pt>
                <c:pt idx="14">
                  <c:v>Castellón</c:v>
                </c:pt>
                <c:pt idx="15">
                  <c:v>Ciudad Real</c:v>
                </c:pt>
                <c:pt idx="16">
                  <c:v>Córdoba</c:v>
                </c:pt>
                <c:pt idx="17">
                  <c:v>Cuenca</c:v>
                </c:pt>
                <c:pt idx="18">
                  <c:v>Guipuzkoa</c:v>
                </c:pt>
                <c:pt idx="19">
                  <c:v>Girona</c:v>
                </c:pt>
                <c:pt idx="20">
                  <c:v>Granada</c:v>
                </c:pt>
                <c:pt idx="21">
                  <c:v>Guadalajara</c:v>
                </c:pt>
                <c:pt idx="22">
                  <c:v>Huelva</c:v>
                </c:pt>
                <c:pt idx="23">
                  <c:v>Huesca</c:v>
                </c:pt>
                <c:pt idx="24">
                  <c:v>Islas baleares</c:v>
                </c:pt>
                <c:pt idx="25">
                  <c:v>Jaén</c:v>
                </c:pt>
                <c:pt idx="26">
                  <c:v>Las Palmas</c:v>
                </c:pt>
                <c:pt idx="27">
                  <c:v>León</c:v>
                </c:pt>
                <c:pt idx="28">
                  <c:v>Lérida</c:v>
                </c:pt>
                <c:pt idx="29">
                  <c:v>Lugo</c:v>
                </c:pt>
                <c:pt idx="30">
                  <c:v>Madrid</c:v>
                </c:pt>
                <c:pt idx="31">
                  <c:v>Málaga</c:v>
                </c:pt>
                <c:pt idx="32">
                  <c:v>Murcia</c:v>
                </c:pt>
                <c:pt idx="33">
                  <c:v>Navarra</c:v>
                </c:pt>
                <c:pt idx="34">
                  <c:v>Ourense</c:v>
                </c:pt>
                <c:pt idx="35">
                  <c:v>Palencia</c:v>
                </c:pt>
                <c:pt idx="36">
                  <c:v>Pontevedra</c:v>
                </c:pt>
                <c:pt idx="37">
                  <c:v>Santa Cruz de Tenerife</c:v>
                </c:pt>
                <c:pt idx="38">
                  <c:v>Salamanca</c:v>
                </c:pt>
                <c:pt idx="39">
                  <c:v>Segovia</c:v>
                </c:pt>
                <c:pt idx="40">
                  <c:v>Sevilla</c:v>
                </c:pt>
                <c:pt idx="41">
                  <c:v>Soria</c:v>
                </c:pt>
                <c:pt idx="42">
                  <c:v>Tarragona</c:v>
                </c:pt>
                <c:pt idx="43">
                  <c:v>Teruel</c:v>
                </c:pt>
                <c:pt idx="44">
                  <c:v>Toledo</c:v>
                </c:pt>
                <c:pt idx="45">
                  <c:v>Valencia</c:v>
                </c:pt>
                <c:pt idx="46">
                  <c:v>Valladolid</c:v>
                </c:pt>
                <c:pt idx="47">
                  <c:v>Zamora</c:v>
                </c:pt>
                <c:pt idx="48">
                  <c:v>Zaragoza</c:v>
                </c:pt>
              </c:strCache>
            </c:strRef>
          </c:cat>
          <c:val>
            <c:numRef>
              <c:f>'Pregunta 10'!$F$2:$F$50</c:f>
              <c:numCache>
                <c:formatCode>0%</c:formatCode>
                <c:ptCount val="49"/>
                <c:pt idx="0">
                  <c:v>0.5</c:v>
                </c:pt>
                <c:pt idx="1">
                  <c:v>1</c:v>
                </c:pt>
                <c:pt idx="2">
                  <c:v>0.38461538461538464</c:v>
                </c:pt>
                <c:pt idx="3">
                  <c:v>1</c:v>
                </c:pt>
                <c:pt idx="4">
                  <c:v>0</c:v>
                </c:pt>
                <c:pt idx="5">
                  <c:v>0.4</c:v>
                </c:pt>
                <c:pt idx="6">
                  <c:v>0.25</c:v>
                </c:pt>
                <c:pt idx="7">
                  <c:v>0.75</c:v>
                </c:pt>
                <c:pt idx="8">
                  <c:v>0.3</c:v>
                </c:pt>
                <c:pt idx="9">
                  <c:v>0.33333333333333331</c:v>
                </c:pt>
                <c:pt idx="10">
                  <c:v>0</c:v>
                </c:pt>
                <c:pt idx="11">
                  <c:v>0.5</c:v>
                </c:pt>
                <c:pt idx="12">
                  <c:v>1</c:v>
                </c:pt>
                <c:pt idx="13">
                  <c:v>0.75</c:v>
                </c:pt>
                <c:pt idx="14">
                  <c:v>0.23809523809523808</c:v>
                </c:pt>
                <c:pt idx="15">
                  <c:v>0.5</c:v>
                </c:pt>
                <c:pt idx="16">
                  <c:v>0.625</c:v>
                </c:pt>
                <c:pt idx="17">
                  <c:v>1</c:v>
                </c:pt>
                <c:pt idx="18">
                  <c:v>1</c:v>
                </c:pt>
                <c:pt idx="19">
                  <c:v>0.5</c:v>
                </c:pt>
                <c:pt idx="20">
                  <c:v>0.2857142857142857</c:v>
                </c:pt>
                <c:pt idx="21">
                  <c:v>0.4</c:v>
                </c:pt>
                <c:pt idx="22">
                  <c:v>0</c:v>
                </c:pt>
                <c:pt idx="23">
                  <c:v>0.5</c:v>
                </c:pt>
                <c:pt idx="24">
                  <c:v>0.4</c:v>
                </c:pt>
                <c:pt idx="25">
                  <c:v>0.66666666666666663</c:v>
                </c:pt>
                <c:pt idx="26">
                  <c:v>0.2</c:v>
                </c:pt>
                <c:pt idx="27">
                  <c:v>0.5</c:v>
                </c:pt>
                <c:pt idx="28">
                  <c:v>0.75</c:v>
                </c:pt>
                <c:pt idx="29">
                  <c:v>1</c:v>
                </c:pt>
                <c:pt idx="30">
                  <c:v>0.33333333333333331</c:v>
                </c:pt>
                <c:pt idx="31">
                  <c:v>0</c:v>
                </c:pt>
                <c:pt idx="32">
                  <c:v>1</c:v>
                </c:pt>
                <c:pt idx="33">
                  <c:v>0.25</c:v>
                </c:pt>
                <c:pt idx="34">
                  <c:v>0</c:v>
                </c:pt>
                <c:pt idx="35">
                  <c:v>0</c:v>
                </c:pt>
                <c:pt idx="36">
                  <c:v>0</c:v>
                </c:pt>
                <c:pt idx="37">
                  <c:v>0.2</c:v>
                </c:pt>
                <c:pt idx="38">
                  <c:v>0.33333333333333331</c:v>
                </c:pt>
                <c:pt idx="39">
                  <c:v>0.66666666666666663</c:v>
                </c:pt>
                <c:pt idx="40">
                  <c:v>0</c:v>
                </c:pt>
                <c:pt idx="41">
                  <c:v>0.66666666666666663</c:v>
                </c:pt>
                <c:pt idx="42">
                  <c:v>0.4</c:v>
                </c:pt>
                <c:pt idx="43">
                  <c:v>0.8</c:v>
                </c:pt>
                <c:pt idx="44">
                  <c:v>0.6</c:v>
                </c:pt>
                <c:pt idx="45">
                  <c:v>0.45</c:v>
                </c:pt>
                <c:pt idx="46">
                  <c:v>0.75</c:v>
                </c:pt>
                <c:pt idx="47">
                  <c:v>0.66666666666666663</c:v>
                </c:pt>
                <c:pt idx="48">
                  <c:v>1</c:v>
                </c:pt>
              </c:numCache>
            </c:numRef>
          </c:val>
          <c:extLst>
            <c:ext xmlns:c16="http://schemas.microsoft.com/office/drawing/2014/chart" uri="{C3380CC4-5D6E-409C-BE32-E72D297353CC}">
              <c16:uniqueId val="{00000004-47BA-4B41-95B7-CE6ACE64FB4C}"/>
            </c:ext>
          </c:extLst>
        </c:ser>
        <c:dLbls>
          <c:showLegendKey val="0"/>
          <c:showVal val="0"/>
          <c:showCatName val="0"/>
          <c:showSerName val="0"/>
          <c:showPercent val="0"/>
          <c:showBubbleSize val="0"/>
        </c:dLbls>
        <c:gapWidth val="100"/>
        <c:overlap val="-24"/>
        <c:axId val="553706856"/>
        <c:axId val="679562624"/>
      </c:barChart>
      <c:catAx>
        <c:axId val="553706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679562624"/>
        <c:crosses val="autoZero"/>
        <c:auto val="1"/>
        <c:lblAlgn val="ctr"/>
        <c:lblOffset val="100"/>
        <c:noMultiLvlLbl val="0"/>
      </c:catAx>
      <c:valAx>
        <c:axId val="67956262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5537068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s-ES"/>
              <a:t>Porcentaje total de Sistemas de accesibilidadrelacionados al orden día de los Plenos que tienen los ayuntamientos </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ES"/>
        </a:p>
      </c:txPr>
    </c:title>
    <c:autoTitleDeleted val="0"/>
    <c:plotArea>
      <c:layout/>
      <c:barChart>
        <c:barDir val="col"/>
        <c:grouping val="clustered"/>
        <c:varyColors val="0"/>
        <c:ser>
          <c:idx val="0"/>
          <c:order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'Pregunta 10'!$B$1:$F$1</c:f>
              <c:strCache>
                <c:ptCount val="5"/>
                <c:pt idx="0">
                  <c:v>Lectura fácil</c:v>
                </c:pt>
                <c:pt idx="1">
                  <c:v>Lenguaje de signos</c:v>
                </c:pt>
                <c:pt idx="2">
                  <c:v>Audiodescripción</c:v>
                </c:pt>
                <c:pt idx="3">
                  <c:v>Transcripción</c:v>
                </c:pt>
                <c:pt idx="4">
                  <c:v>Ninguno</c:v>
                </c:pt>
              </c:strCache>
            </c:strRef>
          </c:cat>
          <c:val>
            <c:numRef>
              <c:f>'Pregunta 10'!$B$51:$F$51</c:f>
              <c:numCache>
                <c:formatCode>0%</c:formatCode>
                <c:ptCount val="5"/>
                <c:pt idx="0">
                  <c:v>0.32592592592592595</c:v>
                </c:pt>
                <c:pt idx="1">
                  <c:v>7.4074074074074077E-3</c:v>
                </c:pt>
                <c:pt idx="2">
                  <c:v>3.3333333333333333E-2</c:v>
                </c:pt>
                <c:pt idx="3">
                  <c:v>0.1962962962962963</c:v>
                </c:pt>
                <c:pt idx="4">
                  <c:v>0.47407407407407409</c:v>
                </c:pt>
              </c:numCache>
            </c:numRef>
          </c:val>
          <c:extLst>
            <c:ext xmlns:c16="http://schemas.microsoft.com/office/drawing/2014/chart" uri="{C3380CC4-5D6E-409C-BE32-E72D297353CC}">
              <c16:uniqueId val="{00000000-3ACB-4908-85F8-548FD308021A}"/>
            </c:ext>
          </c:extLst>
        </c:ser>
        <c:dLbls>
          <c:showLegendKey val="0"/>
          <c:showVal val="0"/>
          <c:showCatName val="0"/>
          <c:showSerName val="0"/>
          <c:showPercent val="0"/>
          <c:showBubbleSize val="0"/>
        </c:dLbls>
        <c:gapWidth val="100"/>
        <c:overlap val="-24"/>
        <c:axId val="523593872"/>
        <c:axId val="523588624"/>
      </c:barChart>
      <c:catAx>
        <c:axId val="523593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523588624"/>
        <c:crosses val="autoZero"/>
        <c:auto val="1"/>
        <c:lblAlgn val="ctr"/>
        <c:lblOffset val="100"/>
        <c:noMultiLvlLbl val="0"/>
      </c:catAx>
      <c:valAx>
        <c:axId val="5235886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523593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9</xdr:col>
      <xdr:colOff>466725</xdr:colOff>
      <xdr:row>0</xdr:row>
      <xdr:rowOff>128587</xdr:rowOff>
    </xdr:from>
    <xdr:to>
      <xdr:col>15</xdr:col>
      <xdr:colOff>466725</xdr:colOff>
      <xdr:row>15</xdr:row>
      <xdr:rowOff>14287</xdr:rowOff>
    </xdr:to>
    <xdr:graphicFrame macro="">
      <xdr:nvGraphicFramePr>
        <xdr:cNvPr id="2" name="Gráfico 1">
          <a:extLst>
            <a:ext uri="{FF2B5EF4-FFF2-40B4-BE49-F238E27FC236}">
              <a16:creationId xmlns:a16="http://schemas.microsoft.com/office/drawing/2014/main" id="{633CA2BE-B556-4A57-97CD-D4E4E70A57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252412</xdr:colOff>
      <xdr:row>0</xdr:row>
      <xdr:rowOff>166687</xdr:rowOff>
    </xdr:from>
    <xdr:to>
      <xdr:col>16</xdr:col>
      <xdr:colOff>252412</xdr:colOff>
      <xdr:row>15</xdr:row>
      <xdr:rowOff>52387</xdr:rowOff>
    </xdr:to>
    <xdr:graphicFrame macro="">
      <xdr:nvGraphicFramePr>
        <xdr:cNvPr id="3" name="Gráfico 2">
          <a:extLst>
            <a:ext uri="{FF2B5EF4-FFF2-40B4-BE49-F238E27FC236}">
              <a16:creationId xmlns:a16="http://schemas.microsoft.com/office/drawing/2014/main" id="{64131839-22CE-42E4-A18E-A05C0A7655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23809</xdr:colOff>
      <xdr:row>1</xdr:row>
      <xdr:rowOff>4762</xdr:rowOff>
    </xdr:from>
    <xdr:to>
      <xdr:col>15</xdr:col>
      <xdr:colOff>180974</xdr:colOff>
      <xdr:row>15</xdr:row>
      <xdr:rowOff>80962</xdr:rowOff>
    </xdr:to>
    <xdr:graphicFrame macro="">
      <xdr:nvGraphicFramePr>
        <xdr:cNvPr id="3" name="Gráfico 2">
          <a:extLst>
            <a:ext uri="{FF2B5EF4-FFF2-40B4-BE49-F238E27FC236}">
              <a16:creationId xmlns:a16="http://schemas.microsoft.com/office/drawing/2014/main" id="{B099074C-93EE-4971-945F-63D2812687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xdr:colOff>
      <xdr:row>16</xdr:row>
      <xdr:rowOff>14287</xdr:rowOff>
    </xdr:from>
    <xdr:to>
      <xdr:col>15</xdr:col>
      <xdr:colOff>171450</xdr:colOff>
      <xdr:row>30</xdr:row>
      <xdr:rowOff>90487</xdr:rowOff>
    </xdr:to>
    <xdr:graphicFrame macro="">
      <xdr:nvGraphicFramePr>
        <xdr:cNvPr id="4" name="Gráfico 3">
          <a:extLst>
            <a:ext uri="{FF2B5EF4-FFF2-40B4-BE49-F238E27FC236}">
              <a16:creationId xmlns:a16="http://schemas.microsoft.com/office/drawing/2014/main" id="{DA6C029B-EE4F-4698-9FC8-8F40AD0680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19049</xdr:colOff>
      <xdr:row>30</xdr:row>
      <xdr:rowOff>138112</xdr:rowOff>
    </xdr:from>
    <xdr:to>
      <xdr:col>15</xdr:col>
      <xdr:colOff>161924</xdr:colOff>
      <xdr:row>45</xdr:row>
      <xdr:rowOff>23812</xdr:rowOff>
    </xdr:to>
    <xdr:graphicFrame macro="">
      <xdr:nvGraphicFramePr>
        <xdr:cNvPr id="5" name="Gráfico 4">
          <a:extLst>
            <a:ext uri="{FF2B5EF4-FFF2-40B4-BE49-F238E27FC236}">
              <a16:creationId xmlns:a16="http://schemas.microsoft.com/office/drawing/2014/main" id="{F2DAD164-1486-4C68-A47F-97004A3F8E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23812</xdr:colOff>
      <xdr:row>45</xdr:row>
      <xdr:rowOff>61912</xdr:rowOff>
    </xdr:from>
    <xdr:to>
      <xdr:col>11</xdr:col>
      <xdr:colOff>23812</xdr:colOff>
      <xdr:row>59</xdr:row>
      <xdr:rowOff>138112</xdr:rowOff>
    </xdr:to>
    <xdr:graphicFrame macro="">
      <xdr:nvGraphicFramePr>
        <xdr:cNvPr id="6" name="Gráfico 5">
          <a:extLst>
            <a:ext uri="{FF2B5EF4-FFF2-40B4-BE49-F238E27FC236}">
              <a16:creationId xmlns:a16="http://schemas.microsoft.com/office/drawing/2014/main" id="{3700CFB2-D517-4F18-B7EA-1E9983885A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181839</xdr:colOff>
      <xdr:row>52</xdr:row>
      <xdr:rowOff>26226</xdr:rowOff>
    </xdr:from>
    <xdr:to>
      <xdr:col>13</xdr:col>
      <xdr:colOff>152151</xdr:colOff>
      <xdr:row>78</xdr:row>
      <xdr:rowOff>24741</xdr:rowOff>
    </xdr:to>
    <xdr:graphicFrame macro="">
      <xdr:nvGraphicFramePr>
        <xdr:cNvPr id="4" name="Gráfico 3">
          <a:extLst>
            <a:ext uri="{FF2B5EF4-FFF2-40B4-BE49-F238E27FC236}">
              <a16:creationId xmlns:a16="http://schemas.microsoft.com/office/drawing/2014/main" id="{CDD0CD38-E673-4FCC-9A2D-0D37C1E048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157099</xdr:colOff>
      <xdr:row>30</xdr:row>
      <xdr:rowOff>123702</xdr:rowOff>
    </xdr:from>
    <xdr:to>
      <xdr:col>16</xdr:col>
      <xdr:colOff>754579</xdr:colOff>
      <xdr:row>51</xdr:row>
      <xdr:rowOff>12370</xdr:rowOff>
    </xdr:to>
    <xdr:graphicFrame macro="">
      <xdr:nvGraphicFramePr>
        <xdr:cNvPr id="5" name="Gráfico 4">
          <a:extLst>
            <a:ext uri="{FF2B5EF4-FFF2-40B4-BE49-F238E27FC236}">
              <a16:creationId xmlns:a16="http://schemas.microsoft.com/office/drawing/2014/main" id="{679104B4-6E49-42EA-8D28-B5B3B34D2F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169469</xdr:colOff>
      <xdr:row>13</xdr:row>
      <xdr:rowOff>63335</xdr:rowOff>
    </xdr:from>
    <xdr:to>
      <xdr:col>14</xdr:col>
      <xdr:colOff>139781</xdr:colOff>
      <xdr:row>28</xdr:row>
      <xdr:rowOff>23255</xdr:rowOff>
    </xdr:to>
    <xdr:graphicFrame macro="">
      <xdr:nvGraphicFramePr>
        <xdr:cNvPr id="6" name="Gráfico 5">
          <a:extLst>
            <a:ext uri="{FF2B5EF4-FFF2-40B4-BE49-F238E27FC236}">
              <a16:creationId xmlns:a16="http://schemas.microsoft.com/office/drawing/2014/main" id="{2E3BF3B8-6F88-4756-8AA2-660CA38BA9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209548</xdr:colOff>
      <xdr:row>1</xdr:row>
      <xdr:rowOff>14287</xdr:rowOff>
    </xdr:from>
    <xdr:to>
      <xdr:col>15</xdr:col>
      <xdr:colOff>571499</xdr:colOff>
      <xdr:row>15</xdr:row>
      <xdr:rowOff>90487</xdr:rowOff>
    </xdr:to>
    <xdr:graphicFrame macro="">
      <xdr:nvGraphicFramePr>
        <xdr:cNvPr id="2" name="Gráfico 1">
          <a:extLst>
            <a:ext uri="{FF2B5EF4-FFF2-40B4-BE49-F238E27FC236}">
              <a16:creationId xmlns:a16="http://schemas.microsoft.com/office/drawing/2014/main" id="{91FC11AB-E5CA-4BF6-8A3B-DB3F9D94D2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200025</xdr:colOff>
      <xdr:row>15</xdr:row>
      <xdr:rowOff>185737</xdr:rowOff>
    </xdr:from>
    <xdr:to>
      <xdr:col>11</xdr:col>
      <xdr:colOff>200025</xdr:colOff>
      <xdr:row>30</xdr:row>
      <xdr:rowOff>71437</xdr:rowOff>
    </xdr:to>
    <xdr:graphicFrame macro="">
      <xdr:nvGraphicFramePr>
        <xdr:cNvPr id="3" name="Gráfico 2">
          <a:extLst>
            <a:ext uri="{FF2B5EF4-FFF2-40B4-BE49-F238E27FC236}">
              <a16:creationId xmlns:a16="http://schemas.microsoft.com/office/drawing/2014/main" id="{34F375F5-5D25-4050-A1D4-893F031DAC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200025</xdr:colOff>
      <xdr:row>52</xdr:row>
      <xdr:rowOff>42862</xdr:rowOff>
    </xdr:from>
    <xdr:to>
      <xdr:col>11</xdr:col>
      <xdr:colOff>200025</xdr:colOff>
      <xdr:row>66</xdr:row>
      <xdr:rowOff>119062</xdr:rowOff>
    </xdr:to>
    <xdr:graphicFrame macro="">
      <xdr:nvGraphicFramePr>
        <xdr:cNvPr id="4" name="Gráfico 3">
          <a:extLst>
            <a:ext uri="{FF2B5EF4-FFF2-40B4-BE49-F238E27FC236}">
              <a16:creationId xmlns:a16="http://schemas.microsoft.com/office/drawing/2014/main" id="{7A7D34CE-ABD5-49BC-9FE1-216D90E05E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271462</xdr:colOff>
      <xdr:row>52</xdr:row>
      <xdr:rowOff>23812</xdr:rowOff>
    </xdr:from>
    <xdr:to>
      <xdr:col>9</xdr:col>
      <xdr:colOff>271462</xdr:colOff>
      <xdr:row>66</xdr:row>
      <xdr:rowOff>100012</xdr:rowOff>
    </xdr:to>
    <xdr:graphicFrame macro="">
      <xdr:nvGraphicFramePr>
        <xdr:cNvPr id="2" name="Gráfico 1">
          <a:extLst>
            <a:ext uri="{FF2B5EF4-FFF2-40B4-BE49-F238E27FC236}">
              <a16:creationId xmlns:a16="http://schemas.microsoft.com/office/drawing/2014/main" id="{E59A5772-F45C-4F33-8DAF-20635F4EED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147635</xdr:colOff>
      <xdr:row>1</xdr:row>
      <xdr:rowOff>14287</xdr:rowOff>
    </xdr:from>
    <xdr:to>
      <xdr:col>15</xdr:col>
      <xdr:colOff>657224</xdr:colOff>
      <xdr:row>15</xdr:row>
      <xdr:rowOff>90487</xdr:rowOff>
    </xdr:to>
    <xdr:graphicFrame macro="">
      <xdr:nvGraphicFramePr>
        <xdr:cNvPr id="3" name="Gráfico 2">
          <a:extLst>
            <a:ext uri="{FF2B5EF4-FFF2-40B4-BE49-F238E27FC236}">
              <a16:creationId xmlns:a16="http://schemas.microsoft.com/office/drawing/2014/main" id="{1FCC4D51-DBB9-4FC1-A565-AAA99F9EF0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147637</xdr:colOff>
      <xdr:row>16</xdr:row>
      <xdr:rowOff>33337</xdr:rowOff>
    </xdr:from>
    <xdr:to>
      <xdr:col>9</xdr:col>
      <xdr:colOff>147637</xdr:colOff>
      <xdr:row>30</xdr:row>
      <xdr:rowOff>109537</xdr:rowOff>
    </xdr:to>
    <xdr:graphicFrame macro="">
      <xdr:nvGraphicFramePr>
        <xdr:cNvPr id="4" name="Gráfico 3">
          <a:extLst>
            <a:ext uri="{FF2B5EF4-FFF2-40B4-BE49-F238E27FC236}">
              <a16:creationId xmlns:a16="http://schemas.microsoft.com/office/drawing/2014/main" id="{385D09EB-C7BB-4076-90EB-66CC0103A3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Violeta rojo">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E277"/>
  <sheetViews>
    <sheetView tabSelected="1" zoomScale="77" zoomScaleNormal="77" workbookViewId="0">
      <pane xSplit="6" ySplit="1" topLeftCell="BD153" activePane="bottomRight" state="frozen"/>
      <selection pane="topRight" activeCell="G1" sqref="G1"/>
      <selection pane="bottomLeft" activeCell="A2" sqref="A2"/>
      <selection pane="bottomRight" activeCell="BF154" sqref="BF154"/>
    </sheetView>
  </sheetViews>
  <sheetFormatPr baseColWidth="10" defaultColWidth="8.85546875" defaultRowHeight="15" x14ac:dyDescent="0.25"/>
  <cols>
    <col min="2" max="2" width="17.7109375" customWidth="1"/>
    <col min="3" max="3" width="19.7109375" customWidth="1"/>
    <col min="4" max="5" width="34.7109375" customWidth="1"/>
  </cols>
  <sheetData>
    <row r="1" spans="1:83" x14ac:dyDescent="0.25">
      <c r="A1" t="s">
        <v>0</v>
      </c>
      <c r="B1" t="s">
        <v>1</v>
      </c>
      <c r="C1" t="s">
        <v>2</v>
      </c>
      <c r="D1" t="s">
        <v>3</v>
      </c>
      <c r="E1" t="s">
        <v>1930</v>
      </c>
      <c r="F1" t="s">
        <v>4</v>
      </c>
      <c r="G1" t="s">
        <v>5</v>
      </c>
      <c r="H1" t="s">
        <v>6</v>
      </c>
      <c r="I1" t="s">
        <v>7</v>
      </c>
      <c r="J1" t="s">
        <v>8</v>
      </c>
      <c r="K1" t="s">
        <v>9</v>
      </c>
      <c r="L1" t="s">
        <v>10</v>
      </c>
      <c r="M1" t="s">
        <v>11</v>
      </c>
      <c r="N1" t="s">
        <v>12</v>
      </c>
      <c r="O1" t="s">
        <v>13</v>
      </c>
      <c r="P1" t="s">
        <v>14</v>
      </c>
      <c r="Q1" s="12" t="s">
        <v>15</v>
      </c>
      <c r="R1" s="11" t="s">
        <v>2022</v>
      </c>
      <c r="S1" t="s">
        <v>16</v>
      </c>
      <c r="T1" t="s">
        <v>17</v>
      </c>
      <c r="U1" t="s">
        <v>18</v>
      </c>
      <c r="V1" t="s">
        <v>19</v>
      </c>
      <c r="W1" t="s">
        <v>20</v>
      </c>
      <c r="X1" t="s">
        <v>21</v>
      </c>
      <c r="Y1" t="s">
        <v>22</v>
      </c>
      <c r="Z1" t="s">
        <v>23</v>
      </c>
      <c r="AA1" t="s">
        <v>24</v>
      </c>
      <c r="AB1" t="s">
        <v>25</v>
      </c>
      <c r="AC1" t="s">
        <v>26</v>
      </c>
      <c r="AD1" t="s">
        <v>27</v>
      </c>
      <c r="AE1" t="s">
        <v>28</v>
      </c>
      <c r="AF1" t="s">
        <v>29</v>
      </c>
      <c r="AG1" t="s">
        <v>30</v>
      </c>
      <c r="AH1" t="s">
        <v>31</v>
      </c>
      <c r="AI1" t="s">
        <v>32</v>
      </c>
      <c r="AJ1" t="s">
        <v>33</v>
      </c>
      <c r="AK1" t="s">
        <v>34</v>
      </c>
      <c r="AL1" t="s">
        <v>35</v>
      </c>
      <c r="AM1" t="s">
        <v>36</v>
      </c>
      <c r="AN1" t="s">
        <v>37</v>
      </c>
      <c r="AO1" t="s">
        <v>38</v>
      </c>
      <c r="AP1" t="s">
        <v>39</v>
      </c>
      <c r="AQ1" t="s">
        <v>40</v>
      </c>
      <c r="AR1" t="s">
        <v>41</v>
      </c>
      <c r="AS1" t="s">
        <v>42</v>
      </c>
      <c r="AT1" t="s">
        <v>43</v>
      </c>
      <c r="AU1" t="s">
        <v>44</v>
      </c>
      <c r="AV1" t="s">
        <v>45</v>
      </c>
      <c r="AW1" t="s">
        <v>46</v>
      </c>
      <c r="AX1" t="s">
        <v>47</v>
      </c>
      <c r="AY1" t="s">
        <v>48</v>
      </c>
      <c r="AZ1" t="s">
        <v>49</v>
      </c>
      <c r="BA1" t="s">
        <v>50</v>
      </c>
      <c r="BB1" t="s">
        <v>51</v>
      </c>
      <c r="BC1" t="s">
        <v>52</v>
      </c>
      <c r="BD1" t="s">
        <v>53</v>
      </c>
      <c r="BE1" s="12" t="s">
        <v>54</v>
      </c>
      <c r="BF1" s="11" t="s">
        <v>2023</v>
      </c>
      <c r="BG1" t="s">
        <v>55</v>
      </c>
      <c r="BH1" t="s">
        <v>56</v>
      </c>
      <c r="BI1" t="s">
        <v>57</v>
      </c>
      <c r="BJ1" t="s">
        <v>58</v>
      </c>
      <c r="BK1" t="s">
        <v>59</v>
      </c>
      <c r="BL1" t="s">
        <v>60</v>
      </c>
      <c r="BM1" t="s">
        <v>61</v>
      </c>
      <c r="BN1" t="s">
        <v>62</v>
      </c>
      <c r="BO1" t="s">
        <v>63</v>
      </c>
      <c r="BP1" t="s">
        <v>64</v>
      </c>
      <c r="BQ1" t="s">
        <v>65</v>
      </c>
      <c r="BR1" t="s">
        <v>66</v>
      </c>
      <c r="BS1" t="s">
        <v>67</v>
      </c>
      <c r="BT1" t="s">
        <v>68</v>
      </c>
      <c r="BU1" t="s">
        <v>69</v>
      </c>
      <c r="BV1" t="s">
        <v>70</v>
      </c>
      <c r="BW1" t="s">
        <v>71</v>
      </c>
      <c r="BX1" t="s">
        <v>72</v>
      </c>
      <c r="BY1" t="s">
        <v>73</v>
      </c>
      <c r="BZ1" t="s">
        <v>74</v>
      </c>
      <c r="CA1" t="s">
        <v>75</v>
      </c>
      <c r="CB1" t="s">
        <v>76</v>
      </c>
      <c r="CC1" t="s">
        <v>77</v>
      </c>
      <c r="CD1" t="s">
        <v>78</v>
      </c>
      <c r="CE1" t="s">
        <v>79</v>
      </c>
    </row>
    <row r="2" spans="1:83" x14ac:dyDescent="0.25">
      <c r="A2" t="s">
        <v>567</v>
      </c>
      <c r="B2" t="s">
        <v>568</v>
      </c>
      <c r="C2" t="s">
        <v>569</v>
      </c>
      <c r="D2" t="s">
        <v>222</v>
      </c>
      <c r="E2" t="s">
        <v>222</v>
      </c>
      <c r="F2" s="1">
        <v>38</v>
      </c>
      <c r="G2" s="1" t="s">
        <v>84</v>
      </c>
      <c r="I2" t="s">
        <v>85</v>
      </c>
      <c r="J2" t="s">
        <v>85</v>
      </c>
      <c r="K2" t="s">
        <v>85</v>
      </c>
      <c r="L2" t="s">
        <v>85</v>
      </c>
      <c r="M2" t="s">
        <v>85</v>
      </c>
      <c r="N2" t="s">
        <v>85</v>
      </c>
      <c r="O2" t="s">
        <v>85</v>
      </c>
      <c r="Q2" t="s">
        <v>84</v>
      </c>
      <c r="T2" t="s">
        <v>86</v>
      </c>
      <c r="U2" t="s">
        <v>87</v>
      </c>
      <c r="V2" t="s">
        <v>87</v>
      </c>
      <c r="W2" t="s">
        <v>87</v>
      </c>
      <c r="X2" t="s">
        <v>395</v>
      </c>
      <c r="Y2" t="s">
        <v>87</v>
      </c>
      <c r="Z2" t="s">
        <v>87</v>
      </c>
      <c r="AA2" t="s">
        <v>87</v>
      </c>
      <c r="AC2" t="s">
        <v>84</v>
      </c>
      <c r="AD2" t="s">
        <v>84</v>
      </c>
      <c r="AE2" t="s">
        <v>84</v>
      </c>
      <c r="AF2" t="s">
        <v>87</v>
      </c>
      <c r="AG2" t="s">
        <v>84</v>
      </c>
      <c r="AI2" t="s">
        <v>87</v>
      </c>
      <c r="AJ2" t="s">
        <v>84</v>
      </c>
      <c r="AK2" t="s">
        <v>84</v>
      </c>
      <c r="AL2" t="s">
        <v>84</v>
      </c>
      <c r="AM2" t="s">
        <v>84</v>
      </c>
      <c r="AO2" t="s">
        <v>87</v>
      </c>
      <c r="AP2" t="s">
        <v>87</v>
      </c>
      <c r="AQ2" t="s">
        <v>84</v>
      </c>
      <c r="AS2" t="s">
        <v>87</v>
      </c>
      <c r="AT2" t="s">
        <v>84</v>
      </c>
      <c r="AU2" t="s">
        <v>570</v>
      </c>
      <c r="AW2" t="s">
        <v>89</v>
      </c>
      <c r="AX2" t="s">
        <v>87</v>
      </c>
      <c r="AY2" t="s">
        <v>87</v>
      </c>
      <c r="AZ2" t="s">
        <v>87</v>
      </c>
      <c r="BA2" t="s">
        <v>84</v>
      </c>
      <c r="BB2" t="s">
        <v>87</v>
      </c>
      <c r="BC2" t="s">
        <v>84</v>
      </c>
      <c r="BE2" t="s">
        <v>84</v>
      </c>
      <c r="BF2" t="s">
        <v>84</v>
      </c>
      <c r="BH2" t="s">
        <v>87</v>
      </c>
      <c r="BI2" t="s">
        <v>84</v>
      </c>
      <c r="BJ2" t="s">
        <v>84</v>
      </c>
      <c r="BL2" t="s">
        <v>87</v>
      </c>
      <c r="BM2" t="s">
        <v>84</v>
      </c>
      <c r="BN2" t="s">
        <v>84</v>
      </c>
      <c r="BP2" t="s">
        <v>87</v>
      </c>
      <c r="BQ2" t="s">
        <v>84</v>
      </c>
      <c r="BR2" t="s">
        <v>84</v>
      </c>
      <c r="BS2" t="s">
        <v>84</v>
      </c>
      <c r="BT2" t="s">
        <v>84</v>
      </c>
      <c r="BV2" t="s">
        <v>84</v>
      </c>
      <c r="BW2" t="s">
        <v>84</v>
      </c>
      <c r="BX2" t="s">
        <v>84</v>
      </c>
      <c r="BY2" t="s">
        <v>84</v>
      </c>
      <c r="BZ2" t="s">
        <v>87</v>
      </c>
      <c r="CB2" t="s">
        <v>84</v>
      </c>
      <c r="CD2" t="s">
        <v>84</v>
      </c>
    </row>
    <row r="3" spans="1:83" x14ac:dyDescent="0.25">
      <c r="A3" t="s">
        <v>898</v>
      </c>
      <c r="B3" t="s">
        <v>899</v>
      </c>
      <c r="C3" t="s">
        <v>900</v>
      </c>
      <c r="D3" t="s">
        <v>515</v>
      </c>
      <c r="E3" t="s">
        <v>1924</v>
      </c>
      <c r="F3" s="1">
        <v>55</v>
      </c>
      <c r="G3" s="1" t="s">
        <v>84</v>
      </c>
      <c r="I3" t="s">
        <v>85</v>
      </c>
      <c r="J3" t="s">
        <v>85</v>
      </c>
      <c r="K3" t="s">
        <v>85</v>
      </c>
      <c r="L3" t="s">
        <v>85</v>
      </c>
      <c r="M3" t="s">
        <v>85</v>
      </c>
      <c r="N3" t="s">
        <v>85</v>
      </c>
      <c r="O3" t="s">
        <v>85</v>
      </c>
      <c r="Q3" t="s">
        <v>84</v>
      </c>
      <c r="T3" t="s">
        <v>86</v>
      </c>
      <c r="U3" t="s">
        <v>87</v>
      </c>
      <c r="V3" t="s">
        <v>87</v>
      </c>
      <c r="W3" t="s">
        <v>84</v>
      </c>
      <c r="Y3" t="s">
        <v>87</v>
      </c>
      <c r="Z3" t="s">
        <v>87</v>
      </c>
      <c r="AA3" t="s">
        <v>84</v>
      </c>
      <c r="AC3" t="s">
        <v>87</v>
      </c>
      <c r="AD3" t="s">
        <v>84</v>
      </c>
      <c r="AE3" t="s">
        <v>84</v>
      </c>
      <c r="AF3" t="s">
        <v>84</v>
      </c>
      <c r="AG3" t="s">
        <v>87</v>
      </c>
      <c r="AI3" t="s">
        <v>84</v>
      </c>
      <c r="AJ3" t="s">
        <v>84</v>
      </c>
      <c r="AK3" t="s">
        <v>84</v>
      </c>
      <c r="AL3" t="s">
        <v>87</v>
      </c>
      <c r="AM3" t="s">
        <v>84</v>
      </c>
      <c r="AO3" t="s">
        <v>87</v>
      </c>
      <c r="AP3" t="s">
        <v>87</v>
      </c>
      <c r="AQ3" t="s">
        <v>84</v>
      </c>
      <c r="AS3" t="s">
        <v>87</v>
      </c>
      <c r="AT3" t="s">
        <v>84</v>
      </c>
      <c r="AU3" t="s">
        <v>901</v>
      </c>
      <c r="AW3" t="s">
        <v>89</v>
      </c>
      <c r="AX3" t="s">
        <v>87</v>
      </c>
      <c r="AY3" t="s">
        <v>84</v>
      </c>
      <c r="AZ3" t="s">
        <v>84</v>
      </c>
      <c r="BA3" t="s">
        <v>84</v>
      </c>
      <c r="BB3" t="s">
        <v>84</v>
      </c>
      <c r="BC3" t="s">
        <v>87</v>
      </c>
      <c r="BE3" t="s">
        <v>84</v>
      </c>
      <c r="BF3" t="s">
        <v>84</v>
      </c>
      <c r="BH3" t="s">
        <v>87</v>
      </c>
      <c r="BI3" t="s">
        <v>84</v>
      </c>
      <c r="BJ3" t="s">
        <v>84</v>
      </c>
      <c r="BL3" t="s">
        <v>87</v>
      </c>
      <c r="BM3" t="s">
        <v>84</v>
      </c>
      <c r="BN3" t="s">
        <v>84</v>
      </c>
      <c r="BP3" t="s">
        <v>84</v>
      </c>
      <c r="BQ3" t="s">
        <v>84</v>
      </c>
      <c r="BR3" t="s">
        <v>84</v>
      </c>
      <c r="BS3" t="s">
        <v>87</v>
      </c>
      <c r="BT3" t="s">
        <v>84</v>
      </c>
      <c r="BV3" t="s">
        <v>87</v>
      </c>
      <c r="BW3" t="s">
        <v>84</v>
      </c>
      <c r="BX3" t="s">
        <v>84</v>
      </c>
      <c r="BY3" t="s">
        <v>84</v>
      </c>
      <c r="BZ3" t="s">
        <v>87</v>
      </c>
      <c r="CB3" t="s">
        <v>84</v>
      </c>
      <c r="CD3" t="s">
        <v>94</v>
      </c>
      <c r="CE3" t="s">
        <v>897</v>
      </c>
    </row>
    <row r="4" spans="1:83" x14ac:dyDescent="0.25">
      <c r="A4" t="s">
        <v>1189</v>
      </c>
      <c r="B4" t="s">
        <v>1190</v>
      </c>
      <c r="C4" t="s">
        <v>1191</v>
      </c>
      <c r="D4" t="s">
        <v>204</v>
      </c>
      <c r="E4" t="s">
        <v>1926</v>
      </c>
      <c r="F4" s="1">
        <v>73</v>
      </c>
      <c r="G4" s="1" t="s">
        <v>94</v>
      </c>
      <c r="H4" t="s">
        <v>199</v>
      </c>
      <c r="I4" t="s">
        <v>87</v>
      </c>
      <c r="J4" t="s">
        <v>87</v>
      </c>
      <c r="K4" t="s">
        <v>84</v>
      </c>
      <c r="L4" t="s">
        <v>84</v>
      </c>
      <c r="M4" t="s">
        <v>84</v>
      </c>
      <c r="N4" t="s">
        <v>84</v>
      </c>
      <c r="O4" t="s">
        <v>84</v>
      </c>
      <c r="Q4" t="s">
        <v>84</v>
      </c>
      <c r="T4" t="s">
        <v>86</v>
      </c>
      <c r="U4" t="s">
        <v>87</v>
      </c>
      <c r="V4" t="s">
        <v>84</v>
      </c>
      <c r="W4" t="s">
        <v>84</v>
      </c>
      <c r="Y4" t="s">
        <v>87</v>
      </c>
      <c r="Z4" t="s">
        <v>84</v>
      </c>
      <c r="AA4" t="s">
        <v>84</v>
      </c>
      <c r="AC4" t="s">
        <v>87</v>
      </c>
      <c r="AD4" t="s">
        <v>84</v>
      </c>
      <c r="AE4" t="s">
        <v>84</v>
      </c>
      <c r="AF4" t="s">
        <v>84</v>
      </c>
      <c r="AG4" t="s">
        <v>87</v>
      </c>
      <c r="AI4" t="s">
        <v>84</v>
      </c>
      <c r="AJ4" t="s">
        <v>84</v>
      </c>
      <c r="AK4" t="s">
        <v>84</v>
      </c>
      <c r="AL4" t="s">
        <v>84</v>
      </c>
      <c r="AM4" t="s">
        <v>87</v>
      </c>
      <c r="AO4" t="s">
        <v>87</v>
      </c>
      <c r="AP4" t="s">
        <v>87</v>
      </c>
      <c r="AQ4" t="s">
        <v>84</v>
      </c>
      <c r="AS4" t="s">
        <v>87</v>
      </c>
      <c r="AT4" t="s">
        <v>84</v>
      </c>
      <c r="AU4" t="s">
        <v>194</v>
      </c>
      <c r="AW4" t="s">
        <v>89</v>
      </c>
      <c r="AX4" t="s">
        <v>87</v>
      </c>
      <c r="AY4" t="s">
        <v>87</v>
      </c>
      <c r="AZ4" t="s">
        <v>87</v>
      </c>
      <c r="BA4" t="s">
        <v>84</v>
      </c>
      <c r="BB4" t="s">
        <v>87</v>
      </c>
      <c r="BC4" t="s">
        <v>84</v>
      </c>
      <c r="BE4" t="s">
        <v>84</v>
      </c>
      <c r="BF4" t="s">
        <v>84</v>
      </c>
      <c r="BH4" t="s">
        <v>87</v>
      </c>
      <c r="BI4" t="s">
        <v>84</v>
      </c>
      <c r="BJ4" t="s">
        <v>84</v>
      </c>
      <c r="BL4" t="s">
        <v>87</v>
      </c>
      <c r="BM4" t="s">
        <v>84</v>
      </c>
      <c r="BN4" t="s">
        <v>84</v>
      </c>
      <c r="BP4" t="s">
        <v>84</v>
      </c>
      <c r="BQ4" t="s">
        <v>84</v>
      </c>
      <c r="BR4" t="s">
        <v>84</v>
      </c>
      <c r="BS4" t="s">
        <v>84</v>
      </c>
      <c r="BT4" t="s">
        <v>87</v>
      </c>
      <c r="BV4" t="s">
        <v>87</v>
      </c>
      <c r="BW4" t="s">
        <v>84</v>
      </c>
      <c r="BX4" t="s">
        <v>84</v>
      </c>
      <c r="BY4" t="s">
        <v>84</v>
      </c>
      <c r="BZ4" t="s">
        <v>87</v>
      </c>
      <c r="CB4" t="s">
        <v>84</v>
      </c>
      <c r="CD4" t="s">
        <v>84</v>
      </c>
    </row>
    <row r="5" spans="1:83" x14ac:dyDescent="0.25">
      <c r="A5" t="s">
        <v>1267</v>
      </c>
      <c r="B5" t="s">
        <v>1268</v>
      </c>
      <c r="C5" t="s">
        <v>1269</v>
      </c>
      <c r="D5" t="s">
        <v>222</v>
      </c>
      <c r="E5" t="s">
        <v>222</v>
      </c>
      <c r="F5" s="1">
        <v>80</v>
      </c>
      <c r="G5" s="1" t="s">
        <v>84</v>
      </c>
      <c r="I5" t="s">
        <v>85</v>
      </c>
      <c r="J5" t="s">
        <v>85</v>
      </c>
      <c r="K5" t="s">
        <v>85</v>
      </c>
      <c r="L5" t="s">
        <v>85</v>
      </c>
      <c r="M5" t="s">
        <v>85</v>
      </c>
      <c r="N5" t="s">
        <v>85</v>
      </c>
      <c r="O5" t="s">
        <v>85</v>
      </c>
      <c r="Q5" t="s">
        <v>84</v>
      </c>
      <c r="T5" t="s">
        <v>96</v>
      </c>
      <c r="U5" t="s">
        <v>87</v>
      </c>
      <c r="V5" t="s">
        <v>87</v>
      </c>
      <c r="W5" t="s">
        <v>87</v>
      </c>
      <c r="Y5" t="s">
        <v>87</v>
      </c>
      <c r="Z5" t="s">
        <v>87</v>
      </c>
      <c r="AA5" t="s">
        <v>87</v>
      </c>
      <c r="AC5" t="s">
        <v>84</v>
      </c>
      <c r="AD5" t="s">
        <v>84</v>
      </c>
      <c r="AE5" t="s">
        <v>84</v>
      </c>
      <c r="AF5" t="s">
        <v>84</v>
      </c>
      <c r="AG5" t="s">
        <v>87</v>
      </c>
      <c r="AI5" t="s">
        <v>84</v>
      </c>
      <c r="AJ5" t="s">
        <v>84</v>
      </c>
      <c r="AK5" t="s">
        <v>84</v>
      </c>
      <c r="AL5" t="s">
        <v>84</v>
      </c>
      <c r="AM5" t="s">
        <v>87</v>
      </c>
      <c r="AO5" t="s">
        <v>87</v>
      </c>
      <c r="AP5" t="s">
        <v>87</v>
      </c>
      <c r="AQ5" t="s">
        <v>87</v>
      </c>
      <c r="AS5" t="s">
        <v>87</v>
      </c>
      <c r="AT5" t="s">
        <v>84</v>
      </c>
      <c r="AU5" t="s">
        <v>1270</v>
      </c>
      <c r="AW5" t="s">
        <v>89</v>
      </c>
      <c r="AX5" t="s">
        <v>87</v>
      </c>
      <c r="AY5" t="s">
        <v>84</v>
      </c>
      <c r="AZ5" t="s">
        <v>84</v>
      </c>
      <c r="BA5" t="s">
        <v>84</v>
      </c>
      <c r="BB5" t="s">
        <v>84</v>
      </c>
      <c r="BC5" t="s">
        <v>84</v>
      </c>
      <c r="BD5" t="s">
        <v>1271</v>
      </c>
      <c r="BE5" t="s">
        <v>84</v>
      </c>
      <c r="BF5" t="s">
        <v>84</v>
      </c>
      <c r="BH5" t="s">
        <v>87</v>
      </c>
      <c r="BI5" t="s">
        <v>84</v>
      </c>
      <c r="BJ5" t="s">
        <v>84</v>
      </c>
      <c r="BL5" t="s">
        <v>87</v>
      </c>
      <c r="BM5" t="s">
        <v>84</v>
      </c>
      <c r="BN5" t="s">
        <v>84</v>
      </c>
      <c r="BP5" t="s">
        <v>84</v>
      </c>
      <c r="BQ5" t="s">
        <v>84</v>
      </c>
      <c r="BR5" t="s">
        <v>84</v>
      </c>
      <c r="BS5" t="s">
        <v>84</v>
      </c>
      <c r="BT5" t="s">
        <v>87</v>
      </c>
      <c r="BV5" t="s">
        <v>84</v>
      </c>
      <c r="BW5" t="s">
        <v>84</v>
      </c>
      <c r="BX5" t="s">
        <v>84</v>
      </c>
      <c r="BY5" t="s">
        <v>84</v>
      </c>
      <c r="BZ5" t="s">
        <v>87</v>
      </c>
      <c r="CB5" t="s">
        <v>84</v>
      </c>
      <c r="CD5" t="s">
        <v>84</v>
      </c>
    </row>
    <row r="6" spans="1:83" x14ac:dyDescent="0.25">
      <c r="A6" t="s">
        <v>1137</v>
      </c>
      <c r="B6" t="s">
        <v>1138</v>
      </c>
      <c r="C6" t="s">
        <v>1139</v>
      </c>
      <c r="D6" t="s">
        <v>109</v>
      </c>
      <c r="E6" t="s">
        <v>1924</v>
      </c>
      <c r="F6" s="1">
        <v>120</v>
      </c>
      <c r="G6" s="1" t="s">
        <v>84</v>
      </c>
      <c r="I6" t="s">
        <v>85</v>
      </c>
      <c r="J6" t="s">
        <v>85</v>
      </c>
      <c r="K6" t="s">
        <v>85</v>
      </c>
      <c r="L6" t="s">
        <v>85</v>
      </c>
      <c r="M6" t="s">
        <v>85</v>
      </c>
      <c r="N6" t="s">
        <v>85</v>
      </c>
      <c r="O6" t="s">
        <v>85</v>
      </c>
      <c r="Q6" t="s">
        <v>84</v>
      </c>
      <c r="T6" t="s">
        <v>96</v>
      </c>
      <c r="U6" t="s">
        <v>87</v>
      </c>
      <c r="V6" t="s">
        <v>87</v>
      </c>
      <c r="W6" t="s">
        <v>87</v>
      </c>
      <c r="Y6" t="s">
        <v>87</v>
      </c>
      <c r="Z6" t="s">
        <v>84</v>
      </c>
      <c r="AA6" t="s">
        <v>84</v>
      </c>
      <c r="AC6" t="s">
        <v>84</v>
      </c>
      <c r="AD6" t="s">
        <v>84</v>
      </c>
      <c r="AE6" t="s">
        <v>84</v>
      </c>
      <c r="AF6" t="s">
        <v>84</v>
      </c>
      <c r="AG6" t="s">
        <v>87</v>
      </c>
      <c r="AI6" t="s">
        <v>87</v>
      </c>
      <c r="AJ6" t="s">
        <v>84</v>
      </c>
      <c r="AK6" t="s">
        <v>84</v>
      </c>
      <c r="AL6" t="s">
        <v>84</v>
      </c>
      <c r="AM6" t="s">
        <v>84</v>
      </c>
      <c r="AO6" t="s">
        <v>87</v>
      </c>
      <c r="AP6" t="s">
        <v>87</v>
      </c>
      <c r="AQ6" t="s">
        <v>84</v>
      </c>
      <c r="AS6" t="s">
        <v>87</v>
      </c>
      <c r="AT6" t="s">
        <v>84</v>
      </c>
      <c r="AU6" t="s">
        <v>1140</v>
      </c>
      <c r="AW6" t="s">
        <v>89</v>
      </c>
      <c r="AX6" t="s">
        <v>84</v>
      </c>
      <c r="AY6" t="s">
        <v>84</v>
      </c>
      <c r="AZ6" t="s">
        <v>87</v>
      </c>
      <c r="BA6" t="s">
        <v>84</v>
      </c>
      <c r="BB6" t="s">
        <v>84</v>
      </c>
      <c r="BC6" t="s">
        <v>87</v>
      </c>
      <c r="BE6" t="s">
        <v>84</v>
      </c>
      <c r="BF6" t="s">
        <v>84</v>
      </c>
      <c r="BH6" t="s">
        <v>87</v>
      </c>
      <c r="BI6" t="s">
        <v>84</v>
      </c>
      <c r="BJ6" t="s">
        <v>84</v>
      </c>
      <c r="BL6" t="s">
        <v>87</v>
      </c>
      <c r="BM6" t="s">
        <v>84</v>
      </c>
      <c r="BN6" t="s">
        <v>84</v>
      </c>
      <c r="BP6" t="s">
        <v>87</v>
      </c>
      <c r="BQ6" t="s">
        <v>84</v>
      </c>
      <c r="BR6" t="s">
        <v>84</v>
      </c>
      <c r="BS6" t="s">
        <v>84</v>
      </c>
      <c r="BT6" t="s">
        <v>84</v>
      </c>
      <c r="BV6" t="s">
        <v>84</v>
      </c>
      <c r="BW6" t="s">
        <v>84</v>
      </c>
      <c r="BX6" t="s">
        <v>84</v>
      </c>
      <c r="BY6" t="s">
        <v>84</v>
      </c>
      <c r="BZ6" t="s">
        <v>87</v>
      </c>
      <c r="CB6" t="s">
        <v>84</v>
      </c>
      <c r="CD6" t="s">
        <v>84</v>
      </c>
    </row>
    <row r="7" spans="1:83" x14ac:dyDescent="0.25">
      <c r="A7" t="s">
        <v>1233</v>
      </c>
      <c r="B7" t="s">
        <v>1234</v>
      </c>
      <c r="C7" t="s">
        <v>1235</v>
      </c>
      <c r="D7" t="s">
        <v>204</v>
      </c>
      <c r="E7" t="s">
        <v>1926</v>
      </c>
      <c r="F7" s="1">
        <v>125</v>
      </c>
      <c r="G7" s="1" t="s">
        <v>94</v>
      </c>
      <c r="H7" t="s">
        <v>95</v>
      </c>
      <c r="I7" t="s">
        <v>87</v>
      </c>
      <c r="J7" t="s">
        <v>84</v>
      </c>
      <c r="K7" t="s">
        <v>84</v>
      </c>
      <c r="L7" t="s">
        <v>87</v>
      </c>
      <c r="M7" t="s">
        <v>87</v>
      </c>
      <c r="N7" t="s">
        <v>84</v>
      </c>
      <c r="O7" t="s">
        <v>84</v>
      </c>
      <c r="Q7" t="s">
        <v>84</v>
      </c>
      <c r="T7" t="s">
        <v>96</v>
      </c>
      <c r="U7" t="s">
        <v>84</v>
      </c>
      <c r="V7" t="s">
        <v>84</v>
      </c>
      <c r="W7" t="s">
        <v>84</v>
      </c>
      <c r="X7" t="s">
        <v>1236</v>
      </c>
      <c r="Y7" t="s">
        <v>84</v>
      </c>
      <c r="Z7" t="s">
        <v>84</v>
      </c>
      <c r="AA7" t="s">
        <v>84</v>
      </c>
      <c r="AB7" t="s">
        <v>395</v>
      </c>
      <c r="AC7" t="s">
        <v>84</v>
      </c>
      <c r="AD7" t="s">
        <v>84</v>
      </c>
      <c r="AE7" t="s">
        <v>84</v>
      </c>
      <c r="AF7" t="s">
        <v>84</v>
      </c>
      <c r="AG7" t="s">
        <v>84</v>
      </c>
      <c r="AH7" t="s">
        <v>1237</v>
      </c>
      <c r="AI7" t="s">
        <v>87</v>
      </c>
      <c r="AJ7" t="s">
        <v>84</v>
      </c>
      <c r="AK7" t="s">
        <v>84</v>
      </c>
      <c r="AL7" t="s">
        <v>84</v>
      </c>
      <c r="AM7" t="s">
        <v>84</v>
      </c>
      <c r="AO7" t="s">
        <v>87</v>
      </c>
      <c r="AP7" t="s">
        <v>87</v>
      </c>
      <c r="AQ7" t="s">
        <v>84</v>
      </c>
      <c r="AS7" t="s">
        <v>87</v>
      </c>
      <c r="AT7" t="s">
        <v>84</v>
      </c>
      <c r="AU7" t="s">
        <v>1238</v>
      </c>
      <c r="AW7" t="s">
        <v>89</v>
      </c>
      <c r="AX7" t="s">
        <v>87</v>
      </c>
      <c r="AY7" t="s">
        <v>84</v>
      </c>
      <c r="AZ7" t="s">
        <v>84</v>
      </c>
      <c r="BA7" t="s">
        <v>84</v>
      </c>
      <c r="BB7" t="s">
        <v>87</v>
      </c>
      <c r="BC7" t="s">
        <v>84</v>
      </c>
      <c r="BE7" t="s">
        <v>84</v>
      </c>
      <c r="BF7" t="s">
        <v>84</v>
      </c>
      <c r="BH7" t="s">
        <v>87</v>
      </c>
      <c r="BI7" t="s">
        <v>84</v>
      </c>
      <c r="BJ7" t="s">
        <v>84</v>
      </c>
      <c r="BL7" t="s">
        <v>87</v>
      </c>
      <c r="BM7" t="s">
        <v>84</v>
      </c>
      <c r="BN7" t="s">
        <v>84</v>
      </c>
      <c r="BP7" t="s">
        <v>87</v>
      </c>
      <c r="BQ7" t="s">
        <v>84</v>
      </c>
      <c r="BR7" t="s">
        <v>84</v>
      </c>
      <c r="BS7" t="s">
        <v>84</v>
      </c>
      <c r="BT7" t="s">
        <v>84</v>
      </c>
      <c r="BV7" t="s">
        <v>84</v>
      </c>
      <c r="BW7" t="s">
        <v>84</v>
      </c>
      <c r="BX7" t="s">
        <v>84</v>
      </c>
      <c r="BY7" t="s">
        <v>84</v>
      </c>
      <c r="BZ7" t="s">
        <v>84</v>
      </c>
      <c r="CA7" t="s">
        <v>1239</v>
      </c>
      <c r="CB7" t="s">
        <v>84</v>
      </c>
      <c r="CD7" t="s">
        <v>84</v>
      </c>
    </row>
    <row r="8" spans="1:83" x14ac:dyDescent="0.25">
      <c r="A8" t="s">
        <v>889</v>
      </c>
      <c r="B8" t="s">
        <v>890</v>
      </c>
      <c r="C8" t="s">
        <v>891</v>
      </c>
      <c r="D8" t="s">
        <v>515</v>
      </c>
      <c r="E8" t="s">
        <v>1924</v>
      </c>
      <c r="F8" s="1">
        <v>187</v>
      </c>
      <c r="G8" s="1" t="s">
        <v>84</v>
      </c>
      <c r="I8" t="s">
        <v>85</v>
      </c>
      <c r="J8" t="s">
        <v>85</v>
      </c>
      <c r="K8" t="s">
        <v>85</v>
      </c>
      <c r="L8" t="s">
        <v>85</v>
      </c>
      <c r="M8" t="s">
        <v>85</v>
      </c>
      <c r="N8" t="s">
        <v>85</v>
      </c>
      <c r="O8" t="s">
        <v>85</v>
      </c>
      <c r="Q8" t="s">
        <v>84</v>
      </c>
      <c r="T8" t="s">
        <v>86</v>
      </c>
      <c r="U8" t="s">
        <v>87</v>
      </c>
      <c r="V8" t="s">
        <v>87</v>
      </c>
      <c r="W8" t="s">
        <v>84</v>
      </c>
      <c r="Y8" t="s">
        <v>87</v>
      </c>
      <c r="Z8" t="s">
        <v>87</v>
      </c>
      <c r="AA8" t="s">
        <v>84</v>
      </c>
      <c r="AC8" t="s">
        <v>87</v>
      </c>
      <c r="AD8" t="s">
        <v>84</v>
      </c>
      <c r="AE8" t="s">
        <v>84</v>
      </c>
      <c r="AF8" t="s">
        <v>84</v>
      </c>
      <c r="AG8" t="s">
        <v>87</v>
      </c>
      <c r="AI8" t="s">
        <v>84</v>
      </c>
      <c r="AJ8" t="s">
        <v>84</v>
      </c>
      <c r="AK8" t="s">
        <v>84</v>
      </c>
      <c r="AL8" t="s">
        <v>87</v>
      </c>
      <c r="AM8" t="s">
        <v>84</v>
      </c>
      <c r="AO8" t="s">
        <v>87</v>
      </c>
      <c r="AP8" t="s">
        <v>87</v>
      </c>
      <c r="AQ8" t="s">
        <v>87</v>
      </c>
      <c r="AS8" t="s">
        <v>87</v>
      </c>
      <c r="AT8" t="s">
        <v>84</v>
      </c>
      <c r="AU8" t="s">
        <v>892</v>
      </c>
      <c r="AW8" t="s">
        <v>89</v>
      </c>
      <c r="AX8" t="s">
        <v>87</v>
      </c>
      <c r="AY8" t="s">
        <v>84</v>
      </c>
      <c r="AZ8" t="s">
        <v>84</v>
      </c>
      <c r="BA8" t="s">
        <v>84</v>
      </c>
      <c r="BB8" t="s">
        <v>84</v>
      </c>
      <c r="BC8" t="s">
        <v>87</v>
      </c>
      <c r="BE8" t="s">
        <v>84</v>
      </c>
      <c r="BF8" t="s">
        <v>84</v>
      </c>
      <c r="BH8" t="s">
        <v>87</v>
      </c>
      <c r="BI8" t="s">
        <v>84</v>
      </c>
      <c r="BJ8" t="s">
        <v>84</v>
      </c>
      <c r="BL8" t="s">
        <v>87</v>
      </c>
      <c r="BM8" t="s">
        <v>84</v>
      </c>
      <c r="BN8" t="s">
        <v>84</v>
      </c>
      <c r="BP8" t="s">
        <v>84</v>
      </c>
      <c r="BQ8" t="s">
        <v>84</v>
      </c>
      <c r="BR8" t="s">
        <v>84</v>
      </c>
      <c r="BS8" t="s">
        <v>87</v>
      </c>
      <c r="BT8" t="s">
        <v>84</v>
      </c>
      <c r="BV8" t="s">
        <v>87</v>
      </c>
      <c r="BW8" t="s">
        <v>84</v>
      </c>
      <c r="BX8" t="s">
        <v>84</v>
      </c>
      <c r="BY8" t="s">
        <v>84</v>
      </c>
      <c r="BZ8" t="s">
        <v>87</v>
      </c>
      <c r="CB8" t="s">
        <v>84</v>
      </c>
      <c r="CD8" t="s">
        <v>94</v>
      </c>
      <c r="CE8" t="s">
        <v>884</v>
      </c>
    </row>
    <row r="9" spans="1:83" x14ac:dyDescent="0.25">
      <c r="A9" t="s">
        <v>188</v>
      </c>
      <c r="B9" t="s">
        <v>189</v>
      </c>
      <c r="C9" t="s">
        <v>190</v>
      </c>
      <c r="D9" t="s">
        <v>191</v>
      </c>
      <c r="E9" t="s">
        <v>1994</v>
      </c>
      <c r="F9" s="1">
        <v>240</v>
      </c>
      <c r="G9" s="1" t="s">
        <v>94</v>
      </c>
      <c r="H9" t="s">
        <v>193</v>
      </c>
      <c r="I9" t="s">
        <v>84</v>
      </c>
      <c r="J9" t="s">
        <v>84</v>
      </c>
      <c r="K9" t="s">
        <v>84</v>
      </c>
      <c r="L9" t="s">
        <v>87</v>
      </c>
      <c r="M9" t="s">
        <v>84</v>
      </c>
      <c r="N9" t="s">
        <v>84</v>
      </c>
      <c r="O9" t="s">
        <v>84</v>
      </c>
      <c r="Q9" t="s">
        <v>84</v>
      </c>
      <c r="T9" t="s">
        <v>86</v>
      </c>
      <c r="U9" t="s">
        <v>87</v>
      </c>
      <c r="V9" t="s">
        <v>84</v>
      </c>
      <c r="W9" t="s">
        <v>84</v>
      </c>
      <c r="Y9" t="s">
        <v>87</v>
      </c>
      <c r="Z9" t="s">
        <v>84</v>
      </c>
      <c r="AA9" t="s">
        <v>84</v>
      </c>
      <c r="AC9" t="s">
        <v>84</v>
      </c>
      <c r="AD9" t="s">
        <v>84</v>
      </c>
      <c r="AE9" t="s">
        <v>84</v>
      </c>
      <c r="AF9" t="s">
        <v>84</v>
      </c>
      <c r="AG9" t="s">
        <v>87</v>
      </c>
      <c r="AI9" t="s">
        <v>84</v>
      </c>
      <c r="AJ9" t="s">
        <v>84</v>
      </c>
      <c r="AK9" t="s">
        <v>84</v>
      </c>
      <c r="AL9" t="s">
        <v>84</v>
      </c>
      <c r="AM9" t="s">
        <v>87</v>
      </c>
      <c r="AO9" t="s">
        <v>87</v>
      </c>
      <c r="AP9" t="s">
        <v>87</v>
      </c>
      <c r="AQ9" t="s">
        <v>87</v>
      </c>
      <c r="AS9" t="s">
        <v>87</v>
      </c>
      <c r="AT9" t="s">
        <v>84</v>
      </c>
      <c r="AU9" t="s">
        <v>194</v>
      </c>
      <c r="AW9" t="s">
        <v>89</v>
      </c>
      <c r="AX9" t="s">
        <v>87</v>
      </c>
      <c r="AY9" t="s">
        <v>87</v>
      </c>
      <c r="AZ9" t="s">
        <v>84</v>
      </c>
      <c r="BA9" t="s">
        <v>84</v>
      </c>
      <c r="BB9" t="s">
        <v>84</v>
      </c>
      <c r="BC9" t="s">
        <v>87</v>
      </c>
      <c r="BE9" t="s">
        <v>84</v>
      </c>
      <c r="BF9" t="s">
        <v>84</v>
      </c>
      <c r="BH9" t="s">
        <v>87</v>
      </c>
      <c r="BI9" t="s">
        <v>84</v>
      </c>
      <c r="BJ9" t="s">
        <v>84</v>
      </c>
      <c r="BL9" t="s">
        <v>87</v>
      </c>
      <c r="BM9" t="s">
        <v>84</v>
      </c>
      <c r="BN9" t="s">
        <v>84</v>
      </c>
      <c r="BP9" t="s">
        <v>87</v>
      </c>
      <c r="BQ9" t="s">
        <v>84</v>
      </c>
      <c r="BR9" t="s">
        <v>84</v>
      </c>
      <c r="BS9" t="s">
        <v>84</v>
      </c>
      <c r="BT9" t="s">
        <v>84</v>
      </c>
      <c r="BV9" t="s">
        <v>84</v>
      </c>
      <c r="BW9" t="s">
        <v>84</v>
      </c>
      <c r="BX9" t="s">
        <v>84</v>
      </c>
      <c r="BY9" t="s">
        <v>84</v>
      </c>
      <c r="BZ9" t="s">
        <v>87</v>
      </c>
      <c r="CB9" t="s">
        <v>84</v>
      </c>
      <c r="CD9" t="s">
        <v>84</v>
      </c>
    </row>
    <row r="10" spans="1:83" x14ac:dyDescent="0.25">
      <c r="A10" t="s">
        <v>1013</v>
      </c>
      <c r="B10" t="s">
        <v>1014</v>
      </c>
      <c r="C10" t="s">
        <v>1015</v>
      </c>
      <c r="D10" t="s">
        <v>83</v>
      </c>
      <c r="E10" t="s">
        <v>83</v>
      </c>
      <c r="F10" s="1">
        <v>611</v>
      </c>
      <c r="G10" s="1" t="s">
        <v>84</v>
      </c>
      <c r="I10" t="s">
        <v>85</v>
      </c>
      <c r="J10" t="s">
        <v>85</v>
      </c>
      <c r="K10" t="s">
        <v>85</v>
      </c>
      <c r="L10" t="s">
        <v>85</v>
      </c>
      <c r="M10" t="s">
        <v>85</v>
      </c>
      <c r="N10" t="s">
        <v>85</v>
      </c>
      <c r="O10" t="s">
        <v>85</v>
      </c>
      <c r="Q10" t="s">
        <v>84</v>
      </c>
      <c r="T10" t="s">
        <v>96</v>
      </c>
      <c r="U10" t="s">
        <v>87</v>
      </c>
      <c r="V10" t="s">
        <v>87</v>
      </c>
      <c r="W10" t="s">
        <v>84</v>
      </c>
      <c r="Y10" t="s">
        <v>87</v>
      </c>
      <c r="Z10" t="s">
        <v>87</v>
      </c>
      <c r="AA10" t="s">
        <v>84</v>
      </c>
      <c r="AC10" t="s">
        <v>84</v>
      </c>
      <c r="AD10" t="s">
        <v>84</v>
      </c>
      <c r="AE10" t="s">
        <v>84</v>
      </c>
      <c r="AF10" t="s">
        <v>84</v>
      </c>
      <c r="AG10" t="s">
        <v>87</v>
      </c>
      <c r="AH10" t="s">
        <v>1016</v>
      </c>
      <c r="AI10" t="s">
        <v>84</v>
      </c>
      <c r="AJ10" t="s">
        <v>84</v>
      </c>
      <c r="AK10" t="s">
        <v>84</v>
      </c>
      <c r="AL10" t="s">
        <v>84</v>
      </c>
      <c r="AM10" t="s">
        <v>87</v>
      </c>
      <c r="AO10" t="s">
        <v>87</v>
      </c>
      <c r="AP10" t="s">
        <v>87</v>
      </c>
      <c r="AQ10" t="s">
        <v>84</v>
      </c>
      <c r="AS10" t="s">
        <v>87</v>
      </c>
      <c r="AT10" t="s">
        <v>84</v>
      </c>
      <c r="AU10" t="s">
        <v>1017</v>
      </c>
      <c r="AW10" t="s">
        <v>89</v>
      </c>
      <c r="AX10" t="s">
        <v>87</v>
      </c>
      <c r="AY10" t="s">
        <v>84</v>
      </c>
      <c r="AZ10" t="s">
        <v>84</v>
      </c>
      <c r="BA10" t="s">
        <v>84</v>
      </c>
      <c r="BB10" t="s">
        <v>84</v>
      </c>
      <c r="BC10" t="s">
        <v>84</v>
      </c>
      <c r="BD10" t="s">
        <v>1018</v>
      </c>
      <c r="BE10" t="s">
        <v>84</v>
      </c>
      <c r="BF10" t="s">
        <v>84</v>
      </c>
      <c r="BH10" t="s">
        <v>87</v>
      </c>
      <c r="BI10" t="s">
        <v>84</v>
      </c>
      <c r="BJ10" t="s">
        <v>84</v>
      </c>
      <c r="BL10" t="s">
        <v>87</v>
      </c>
      <c r="BM10" t="s">
        <v>84</v>
      </c>
      <c r="BN10" t="s">
        <v>84</v>
      </c>
      <c r="BP10" t="s">
        <v>84</v>
      </c>
      <c r="BQ10" t="s">
        <v>84</v>
      </c>
      <c r="BR10" t="s">
        <v>84</v>
      </c>
      <c r="BS10" t="s">
        <v>87</v>
      </c>
      <c r="BT10" t="s">
        <v>84</v>
      </c>
      <c r="BV10" t="s">
        <v>87</v>
      </c>
      <c r="BW10" t="s">
        <v>84</v>
      </c>
      <c r="BX10" t="s">
        <v>84</v>
      </c>
      <c r="BY10" t="s">
        <v>84</v>
      </c>
      <c r="BZ10" t="s">
        <v>87</v>
      </c>
      <c r="CB10" t="s">
        <v>94</v>
      </c>
      <c r="CC10" t="s">
        <v>1019</v>
      </c>
      <c r="CD10" t="s">
        <v>84</v>
      </c>
    </row>
    <row r="11" spans="1:83" x14ac:dyDescent="0.25">
      <c r="A11" t="s">
        <v>1741</v>
      </c>
      <c r="B11" t="s">
        <v>1742</v>
      </c>
      <c r="C11" t="s">
        <v>1743</v>
      </c>
      <c r="D11" t="s">
        <v>204</v>
      </c>
      <c r="E11" t="s">
        <v>1926</v>
      </c>
      <c r="F11" s="1">
        <v>653</v>
      </c>
      <c r="G11" s="1" t="s">
        <v>84</v>
      </c>
      <c r="I11" t="s">
        <v>85</v>
      </c>
      <c r="J11" t="s">
        <v>85</v>
      </c>
      <c r="K11" t="s">
        <v>85</v>
      </c>
      <c r="L11" t="s">
        <v>85</v>
      </c>
      <c r="M11" t="s">
        <v>85</v>
      </c>
      <c r="N11" t="s">
        <v>85</v>
      </c>
      <c r="O11" t="s">
        <v>85</v>
      </c>
      <c r="Q11" t="s">
        <v>84</v>
      </c>
      <c r="T11" t="s">
        <v>96</v>
      </c>
      <c r="U11" t="s">
        <v>87</v>
      </c>
      <c r="V11" t="s">
        <v>84</v>
      </c>
      <c r="W11" t="s">
        <v>84</v>
      </c>
      <c r="Y11" t="s">
        <v>87</v>
      </c>
      <c r="Z11" t="s">
        <v>84</v>
      </c>
      <c r="AA11" t="s">
        <v>84</v>
      </c>
      <c r="AC11" t="s">
        <v>84</v>
      </c>
      <c r="AD11" t="s">
        <v>84</v>
      </c>
      <c r="AE11" t="s">
        <v>84</v>
      </c>
      <c r="AF11" t="s">
        <v>84</v>
      </c>
      <c r="AG11" t="s">
        <v>87</v>
      </c>
      <c r="AI11" t="s">
        <v>84</v>
      </c>
      <c r="AJ11" t="s">
        <v>84</v>
      </c>
      <c r="AK11" t="s">
        <v>84</v>
      </c>
      <c r="AL11" t="s">
        <v>84</v>
      </c>
      <c r="AM11" t="s">
        <v>87</v>
      </c>
      <c r="AO11" t="s">
        <v>87</v>
      </c>
      <c r="AP11" t="s">
        <v>87</v>
      </c>
      <c r="AQ11" t="s">
        <v>84</v>
      </c>
      <c r="AS11" t="s">
        <v>87</v>
      </c>
      <c r="AT11" t="s">
        <v>84</v>
      </c>
      <c r="AU11" t="s">
        <v>1744</v>
      </c>
      <c r="AW11" t="s">
        <v>89</v>
      </c>
      <c r="AX11" t="s">
        <v>87</v>
      </c>
      <c r="AY11" t="s">
        <v>84</v>
      </c>
      <c r="AZ11" t="s">
        <v>84</v>
      </c>
      <c r="BA11" t="s">
        <v>84</v>
      </c>
      <c r="BB11" t="s">
        <v>84</v>
      </c>
      <c r="BC11" t="s">
        <v>87</v>
      </c>
      <c r="BE11" t="s">
        <v>84</v>
      </c>
      <c r="BF11" t="s">
        <v>84</v>
      </c>
      <c r="BH11" t="s">
        <v>87</v>
      </c>
      <c r="BI11" t="s">
        <v>84</v>
      </c>
      <c r="BJ11" t="s">
        <v>84</v>
      </c>
      <c r="BL11" t="s">
        <v>87</v>
      </c>
      <c r="BM11" t="s">
        <v>84</v>
      </c>
      <c r="BN11" t="s">
        <v>84</v>
      </c>
      <c r="BP11" t="s">
        <v>84</v>
      </c>
      <c r="BQ11" t="s">
        <v>84</v>
      </c>
      <c r="BR11" t="s">
        <v>84</v>
      </c>
      <c r="BS11" t="s">
        <v>84</v>
      </c>
      <c r="BT11" t="s">
        <v>87</v>
      </c>
      <c r="BV11" t="s">
        <v>84</v>
      </c>
      <c r="BW11" t="s">
        <v>84</v>
      </c>
      <c r="BX11" t="s">
        <v>84</v>
      </c>
      <c r="BY11" t="s">
        <v>84</v>
      </c>
      <c r="BZ11" t="s">
        <v>87</v>
      </c>
      <c r="CB11" t="s">
        <v>84</v>
      </c>
      <c r="CD11" t="s">
        <v>84</v>
      </c>
    </row>
    <row r="12" spans="1:83" x14ac:dyDescent="0.25">
      <c r="A12" t="s">
        <v>1077</v>
      </c>
      <c r="B12" t="s">
        <v>1078</v>
      </c>
      <c r="C12" t="s">
        <v>1079</v>
      </c>
      <c r="D12" t="s">
        <v>93</v>
      </c>
      <c r="E12" t="s">
        <v>1996</v>
      </c>
      <c r="F12" s="1">
        <v>689</v>
      </c>
      <c r="G12" s="1" t="s">
        <v>84</v>
      </c>
      <c r="I12" t="s">
        <v>85</v>
      </c>
      <c r="J12" t="s">
        <v>85</v>
      </c>
      <c r="K12" t="s">
        <v>85</v>
      </c>
      <c r="L12" t="s">
        <v>85</v>
      </c>
      <c r="M12" t="s">
        <v>85</v>
      </c>
      <c r="N12" t="s">
        <v>85</v>
      </c>
      <c r="O12" t="s">
        <v>85</v>
      </c>
      <c r="Q12" t="s">
        <v>84</v>
      </c>
      <c r="T12" t="s">
        <v>96</v>
      </c>
      <c r="U12" t="s">
        <v>87</v>
      </c>
      <c r="V12" t="s">
        <v>84</v>
      </c>
      <c r="W12" t="s">
        <v>84</v>
      </c>
      <c r="X12" t="s">
        <v>1080</v>
      </c>
      <c r="Y12" t="s">
        <v>87</v>
      </c>
      <c r="Z12" t="s">
        <v>87</v>
      </c>
      <c r="AA12" t="s">
        <v>87</v>
      </c>
      <c r="AC12" t="s">
        <v>84</v>
      </c>
      <c r="AD12" t="s">
        <v>84</v>
      </c>
      <c r="AE12" t="s">
        <v>84</v>
      </c>
      <c r="AF12" t="s">
        <v>84</v>
      </c>
      <c r="AG12" t="s">
        <v>87</v>
      </c>
      <c r="AI12" t="s">
        <v>87</v>
      </c>
      <c r="AJ12" t="s">
        <v>84</v>
      </c>
      <c r="AK12" t="s">
        <v>84</v>
      </c>
      <c r="AL12" t="s">
        <v>84</v>
      </c>
      <c r="AM12" t="s">
        <v>84</v>
      </c>
      <c r="AO12" t="s">
        <v>87</v>
      </c>
      <c r="AP12" t="s">
        <v>87</v>
      </c>
      <c r="AQ12" t="s">
        <v>84</v>
      </c>
      <c r="AR12" t="s">
        <v>1081</v>
      </c>
      <c r="AS12" t="s">
        <v>87</v>
      </c>
      <c r="AT12" t="s">
        <v>84</v>
      </c>
      <c r="AU12" t="s">
        <v>294</v>
      </c>
      <c r="AW12" t="s">
        <v>89</v>
      </c>
      <c r="AX12" t="s">
        <v>84</v>
      </c>
      <c r="AY12" t="s">
        <v>84</v>
      </c>
      <c r="AZ12" t="s">
        <v>84</v>
      </c>
      <c r="BA12" t="s">
        <v>87</v>
      </c>
      <c r="BB12" t="s">
        <v>84</v>
      </c>
      <c r="BC12" t="s">
        <v>84</v>
      </c>
      <c r="BD12" t="s">
        <v>1082</v>
      </c>
      <c r="BE12" t="s">
        <v>84</v>
      </c>
      <c r="BF12" t="s">
        <v>84</v>
      </c>
      <c r="BH12" t="s">
        <v>87</v>
      </c>
      <c r="BI12" t="s">
        <v>84</v>
      </c>
      <c r="BJ12" t="s">
        <v>84</v>
      </c>
      <c r="BL12" t="s">
        <v>87</v>
      </c>
      <c r="BM12" t="s">
        <v>84</v>
      </c>
      <c r="BN12" t="s">
        <v>84</v>
      </c>
      <c r="BP12" t="s">
        <v>87</v>
      </c>
      <c r="BQ12" t="s">
        <v>84</v>
      </c>
      <c r="BR12" t="s">
        <v>84</v>
      </c>
      <c r="BS12" t="s">
        <v>84</v>
      </c>
      <c r="BT12" t="s">
        <v>84</v>
      </c>
      <c r="BV12" t="s">
        <v>84</v>
      </c>
      <c r="BW12" t="s">
        <v>84</v>
      </c>
      <c r="BX12" t="s">
        <v>84</v>
      </c>
      <c r="BY12" t="s">
        <v>84</v>
      </c>
      <c r="BZ12" t="s">
        <v>87</v>
      </c>
      <c r="CA12" t="s">
        <v>110</v>
      </c>
      <c r="CB12" t="s">
        <v>84</v>
      </c>
      <c r="CD12" t="s">
        <v>84</v>
      </c>
    </row>
    <row r="13" spans="1:83" x14ac:dyDescent="0.25">
      <c r="A13" t="s">
        <v>909</v>
      </c>
      <c r="B13" t="s">
        <v>910</v>
      </c>
      <c r="C13" t="s">
        <v>911</v>
      </c>
      <c r="D13" t="s">
        <v>325</v>
      </c>
      <c r="E13" t="s">
        <v>1924</v>
      </c>
      <c r="F13" s="1">
        <v>898</v>
      </c>
      <c r="G13" s="1" t="s">
        <v>94</v>
      </c>
      <c r="H13" t="s">
        <v>912</v>
      </c>
      <c r="I13" t="s">
        <v>87</v>
      </c>
      <c r="J13" t="s">
        <v>84</v>
      </c>
      <c r="K13" t="s">
        <v>84</v>
      </c>
      <c r="L13" t="s">
        <v>84</v>
      </c>
      <c r="M13" t="s">
        <v>84</v>
      </c>
      <c r="N13" t="s">
        <v>84</v>
      </c>
      <c r="O13" t="s">
        <v>84</v>
      </c>
      <c r="Q13" t="s">
        <v>84</v>
      </c>
      <c r="T13" t="s">
        <v>86</v>
      </c>
      <c r="U13" t="s">
        <v>87</v>
      </c>
      <c r="V13" t="s">
        <v>87</v>
      </c>
      <c r="W13" t="s">
        <v>84</v>
      </c>
      <c r="X13" t="s">
        <v>913</v>
      </c>
      <c r="Y13" t="s">
        <v>87</v>
      </c>
      <c r="Z13" t="s">
        <v>87</v>
      </c>
      <c r="AA13" t="s">
        <v>84</v>
      </c>
      <c r="AB13" t="s">
        <v>914</v>
      </c>
      <c r="AC13" t="s">
        <v>84</v>
      </c>
      <c r="AD13" t="s">
        <v>84</v>
      </c>
      <c r="AE13" t="s">
        <v>84</v>
      </c>
      <c r="AF13" t="s">
        <v>84</v>
      </c>
      <c r="AG13" t="s">
        <v>84</v>
      </c>
      <c r="AH13" t="s">
        <v>915</v>
      </c>
      <c r="AI13" t="s">
        <v>84</v>
      </c>
      <c r="AJ13" t="s">
        <v>84</v>
      </c>
      <c r="AK13" t="s">
        <v>84</v>
      </c>
      <c r="AL13" t="s">
        <v>84</v>
      </c>
      <c r="AM13" t="s">
        <v>87</v>
      </c>
      <c r="AO13" t="s">
        <v>87</v>
      </c>
      <c r="AP13" t="s">
        <v>87</v>
      </c>
      <c r="AQ13" t="s">
        <v>87</v>
      </c>
      <c r="AS13" t="s">
        <v>87</v>
      </c>
      <c r="AT13" t="s">
        <v>84</v>
      </c>
      <c r="AU13" t="s">
        <v>916</v>
      </c>
      <c r="AW13" t="s">
        <v>89</v>
      </c>
      <c r="AX13" t="s">
        <v>87</v>
      </c>
      <c r="AY13" t="s">
        <v>84</v>
      </c>
      <c r="AZ13" t="s">
        <v>84</v>
      </c>
      <c r="BA13" t="s">
        <v>84</v>
      </c>
      <c r="BB13" t="s">
        <v>84</v>
      </c>
      <c r="BC13" t="s">
        <v>84</v>
      </c>
      <c r="BD13" t="s">
        <v>917</v>
      </c>
      <c r="BE13" t="s">
        <v>84</v>
      </c>
      <c r="BF13" t="s">
        <v>84</v>
      </c>
      <c r="BH13" t="s">
        <v>87</v>
      </c>
      <c r="BI13" t="s">
        <v>84</v>
      </c>
      <c r="BJ13" t="s">
        <v>84</v>
      </c>
      <c r="BL13" t="s">
        <v>87</v>
      </c>
      <c r="BM13" t="s">
        <v>84</v>
      </c>
      <c r="BN13" t="s">
        <v>84</v>
      </c>
      <c r="BP13" t="s">
        <v>87</v>
      </c>
      <c r="BQ13" t="s">
        <v>84</v>
      </c>
      <c r="BR13" t="s">
        <v>84</v>
      </c>
      <c r="BS13" t="s">
        <v>84</v>
      </c>
      <c r="BT13" t="s">
        <v>84</v>
      </c>
      <c r="BV13" t="s">
        <v>87</v>
      </c>
      <c r="BW13" t="s">
        <v>84</v>
      </c>
      <c r="BX13" t="s">
        <v>84</v>
      </c>
      <c r="BY13" t="s">
        <v>84</v>
      </c>
      <c r="BZ13" t="s">
        <v>87</v>
      </c>
      <c r="CB13" t="s">
        <v>84</v>
      </c>
      <c r="CD13" t="s">
        <v>84</v>
      </c>
    </row>
    <row r="14" spans="1:83" x14ac:dyDescent="0.25">
      <c r="A14" t="s">
        <v>371</v>
      </c>
      <c r="B14" t="s">
        <v>372</v>
      </c>
      <c r="C14" t="s">
        <v>373</v>
      </c>
      <c r="D14" t="s">
        <v>374</v>
      </c>
      <c r="E14" t="s">
        <v>1927</v>
      </c>
      <c r="F14" s="1">
        <v>937</v>
      </c>
      <c r="G14" s="1" t="s">
        <v>84</v>
      </c>
      <c r="I14" t="s">
        <v>85</v>
      </c>
      <c r="J14" t="s">
        <v>85</v>
      </c>
      <c r="K14" t="s">
        <v>85</v>
      </c>
      <c r="L14" t="s">
        <v>85</v>
      </c>
      <c r="M14" t="s">
        <v>85</v>
      </c>
      <c r="N14" t="s">
        <v>85</v>
      </c>
      <c r="O14" t="s">
        <v>85</v>
      </c>
      <c r="Q14" t="s">
        <v>84</v>
      </c>
      <c r="T14" t="s">
        <v>86</v>
      </c>
      <c r="U14" t="s">
        <v>87</v>
      </c>
      <c r="V14" t="s">
        <v>84</v>
      </c>
      <c r="W14" t="s">
        <v>84</v>
      </c>
      <c r="X14" t="s">
        <v>375</v>
      </c>
      <c r="Y14" t="s">
        <v>87</v>
      </c>
      <c r="Z14" t="s">
        <v>84</v>
      </c>
      <c r="AA14" t="s">
        <v>84</v>
      </c>
      <c r="AB14" t="s">
        <v>376</v>
      </c>
      <c r="AC14" t="s">
        <v>84</v>
      </c>
      <c r="AD14" t="s">
        <v>84</v>
      </c>
      <c r="AE14" t="s">
        <v>84</v>
      </c>
      <c r="AF14" t="s">
        <v>84</v>
      </c>
      <c r="AG14" t="s">
        <v>87</v>
      </c>
      <c r="AI14" t="s">
        <v>84</v>
      </c>
      <c r="AJ14" t="s">
        <v>84</v>
      </c>
      <c r="AK14" t="s">
        <v>84</v>
      </c>
      <c r="AL14" t="s">
        <v>84</v>
      </c>
      <c r="AM14" t="s">
        <v>87</v>
      </c>
      <c r="AO14" t="s">
        <v>87</v>
      </c>
      <c r="AP14" t="s">
        <v>87</v>
      </c>
      <c r="AQ14" t="s">
        <v>84</v>
      </c>
      <c r="AS14" t="s">
        <v>87</v>
      </c>
      <c r="AT14" t="s">
        <v>84</v>
      </c>
      <c r="AU14" t="s">
        <v>377</v>
      </c>
      <c r="AW14" t="s">
        <v>89</v>
      </c>
      <c r="AX14" t="s">
        <v>84</v>
      </c>
      <c r="AY14" t="s">
        <v>84</v>
      </c>
      <c r="AZ14" t="s">
        <v>84</v>
      </c>
      <c r="BA14" t="s">
        <v>87</v>
      </c>
      <c r="BB14" t="s">
        <v>84</v>
      </c>
      <c r="BC14" t="s">
        <v>84</v>
      </c>
      <c r="BD14" t="s">
        <v>378</v>
      </c>
      <c r="BE14" t="s">
        <v>84</v>
      </c>
      <c r="BF14" t="s">
        <v>84</v>
      </c>
      <c r="BH14" t="s">
        <v>87</v>
      </c>
      <c r="BI14" t="s">
        <v>84</v>
      </c>
      <c r="BJ14" t="s">
        <v>84</v>
      </c>
      <c r="BL14" t="s">
        <v>87</v>
      </c>
      <c r="BM14" t="s">
        <v>84</v>
      </c>
      <c r="BN14" t="s">
        <v>84</v>
      </c>
      <c r="BP14" t="s">
        <v>84</v>
      </c>
      <c r="BQ14" t="s">
        <v>84</v>
      </c>
      <c r="BR14" t="s">
        <v>84</v>
      </c>
      <c r="BS14" t="s">
        <v>84</v>
      </c>
      <c r="BT14" t="s">
        <v>87</v>
      </c>
      <c r="BV14" t="s">
        <v>84</v>
      </c>
      <c r="BW14" t="s">
        <v>84</v>
      </c>
      <c r="BX14" t="s">
        <v>84</v>
      </c>
      <c r="BY14" t="s">
        <v>84</v>
      </c>
      <c r="BZ14" t="s">
        <v>87</v>
      </c>
      <c r="CB14" t="s">
        <v>84</v>
      </c>
      <c r="CD14" t="s">
        <v>84</v>
      </c>
    </row>
    <row r="15" spans="1:83" x14ac:dyDescent="0.25">
      <c r="A15" t="s">
        <v>80</v>
      </c>
      <c r="B15" t="s">
        <v>81</v>
      </c>
      <c r="C15" t="s">
        <v>82</v>
      </c>
      <c r="D15" t="s">
        <v>83</v>
      </c>
      <c r="E15" t="s">
        <v>83</v>
      </c>
      <c r="F15" s="1">
        <v>966</v>
      </c>
      <c r="G15" s="1" t="s">
        <v>84</v>
      </c>
      <c r="I15" t="s">
        <v>85</v>
      </c>
      <c r="J15" t="s">
        <v>85</v>
      </c>
      <c r="K15" t="s">
        <v>85</v>
      </c>
      <c r="L15" t="s">
        <v>85</v>
      </c>
      <c r="M15" t="s">
        <v>85</v>
      </c>
      <c r="N15" t="s">
        <v>85</v>
      </c>
      <c r="O15" t="s">
        <v>85</v>
      </c>
      <c r="Q15" t="s">
        <v>84</v>
      </c>
      <c r="R15" t="s">
        <v>84</v>
      </c>
      <c r="T15" t="s">
        <v>86</v>
      </c>
      <c r="U15" t="s">
        <v>87</v>
      </c>
      <c r="V15" t="s">
        <v>87</v>
      </c>
      <c r="W15" t="s">
        <v>87</v>
      </c>
      <c r="Y15" t="s">
        <v>87</v>
      </c>
      <c r="Z15" t="s">
        <v>87</v>
      </c>
      <c r="AA15" t="s">
        <v>87</v>
      </c>
      <c r="AC15" t="s">
        <v>87</v>
      </c>
      <c r="AD15" t="s">
        <v>84</v>
      </c>
      <c r="AE15" t="s">
        <v>87</v>
      </c>
      <c r="AF15" t="s">
        <v>84</v>
      </c>
      <c r="AG15" t="s">
        <v>87</v>
      </c>
      <c r="AI15" t="s">
        <v>84</v>
      </c>
      <c r="AJ15" t="s">
        <v>84</v>
      </c>
      <c r="AK15" t="s">
        <v>84</v>
      </c>
      <c r="AL15" t="s">
        <v>84</v>
      </c>
      <c r="AM15" t="s">
        <v>87</v>
      </c>
      <c r="AO15" t="s">
        <v>87</v>
      </c>
      <c r="AP15" t="s">
        <v>87</v>
      </c>
      <c r="AQ15" t="s">
        <v>87</v>
      </c>
      <c r="AS15" t="s">
        <v>87</v>
      </c>
      <c r="AT15" t="s">
        <v>84</v>
      </c>
      <c r="AU15" t="s">
        <v>88</v>
      </c>
      <c r="AW15" t="s">
        <v>89</v>
      </c>
      <c r="AX15" t="s">
        <v>84</v>
      </c>
      <c r="AY15" t="s">
        <v>84</v>
      </c>
      <c r="AZ15" t="s">
        <v>84</v>
      </c>
      <c r="BA15" t="s">
        <v>87</v>
      </c>
      <c r="BB15" t="s">
        <v>87</v>
      </c>
      <c r="BC15" t="s">
        <v>84</v>
      </c>
      <c r="BE15" t="s">
        <v>84</v>
      </c>
      <c r="BF15" t="s">
        <v>84</v>
      </c>
      <c r="BH15" t="s">
        <v>87</v>
      </c>
      <c r="BI15" t="s">
        <v>84</v>
      </c>
      <c r="BJ15" t="s">
        <v>84</v>
      </c>
      <c r="BL15" t="s">
        <v>87</v>
      </c>
      <c r="BM15" t="s">
        <v>84</v>
      </c>
      <c r="BN15" t="s">
        <v>84</v>
      </c>
      <c r="BP15" t="s">
        <v>84</v>
      </c>
      <c r="BQ15" t="s">
        <v>84</v>
      </c>
      <c r="BR15" t="s">
        <v>84</v>
      </c>
      <c r="BS15" t="s">
        <v>84</v>
      </c>
      <c r="BT15" t="s">
        <v>87</v>
      </c>
      <c r="BV15" t="s">
        <v>87</v>
      </c>
      <c r="BW15" t="s">
        <v>84</v>
      </c>
      <c r="BX15" t="s">
        <v>87</v>
      </c>
      <c r="BY15" t="s">
        <v>84</v>
      </c>
      <c r="BZ15" t="s">
        <v>87</v>
      </c>
      <c r="CB15" t="s">
        <v>84</v>
      </c>
      <c r="CD15" t="s">
        <v>84</v>
      </c>
    </row>
    <row r="16" spans="1:83" x14ac:dyDescent="0.25">
      <c r="A16" t="s">
        <v>161</v>
      </c>
      <c r="B16" t="s">
        <v>162</v>
      </c>
      <c r="C16" t="s">
        <v>163</v>
      </c>
      <c r="D16" t="s">
        <v>109</v>
      </c>
      <c r="E16" t="s">
        <v>1924</v>
      </c>
      <c r="F16" s="1">
        <v>1232</v>
      </c>
      <c r="G16" s="1" t="s">
        <v>94</v>
      </c>
      <c r="H16" t="s">
        <v>164</v>
      </c>
      <c r="I16" t="s">
        <v>84</v>
      </c>
      <c r="J16" t="s">
        <v>84</v>
      </c>
      <c r="K16" t="s">
        <v>84</v>
      </c>
      <c r="L16" t="s">
        <v>84</v>
      </c>
      <c r="M16" t="s">
        <v>84</v>
      </c>
      <c r="N16" t="s">
        <v>84</v>
      </c>
      <c r="O16" t="s">
        <v>87</v>
      </c>
      <c r="Q16" t="s">
        <v>84</v>
      </c>
      <c r="R16" t="s">
        <v>84</v>
      </c>
      <c r="T16" t="s">
        <v>96</v>
      </c>
      <c r="U16" t="s">
        <v>87</v>
      </c>
      <c r="V16" t="s">
        <v>84</v>
      </c>
      <c r="W16" t="s">
        <v>84</v>
      </c>
      <c r="Y16" t="s">
        <v>87</v>
      </c>
      <c r="Z16" t="s">
        <v>84</v>
      </c>
      <c r="AA16" t="s">
        <v>84</v>
      </c>
      <c r="AC16" t="s">
        <v>87</v>
      </c>
      <c r="AD16" t="s">
        <v>84</v>
      </c>
      <c r="AE16" t="s">
        <v>84</v>
      </c>
      <c r="AF16" t="s">
        <v>87</v>
      </c>
      <c r="AG16" t="s">
        <v>87</v>
      </c>
      <c r="AH16" t="s">
        <v>165</v>
      </c>
      <c r="AI16" t="s">
        <v>87</v>
      </c>
      <c r="AJ16" t="s">
        <v>84</v>
      </c>
      <c r="AK16" t="s">
        <v>84</v>
      </c>
      <c r="AL16" t="s">
        <v>84</v>
      </c>
      <c r="AM16" t="s">
        <v>84</v>
      </c>
      <c r="AO16" t="s">
        <v>87</v>
      </c>
      <c r="AP16" t="s">
        <v>87</v>
      </c>
      <c r="AQ16" t="s">
        <v>84</v>
      </c>
      <c r="AS16" t="s">
        <v>84</v>
      </c>
      <c r="AT16" t="s">
        <v>87</v>
      </c>
      <c r="AW16" t="s">
        <v>89</v>
      </c>
      <c r="AX16" t="s">
        <v>84</v>
      </c>
      <c r="AY16" t="s">
        <v>84</v>
      </c>
      <c r="AZ16" t="s">
        <v>84</v>
      </c>
      <c r="BA16" t="s">
        <v>87</v>
      </c>
      <c r="BB16" t="s">
        <v>84</v>
      </c>
      <c r="BC16" t="s">
        <v>87</v>
      </c>
      <c r="BE16" t="s">
        <v>84</v>
      </c>
      <c r="BF16" t="s">
        <v>84</v>
      </c>
      <c r="BH16" t="s">
        <v>87</v>
      </c>
      <c r="BI16" t="s">
        <v>84</v>
      </c>
      <c r="BJ16" t="s">
        <v>84</v>
      </c>
      <c r="BL16" t="s">
        <v>87</v>
      </c>
      <c r="BM16" t="s">
        <v>84</v>
      </c>
      <c r="BN16" t="s">
        <v>84</v>
      </c>
      <c r="BP16" t="s">
        <v>87</v>
      </c>
      <c r="BQ16" t="s">
        <v>84</v>
      </c>
      <c r="BR16" t="s">
        <v>84</v>
      </c>
      <c r="BS16" t="s">
        <v>84</v>
      </c>
      <c r="BT16" t="s">
        <v>84</v>
      </c>
      <c r="BV16" t="s">
        <v>87</v>
      </c>
      <c r="BW16" t="s">
        <v>84</v>
      </c>
      <c r="BX16" t="s">
        <v>84</v>
      </c>
      <c r="BY16" t="s">
        <v>84</v>
      </c>
      <c r="BZ16" t="s">
        <v>84</v>
      </c>
      <c r="CA16" t="s">
        <v>166</v>
      </c>
      <c r="CB16" t="s">
        <v>84</v>
      </c>
      <c r="CD16" t="s">
        <v>84</v>
      </c>
    </row>
    <row r="17" spans="1:83" x14ac:dyDescent="0.25">
      <c r="A17" t="s">
        <v>206</v>
      </c>
      <c r="B17" t="s">
        <v>207</v>
      </c>
      <c r="C17" t="s">
        <v>208</v>
      </c>
      <c r="D17" t="s">
        <v>156</v>
      </c>
      <c r="E17" t="s">
        <v>1928</v>
      </c>
      <c r="F17" s="1">
        <v>1260</v>
      </c>
      <c r="G17" s="1" t="s">
        <v>94</v>
      </c>
      <c r="H17" t="s">
        <v>209</v>
      </c>
      <c r="I17" t="s">
        <v>87</v>
      </c>
      <c r="J17" t="s">
        <v>84</v>
      </c>
      <c r="K17" t="s">
        <v>84</v>
      </c>
      <c r="L17" t="s">
        <v>84</v>
      </c>
      <c r="M17" t="s">
        <v>87</v>
      </c>
      <c r="N17" t="s">
        <v>84</v>
      </c>
      <c r="O17" t="s">
        <v>84</v>
      </c>
      <c r="Q17" t="s">
        <v>84</v>
      </c>
      <c r="T17" t="s">
        <v>86</v>
      </c>
      <c r="U17" t="s">
        <v>87</v>
      </c>
      <c r="V17" t="s">
        <v>87</v>
      </c>
      <c r="W17" t="s">
        <v>87</v>
      </c>
      <c r="Y17" t="s">
        <v>87</v>
      </c>
      <c r="Z17" t="s">
        <v>87</v>
      </c>
      <c r="AA17" t="s">
        <v>84</v>
      </c>
      <c r="AC17" t="s">
        <v>87</v>
      </c>
      <c r="AD17" t="s">
        <v>84</v>
      </c>
      <c r="AE17" t="s">
        <v>87</v>
      </c>
      <c r="AF17" t="s">
        <v>87</v>
      </c>
      <c r="AG17" t="s">
        <v>84</v>
      </c>
      <c r="AI17" t="s">
        <v>87</v>
      </c>
      <c r="AJ17" t="s">
        <v>84</v>
      </c>
      <c r="AK17" t="s">
        <v>87</v>
      </c>
      <c r="AL17" t="s">
        <v>84</v>
      </c>
      <c r="AM17" t="s">
        <v>84</v>
      </c>
      <c r="AO17" t="s">
        <v>87</v>
      </c>
      <c r="AP17" t="s">
        <v>87</v>
      </c>
      <c r="AQ17" t="s">
        <v>84</v>
      </c>
      <c r="AS17" t="s">
        <v>87</v>
      </c>
      <c r="AT17" t="s">
        <v>84</v>
      </c>
      <c r="AU17" t="s">
        <v>210</v>
      </c>
      <c r="AW17" t="s">
        <v>89</v>
      </c>
      <c r="AX17" t="s">
        <v>87</v>
      </c>
      <c r="AY17" t="s">
        <v>87</v>
      </c>
      <c r="AZ17" t="s">
        <v>87</v>
      </c>
      <c r="BA17" t="s">
        <v>84</v>
      </c>
      <c r="BB17" t="s">
        <v>84</v>
      </c>
      <c r="BC17" t="s">
        <v>84</v>
      </c>
      <c r="BD17" t="s">
        <v>211</v>
      </c>
      <c r="BE17" t="s">
        <v>84</v>
      </c>
      <c r="BF17" t="s">
        <v>84</v>
      </c>
      <c r="BH17" t="s">
        <v>87</v>
      </c>
      <c r="BI17" t="s">
        <v>84</v>
      </c>
      <c r="BJ17" t="s">
        <v>84</v>
      </c>
      <c r="BL17" t="s">
        <v>87</v>
      </c>
      <c r="BM17" t="s">
        <v>87</v>
      </c>
      <c r="BN17" t="s">
        <v>84</v>
      </c>
      <c r="BP17" t="s">
        <v>87</v>
      </c>
      <c r="BQ17" t="s">
        <v>84</v>
      </c>
      <c r="BR17" t="s">
        <v>87</v>
      </c>
      <c r="BS17" t="s">
        <v>84</v>
      </c>
      <c r="BT17" t="s">
        <v>84</v>
      </c>
      <c r="BV17" t="s">
        <v>87</v>
      </c>
      <c r="BW17" t="s">
        <v>84</v>
      </c>
      <c r="BX17" t="s">
        <v>84</v>
      </c>
      <c r="BY17" t="s">
        <v>84</v>
      </c>
      <c r="BZ17" t="s">
        <v>87</v>
      </c>
      <c r="CB17" t="s">
        <v>84</v>
      </c>
      <c r="CD17" t="s">
        <v>84</v>
      </c>
    </row>
    <row r="18" spans="1:83" x14ac:dyDescent="0.25">
      <c r="A18" t="s">
        <v>354</v>
      </c>
      <c r="B18" t="s">
        <v>355</v>
      </c>
      <c r="C18" t="s">
        <v>356</v>
      </c>
      <c r="D18" t="s">
        <v>204</v>
      </c>
      <c r="E18" t="s">
        <v>1926</v>
      </c>
      <c r="F18" s="1">
        <v>1450</v>
      </c>
      <c r="G18" s="1" t="s">
        <v>94</v>
      </c>
      <c r="H18" t="s">
        <v>95</v>
      </c>
      <c r="I18" t="s">
        <v>87</v>
      </c>
      <c r="J18" t="s">
        <v>84</v>
      </c>
      <c r="K18" t="s">
        <v>87</v>
      </c>
      <c r="L18" t="s">
        <v>87</v>
      </c>
      <c r="M18" t="s">
        <v>87</v>
      </c>
      <c r="N18" t="s">
        <v>84</v>
      </c>
      <c r="O18" t="s">
        <v>84</v>
      </c>
      <c r="Q18" t="s">
        <v>84</v>
      </c>
      <c r="T18" t="s">
        <v>86</v>
      </c>
      <c r="U18" t="s">
        <v>87</v>
      </c>
      <c r="V18" t="s">
        <v>87</v>
      </c>
      <c r="W18" t="s">
        <v>84</v>
      </c>
      <c r="Y18" t="s">
        <v>87</v>
      </c>
      <c r="Z18" t="s">
        <v>87</v>
      </c>
      <c r="AA18" t="s">
        <v>84</v>
      </c>
      <c r="AC18" t="s">
        <v>87</v>
      </c>
      <c r="AD18" t="s">
        <v>84</v>
      </c>
      <c r="AE18" t="s">
        <v>84</v>
      </c>
      <c r="AF18" t="s">
        <v>84</v>
      </c>
      <c r="AG18" t="s">
        <v>87</v>
      </c>
      <c r="AI18" t="s">
        <v>84</v>
      </c>
      <c r="AJ18" t="s">
        <v>84</v>
      </c>
      <c r="AK18" t="s">
        <v>84</v>
      </c>
      <c r="AL18" t="s">
        <v>84</v>
      </c>
      <c r="AM18" t="s">
        <v>87</v>
      </c>
      <c r="AO18" t="s">
        <v>87</v>
      </c>
      <c r="AP18" t="s">
        <v>87</v>
      </c>
      <c r="AQ18" t="s">
        <v>84</v>
      </c>
      <c r="AS18" t="s">
        <v>87</v>
      </c>
      <c r="AT18" t="s">
        <v>84</v>
      </c>
      <c r="AU18" t="s">
        <v>357</v>
      </c>
      <c r="AW18" t="s">
        <v>89</v>
      </c>
      <c r="AX18" t="s">
        <v>87</v>
      </c>
      <c r="AY18" t="s">
        <v>87</v>
      </c>
      <c r="AZ18" t="s">
        <v>87</v>
      </c>
      <c r="BA18" t="s">
        <v>84</v>
      </c>
      <c r="BB18" t="s">
        <v>84</v>
      </c>
      <c r="BC18" t="s">
        <v>84</v>
      </c>
      <c r="BD18" t="s">
        <v>358</v>
      </c>
      <c r="BE18" t="s">
        <v>84</v>
      </c>
      <c r="BF18" t="s">
        <v>84</v>
      </c>
      <c r="BH18" t="s">
        <v>87</v>
      </c>
      <c r="BI18" t="s">
        <v>84</v>
      </c>
      <c r="BJ18" t="s">
        <v>84</v>
      </c>
      <c r="BL18" t="s">
        <v>87</v>
      </c>
      <c r="BM18" t="s">
        <v>84</v>
      </c>
      <c r="BN18" t="s">
        <v>84</v>
      </c>
      <c r="BP18" t="s">
        <v>84</v>
      </c>
      <c r="BQ18" t="s">
        <v>84</v>
      </c>
      <c r="BR18" t="s">
        <v>84</v>
      </c>
      <c r="BS18" t="s">
        <v>84</v>
      </c>
      <c r="BT18" t="s">
        <v>87</v>
      </c>
      <c r="BV18" t="s">
        <v>87</v>
      </c>
      <c r="BW18" t="s">
        <v>84</v>
      </c>
      <c r="BX18" t="s">
        <v>84</v>
      </c>
      <c r="BY18" t="s">
        <v>84</v>
      </c>
      <c r="BZ18" t="s">
        <v>87</v>
      </c>
      <c r="CB18" t="s">
        <v>84</v>
      </c>
      <c r="CD18" t="s">
        <v>84</v>
      </c>
    </row>
    <row r="19" spans="1:83" x14ac:dyDescent="0.25">
      <c r="A19" t="s">
        <v>1618</v>
      </c>
      <c r="B19" t="s">
        <v>1619</v>
      </c>
      <c r="C19" t="s">
        <v>1620</v>
      </c>
      <c r="D19" t="s">
        <v>952</v>
      </c>
      <c r="E19" t="s">
        <v>1924</v>
      </c>
      <c r="F19" s="1">
        <v>1650</v>
      </c>
      <c r="G19" s="1" t="s">
        <v>84</v>
      </c>
      <c r="I19" t="s">
        <v>85</v>
      </c>
      <c r="J19" t="s">
        <v>85</v>
      </c>
      <c r="K19" t="s">
        <v>85</v>
      </c>
      <c r="L19" t="s">
        <v>85</v>
      </c>
      <c r="M19" t="s">
        <v>85</v>
      </c>
      <c r="N19" t="s">
        <v>85</v>
      </c>
      <c r="O19" t="s">
        <v>85</v>
      </c>
      <c r="Q19" t="s">
        <v>84</v>
      </c>
      <c r="T19" t="s">
        <v>96</v>
      </c>
      <c r="U19" t="s">
        <v>87</v>
      </c>
      <c r="V19" t="s">
        <v>84</v>
      </c>
      <c r="W19" t="s">
        <v>84</v>
      </c>
      <c r="X19" t="s">
        <v>112</v>
      </c>
      <c r="Y19" t="s">
        <v>84</v>
      </c>
      <c r="Z19" t="s">
        <v>84</v>
      </c>
      <c r="AA19" t="s">
        <v>84</v>
      </c>
      <c r="AB19" t="s">
        <v>112</v>
      </c>
      <c r="AC19" t="s">
        <v>84</v>
      </c>
      <c r="AD19" t="s">
        <v>87</v>
      </c>
      <c r="AE19" t="s">
        <v>84</v>
      </c>
      <c r="AF19" t="s">
        <v>84</v>
      </c>
      <c r="AG19" t="s">
        <v>87</v>
      </c>
      <c r="AH19" t="s">
        <v>1201</v>
      </c>
      <c r="AI19" t="s">
        <v>87</v>
      </c>
      <c r="AJ19" t="s">
        <v>84</v>
      </c>
      <c r="AK19" t="s">
        <v>84</v>
      </c>
      <c r="AL19" t="s">
        <v>84</v>
      </c>
      <c r="AM19" t="s">
        <v>84</v>
      </c>
      <c r="AO19" t="s">
        <v>84</v>
      </c>
      <c r="AP19" t="s">
        <v>87</v>
      </c>
      <c r="AQ19" t="s">
        <v>84</v>
      </c>
      <c r="AS19" t="s">
        <v>87</v>
      </c>
      <c r="AT19" t="s">
        <v>84</v>
      </c>
      <c r="AU19" t="s">
        <v>1621</v>
      </c>
      <c r="AW19" t="s">
        <v>89</v>
      </c>
      <c r="AX19" t="s">
        <v>84</v>
      </c>
      <c r="AY19" t="s">
        <v>84</v>
      </c>
      <c r="AZ19" t="s">
        <v>84</v>
      </c>
      <c r="BA19" t="s">
        <v>87</v>
      </c>
      <c r="BB19" t="s">
        <v>84</v>
      </c>
      <c r="BC19" t="s">
        <v>84</v>
      </c>
      <c r="BD19" t="s">
        <v>224</v>
      </c>
      <c r="BE19" t="s">
        <v>84</v>
      </c>
      <c r="BF19" t="s">
        <v>84</v>
      </c>
      <c r="BH19" t="s">
        <v>87</v>
      </c>
      <c r="BI19" t="s">
        <v>84</v>
      </c>
      <c r="BJ19" t="s">
        <v>84</v>
      </c>
      <c r="BL19" t="s">
        <v>87</v>
      </c>
      <c r="BM19" t="s">
        <v>84</v>
      </c>
      <c r="BN19" t="s">
        <v>84</v>
      </c>
      <c r="BP19" t="s">
        <v>87</v>
      </c>
      <c r="BQ19" t="s">
        <v>84</v>
      </c>
      <c r="BR19" t="s">
        <v>84</v>
      </c>
      <c r="BS19" t="s">
        <v>84</v>
      </c>
      <c r="BT19" t="s">
        <v>84</v>
      </c>
      <c r="BV19" t="s">
        <v>84</v>
      </c>
      <c r="BW19" t="s">
        <v>84</v>
      </c>
      <c r="BX19" t="s">
        <v>84</v>
      </c>
      <c r="BY19" t="s">
        <v>84</v>
      </c>
      <c r="BZ19" t="s">
        <v>87</v>
      </c>
      <c r="CB19" t="s">
        <v>84</v>
      </c>
      <c r="CD19" t="s">
        <v>84</v>
      </c>
    </row>
    <row r="20" spans="1:83" x14ac:dyDescent="0.25">
      <c r="A20" t="s">
        <v>945</v>
      </c>
      <c r="B20" t="s">
        <v>946</v>
      </c>
      <c r="C20" t="s">
        <v>947</v>
      </c>
      <c r="D20" t="s">
        <v>204</v>
      </c>
      <c r="E20" t="s">
        <v>1926</v>
      </c>
      <c r="F20" s="1">
        <v>1800</v>
      </c>
      <c r="G20" s="1" t="s">
        <v>84</v>
      </c>
      <c r="I20" t="s">
        <v>85</v>
      </c>
      <c r="J20" t="s">
        <v>85</v>
      </c>
      <c r="K20" t="s">
        <v>85</v>
      </c>
      <c r="L20" t="s">
        <v>85</v>
      </c>
      <c r="M20" t="s">
        <v>85</v>
      </c>
      <c r="N20" t="s">
        <v>85</v>
      </c>
      <c r="O20" t="s">
        <v>85</v>
      </c>
      <c r="Q20" t="s">
        <v>84</v>
      </c>
      <c r="T20" t="s">
        <v>96</v>
      </c>
      <c r="U20" t="s">
        <v>87</v>
      </c>
      <c r="V20" t="s">
        <v>87</v>
      </c>
      <c r="W20" t="s">
        <v>84</v>
      </c>
      <c r="Y20" t="s">
        <v>87</v>
      </c>
      <c r="Z20" t="s">
        <v>87</v>
      </c>
      <c r="AA20" t="s">
        <v>84</v>
      </c>
      <c r="AC20" t="s">
        <v>87</v>
      </c>
      <c r="AD20" t="s">
        <v>84</v>
      </c>
      <c r="AE20" t="s">
        <v>84</v>
      </c>
      <c r="AF20" t="s">
        <v>84</v>
      </c>
      <c r="AG20" t="s">
        <v>87</v>
      </c>
      <c r="AI20" t="s">
        <v>84</v>
      </c>
      <c r="AJ20" t="s">
        <v>84</v>
      </c>
      <c r="AK20" t="s">
        <v>84</v>
      </c>
      <c r="AL20" t="s">
        <v>84</v>
      </c>
      <c r="AM20" t="s">
        <v>87</v>
      </c>
      <c r="AO20" t="s">
        <v>87</v>
      </c>
      <c r="AP20" t="s">
        <v>87</v>
      </c>
      <c r="AQ20" t="s">
        <v>87</v>
      </c>
      <c r="AS20" t="s">
        <v>87</v>
      </c>
      <c r="AT20" t="s">
        <v>84</v>
      </c>
      <c r="AU20" t="s">
        <v>948</v>
      </c>
      <c r="AW20" t="s">
        <v>89</v>
      </c>
      <c r="AX20" t="s">
        <v>84</v>
      </c>
      <c r="AY20" t="s">
        <v>84</v>
      </c>
      <c r="AZ20" t="s">
        <v>87</v>
      </c>
      <c r="BA20" t="s">
        <v>84</v>
      </c>
      <c r="BB20" t="s">
        <v>84</v>
      </c>
      <c r="BC20" t="s">
        <v>87</v>
      </c>
      <c r="BE20" t="s">
        <v>84</v>
      </c>
      <c r="BF20" t="s">
        <v>84</v>
      </c>
      <c r="BH20" t="s">
        <v>87</v>
      </c>
      <c r="BI20" t="s">
        <v>84</v>
      </c>
      <c r="BJ20" t="s">
        <v>84</v>
      </c>
      <c r="BL20" t="s">
        <v>87</v>
      </c>
      <c r="BM20" t="s">
        <v>84</v>
      </c>
      <c r="BN20" t="s">
        <v>84</v>
      </c>
      <c r="BP20" t="s">
        <v>84</v>
      </c>
      <c r="BQ20" t="s">
        <v>84</v>
      </c>
      <c r="BR20" t="s">
        <v>84</v>
      </c>
      <c r="BS20" t="s">
        <v>84</v>
      </c>
      <c r="BT20" t="s">
        <v>87</v>
      </c>
      <c r="BV20" t="s">
        <v>84</v>
      </c>
      <c r="BW20" t="s">
        <v>84</v>
      </c>
      <c r="BX20" t="s">
        <v>84</v>
      </c>
      <c r="BY20" t="s">
        <v>84</v>
      </c>
      <c r="BZ20" t="s">
        <v>87</v>
      </c>
      <c r="CB20" t="s">
        <v>84</v>
      </c>
      <c r="CD20" t="s">
        <v>84</v>
      </c>
    </row>
    <row r="21" spans="1:83" x14ac:dyDescent="0.25">
      <c r="A21" t="s">
        <v>305</v>
      </c>
      <c r="B21" t="s">
        <v>306</v>
      </c>
      <c r="C21" t="s">
        <v>307</v>
      </c>
      <c r="D21" t="s">
        <v>137</v>
      </c>
      <c r="E21" t="s">
        <v>1926</v>
      </c>
      <c r="F21" s="1">
        <v>1920</v>
      </c>
      <c r="G21" s="1" t="s">
        <v>94</v>
      </c>
      <c r="H21" t="s">
        <v>308</v>
      </c>
      <c r="I21" t="s">
        <v>87</v>
      </c>
      <c r="J21" t="s">
        <v>84</v>
      </c>
      <c r="K21" t="s">
        <v>84</v>
      </c>
      <c r="L21" t="s">
        <v>84</v>
      </c>
      <c r="M21" t="s">
        <v>84</v>
      </c>
      <c r="N21" t="s">
        <v>84</v>
      </c>
      <c r="O21" t="s">
        <v>84</v>
      </c>
      <c r="Q21" t="s">
        <v>84</v>
      </c>
      <c r="T21" t="s">
        <v>86</v>
      </c>
      <c r="U21" t="s">
        <v>87</v>
      </c>
      <c r="V21" t="s">
        <v>84</v>
      </c>
      <c r="W21" t="s">
        <v>84</v>
      </c>
      <c r="Y21" t="s">
        <v>87</v>
      </c>
      <c r="Z21" t="s">
        <v>87</v>
      </c>
      <c r="AA21" t="s">
        <v>84</v>
      </c>
      <c r="AC21" t="s">
        <v>84</v>
      </c>
      <c r="AD21" t="s">
        <v>84</v>
      </c>
      <c r="AE21" t="s">
        <v>84</v>
      </c>
      <c r="AF21" t="s">
        <v>84</v>
      </c>
      <c r="AG21" t="s">
        <v>84</v>
      </c>
      <c r="AH21" t="s">
        <v>309</v>
      </c>
      <c r="AI21" t="s">
        <v>87</v>
      </c>
      <c r="AJ21" t="s">
        <v>84</v>
      </c>
      <c r="AK21" t="s">
        <v>84</v>
      </c>
      <c r="AL21" t="s">
        <v>84</v>
      </c>
      <c r="AM21" t="s">
        <v>84</v>
      </c>
      <c r="AO21" t="s">
        <v>84</v>
      </c>
      <c r="AP21" t="s">
        <v>87</v>
      </c>
      <c r="AQ21" t="s">
        <v>84</v>
      </c>
      <c r="AS21" t="s">
        <v>87</v>
      </c>
      <c r="AT21" t="s">
        <v>84</v>
      </c>
      <c r="AU21" t="s">
        <v>310</v>
      </c>
      <c r="AW21" t="s">
        <v>89</v>
      </c>
      <c r="AX21" t="s">
        <v>87</v>
      </c>
      <c r="AY21" t="s">
        <v>84</v>
      </c>
      <c r="AZ21" t="s">
        <v>84</v>
      </c>
      <c r="BA21" t="s">
        <v>84</v>
      </c>
      <c r="BB21" t="s">
        <v>84</v>
      </c>
      <c r="BC21" t="s">
        <v>84</v>
      </c>
      <c r="BD21" t="s">
        <v>311</v>
      </c>
      <c r="BE21" t="s">
        <v>84</v>
      </c>
      <c r="BF21" t="s">
        <v>84</v>
      </c>
      <c r="BH21" t="s">
        <v>87</v>
      </c>
      <c r="BI21" t="s">
        <v>84</v>
      </c>
      <c r="BJ21" t="s">
        <v>84</v>
      </c>
      <c r="BL21" t="s">
        <v>87</v>
      </c>
      <c r="BM21" t="s">
        <v>87</v>
      </c>
      <c r="BN21" t="s">
        <v>84</v>
      </c>
      <c r="BP21" t="s">
        <v>87</v>
      </c>
      <c r="BQ21" t="s">
        <v>84</v>
      </c>
      <c r="BR21" t="s">
        <v>84</v>
      </c>
      <c r="BS21" t="s">
        <v>84</v>
      </c>
      <c r="BT21" t="s">
        <v>84</v>
      </c>
      <c r="BV21" t="s">
        <v>87</v>
      </c>
      <c r="BW21" t="s">
        <v>84</v>
      </c>
      <c r="BX21" t="s">
        <v>84</v>
      </c>
      <c r="BY21" t="s">
        <v>84</v>
      </c>
      <c r="BZ21" t="s">
        <v>84</v>
      </c>
      <c r="CB21" t="s">
        <v>84</v>
      </c>
      <c r="CD21" t="s">
        <v>84</v>
      </c>
    </row>
    <row r="22" spans="1:83" x14ac:dyDescent="0.25">
      <c r="A22" t="s">
        <v>731</v>
      </c>
      <c r="B22" t="s">
        <v>732</v>
      </c>
      <c r="C22" t="s">
        <v>733</v>
      </c>
      <c r="D22" t="s">
        <v>734</v>
      </c>
      <c r="E22" t="s">
        <v>734</v>
      </c>
      <c r="F22" s="1">
        <v>2666</v>
      </c>
      <c r="G22" s="1" t="s">
        <v>94</v>
      </c>
      <c r="H22" t="s">
        <v>735</v>
      </c>
      <c r="I22" t="s">
        <v>87</v>
      </c>
      <c r="J22" t="s">
        <v>87</v>
      </c>
      <c r="K22" t="s">
        <v>87</v>
      </c>
      <c r="L22" t="s">
        <v>87</v>
      </c>
      <c r="M22" t="s">
        <v>87</v>
      </c>
      <c r="N22" t="s">
        <v>87</v>
      </c>
      <c r="O22" t="s">
        <v>87</v>
      </c>
      <c r="Q22" t="s">
        <v>84</v>
      </c>
      <c r="R22" t="s">
        <v>84</v>
      </c>
      <c r="T22" t="s">
        <v>86</v>
      </c>
      <c r="U22" t="s">
        <v>87</v>
      </c>
      <c r="V22" t="s">
        <v>87</v>
      </c>
      <c r="W22" t="s">
        <v>84</v>
      </c>
      <c r="Y22" t="s">
        <v>87</v>
      </c>
      <c r="Z22" t="s">
        <v>87</v>
      </c>
      <c r="AA22" t="s">
        <v>84</v>
      </c>
      <c r="AB22" t="s">
        <v>736</v>
      </c>
      <c r="AC22" t="s">
        <v>87</v>
      </c>
      <c r="AD22" t="s">
        <v>87</v>
      </c>
      <c r="AE22" t="s">
        <v>84</v>
      </c>
      <c r="AF22" t="s">
        <v>84</v>
      </c>
      <c r="AG22" t="s">
        <v>87</v>
      </c>
      <c r="AI22" t="s">
        <v>84</v>
      </c>
      <c r="AJ22" t="s">
        <v>84</v>
      </c>
      <c r="AK22" t="s">
        <v>84</v>
      </c>
      <c r="AL22" t="s">
        <v>87</v>
      </c>
      <c r="AM22" t="s">
        <v>84</v>
      </c>
      <c r="AO22" t="s">
        <v>87</v>
      </c>
      <c r="AP22" t="s">
        <v>87</v>
      </c>
      <c r="AQ22" t="s">
        <v>87</v>
      </c>
      <c r="AS22" t="s">
        <v>87</v>
      </c>
      <c r="AT22" t="s">
        <v>84</v>
      </c>
      <c r="AU22" t="s">
        <v>737</v>
      </c>
      <c r="AW22" t="s">
        <v>89</v>
      </c>
      <c r="AX22" t="s">
        <v>87</v>
      </c>
      <c r="AY22" t="s">
        <v>87</v>
      </c>
      <c r="AZ22" t="s">
        <v>87</v>
      </c>
      <c r="BA22" t="s">
        <v>84</v>
      </c>
      <c r="BB22" t="s">
        <v>87</v>
      </c>
      <c r="BC22" t="s">
        <v>84</v>
      </c>
      <c r="BD22" t="s">
        <v>738</v>
      </c>
      <c r="BE22" t="s">
        <v>84</v>
      </c>
      <c r="BF22" t="s">
        <v>84</v>
      </c>
      <c r="BH22" t="s">
        <v>87</v>
      </c>
      <c r="BI22" t="s">
        <v>84</v>
      </c>
      <c r="BJ22" t="s">
        <v>84</v>
      </c>
      <c r="BL22" t="s">
        <v>87</v>
      </c>
      <c r="BM22" t="s">
        <v>84</v>
      </c>
      <c r="BN22" t="s">
        <v>84</v>
      </c>
      <c r="BP22" t="s">
        <v>84</v>
      </c>
      <c r="BQ22" t="s">
        <v>84</v>
      </c>
      <c r="BR22" t="s">
        <v>84</v>
      </c>
      <c r="BS22" t="s">
        <v>87</v>
      </c>
      <c r="BT22" t="s">
        <v>84</v>
      </c>
      <c r="BV22" t="s">
        <v>87</v>
      </c>
      <c r="BW22" t="s">
        <v>87</v>
      </c>
      <c r="BX22" t="s">
        <v>84</v>
      </c>
      <c r="BY22" t="s">
        <v>84</v>
      </c>
      <c r="BZ22" t="s">
        <v>87</v>
      </c>
      <c r="CB22" t="s">
        <v>94</v>
      </c>
      <c r="CC22" t="s">
        <v>739</v>
      </c>
      <c r="CD22" t="s">
        <v>84</v>
      </c>
    </row>
    <row r="23" spans="1:83" x14ac:dyDescent="0.25">
      <c r="A23" t="s">
        <v>1355</v>
      </c>
      <c r="B23" t="s">
        <v>1356</v>
      </c>
      <c r="C23" t="s">
        <v>1357</v>
      </c>
      <c r="D23" t="s">
        <v>222</v>
      </c>
      <c r="E23" t="s">
        <v>222</v>
      </c>
      <c r="F23" s="1">
        <v>2737</v>
      </c>
      <c r="G23" s="1" t="s">
        <v>94</v>
      </c>
      <c r="H23" t="s">
        <v>1358</v>
      </c>
      <c r="I23" t="s">
        <v>87</v>
      </c>
      <c r="J23" t="s">
        <v>84</v>
      </c>
      <c r="K23" t="s">
        <v>84</v>
      </c>
      <c r="L23" t="s">
        <v>87</v>
      </c>
      <c r="M23" t="s">
        <v>87</v>
      </c>
      <c r="N23" t="s">
        <v>87</v>
      </c>
      <c r="O23" t="s">
        <v>84</v>
      </c>
      <c r="Q23" t="s">
        <v>84</v>
      </c>
      <c r="T23" t="s">
        <v>96</v>
      </c>
      <c r="U23" t="s">
        <v>87</v>
      </c>
      <c r="V23" t="s">
        <v>84</v>
      </c>
      <c r="W23" t="s">
        <v>84</v>
      </c>
      <c r="Y23" t="s">
        <v>87</v>
      </c>
      <c r="Z23" t="s">
        <v>84</v>
      </c>
      <c r="AA23" t="s">
        <v>84</v>
      </c>
      <c r="AB23" t="s">
        <v>580</v>
      </c>
      <c r="AC23" t="s">
        <v>87</v>
      </c>
      <c r="AD23" t="s">
        <v>84</v>
      </c>
      <c r="AE23" t="s">
        <v>84</v>
      </c>
      <c r="AF23" t="s">
        <v>84</v>
      </c>
      <c r="AG23" t="s">
        <v>84</v>
      </c>
      <c r="AH23" t="s">
        <v>1359</v>
      </c>
      <c r="AI23" t="s">
        <v>87</v>
      </c>
      <c r="AJ23" t="s">
        <v>84</v>
      </c>
      <c r="AK23" t="s">
        <v>84</v>
      </c>
      <c r="AL23" t="s">
        <v>84</v>
      </c>
      <c r="AM23" t="s">
        <v>84</v>
      </c>
      <c r="AO23" t="s">
        <v>87</v>
      </c>
      <c r="AP23" t="s">
        <v>87</v>
      </c>
      <c r="AQ23" t="s">
        <v>84</v>
      </c>
      <c r="AS23" t="s">
        <v>87</v>
      </c>
      <c r="AT23" t="s">
        <v>84</v>
      </c>
      <c r="AU23" t="s">
        <v>1360</v>
      </c>
      <c r="AW23" t="s">
        <v>89</v>
      </c>
      <c r="AX23" t="s">
        <v>87</v>
      </c>
      <c r="AY23" t="s">
        <v>84</v>
      </c>
      <c r="AZ23" t="s">
        <v>84</v>
      </c>
      <c r="BA23" t="s">
        <v>84</v>
      </c>
      <c r="BB23" t="s">
        <v>84</v>
      </c>
      <c r="BC23" t="s">
        <v>84</v>
      </c>
      <c r="BD23" t="s">
        <v>1361</v>
      </c>
      <c r="BE23" t="s">
        <v>84</v>
      </c>
      <c r="BF23" t="s">
        <v>84</v>
      </c>
      <c r="BH23" t="s">
        <v>87</v>
      </c>
      <c r="BI23" t="s">
        <v>84</v>
      </c>
      <c r="BJ23" t="s">
        <v>84</v>
      </c>
      <c r="BL23" t="s">
        <v>87</v>
      </c>
      <c r="BM23" t="s">
        <v>84</v>
      </c>
      <c r="BN23" t="s">
        <v>84</v>
      </c>
      <c r="BO23" t="s">
        <v>1362</v>
      </c>
      <c r="BP23" t="s">
        <v>87</v>
      </c>
      <c r="BQ23" t="s">
        <v>84</v>
      </c>
      <c r="BR23" t="s">
        <v>87</v>
      </c>
      <c r="BS23" t="s">
        <v>84</v>
      </c>
      <c r="BT23" t="s">
        <v>84</v>
      </c>
      <c r="BV23" t="s">
        <v>87</v>
      </c>
      <c r="BW23" t="s">
        <v>84</v>
      </c>
      <c r="BX23" t="s">
        <v>84</v>
      </c>
      <c r="BY23" t="s">
        <v>84</v>
      </c>
      <c r="BZ23" t="s">
        <v>87</v>
      </c>
      <c r="CB23" t="s">
        <v>84</v>
      </c>
      <c r="CD23" t="s">
        <v>84</v>
      </c>
    </row>
    <row r="24" spans="1:83" x14ac:dyDescent="0.25">
      <c r="A24" t="s">
        <v>700</v>
      </c>
      <c r="B24" t="s">
        <v>701</v>
      </c>
      <c r="C24" t="s">
        <v>702</v>
      </c>
      <c r="D24" t="s">
        <v>284</v>
      </c>
      <c r="E24" t="s">
        <v>1928</v>
      </c>
      <c r="F24" s="1">
        <v>2970</v>
      </c>
      <c r="G24" s="1" t="s">
        <v>94</v>
      </c>
      <c r="H24" t="s">
        <v>703</v>
      </c>
      <c r="I24" t="s">
        <v>87</v>
      </c>
      <c r="J24" t="s">
        <v>84</v>
      </c>
      <c r="K24" t="s">
        <v>84</v>
      </c>
      <c r="L24" t="s">
        <v>84</v>
      </c>
      <c r="M24" t="s">
        <v>84</v>
      </c>
      <c r="N24" t="s">
        <v>84</v>
      </c>
      <c r="O24" t="s">
        <v>87</v>
      </c>
      <c r="Q24" t="s">
        <v>84</v>
      </c>
      <c r="T24" t="s">
        <v>86</v>
      </c>
      <c r="U24" t="s">
        <v>87</v>
      </c>
      <c r="V24" t="s">
        <v>87</v>
      </c>
      <c r="W24" t="s">
        <v>87</v>
      </c>
      <c r="Y24" t="s">
        <v>87</v>
      </c>
      <c r="Z24" t="s">
        <v>87</v>
      </c>
      <c r="AA24" t="s">
        <v>87</v>
      </c>
      <c r="AB24" t="s">
        <v>704</v>
      </c>
      <c r="AC24" t="s">
        <v>87</v>
      </c>
      <c r="AD24" t="s">
        <v>84</v>
      </c>
      <c r="AE24" t="s">
        <v>84</v>
      </c>
      <c r="AF24" t="s">
        <v>84</v>
      </c>
      <c r="AG24" t="s">
        <v>87</v>
      </c>
      <c r="AI24" t="s">
        <v>84</v>
      </c>
      <c r="AJ24" t="s">
        <v>84</v>
      </c>
      <c r="AK24" t="s">
        <v>84</v>
      </c>
      <c r="AL24" t="s">
        <v>84</v>
      </c>
      <c r="AM24" t="s">
        <v>87</v>
      </c>
      <c r="AO24" t="s">
        <v>84</v>
      </c>
      <c r="AP24" t="s">
        <v>87</v>
      </c>
      <c r="AQ24" t="s">
        <v>84</v>
      </c>
      <c r="AS24" t="s">
        <v>87</v>
      </c>
      <c r="AT24" t="s">
        <v>84</v>
      </c>
      <c r="AU24" t="s">
        <v>705</v>
      </c>
      <c r="AW24" t="s">
        <v>89</v>
      </c>
      <c r="AX24" t="s">
        <v>84</v>
      </c>
      <c r="AY24" t="s">
        <v>84</v>
      </c>
      <c r="AZ24" t="s">
        <v>84</v>
      </c>
      <c r="BA24" t="s">
        <v>87</v>
      </c>
      <c r="BB24" t="s">
        <v>84</v>
      </c>
      <c r="BC24" t="s">
        <v>84</v>
      </c>
      <c r="BD24" t="s">
        <v>706</v>
      </c>
      <c r="BE24" t="s">
        <v>84</v>
      </c>
      <c r="BF24" t="s">
        <v>84</v>
      </c>
      <c r="BH24" t="s">
        <v>87</v>
      </c>
      <c r="BI24" t="s">
        <v>84</v>
      </c>
      <c r="BJ24" t="s">
        <v>84</v>
      </c>
      <c r="BL24" t="s">
        <v>87</v>
      </c>
      <c r="BM24" t="s">
        <v>84</v>
      </c>
      <c r="BN24" t="s">
        <v>84</v>
      </c>
      <c r="BP24" t="s">
        <v>84</v>
      </c>
      <c r="BQ24" t="s">
        <v>84</v>
      </c>
      <c r="BR24" t="s">
        <v>84</v>
      </c>
      <c r="BS24" t="s">
        <v>84</v>
      </c>
      <c r="BT24" t="s">
        <v>87</v>
      </c>
      <c r="BV24" t="s">
        <v>87</v>
      </c>
      <c r="BW24" t="s">
        <v>84</v>
      </c>
      <c r="BX24" t="s">
        <v>84</v>
      </c>
      <c r="BY24" t="s">
        <v>84</v>
      </c>
      <c r="BZ24" t="s">
        <v>84</v>
      </c>
      <c r="CB24" t="s">
        <v>84</v>
      </c>
      <c r="CD24" t="s">
        <v>84</v>
      </c>
    </row>
    <row r="25" spans="1:83" x14ac:dyDescent="0.25">
      <c r="A25" t="s">
        <v>242</v>
      </c>
      <c r="B25" t="s">
        <v>243</v>
      </c>
      <c r="C25" t="s">
        <v>244</v>
      </c>
      <c r="D25" t="s">
        <v>245</v>
      </c>
      <c r="E25" t="s">
        <v>1995</v>
      </c>
      <c r="F25" s="1">
        <v>3100</v>
      </c>
      <c r="G25" s="1" t="s">
        <v>94</v>
      </c>
      <c r="H25" t="s">
        <v>246</v>
      </c>
      <c r="I25" t="s">
        <v>87</v>
      </c>
      <c r="J25" t="s">
        <v>84</v>
      </c>
      <c r="K25" t="s">
        <v>84</v>
      </c>
      <c r="L25" t="s">
        <v>84</v>
      </c>
      <c r="M25" t="s">
        <v>87</v>
      </c>
      <c r="N25" t="s">
        <v>84</v>
      </c>
      <c r="O25" t="s">
        <v>84</v>
      </c>
      <c r="Q25" t="s">
        <v>84</v>
      </c>
      <c r="R25" t="s">
        <v>84</v>
      </c>
      <c r="T25" t="s">
        <v>96</v>
      </c>
      <c r="U25" t="s">
        <v>87</v>
      </c>
      <c r="V25" t="s">
        <v>84</v>
      </c>
      <c r="W25" t="s">
        <v>84</v>
      </c>
      <c r="X25" t="s">
        <v>247</v>
      </c>
      <c r="Y25" t="s">
        <v>87</v>
      </c>
      <c r="Z25" t="s">
        <v>87</v>
      </c>
      <c r="AA25" t="s">
        <v>84</v>
      </c>
      <c r="AB25" t="s">
        <v>248</v>
      </c>
      <c r="AC25" t="s">
        <v>84</v>
      </c>
      <c r="AD25" t="s">
        <v>84</v>
      </c>
      <c r="AE25" t="s">
        <v>84</v>
      </c>
      <c r="AF25" t="s">
        <v>84</v>
      </c>
      <c r="AG25" t="s">
        <v>87</v>
      </c>
      <c r="AI25" t="s">
        <v>84</v>
      </c>
      <c r="AJ25" t="s">
        <v>84</v>
      </c>
      <c r="AK25" t="s">
        <v>84</v>
      </c>
      <c r="AL25" t="s">
        <v>84</v>
      </c>
      <c r="AM25" t="s">
        <v>87</v>
      </c>
      <c r="AO25" t="s">
        <v>87</v>
      </c>
      <c r="AP25" t="s">
        <v>87</v>
      </c>
      <c r="AQ25" t="s">
        <v>84</v>
      </c>
      <c r="AS25" t="s">
        <v>87</v>
      </c>
      <c r="AT25" t="s">
        <v>84</v>
      </c>
      <c r="AU25" t="s">
        <v>249</v>
      </c>
      <c r="AW25" t="s">
        <v>89</v>
      </c>
      <c r="AX25" t="s">
        <v>87</v>
      </c>
      <c r="AY25" t="s">
        <v>87</v>
      </c>
      <c r="AZ25" t="s">
        <v>87</v>
      </c>
      <c r="BA25" t="s">
        <v>84</v>
      </c>
      <c r="BB25" t="s">
        <v>84</v>
      </c>
      <c r="BC25" t="s">
        <v>87</v>
      </c>
      <c r="BE25" t="s">
        <v>84</v>
      </c>
      <c r="BF25" t="s">
        <v>84</v>
      </c>
      <c r="BH25" t="s">
        <v>87</v>
      </c>
      <c r="BI25" t="s">
        <v>84</v>
      </c>
      <c r="BJ25" t="s">
        <v>84</v>
      </c>
      <c r="BL25" t="s">
        <v>87</v>
      </c>
      <c r="BM25" t="s">
        <v>84</v>
      </c>
      <c r="BN25" t="s">
        <v>84</v>
      </c>
      <c r="BP25" t="s">
        <v>84</v>
      </c>
      <c r="BQ25" t="s">
        <v>84</v>
      </c>
      <c r="BR25" t="s">
        <v>84</v>
      </c>
      <c r="BS25" t="s">
        <v>84</v>
      </c>
      <c r="BT25" t="s">
        <v>87</v>
      </c>
      <c r="BV25" t="s">
        <v>84</v>
      </c>
      <c r="BW25" t="s">
        <v>84</v>
      </c>
      <c r="BX25" t="s">
        <v>84</v>
      </c>
      <c r="BY25" t="s">
        <v>84</v>
      </c>
      <c r="BZ25" t="s">
        <v>87</v>
      </c>
      <c r="CB25" t="s">
        <v>84</v>
      </c>
      <c r="CD25" t="s">
        <v>84</v>
      </c>
    </row>
    <row r="26" spans="1:83" x14ac:dyDescent="0.25">
      <c r="A26" t="s">
        <v>611</v>
      </c>
      <c r="B26" t="s">
        <v>612</v>
      </c>
      <c r="C26" t="s">
        <v>613</v>
      </c>
      <c r="D26" t="s">
        <v>120</v>
      </c>
      <c r="E26" t="s">
        <v>1925</v>
      </c>
      <c r="F26" s="1">
        <v>4375</v>
      </c>
      <c r="G26" s="1" t="s">
        <v>84</v>
      </c>
      <c r="I26" t="s">
        <v>85</v>
      </c>
      <c r="J26" t="s">
        <v>85</v>
      </c>
      <c r="K26" t="s">
        <v>85</v>
      </c>
      <c r="L26" t="s">
        <v>85</v>
      </c>
      <c r="M26" t="s">
        <v>85</v>
      </c>
      <c r="N26" t="s">
        <v>85</v>
      </c>
      <c r="O26" t="s">
        <v>85</v>
      </c>
      <c r="Q26" t="s">
        <v>84</v>
      </c>
      <c r="R26" t="s">
        <v>84</v>
      </c>
      <c r="T26" t="s">
        <v>96</v>
      </c>
      <c r="U26" t="s">
        <v>87</v>
      </c>
      <c r="V26" t="s">
        <v>87</v>
      </c>
      <c r="W26" t="s">
        <v>84</v>
      </c>
      <c r="Y26" t="s">
        <v>87</v>
      </c>
      <c r="Z26" t="s">
        <v>87</v>
      </c>
      <c r="AA26" t="s">
        <v>84</v>
      </c>
      <c r="AB26" t="s">
        <v>260</v>
      </c>
      <c r="AC26" t="s">
        <v>87</v>
      </c>
      <c r="AD26" t="s">
        <v>84</v>
      </c>
      <c r="AE26" t="s">
        <v>84</v>
      </c>
      <c r="AF26" t="s">
        <v>84</v>
      </c>
      <c r="AG26" t="s">
        <v>87</v>
      </c>
      <c r="AI26" t="s">
        <v>84</v>
      </c>
      <c r="AJ26" t="s">
        <v>84</v>
      </c>
      <c r="AK26" t="s">
        <v>84</v>
      </c>
      <c r="AL26" t="s">
        <v>84</v>
      </c>
      <c r="AM26" t="s">
        <v>87</v>
      </c>
      <c r="AO26" t="s">
        <v>87</v>
      </c>
      <c r="AP26" t="s">
        <v>87</v>
      </c>
      <c r="AQ26" t="s">
        <v>84</v>
      </c>
      <c r="AS26" t="s">
        <v>87</v>
      </c>
      <c r="AT26" t="s">
        <v>84</v>
      </c>
      <c r="AU26" t="s">
        <v>614</v>
      </c>
      <c r="AW26" t="s">
        <v>89</v>
      </c>
      <c r="AX26" t="s">
        <v>84</v>
      </c>
      <c r="AY26" t="s">
        <v>84</v>
      </c>
      <c r="AZ26" t="s">
        <v>84</v>
      </c>
      <c r="BA26" t="s">
        <v>87</v>
      </c>
      <c r="BB26" t="s">
        <v>84</v>
      </c>
      <c r="BC26" t="s">
        <v>84</v>
      </c>
      <c r="BD26" t="s">
        <v>615</v>
      </c>
      <c r="BE26" t="s">
        <v>84</v>
      </c>
      <c r="BF26" t="s">
        <v>84</v>
      </c>
      <c r="BH26" t="s">
        <v>87</v>
      </c>
      <c r="BI26" t="s">
        <v>84</v>
      </c>
      <c r="BJ26" t="s">
        <v>84</v>
      </c>
      <c r="BL26" t="s">
        <v>87</v>
      </c>
      <c r="BM26" t="s">
        <v>84</v>
      </c>
      <c r="BN26" t="s">
        <v>84</v>
      </c>
      <c r="BP26" t="s">
        <v>84</v>
      </c>
      <c r="BQ26" t="s">
        <v>84</v>
      </c>
      <c r="BR26" t="s">
        <v>84</v>
      </c>
      <c r="BS26" t="s">
        <v>87</v>
      </c>
      <c r="BT26" t="s">
        <v>84</v>
      </c>
      <c r="BV26" t="s">
        <v>87</v>
      </c>
      <c r="BW26" t="s">
        <v>84</v>
      </c>
      <c r="BX26" t="s">
        <v>84</v>
      </c>
      <c r="BY26" t="s">
        <v>84</v>
      </c>
      <c r="BZ26" t="s">
        <v>84</v>
      </c>
      <c r="CB26" t="s">
        <v>84</v>
      </c>
      <c r="CD26" t="s">
        <v>94</v>
      </c>
      <c r="CE26" t="s">
        <v>616</v>
      </c>
    </row>
    <row r="27" spans="1:83" x14ac:dyDescent="0.25">
      <c r="A27" t="s">
        <v>974</v>
      </c>
      <c r="B27" t="s">
        <v>975</v>
      </c>
      <c r="C27" t="s">
        <v>976</v>
      </c>
      <c r="D27" t="s">
        <v>137</v>
      </c>
      <c r="E27" t="s">
        <v>1926</v>
      </c>
      <c r="F27" s="1">
        <v>4500</v>
      </c>
      <c r="G27" s="1" t="s">
        <v>94</v>
      </c>
      <c r="H27" t="s">
        <v>199</v>
      </c>
      <c r="I27" t="s">
        <v>87</v>
      </c>
      <c r="J27" t="s">
        <v>84</v>
      </c>
      <c r="K27" t="s">
        <v>84</v>
      </c>
      <c r="L27" t="s">
        <v>84</v>
      </c>
      <c r="M27" t="s">
        <v>87</v>
      </c>
      <c r="N27" t="s">
        <v>84</v>
      </c>
      <c r="O27" t="s">
        <v>84</v>
      </c>
      <c r="Q27" t="s">
        <v>84</v>
      </c>
      <c r="T27" t="s">
        <v>96</v>
      </c>
      <c r="U27" t="s">
        <v>87</v>
      </c>
      <c r="V27" t="s">
        <v>87</v>
      </c>
      <c r="W27" t="s">
        <v>84</v>
      </c>
      <c r="Y27" t="s">
        <v>87</v>
      </c>
      <c r="Z27" t="s">
        <v>87</v>
      </c>
      <c r="AA27" t="s">
        <v>84</v>
      </c>
      <c r="AC27" t="s">
        <v>87</v>
      </c>
      <c r="AD27" t="s">
        <v>84</v>
      </c>
      <c r="AE27" t="s">
        <v>84</v>
      </c>
      <c r="AF27" t="s">
        <v>84</v>
      </c>
      <c r="AG27" t="s">
        <v>87</v>
      </c>
      <c r="AH27" t="s">
        <v>977</v>
      </c>
      <c r="AI27" t="s">
        <v>84</v>
      </c>
      <c r="AJ27" t="s">
        <v>84</v>
      </c>
      <c r="AK27" t="s">
        <v>84</v>
      </c>
      <c r="AL27" t="s">
        <v>84</v>
      </c>
      <c r="AM27" t="s">
        <v>87</v>
      </c>
      <c r="AO27" t="s">
        <v>87</v>
      </c>
      <c r="AP27" t="s">
        <v>87</v>
      </c>
      <c r="AQ27" t="s">
        <v>84</v>
      </c>
      <c r="AS27" t="s">
        <v>87</v>
      </c>
      <c r="AT27" t="s">
        <v>84</v>
      </c>
      <c r="AU27" t="s">
        <v>978</v>
      </c>
      <c r="AW27" t="s">
        <v>89</v>
      </c>
      <c r="AX27" t="s">
        <v>87</v>
      </c>
      <c r="AY27" t="s">
        <v>84</v>
      </c>
      <c r="AZ27" t="s">
        <v>84</v>
      </c>
      <c r="BA27" t="s">
        <v>84</v>
      </c>
      <c r="BB27" t="s">
        <v>87</v>
      </c>
      <c r="BC27" t="s">
        <v>84</v>
      </c>
      <c r="BE27" t="s">
        <v>84</v>
      </c>
      <c r="BF27" t="s">
        <v>84</v>
      </c>
      <c r="BH27" t="s">
        <v>87</v>
      </c>
      <c r="BI27" t="s">
        <v>84</v>
      </c>
      <c r="BJ27" t="s">
        <v>84</v>
      </c>
      <c r="BL27" t="s">
        <v>87</v>
      </c>
      <c r="BM27" t="s">
        <v>84</v>
      </c>
      <c r="BN27" t="s">
        <v>84</v>
      </c>
      <c r="BP27" t="s">
        <v>84</v>
      </c>
      <c r="BQ27" t="s">
        <v>84</v>
      </c>
      <c r="BR27" t="s">
        <v>84</v>
      </c>
      <c r="BS27" t="s">
        <v>84</v>
      </c>
      <c r="BT27" t="s">
        <v>87</v>
      </c>
      <c r="BV27" t="s">
        <v>87</v>
      </c>
      <c r="BW27" t="s">
        <v>84</v>
      </c>
      <c r="BX27" t="s">
        <v>84</v>
      </c>
      <c r="BY27" t="s">
        <v>84</v>
      </c>
      <c r="BZ27" t="s">
        <v>87</v>
      </c>
      <c r="CA27" t="s">
        <v>979</v>
      </c>
      <c r="CB27" t="s">
        <v>84</v>
      </c>
      <c r="CD27" t="s">
        <v>84</v>
      </c>
    </row>
    <row r="28" spans="1:83" x14ac:dyDescent="0.25">
      <c r="A28" t="s">
        <v>1847</v>
      </c>
      <c r="B28" t="s">
        <v>1848</v>
      </c>
      <c r="C28" t="s">
        <v>1849</v>
      </c>
      <c r="D28" t="s">
        <v>198</v>
      </c>
      <c r="E28" t="s">
        <v>1995</v>
      </c>
      <c r="F28" s="1">
        <v>9000</v>
      </c>
      <c r="G28" s="1" t="s">
        <v>94</v>
      </c>
      <c r="H28" t="s">
        <v>1850</v>
      </c>
      <c r="I28" t="s">
        <v>84</v>
      </c>
      <c r="J28" t="s">
        <v>84</v>
      </c>
      <c r="K28" t="s">
        <v>84</v>
      </c>
      <c r="L28" t="s">
        <v>84</v>
      </c>
      <c r="M28" t="s">
        <v>84</v>
      </c>
      <c r="N28" t="s">
        <v>84</v>
      </c>
      <c r="O28" t="s">
        <v>87</v>
      </c>
      <c r="Q28" t="s">
        <v>84</v>
      </c>
      <c r="T28" t="s">
        <v>96</v>
      </c>
      <c r="U28" t="s">
        <v>87</v>
      </c>
      <c r="V28" t="s">
        <v>87</v>
      </c>
      <c r="W28" t="s">
        <v>84</v>
      </c>
      <c r="X28" t="s">
        <v>1851</v>
      </c>
      <c r="Y28" t="s">
        <v>84</v>
      </c>
      <c r="Z28" t="s">
        <v>84</v>
      </c>
      <c r="AA28" t="s">
        <v>84</v>
      </c>
      <c r="AB28" t="s">
        <v>1852</v>
      </c>
      <c r="AC28" t="s">
        <v>87</v>
      </c>
      <c r="AD28" t="s">
        <v>84</v>
      </c>
      <c r="AE28" t="s">
        <v>84</v>
      </c>
      <c r="AF28" t="s">
        <v>84</v>
      </c>
      <c r="AG28" t="s">
        <v>84</v>
      </c>
      <c r="AH28" t="s">
        <v>390</v>
      </c>
      <c r="AI28" t="s">
        <v>84</v>
      </c>
      <c r="AJ28" t="s">
        <v>84</v>
      </c>
      <c r="AK28" t="s">
        <v>84</v>
      </c>
      <c r="AL28" t="s">
        <v>84</v>
      </c>
      <c r="AM28" t="s">
        <v>87</v>
      </c>
      <c r="AO28" t="s">
        <v>87</v>
      </c>
      <c r="AP28" t="s">
        <v>87</v>
      </c>
      <c r="AQ28" t="s">
        <v>84</v>
      </c>
      <c r="AR28" t="s">
        <v>1853</v>
      </c>
      <c r="AS28" t="s">
        <v>87</v>
      </c>
      <c r="AT28" t="s">
        <v>84</v>
      </c>
      <c r="AU28" t="s">
        <v>1854</v>
      </c>
      <c r="AW28" t="s">
        <v>89</v>
      </c>
      <c r="AX28" t="s">
        <v>87</v>
      </c>
      <c r="AY28" t="s">
        <v>87</v>
      </c>
      <c r="AZ28" t="s">
        <v>87</v>
      </c>
      <c r="BA28" t="s">
        <v>84</v>
      </c>
      <c r="BB28" t="s">
        <v>87</v>
      </c>
      <c r="BC28" t="s">
        <v>87</v>
      </c>
      <c r="BE28" t="s">
        <v>84</v>
      </c>
      <c r="BF28" t="s">
        <v>84</v>
      </c>
      <c r="BH28" t="s">
        <v>87</v>
      </c>
      <c r="BI28" t="s">
        <v>87</v>
      </c>
      <c r="BJ28" t="s">
        <v>84</v>
      </c>
      <c r="BL28" t="s">
        <v>87</v>
      </c>
      <c r="BM28" t="s">
        <v>87</v>
      </c>
      <c r="BN28" t="s">
        <v>84</v>
      </c>
      <c r="BP28" t="s">
        <v>84</v>
      </c>
      <c r="BQ28" t="s">
        <v>84</v>
      </c>
      <c r="BR28" t="s">
        <v>84</v>
      </c>
      <c r="BS28" t="s">
        <v>84</v>
      </c>
      <c r="BT28" t="s">
        <v>87</v>
      </c>
      <c r="BV28" t="s">
        <v>87</v>
      </c>
      <c r="BW28" t="s">
        <v>84</v>
      </c>
      <c r="BX28" t="s">
        <v>84</v>
      </c>
      <c r="BY28" t="s">
        <v>84</v>
      </c>
      <c r="BZ28" t="s">
        <v>84</v>
      </c>
      <c r="CA28" t="s">
        <v>390</v>
      </c>
      <c r="CB28" t="s">
        <v>84</v>
      </c>
      <c r="CD28" t="s">
        <v>84</v>
      </c>
    </row>
    <row r="29" spans="1:83" x14ac:dyDescent="0.25">
      <c r="A29" t="s">
        <v>885</v>
      </c>
      <c r="B29" t="s">
        <v>886</v>
      </c>
      <c r="C29" t="s">
        <v>887</v>
      </c>
      <c r="D29" t="s">
        <v>515</v>
      </c>
      <c r="E29" t="s">
        <v>1924</v>
      </c>
      <c r="F29" s="1">
        <v>14</v>
      </c>
      <c r="G29" s="1" t="s">
        <v>84</v>
      </c>
      <c r="I29" t="s">
        <v>85</v>
      </c>
      <c r="J29" t="s">
        <v>85</v>
      </c>
      <c r="K29" t="s">
        <v>85</v>
      </c>
      <c r="L29" t="s">
        <v>85</v>
      </c>
      <c r="M29" t="s">
        <v>85</v>
      </c>
      <c r="N29" t="s">
        <v>85</v>
      </c>
      <c r="O29" t="s">
        <v>85</v>
      </c>
      <c r="Q29" t="s">
        <v>84</v>
      </c>
      <c r="T29" t="s">
        <v>86</v>
      </c>
      <c r="U29" t="s">
        <v>87</v>
      </c>
      <c r="V29" t="s">
        <v>87</v>
      </c>
      <c r="W29" t="s">
        <v>84</v>
      </c>
      <c r="Y29" t="s">
        <v>87</v>
      </c>
      <c r="Z29" t="s">
        <v>87</v>
      </c>
      <c r="AA29" t="s">
        <v>84</v>
      </c>
      <c r="AC29" t="s">
        <v>84</v>
      </c>
      <c r="AD29" t="s">
        <v>84</v>
      </c>
      <c r="AE29" t="s">
        <v>84</v>
      </c>
      <c r="AF29" t="s">
        <v>84</v>
      </c>
      <c r="AG29" t="s">
        <v>87</v>
      </c>
      <c r="AI29" t="s">
        <v>84</v>
      </c>
      <c r="AJ29" t="s">
        <v>84</v>
      </c>
      <c r="AK29" t="s">
        <v>84</v>
      </c>
      <c r="AL29" t="s">
        <v>87</v>
      </c>
      <c r="AM29" t="s">
        <v>84</v>
      </c>
      <c r="AO29" t="s">
        <v>87</v>
      </c>
      <c r="AP29" t="s">
        <v>87</v>
      </c>
      <c r="AQ29" t="s">
        <v>87</v>
      </c>
      <c r="AS29" t="s">
        <v>87</v>
      </c>
      <c r="AT29" t="s">
        <v>84</v>
      </c>
      <c r="AU29" t="s">
        <v>888</v>
      </c>
      <c r="AW29" t="s">
        <v>89</v>
      </c>
      <c r="AX29" t="s">
        <v>87</v>
      </c>
      <c r="AY29" t="s">
        <v>84</v>
      </c>
      <c r="AZ29" t="s">
        <v>84</v>
      </c>
      <c r="BA29" t="s">
        <v>84</v>
      </c>
      <c r="BB29" t="s">
        <v>84</v>
      </c>
      <c r="BC29" t="s">
        <v>87</v>
      </c>
      <c r="BE29" t="s">
        <v>84</v>
      </c>
      <c r="BH29" t="s">
        <v>87</v>
      </c>
      <c r="BI29" t="s">
        <v>84</v>
      </c>
      <c r="BJ29" t="s">
        <v>84</v>
      </c>
      <c r="BL29" t="s">
        <v>87</v>
      </c>
      <c r="BM29" t="s">
        <v>84</v>
      </c>
      <c r="BN29" t="s">
        <v>84</v>
      </c>
      <c r="BP29" t="s">
        <v>84</v>
      </c>
      <c r="BQ29" t="s">
        <v>84</v>
      </c>
      <c r="BR29" t="s">
        <v>84</v>
      </c>
      <c r="BS29" t="s">
        <v>87</v>
      </c>
      <c r="BT29" t="s">
        <v>84</v>
      </c>
      <c r="BV29" t="s">
        <v>84</v>
      </c>
      <c r="BW29" t="s">
        <v>84</v>
      </c>
      <c r="BX29" t="s">
        <v>84</v>
      </c>
      <c r="BY29" t="s">
        <v>84</v>
      </c>
      <c r="BZ29" t="s">
        <v>87</v>
      </c>
      <c r="CB29" t="s">
        <v>84</v>
      </c>
      <c r="CD29" t="s">
        <v>84</v>
      </c>
    </row>
    <row r="30" spans="1:83" x14ac:dyDescent="0.25">
      <c r="A30" t="s">
        <v>992</v>
      </c>
      <c r="B30" t="s">
        <v>993</v>
      </c>
      <c r="C30" t="s">
        <v>994</v>
      </c>
      <c r="D30" t="s">
        <v>987</v>
      </c>
      <c r="E30" t="s">
        <v>1924</v>
      </c>
      <c r="F30" s="1">
        <v>40</v>
      </c>
      <c r="G30" s="1" t="s">
        <v>84</v>
      </c>
      <c r="I30" t="s">
        <v>85</v>
      </c>
      <c r="J30" t="s">
        <v>85</v>
      </c>
      <c r="K30" t="s">
        <v>85</v>
      </c>
      <c r="L30" t="s">
        <v>85</v>
      </c>
      <c r="M30" t="s">
        <v>85</v>
      </c>
      <c r="N30" t="s">
        <v>85</v>
      </c>
      <c r="O30" t="s">
        <v>85</v>
      </c>
      <c r="Q30" t="s">
        <v>84</v>
      </c>
      <c r="R30" t="s">
        <v>84</v>
      </c>
      <c r="T30" t="s">
        <v>86</v>
      </c>
      <c r="U30" t="s">
        <v>87</v>
      </c>
      <c r="V30" t="s">
        <v>84</v>
      </c>
      <c r="W30" t="s">
        <v>84</v>
      </c>
      <c r="Y30" t="s">
        <v>87</v>
      </c>
      <c r="Z30" t="s">
        <v>84</v>
      </c>
      <c r="AA30" t="s">
        <v>84</v>
      </c>
      <c r="AC30" t="s">
        <v>84</v>
      </c>
      <c r="AD30" t="s">
        <v>84</v>
      </c>
      <c r="AE30" t="s">
        <v>84</v>
      </c>
      <c r="AF30" t="s">
        <v>84</v>
      </c>
      <c r="AG30" t="s">
        <v>87</v>
      </c>
      <c r="AI30" t="s">
        <v>84</v>
      </c>
      <c r="AJ30" t="s">
        <v>84</v>
      </c>
      <c r="AK30" t="s">
        <v>84</v>
      </c>
      <c r="AL30" t="s">
        <v>84</v>
      </c>
      <c r="AM30" t="s">
        <v>87</v>
      </c>
      <c r="AO30" t="s">
        <v>87</v>
      </c>
      <c r="AP30" t="s">
        <v>87</v>
      </c>
      <c r="AQ30" t="s">
        <v>84</v>
      </c>
      <c r="AS30" t="s">
        <v>87</v>
      </c>
      <c r="AT30" t="s">
        <v>84</v>
      </c>
      <c r="AU30" t="s">
        <v>279</v>
      </c>
      <c r="AW30" t="s">
        <v>89</v>
      </c>
      <c r="AX30" t="s">
        <v>84</v>
      </c>
      <c r="AY30" t="s">
        <v>84</v>
      </c>
      <c r="AZ30" t="s">
        <v>84</v>
      </c>
      <c r="BA30" t="s">
        <v>87</v>
      </c>
      <c r="BB30" t="s">
        <v>84</v>
      </c>
      <c r="BC30" t="s">
        <v>84</v>
      </c>
      <c r="BD30" t="s">
        <v>988</v>
      </c>
      <c r="BE30" t="s">
        <v>84</v>
      </c>
      <c r="BH30" t="s">
        <v>87</v>
      </c>
      <c r="BI30" t="s">
        <v>84</v>
      </c>
      <c r="BJ30" t="s">
        <v>84</v>
      </c>
      <c r="BL30" t="s">
        <v>87</v>
      </c>
      <c r="BM30" t="s">
        <v>84</v>
      </c>
      <c r="BN30" t="s">
        <v>84</v>
      </c>
      <c r="BP30" t="s">
        <v>84</v>
      </c>
      <c r="BQ30" t="s">
        <v>84</v>
      </c>
      <c r="BR30" t="s">
        <v>84</v>
      </c>
      <c r="BS30" t="s">
        <v>84</v>
      </c>
      <c r="BT30" t="s">
        <v>87</v>
      </c>
      <c r="BV30" t="s">
        <v>84</v>
      </c>
      <c r="BW30" t="s">
        <v>84</v>
      </c>
      <c r="BX30" t="s">
        <v>84</v>
      </c>
      <c r="BY30" t="s">
        <v>84</v>
      </c>
      <c r="BZ30" t="s">
        <v>87</v>
      </c>
      <c r="CB30" t="s">
        <v>84</v>
      </c>
      <c r="CD30" t="s">
        <v>84</v>
      </c>
    </row>
    <row r="31" spans="1:83" x14ac:dyDescent="0.25">
      <c r="A31" t="s">
        <v>893</v>
      </c>
      <c r="B31" t="s">
        <v>894</v>
      </c>
      <c r="C31" t="s">
        <v>895</v>
      </c>
      <c r="D31" t="s">
        <v>515</v>
      </c>
      <c r="E31" t="s">
        <v>1924</v>
      </c>
      <c r="F31" s="1">
        <v>44</v>
      </c>
      <c r="G31" s="1" t="s">
        <v>84</v>
      </c>
      <c r="I31" t="s">
        <v>85</v>
      </c>
      <c r="J31" t="s">
        <v>85</v>
      </c>
      <c r="K31" t="s">
        <v>85</v>
      </c>
      <c r="L31" t="s">
        <v>85</v>
      </c>
      <c r="M31" t="s">
        <v>85</v>
      </c>
      <c r="N31" t="s">
        <v>85</v>
      </c>
      <c r="O31" t="s">
        <v>85</v>
      </c>
      <c r="Q31" t="s">
        <v>84</v>
      </c>
      <c r="T31" t="s">
        <v>86</v>
      </c>
      <c r="U31" t="s">
        <v>87</v>
      </c>
      <c r="V31" t="s">
        <v>87</v>
      </c>
      <c r="W31" t="s">
        <v>84</v>
      </c>
      <c r="Y31" t="s">
        <v>87</v>
      </c>
      <c r="Z31" t="s">
        <v>87</v>
      </c>
      <c r="AA31" t="s">
        <v>84</v>
      </c>
      <c r="AC31" t="s">
        <v>87</v>
      </c>
      <c r="AD31" t="s">
        <v>84</v>
      </c>
      <c r="AE31" t="s">
        <v>84</v>
      </c>
      <c r="AF31" t="s">
        <v>84</v>
      </c>
      <c r="AG31" t="s">
        <v>87</v>
      </c>
      <c r="AI31" t="s">
        <v>84</v>
      </c>
      <c r="AJ31" t="s">
        <v>84</v>
      </c>
      <c r="AK31" t="s">
        <v>84</v>
      </c>
      <c r="AL31" t="s">
        <v>87</v>
      </c>
      <c r="AM31" t="s">
        <v>84</v>
      </c>
      <c r="AO31" t="s">
        <v>87</v>
      </c>
      <c r="AP31" t="s">
        <v>87</v>
      </c>
      <c r="AQ31" t="s">
        <v>84</v>
      </c>
      <c r="AS31" t="s">
        <v>87</v>
      </c>
      <c r="AT31" t="s">
        <v>84</v>
      </c>
      <c r="AU31" t="s">
        <v>896</v>
      </c>
      <c r="AW31" t="s">
        <v>89</v>
      </c>
      <c r="AX31" t="s">
        <v>87</v>
      </c>
      <c r="AY31" t="s">
        <v>84</v>
      </c>
      <c r="AZ31" t="s">
        <v>84</v>
      </c>
      <c r="BA31" t="s">
        <v>84</v>
      </c>
      <c r="BB31" t="s">
        <v>84</v>
      </c>
      <c r="BC31" t="s">
        <v>87</v>
      </c>
      <c r="BE31" t="s">
        <v>84</v>
      </c>
      <c r="BH31" t="s">
        <v>87</v>
      </c>
      <c r="BI31" t="s">
        <v>84</v>
      </c>
      <c r="BJ31" t="s">
        <v>84</v>
      </c>
      <c r="BL31" t="s">
        <v>87</v>
      </c>
      <c r="BM31" t="s">
        <v>84</v>
      </c>
      <c r="BN31" t="s">
        <v>84</v>
      </c>
      <c r="BP31" t="s">
        <v>84</v>
      </c>
      <c r="BQ31" t="s">
        <v>84</v>
      </c>
      <c r="BR31" t="s">
        <v>84</v>
      </c>
      <c r="BS31" t="s">
        <v>87</v>
      </c>
      <c r="BT31" t="s">
        <v>84</v>
      </c>
      <c r="BV31" t="s">
        <v>87</v>
      </c>
      <c r="BW31" t="s">
        <v>84</v>
      </c>
      <c r="BX31" t="s">
        <v>84</v>
      </c>
      <c r="BY31" t="s">
        <v>84</v>
      </c>
      <c r="BZ31" t="s">
        <v>87</v>
      </c>
      <c r="CB31" t="s">
        <v>84</v>
      </c>
      <c r="CD31" t="s">
        <v>94</v>
      </c>
      <c r="CE31" t="s">
        <v>897</v>
      </c>
    </row>
    <row r="32" spans="1:83" x14ac:dyDescent="0.25">
      <c r="A32" t="s">
        <v>1067</v>
      </c>
      <c r="B32" t="s">
        <v>1068</v>
      </c>
      <c r="C32" t="s">
        <v>1069</v>
      </c>
      <c r="D32" t="s">
        <v>278</v>
      </c>
      <c r="E32" t="s">
        <v>1994</v>
      </c>
      <c r="F32" s="1">
        <v>51</v>
      </c>
      <c r="G32" s="1" t="s">
        <v>84</v>
      </c>
      <c r="I32" t="s">
        <v>85</v>
      </c>
      <c r="J32" t="s">
        <v>85</v>
      </c>
      <c r="K32" t="s">
        <v>85</v>
      </c>
      <c r="L32" t="s">
        <v>85</v>
      </c>
      <c r="M32" t="s">
        <v>85</v>
      </c>
      <c r="N32" t="s">
        <v>85</v>
      </c>
      <c r="O32" t="s">
        <v>85</v>
      </c>
      <c r="Q32" t="s">
        <v>84</v>
      </c>
      <c r="T32" t="s">
        <v>86</v>
      </c>
      <c r="U32" t="s">
        <v>87</v>
      </c>
      <c r="V32" t="s">
        <v>84</v>
      </c>
      <c r="W32" t="s">
        <v>84</v>
      </c>
      <c r="Y32" t="s">
        <v>87</v>
      </c>
      <c r="Z32" t="s">
        <v>84</v>
      </c>
      <c r="AA32" t="s">
        <v>84</v>
      </c>
      <c r="AC32" t="s">
        <v>84</v>
      </c>
      <c r="AD32" t="s">
        <v>84</v>
      </c>
      <c r="AE32" t="s">
        <v>84</v>
      </c>
      <c r="AF32" t="s">
        <v>84</v>
      </c>
      <c r="AG32" t="s">
        <v>87</v>
      </c>
      <c r="AI32" t="s">
        <v>84</v>
      </c>
      <c r="AJ32" t="s">
        <v>84</v>
      </c>
      <c r="AK32" t="s">
        <v>84</v>
      </c>
      <c r="AL32" t="s">
        <v>84</v>
      </c>
      <c r="AM32" t="s">
        <v>87</v>
      </c>
      <c r="AO32" t="s">
        <v>87</v>
      </c>
      <c r="AP32" t="s">
        <v>87</v>
      </c>
      <c r="AQ32" t="s">
        <v>87</v>
      </c>
      <c r="AS32" t="s">
        <v>87</v>
      </c>
      <c r="AT32" t="s">
        <v>84</v>
      </c>
      <c r="AU32" t="s">
        <v>1070</v>
      </c>
      <c r="AW32" t="s">
        <v>89</v>
      </c>
      <c r="AX32" t="s">
        <v>84</v>
      </c>
      <c r="AY32" t="s">
        <v>84</v>
      </c>
      <c r="AZ32" t="s">
        <v>87</v>
      </c>
      <c r="BA32" t="s">
        <v>84</v>
      </c>
      <c r="BB32" t="s">
        <v>84</v>
      </c>
      <c r="BC32" t="s">
        <v>87</v>
      </c>
      <c r="BE32" t="s">
        <v>84</v>
      </c>
      <c r="BH32" t="s">
        <v>87</v>
      </c>
      <c r="BI32" t="s">
        <v>84</v>
      </c>
      <c r="BJ32" t="s">
        <v>84</v>
      </c>
      <c r="BL32" t="s">
        <v>87</v>
      </c>
      <c r="BM32" t="s">
        <v>84</v>
      </c>
      <c r="BN32" t="s">
        <v>84</v>
      </c>
      <c r="BP32" t="s">
        <v>84</v>
      </c>
      <c r="BQ32" t="s">
        <v>84</v>
      </c>
      <c r="BR32" t="s">
        <v>84</v>
      </c>
      <c r="BS32" t="s">
        <v>84</v>
      </c>
      <c r="BT32" t="s">
        <v>87</v>
      </c>
      <c r="BV32" t="s">
        <v>84</v>
      </c>
      <c r="BW32" t="s">
        <v>84</v>
      </c>
      <c r="BX32" t="s">
        <v>84</v>
      </c>
      <c r="BY32" t="s">
        <v>84</v>
      </c>
      <c r="BZ32" t="s">
        <v>87</v>
      </c>
      <c r="CB32" t="s">
        <v>84</v>
      </c>
      <c r="CD32" t="s">
        <v>84</v>
      </c>
    </row>
    <row r="33" spans="1:83" x14ac:dyDescent="0.25">
      <c r="A33" t="s">
        <v>417</v>
      </c>
      <c r="B33" t="s">
        <v>418</v>
      </c>
      <c r="C33" t="s">
        <v>419</v>
      </c>
      <c r="D33" t="s">
        <v>83</v>
      </c>
      <c r="E33" t="s">
        <v>83</v>
      </c>
      <c r="F33" s="1">
        <v>68</v>
      </c>
      <c r="G33" s="1" t="s">
        <v>84</v>
      </c>
      <c r="I33" t="s">
        <v>85</v>
      </c>
      <c r="J33" t="s">
        <v>85</v>
      </c>
      <c r="K33" t="s">
        <v>85</v>
      </c>
      <c r="L33" t="s">
        <v>85</v>
      </c>
      <c r="M33" t="s">
        <v>85</v>
      </c>
      <c r="N33" t="s">
        <v>85</v>
      </c>
      <c r="O33" t="s">
        <v>85</v>
      </c>
      <c r="Q33" t="s">
        <v>84</v>
      </c>
      <c r="R33" t="s">
        <v>84</v>
      </c>
      <c r="T33" t="s">
        <v>86</v>
      </c>
      <c r="U33" t="s">
        <v>87</v>
      </c>
      <c r="V33" t="s">
        <v>87</v>
      </c>
      <c r="W33" t="s">
        <v>87</v>
      </c>
      <c r="Y33" t="s">
        <v>87</v>
      </c>
      <c r="Z33" t="s">
        <v>87</v>
      </c>
      <c r="AA33" t="s">
        <v>87</v>
      </c>
      <c r="AC33" t="s">
        <v>84</v>
      </c>
      <c r="AD33" t="s">
        <v>84</v>
      </c>
      <c r="AE33" t="s">
        <v>84</v>
      </c>
      <c r="AF33" t="s">
        <v>84</v>
      </c>
      <c r="AG33" t="s">
        <v>87</v>
      </c>
      <c r="AH33" t="s">
        <v>420</v>
      </c>
      <c r="AI33" t="s">
        <v>84</v>
      </c>
      <c r="AJ33" t="s">
        <v>84</v>
      </c>
      <c r="AK33" t="s">
        <v>84</v>
      </c>
      <c r="AL33" t="s">
        <v>84</v>
      </c>
      <c r="AM33" t="s">
        <v>87</v>
      </c>
      <c r="AO33" t="s">
        <v>87</v>
      </c>
      <c r="AP33" t="s">
        <v>87</v>
      </c>
      <c r="AQ33" t="s">
        <v>87</v>
      </c>
      <c r="AS33" t="s">
        <v>87</v>
      </c>
      <c r="AT33" t="s">
        <v>84</v>
      </c>
      <c r="AU33" t="s">
        <v>421</v>
      </c>
      <c r="AW33" t="s">
        <v>89</v>
      </c>
      <c r="AX33" t="s">
        <v>87</v>
      </c>
      <c r="AY33" t="s">
        <v>87</v>
      </c>
      <c r="AZ33" t="s">
        <v>87</v>
      </c>
      <c r="BA33" t="s">
        <v>84</v>
      </c>
      <c r="BB33" t="s">
        <v>87</v>
      </c>
      <c r="BC33" t="s">
        <v>84</v>
      </c>
      <c r="BE33" t="s">
        <v>84</v>
      </c>
      <c r="BH33" t="s">
        <v>87</v>
      </c>
      <c r="BI33" t="s">
        <v>84</v>
      </c>
      <c r="BJ33" t="s">
        <v>84</v>
      </c>
      <c r="BL33" t="s">
        <v>87</v>
      </c>
      <c r="BM33" t="s">
        <v>84</v>
      </c>
      <c r="BN33" t="s">
        <v>84</v>
      </c>
      <c r="BP33" t="s">
        <v>84</v>
      </c>
      <c r="BQ33" t="s">
        <v>84</v>
      </c>
      <c r="BR33" t="s">
        <v>84</v>
      </c>
      <c r="BS33" t="s">
        <v>84</v>
      </c>
      <c r="BT33" t="s">
        <v>87</v>
      </c>
      <c r="BV33" t="s">
        <v>84</v>
      </c>
      <c r="BW33" t="s">
        <v>84</v>
      </c>
      <c r="BX33" t="s">
        <v>84</v>
      </c>
      <c r="BY33" t="s">
        <v>84</v>
      </c>
      <c r="BZ33" t="s">
        <v>84</v>
      </c>
      <c r="CA33" t="s">
        <v>420</v>
      </c>
      <c r="CB33" t="s">
        <v>84</v>
      </c>
      <c r="CD33" t="s">
        <v>84</v>
      </c>
    </row>
    <row r="34" spans="1:83" x14ac:dyDescent="0.25">
      <c r="A34" t="s">
        <v>1688</v>
      </c>
      <c r="B34" t="s">
        <v>1689</v>
      </c>
      <c r="C34" t="s">
        <v>1690</v>
      </c>
      <c r="D34" t="s">
        <v>1691</v>
      </c>
      <c r="E34" t="s">
        <v>1925</v>
      </c>
      <c r="F34" s="1">
        <v>76</v>
      </c>
      <c r="G34" s="1" t="s">
        <v>84</v>
      </c>
      <c r="I34" t="s">
        <v>85</v>
      </c>
      <c r="J34" t="s">
        <v>85</v>
      </c>
      <c r="K34" t="s">
        <v>85</v>
      </c>
      <c r="L34" t="s">
        <v>85</v>
      </c>
      <c r="M34" t="s">
        <v>85</v>
      </c>
      <c r="N34" t="s">
        <v>85</v>
      </c>
      <c r="O34" t="s">
        <v>85</v>
      </c>
      <c r="Q34" t="s">
        <v>84</v>
      </c>
      <c r="T34" t="s">
        <v>86</v>
      </c>
      <c r="U34" t="s">
        <v>87</v>
      </c>
      <c r="V34" t="s">
        <v>84</v>
      </c>
      <c r="W34" t="s">
        <v>84</v>
      </c>
      <c r="Y34" t="s">
        <v>87</v>
      </c>
      <c r="Z34" t="s">
        <v>84</v>
      </c>
      <c r="AA34" t="s">
        <v>84</v>
      </c>
      <c r="AC34" t="s">
        <v>84</v>
      </c>
      <c r="AD34" t="s">
        <v>84</v>
      </c>
      <c r="AE34" t="s">
        <v>84</v>
      </c>
      <c r="AF34" t="s">
        <v>84</v>
      </c>
      <c r="AG34" t="s">
        <v>87</v>
      </c>
      <c r="AI34" t="s">
        <v>84</v>
      </c>
      <c r="AJ34" t="s">
        <v>84</v>
      </c>
      <c r="AK34" t="s">
        <v>84</v>
      </c>
      <c r="AL34" t="s">
        <v>84</v>
      </c>
      <c r="AM34" t="s">
        <v>87</v>
      </c>
      <c r="AO34" t="s">
        <v>87</v>
      </c>
      <c r="AP34" t="s">
        <v>87</v>
      </c>
      <c r="AQ34" t="s">
        <v>84</v>
      </c>
      <c r="AS34" t="s">
        <v>87</v>
      </c>
      <c r="AT34" t="s">
        <v>84</v>
      </c>
      <c r="AU34" t="s">
        <v>1692</v>
      </c>
      <c r="AW34" t="s">
        <v>89</v>
      </c>
      <c r="AX34" t="s">
        <v>87</v>
      </c>
      <c r="AY34" t="s">
        <v>84</v>
      </c>
      <c r="AZ34" t="s">
        <v>84</v>
      </c>
      <c r="BA34" t="s">
        <v>84</v>
      </c>
      <c r="BB34" t="s">
        <v>87</v>
      </c>
      <c r="BC34" t="s">
        <v>84</v>
      </c>
      <c r="BE34" t="s">
        <v>84</v>
      </c>
      <c r="BH34" t="s">
        <v>87</v>
      </c>
      <c r="BI34" t="s">
        <v>84</v>
      </c>
      <c r="BJ34" t="s">
        <v>84</v>
      </c>
      <c r="BL34" t="s">
        <v>87</v>
      </c>
      <c r="BM34" t="s">
        <v>84</v>
      </c>
      <c r="BN34" t="s">
        <v>84</v>
      </c>
      <c r="BP34" t="s">
        <v>84</v>
      </c>
      <c r="BQ34" t="s">
        <v>84</v>
      </c>
      <c r="BR34" t="s">
        <v>84</v>
      </c>
      <c r="BS34" t="s">
        <v>84</v>
      </c>
      <c r="BT34" t="s">
        <v>87</v>
      </c>
      <c r="BV34" t="s">
        <v>84</v>
      </c>
      <c r="BW34" t="s">
        <v>84</v>
      </c>
      <c r="BX34" t="s">
        <v>84</v>
      </c>
      <c r="BY34" t="s">
        <v>84</v>
      </c>
      <c r="BZ34" t="s">
        <v>87</v>
      </c>
      <c r="CB34" t="s">
        <v>84</v>
      </c>
      <c r="CD34" t="s">
        <v>84</v>
      </c>
    </row>
    <row r="35" spans="1:83" x14ac:dyDescent="0.25">
      <c r="A35" t="s">
        <v>1195</v>
      </c>
      <c r="B35" t="s">
        <v>1196</v>
      </c>
      <c r="C35" t="s">
        <v>1197</v>
      </c>
      <c r="D35" t="s">
        <v>204</v>
      </c>
      <c r="E35" t="s">
        <v>1926</v>
      </c>
      <c r="F35" s="1">
        <v>77</v>
      </c>
      <c r="G35" s="1" t="s">
        <v>94</v>
      </c>
      <c r="H35" t="s">
        <v>199</v>
      </c>
      <c r="I35" t="s">
        <v>87</v>
      </c>
      <c r="J35" t="s">
        <v>87</v>
      </c>
      <c r="K35" t="s">
        <v>84</v>
      </c>
      <c r="L35" t="s">
        <v>84</v>
      </c>
      <c r="M35" t="s">
        <v>87</v>
      </c>
      <c r="N35" t="s">
        <v>84</v>
      </c>
      <c r="O35" t="s">
        <v>84</v>
      </c>
      <c r="Q35" t="s">
        <v>84</v>
      </c>
      <c r="T35" t="s">
        <v>86</v>
      </c>
      <c r="U35" t="s">
        <v>87</v>
      </c>
      <c r="V35" t="s">
        <v>84</v>
      </c>
      <c r="W35" t="s">
        <v>84</v>
      </c>
      <c r="Y35" t="s">
        <v>87</v>
      </c>
      <c r="Z35" t="s">
        <v>84</v>
      </c>
      <c r="AA35" t="s">
        <v>84</v>
      </c>
      <c r="AC35" t="s">
        <v>87</v>
      </c>
      <c r="AD35" t="s">
        <v>84</v>
      </c>
      <c r="AE35" t="s">
        <v>84</v>
      </c>
      <c r="AF35" t="s">
        <v>84</v>
      </c>
      <c r="AG35" t="s">
        <v>87</v>
      </c>
      <c r="AI35" t="s">
        <v>84</v>
      </c>
      <c r="AJ35" t="s">
        <v>84</v>
      </c>
      <c r="AK35" t="s">
        <v>84</v>
      </c>
      <c r="AL35" t="s">
        <v>84</v>
      </c>
      <c r="AM35" t="s">
        <v>87</v>
      </c>
      <c r="AO35" t="s">
        <v>87</v>
      </c>
      <c r="AP35" t="s">
        <v>87</v>
      </c>
      <c r="AQ35" t="s">
        <v>87</v>
      </c>
      <c r="AS35" t="s">
        <v>87</v>
      </c>
      <c r="AT35" t="s">
        <v>84</v>
      </c>
      <c r="AU35" t="s">
        <v>194</v>
      </c>
      <c r="AW35" t="s">
        <v>89</v>
      </c>
      <c r="AX35" t="s">
        <v>87</v>
      </c>
      <c r="AY35" t="s">
        <v>87</v>
      </c>
      <c r="AZ35" t="s">
        <v>87</v>
      </c>
      <c r="BA35" t="s">
        <v>84</v>
      </c>
      <c r="BB35" t="s">
        <v>87</v>
      </c>
      <c r="BC35" t="s">
        <v>84</v>
      </c>
      <c r="BE35" t="s">
        <v>84</v>
      </c>
      <c r="BH35" t="s">
        <v>87</v>
      </c>
      <c r="BI35" t="s">
        <v>84</v>
      </c>
      <c r="BJ35" t="s">
        <v>84</v>
      </c>
      <c r="BL35" t="s">
        <v>87</v>
      </c>
      <c r="BM35" t="s">
        <v>84</v>
      </c>
      <c r="BN35" t="s">
        <v>84</v>
      </c>
      <c r="BP35" t="s">
        <v>84</v>
      </c>
      <c r="BQ35" t="s">
        <v>84</v>
      </c>
      <c r="BR35" t="s">
        <v>84</v>
      </c>
      <c r="BS35" t="s">
        <v>84</v>
      </c>
      <c r="BT35" t="s">
        <v>87</v>
      </c>
      <c r="BV35" t="s">
        <v>87</v>
      </c>
      <c r="BW35" t="s">
        <v>84</v>
      </c>
      <c r="BX35" t="s">
        <v>84</v>
      </c>
      <c r="BY35" t="s">
        <v>84</v>
      </c>
      <c r="BZ35" t="s">
        <v>87</v>
      </c>
      <c r="CB35" t="s">
        <v>84</v>
      </c>
      <c r="CD35" t="s">
        <v>84</v>
      </c>
    </row>
    <row r="36" spans="1:83" x14ac:dyDescent="0.25">
      <c r="A36" t="s">
        <v>476</v>
      </c>
      <c r="B36" t="s">
        <v>477</v>
      </c>
      <c r="C36" t="s">
        <v>478</v>
      </c>
      <c r="D36" t="s">
        <v>204</v>
      </c>
      <c r="E36" t="s">
        <v>1926</v>
      </c>
      <c r="F36" s="1">
        <v>84</v>
      </c>
      <c r="G36" s="1" t="s">
        <v>94</v>
      </c>
      <c r="H36" t="s">
        <v>95</v>
      </c>
      <c r="I36" t="s">
        <v>87</v>
      </c>
      <c r="J36" t="s">
        <v>87</v>
      </c>
      <c r="K36" t="s">
        <v>87</v>
      </c>
      <c r="L36" t="s">
        <v>87</v>
      </c>
      <c r="M36" t="s">
        <v>87</v>
      </c>
      <c r="N36" t="s">
        <v>87</v>
      </c>
      <c r="O36" t="s">
        <v>87</v>
      </c>
      <c r="Q36" t="s">
        <v>84</v>
      </c>
      <c r="R36" t="s">
        <v>84</v>
      </c>
      <c r="T36" t="s">
        <v>86</v>
      </c>
      <c r="U36" t="s">
        <v>87</v>
      </c>
      <c r="V36" t="s">
        <v>87</v>
      </c>
      <c r="W36" t="s">
        <v>84</v>
      </c>
      <c r="Y36" t="s">
        <v>87</v>
      </c>
      <c r="Z36" t="s">
        <v>87</v>
      </c>
      <c r="AA36" t="s">
        <v>84</v>
      </c>
      <c r="AC36" t="s">
        <v>87</v>
      </c>
      <c r="AD36" t="s">
        <v>84</v>
      </c>
      <c r="AE36" t="s">
        <v>84</v>
      </c>
      <c r="AF36" t="s">
        <v>84</v>
      </c>
      <c r="AG36" t="s">
        <v>87</v>
      </c>
      <c r="AH36" t="s">
        <v>479</v>
      </c>
      <c r="AI36" t="s">
        <v>84</v>
      </c>
      <c r="AJ36" t="s">
        <v>84</v>
      </c>
      <c r="AK36" t="s">
        <v>84</v>
      </c>
      <c r="AL36" t="s">
        <v>84</v>
      </c>
      <c r="AM36" t="s">
        <v>87</v>
      </c>
      <c r="AO36" t="s">
        <v>87</v>
      </c>
      <c r="AP36" t="s">
        <v>87</v>
      </c>
      <c r="AQ36" t="s">
        <v>84</v>
      </c>
      <c r="AS36" t="s">
        <v>87</v>
      </c>
      <c r="AT36" t="s">
        <v>84</v>
      </c>
      <c r="AU36" t="s">
        <v>480</v>
      </c>
      <c r="AW36" t="s">
        <v>89</v>
      </c>
      <c r="AX36" t="s">
        <v>87</v>
      </c>
      <c r="AY36" t="s">
        <v>87</v>
      </c>
      <c r="AZ36" t="s">
        <v>87</v>
      </c>
      <c r="BA36" t="s">
        <v>84</v>
      </c>
      <c r="BB36" t="s">
        <v>87</v>
      </c>
      <c r="BC36" t="s">
        <v>84</v>
      </c>
      <c r="BE36" t="s">
        <v>84</v>
      </c>
      <c r="BH36" t="s">
        <v>87</v>
      </c>
      <c r="BI36" t="s">
        <v>84</v>
      </c>
      <c r="BJ36" t="s">
        <v>84</v>
      </c>
      <c r="BL36" t="s">
        <v>87</v>
      </c>
      <c r="BM36" t="s">
        <v>84</v>
      </c>
      <c r="BN36" t="s">
        <v>84</v>
      </c>
      <c r="BP36" t="s">
        <v>87</v>
      </c>
      <c r="BQ36" t="s">
        <v>84</v>
      </c>
      <c r="BR36" t="s">
        <v>84</v>
      </c>
      <c r="BS36" t="s">
        <v>84</v>
      </c>
      <c r="BT36" t="s">
        <v>84</v>
      </c>
      <c r="BV36" t="s">
        <v>87</v>
      </c>
      <c r="BW36" t="s">
        <v>84</v>
      </c>
      <c r="BX36" t="s">
        <v>84</v>
      </c>
      <c r="BY36" t="s">
        <v>84</v>
      </c>
      <c r="BZ36" t="s">
        <v>87</v>
      </c>
      <c r="CB36" t="s">
        <v>84</v>
      </c>
      <c r="CD36" t="s">
        <v>84</v>
      </c>
    </row>
    <row r="37" spans="1:83" x14ac:dyDescent="0.25">
      <c r="A37" t="s">
        <v>1192</v>
      </c>
      <c r="B37" t="s">
        <v>1193</v>
      </c>
      <c r="C37" t="s">
        <v>1194</v>
      </c>
      <c r="D37" t="s">
        <v>204</v>
      </c>
      <c r="E37" t="s">
        <v>1926</v>
      </c>
      <c r="F37" s="1">
        <v>89</v>
      </c>
      <c r="G37" s="1" t="s">
        <v>94</v>
      </c>
      <c r="H37" t="s">
        <v>199</v>
      </c>
      <c r="I37" t="s">
        <v>87</v>
      </c>
      <c r="J37" t="s">
        <v>87</v>
      </c>
      <c r="K37" t="s">
        <v>84</v>
      </c>
      <c r="L37" t="s">
        <v>84</v>
      </c>
      <c r="M37" t="s">
        <v>87</v>
      </c>
      <c r="N37" t="s">
        <v>84</v>
      </c>
      <c r="O37" t="s">
        <v>84</v>
      </c>
      <c r="Q37" t="s">
        <v>84</v>
      </c>
      <c r="T37" t="s">
        <v>86</v>
      </c>
      <c r="U37" t="s">
        <v>87</v>
      </c>
      <c r="V37" t="s">
        <v>84</v>
      </c>
      <c r="W37" t="s">
        <v>84</v>
      </c>
      <c r="Y37" t="s">
        <v>87</v>
      </c>
      <c r="Z37" t="s">
        <v>84</v>
      </c>
      <c r="AA37" t="s">
        <v>84</v>
      </c>
      <c r="AC37" t="s">
        <v>87</v>
      </c>
      <c r="AD37" t="s">
        <v>84</v>
      </c>
      <c r="AE37" t="s">
        <v>84</v>
      </c>
      <c r="AF37" t="s">
        <v>84</v>
      </c>
      <c r="AG37" t="s">
        <v>87</v>
      </c>
      <c r="AI37" t="s">
        <v>84</v>
      </c>
      <c r="AJ37" t="s">
        <v>84</v>
      </c>
      <c r="AK37" t="s">
        <v>84</v>
      </c>
      <c r="AL37" t="s">
        <v>84</v>
      </c>
      <c r="AM37" t="s">
        <v>87</v>
      </c>
      <c r="AO37" t="s">
        <v>87</v>
      </c>
      <c r="AP37" t="s">
        <v>87</v>
      </c>
      <c r="AQ37" t="s">
        <v>87</v>
      </c>
      <c r="AS37" t="s">
        <v>87</v>
      </c>
      <c r="AT37" t="s">
        <v>84</v>
      </c>
      <c r="AU37" t="s">
        <v>194</v>
      </c>
      <c r="AW37" t="s">
        <v>89</v>
      </c>
      <c r="AX37" t="s">
        <v>87</v>
      </c>
      <c r="AY37" t="s">
        <v>87</v>
      </c>
      <c r="AZ37" t="s">
        <v>87</v>
      </c>
      <c r="BA37" t="s">
        <v>84</v>
      </c>
      <c r="BB37" t="s">
        <v>87</v>
      </c>
      <c r="BC37" t="s">
        <v>84</v>
      </c>
      <c r="BE37" t="s">
        <v>84</v>
      </c>
      <c r="BH37" t="s">
        <v>87</v>
      </c>
      <c r="BI37" t="s">
        <v>84</v>
      </c>
      <c r="BJ37" t="s">
        <v>84</v>
      </c>
      <c r="BL37" t="s">
        <v>87</v>
      </c>
      <c r="BM37" t="s">
        <v>84</v>
      </c>
      <c r="BN37" t="s">
        <v>84</v>
      </c>
      <c r="BP37" t="s">
        <v>84</v>
      </c>
      <c r="BQ37" t="s">
        <v>84</v>
      </c>
      <c r="BR37" t="s">
        <v>84</v>
      </c>
      <c r="BS37" t="s">
        <v>84</v>
      </c>
      <c r="BT37" t="s">
        <v>87</v>
      </c>
      <c r="BV37" t="s">
        <v>87</v>
      </c>
      <c r="BW37" t="s">
        <v>84</v>
      </c>
      <c r="BX37" t="s">
        <v>84</v>
      </c>
      <c r="BY37" t="s">
        <v>84</v>
      </c>
      <c r="BZ37" t="s">
        <v>87</v>
      </c>
      <c r="CB37" t="s">
        <v>84</v>
      </c>
      <c r="CD37" t="s">
        <v>84</v>
      </c>
    </row>
    <row r="38" spans="1:83" x14ac:dyDescent="0.25">
      <c r="A38" t="s">
        <v>359</v>
      </c>
      <c r="B38" t="s">
        <v>360</v>
      </c>
      <c r="C38" t="s">
        <v>361</v>
      </c>
      <c r="D38" t="s">
        <v>228</v>
      </c>
      <c r="E38" t="s">
        <v>1996</v>
      </c>
      <c r="F38" s="1">
        <v>95</v>
      </c>
      <c r="G38" s="1" t="s">
        <v>94</v>
      </c>
      <c r="H38" t="s">
        <v>95</v>
      </c>
      <c r="I38" t="s">
        <v>87</v>
      </c>
      <c r="J38" t="s">
        <v>84</v>
      </c>
      <c r="K38" t="s">
        <v>84</v>
      </c>
      <c r="L38" t="s">
        <v>84</v>
      </c>
      <c r="M38" t="s">
        <v>84</v>
      </c>
      <c r="N38" t="s">
        <v>84</v>
      </c>
      <c r="O38" t="s">
        <v>84</v>
      </c>
      <c r="Q38" t="s">
        <v>84</v>
      </c>
      <c r="T38" t="s">
        <v>86</v>
      </c>
      <c r="U38" t="s">
        <v>87</v>
      </c>
      <c r="V38" t="s">
        <v>84</v>
      </c>
      <c r="W38" t="s">
        <v>84</v>
      </c>
      <c r="Y38" t="s">
        <v>87</v>
      </c>
      <c r="Z38" t="s">
        <v>84</v>
      </c>
      <c r="AA38" t="s">
        <v>84</v>
      </c>
      <c r="AC38" t="s">
        <v>84</v>
      </c>
      <c r="AD38" t="s">
        <v>84</v>
      </c>
      <c r="AE38" t="s">
        <v>84</v>
      </c>
      <c r="AF38" t="s">
        <v>84</v>
      </c>
      <c r="AG38" t="s">
        <v>87</v>
      </c>
      <c r="AI38" t="s">
        <v>84</v>
      </c>
      <c r="AJ38" t="s">
        <v>84</v>
      </c>
      <c r="AK38" t="s">
        <v>84</v>
      </c>
      <c r="AL38" t="s">
        <v>84</v>
      </c>
      <c r="AM38" t="s">
        <v>87</v>
      </c>
      <c r="AO38" t="s">
        <v>84</v>
      </c>
      <c r="AP38" t="s">
        <v>87</v>
      </c>
      <c r="AQ38" t="s">
        <v>84</v>
      </c>
      <c r="AS38" t="s">
        <v>87</v>
      </c>
      <c r="AT38" t="s">
        <v>84</v>
      </c>
      <c r="AU38" t="s">
        <v>362</v>
      </c>
      <c r="AW38" t="s">
        <v>89</v>
      </c>
      <c r="AX38" t="s">
        <v>84</v>
      </c>
      <c r="AY38" t="s">
        <v>84</v>
      </c>
      <c r="AZ38" t="s">
        <v>84</v>
      </c>
      <c r="BA38" t="s">
        <v>87</v>
      </c>
      <c r="BB38" t="s">
        <v>84</v>
      </c>
      <c r="BC38" t="s">
        <v>87</v>
      </c>
      <c r="BE38" t="s">
        <v>84</v>
      </c>
      <c r="BH38" t="s">
        <v>87</v>
      </c>
      <c r="BI38" t="s">
        <v>84</v>
      </c>
      <c r="BJ38" t="s">
        <v>84</v>
      </c>
      <c r="BL38" t="s">
        <v>87</v>
      </c>
      <c r="BM38" t="s">
        <v>84</v>
      </c>
      <c r="BN38" t="s">
        <v>84</v>
      </c>
      <c r="BP38" t="s">
        <v>84</v>
      </c>
      <c r="BQ38" t="s">
        <v>84</v>
      </c>
      <c r="BR38" t="s">
        <v>84</v>
      </c>
      <c r="BS38" t="s">
        <v>84</v>
      </c>
      <c r="BT38" t="s">
        <v>87</v>
      </c>
      <c r="BV38" t="s">
        <v>84</v>
      </c>
      <c r="BW38" t="s">
        <v>84</v>
      </c>
      <c r="BX38" t="s">
        <v>84</v>
      </c>
      <c r="BY38" t="s">
        <v>84</v>
      </c>
      <c r="BZ38" t="s">
        <v>87</v>
      </c>
      <c r="CB38" t="s">
        <v>84</v>
      </c>
      <c r="CD38" t="s">
        <v>84</v>
      </c>
    </row>
    <row r="39" spans="1:83" x14ac:dyDescent="0.25">
      <c r="A39" t="s">
        <v>429</v>
      </c>
      <c r="B39" t="s">
        <v>430</v>
      </c>
      <c r="C39" t="s">
        <v>431</v>
      </c>
      <c r="D39" t="s">
        <v>109</v>
      </c>
      <c r="E39" t="s">
        <v>1924</v>
      </c>
      <c r="F39" s="1">
        <v>96</v>
      </c>
      <c r="G39" s="1" t="s">
        <v>94</v>
      </c>
      <c r="H39" t="s">
        <v>95</v>
      </c>
      <c r="I39" t="s">
        <v>87</v>
      </c>
      <c r="J39" t="s">
        <v>84</v>
      </c>
      <c r="K39" t="s">
        <v>84</v>
      </c>
      <c r="L39" t="s">
        <v>84</v>
      </c>
      <c r="M39" t="s">
        <v>87</v>
      </c>
      <c r="N39" t="s">
        <v>84</v>
      </c>
      <c r="O39" t="s">
        <v>84</v>
      </c>
      <c r="Q39" t="s">
        <v>84</v>
      </c>
      <c r="T39" t="s">
        <v>96</v>
      </c>
      <c r="U39" t="s">
        <v>87</v>
      </c>
      <c r="V39" t="s">
        <v>84</v>
      </c>
      <c r="W39" t="s">
        <v>84</v>
      </c>
      <c r="X39" t="s">
        <v>112</v>
      </c>
      <c r="Y39" t="s">
        <v>84</v>
      </c>
      <c r="Z39" t="s">
        <v>84</v>
      </c>
      <c r="AA39" t="s">
        <v>84</v>
      </c>
      <c r="AB39" t="s">
        <v>112</v>
      </c>
      <c r="AC39" t="s">
        <v>84</v>
      </c>
      <c r="AD39" t="s">
        <v>84</v>
      </c>
      <c r="AE39" t="s">
        <v>84</v>
      </c>
      <c r="AF39" t="s">
        <v>84</v>
      </c>
      <c r="AG39" t="s">
        <v>87</v>
      </c>
      <c r="AI39" t="s">
        <v>84</v>
      </c>
      <c r="AJ39" t="s">
        <v>84</v>
      </c>
      <c r="AK39" t="s">
        <v>84</v>
      </c>
      <c r="AL39" t="s">
        <v>84</v>
      </c>
      <c r="AM39" t="s">
        <v>87</v>
      </c>
      <c r="AO39" t="s">
        <v>87</v>
      </c>
      <c r="AP39" t="s">
        <v>87</v>
      </c>
      <c r="AQ39" t="s">
        <v>84</v>
      </c>
      <c r="AS39" t="s">
        <v>87</v>
      </c>
      <c r="AT39" t="s">
        <v>84</v>
      </c>
      <c r="AU39" t="s">
        <v>432</v>
      </c>
      <c r="AW39" t="s">
        <v>89</v>
      </c>
      <c r="AX39" t="s">
        <v>87</v>
      </c>
      <c r="AY39" t="s">
        <v>84</v>
      </c>
      <c r="AZ39" t="s">
        <v>87</v>
      </c>
      <c r="BA39" t="s">
        <v>84</v>
      </c>
      <c r="BB39" t="s">
        <v>84</v>
      </c>
      <c r="BC39" t="s">
        <v>84</v>
      </c>
      <c r="BD39" t="s">
        <v>433</v>
      </c>
      <c r="BE39" t="s">
        <v>84</v>
      </c>
      <c r="BH39" t="s">
        <v>87</v>
      </c>
      <c r="BI39" t="s">
        <v>84</v>
      </c>
      <c r="BJ39" t="s">
        <v>84</v>
      </c>
      <c r="BL39" t="s">
        <v>87</v>
      </c>
      <c r="BM39" t="s">
        <v>84</v>
      </c>
      <c r="BN39" t="s">
        <v>84</v>
      </c>
      <c r="BP39" t="s">
        <v>84</v>
      </c>
      <c r="BQ39" t="s">
        <v>84</v>
      </c>
      <c r="BR39" t="s">
        <v>84</v>
      </c>
      <c r="BS39" t="s">
        <v>87</v>
      </c>
      <c r="BT39" t="s">
        <v>84</v>
      </c>
      <c r="BV39" t="s">
        <v>87</v>
      </c>
      <c r="BW39" t="s">
        <v>84</v>
      </c>
      <c r="BX39" t="s">
        <v>84</v>
      </c>
      <c r="BY39" t="s">
        <v>84</v>
      </c>
      <c r="BZ39" t="s">
        <v>84</v>
      </c>
      <c r="CB39" t="s">
        <v>84</v>
      </c>
      <c r="CD39" t="s">
        <v>84</v>
      </c>
    </row>
    <row r="40" spans="1:83" x14ac:dyDescent="0.25">
      <c r="A40" t="s">
        <v>878</v>
      </c>
      <c r="B40" t="s">
        <v>879</v>
      </c>
      <c r="C40" t="s">
        <v>880</v>
      </c>
      <c r="D40" t="s">
        <v>515</v>
      </c>
      <c r="E40" t="s">
        <v>1924</v>
      </c>
      <c r="F40" s="1">
        <v>97</v>
      </c>
      <c r="G40" s="1" t="s">
        <v>84</v>
      </c>
      <c r="I40" t="s">
        <v>85</v>
      </c>
      <c r="J40" t="s">
        <v>85</v>
      </c>
      <c r="K40" t="s">
        <v>85</v>
      </c>
      <c r="L40" t="s">
        <v>85</v>
      </c>
      <c r="M40" t="s">
        <v>85</v>
      </c>
      <c r="N40" t="s">
        <v>85</v>
      </c>
      <c r="O40" t="s">
        <v>85</v>
      </c>
      <c r="Q40" t="s">
        <v>84</v>
      </c>
      <c r="R40" t="s">
        <v>84</v>
      </c>
      <c r="T40" t="s">
        <v>96</v>
      </c>
      <c r="U40" t="s">
        <v>87</v>
      </c>
      <c r="V40" t="s">
        <v>84</v>
      </c>
      <c r="W40" t="s">
        <v>84</v>
      </c>
      <c r="Y40" t="s">
        <v>87</v>
      </c>
      <c r="Z40" t="s">
        <v>84</v>
      </c>
      <c r="AA40" t="s">
        <v>84</v>
      </c>
      <c r="AC40" t="s">
        <v>84</v>
      </c>
      <c r="AD40" t="s">
        <v>84</v>
      </c>
      <c r="AE40" t="s">
        <v>84</v>
      </c>
      <c r="AF40" t="s">
        <v>84</v>
      </c>
      <c r="AG40" t="s">
        <v>84</v>
      </c>
      <c r="AH40" t="s">
        <v>881</v>
      </c>
      <c r="AI40" t="s">
        <v>84</v>
      </c>
      <c r="AJ40" t="s">
        <v>84</v>
      </c>
      <c r="AK40" t="s">
        <v>84</v>
      </c>
      <c r="AL40" t="s">
        <v>87</v>
      </c>
      <c r="AM40" t="s">
        <v>84</v>
      </c>
      <c r="AO40" t="s">
        <v>87</v>
      </c>
      <c r="AP40" t="s">
        <v>87</v>
      </c>
      <c r="AQ40" t="s">
        <v>87</v>
      </c>
      <c r="AS40" t="s">
        <v>87</v>
      </c>
      <c r="AT40" t="s">
        <v>84</v>
      </c>
      <c r="AU40" t="s">
        <v>882</v>
      </c>
      <c r="AW40" t="s">
        <v>89</v>
      </c>
      <c r="AX40" t="s">
        <v>87</v>
      </c>
      <c r="AY40" t="s">
        <v>84</v>
      </c>
      <c r="AZ40" t="s">
        <v>84</v>
      </c>
      <c r="BA40" t="s">
        <v>84</v>
      </c>
      <c r="BB40" t="s">
        <v>87</v>
      </c>
      <c r="BC40" t="s">
        <v>84</v>
      </c>
      <c r="BE40" t="s">
        <v>84</v>
      </c>
      <c r="BH40" t="s">
        <v>87</v>
      </c>
      <c r="BI40" t="s">
        <v>84</v>
      </c>
      <c r="BJ40" t="s">
        <v>84</v>
      </c>
      <c r="BL40" t="s">
        <v>87</v>
      </c>
      <c r="BM40" t="s">
        <v>84</v>
      </c>
      <c r="BN40" t="s">
        <v>84</v>
      </c>
      <c r="BP40" t="s">
        <v>84</v>
      </c>
      <c r="BQ40" t="s">
        <v>84</v>
      </c>
      <c r="BR40" t="s">
        <v>84</v>
      </c>
      <c r="BS40" t="s">
        <v>87</v>
      </c>
      <c r="BT40" t="s">
        <v>84</v>
      </c>
      <c r="BV40" t="s">
        <v>87</v>
      </c>
      <c r="BW40" t="s">
        <v>84</v>
      </c>
      <c r="BX40" t="s">
        <v>84</v>
      </c>
      <c r="BY40" t="s">
        <v>84</v>
      </c>
      <c r="BZ40" t="s">
        <v>84</v>
      </c>
      <c r="CB40" t="s">
        <v>94</v>
      </c>
      <c r="CC40" t="s">
        <v>883</v>
      </c>
      <c r="CD40" t="s">
        <v>94</v>
      </c>
      <c r="CE40" t="s">
        <v>884</v>
      </c>
    </row>
    <row r="41" spans="1:83" x14ac:dyDescent="0.25">
      <c r="A41" t="s">
        <v>1451</v>
      </c>
      <c r="B41" t="s">
        <v>1452</v>
      </c>
      <c r="C41" t="s">
        <v>1453</v>
      </c>
      <c r="D41" t="s">
        <v>109</v>
      </c>
      <c r="E41" t="s">
        <v>1924</v>
      </c>
      <c r="F41" s="1">
        <v>115</v>
      </c>
      <c r="G41" s="1" t="s">
        <v>84</v>
      </c>
      <c r="I41" t="s">
        <v>85</v>
      </c>
      <c r="J41" t="s">
        <v>85</v>
      </c>
      <c r="K41" t="s">
        <v>85</v>
      </c>
      <c r="L41" t="s">
        <v>85</v>
      </c>
      <c r="M41" t="s">
        <v>85</v>
      </c>
      <c r="N41" t="s">
        <v>85</v>
      </c>
      <c r="O41" t="s">
        <v>85</v>
      </c>
      <c r="Q41" t="s">
        <v>84</v>
      </c>
      <c r="T41" t="s">
        <v>86</v>
      </c>
      <c r="U41" t="s">
        <v>87</v>
      </c>
      <c r="V41" t="s">
        <v>87</v>
      </c>
      <c r="W41" t="s">
        <v>87</v>
      </c>
      <c r="X41" t="s">
        <v>112</v>
      </c>
      <c r="Y41" t="s">
        <v>87</v>
      </c>
      <c r="Z41" t="s">
        <v>87</v>
      </c>
      <c r="AA41" t="s">
        <v>87</v>
      </c>
      <c r="AB41" t="s">
        <v>112</v>
      </c>
      <c r="AC41" t="s">
        <v>87</v>
      </c>
      <c r="AD41" t="s">
        <v>84</v>
      </c>
      <c r="AE41" t="s">
        <v>84</v>
      </c>
      <c r="AF41" t="s">
        <v>84</v>
      </c>
      <c r="AG41" t="s">
        <v>87</v>
      </c>
      <c r="AI41" t="s">
        <v>87</v>
      </c>
      <c r="AJ41" t="s">
        <v>84</v>
      </c>
      <c r="AK41" t="s">
        <v>84</v>
      </c>
      <c r="AL41" t="s">
        <v>84</v>
      </c>
      <c r="AM41" t="s">
        <v>84</v>
      </c>
      <c r="AO41" t="s">
        <v>87</v>
      </c>
      <c r="AP41" t="s">
        <v>87</v>
      </c>
      <c r="AQ41" t="s">
        <v>87</v>
      </c>
      <c r="AR41" t="s">
        <v>112</v>
      </c>
      <c r="AS41" t="s">
        <v>87</v>
      </c>
      <c r="AT41" t="s">
        <v>84</v>
      </c>
      <c r="AU41" t="s">
        <v>1454</v>
      </c>
      <c r="AW41" t="s">
        <v>89</v>
      </c>
      <c r="AX41" t="s">
        <v>84</v>
      </c>
      <c r="AY41" t="s">
        <v>87</v>
      </c>
      <c r="AZ41" t="s">
        <v>87</v>
      </c>
      <c r="BA41" t="s">
        <v>84</v>
      </c>
      <c r="BB41" t="s">
        <v>84</v>
      </c>
      <c r="BC41" t="s">
        <v>87</v>
      </c>
      <c r="BE41" t="s">
        <v>84</v>
      </c>
      <c r="BH41" t="s">
        <v>87</v>
      </c>
      <c r="BI41" t="s">
        <v>84</v>
      </c>
      <c r="BJ41" t="s">
        <v>84</v>
      </c>
      <c r="BL41" t="s">
        <v>87</v>
      </c>
      <c r="BM41" t="s">
        <v>84</v>
      </c>
      <c r="BN41" t="s">
        <v>84</v>
      </c>
      <c r="BP41" t="s">
        <v>87</v>
      </c>
      <c r="BQ41" t="s">
        <v>84</v>
      </c>
      <c r="BR41" t="s">
        <v>84</v>
      </c>
      <c r="BS41" t="s">
        <v>84</v>
      </c>
      <c r="BT41" t="s">
        <v>84</v>
      </c>
      <c r="BV41" t="s">
        <v>87</v>
      </c>
      <c r="BW41" t="s">
        <v>84</v>
      </c>
      <c r="BX41" t="s">
        <v>84</v>
      </c>
      <c r="BY41" t="s">
        <v>84</v>
      </c>
      <c r="BZ41" t="s">
        <v>87</v>
      </c>
      <c r="CB41" t="s">
        <v>84</v>
      </c>
      <c r="CD41" t="s">
        <v>84</v>
      </c>
    </row>
    <row r="42" spans="1:83" x14ac:dyDescent="0.25">
      <c r="A42" t="s">
        <v>457</v>
      </c>
      <c r="B42" t="s">
        <v>458</v>
      </c>
      <c r="C42" t="s">
        <v>459</v>
      </c>
      <c r="D42" t="s">
        <v>109</v>
      </c>
      <c r="E42" t="s">
        <v>1924</v>
      </c>
      <c r="F42" s="1">
        <v>124</v>
      </c>
      <c r="G42" s="1" t="s">
        <v>94</v>
      </c>
      <c r="H42" t="s">
        <v>95</v>
      </c>
      <c r="I42" t="s">
        <v>87</v>
      </c>
      <c r="J42" t="s">
        <v>84</v>
      </c>
      <c r="K42" t="s">
        <v>84</v>
      </c>
      <c r="L42" t="s">
        <v>84</v>
      </c>
      <c r="M42" t="s">
        <v>87</v>
      </c>
      <c r="N42" t="s">
        <v>84</v>
      </c>
      <c r="O42" t="s">
        <v>84</v>
      </c>
      <c r="Q42" t="s">
        <v>84</v>
      </c>
      <c r="T42" t="s">
        <v>96</v>
      </c>
      <c r="U42" t="s">
        <v>87</v>
      </c>
      <c r="V42" t="s">
        <v>84</v>
      </c>
      <c r="W42" t="s">
        <v>84</v>
      </c>
      <c r="X42" t="s">
        <v>112</v>
      </c>
      <c r="Y42" t="s">
        <v>84</v>
      </c>
      <c r="Z42" t="s">
        <v>84</v>
      </c>
      <c r="AA42" t="s">
        <v>84</v>
      </c>
      <c r="AB42" t="s">
        <v>112</v>
      </c>
      <c r="AC42" t="s">
        <v>84</v>
      </c>
      <c r="AD42" t="s">
        <v>84</v>
      </c>
      <c r="AE42" t="s">
        <v>84</v>
      </c>
      <c r="AF42" t="s">
        <v>84</v>
      </c>
      <c r="AG42" t="s">
        <v>87</v>
      </c>
      <c r="AI42" t="s">
        <v>84</v>
      </c>
      <c r="AJ42" t="s">
        <v>84</v>
      </c>
      <c r="AK42" t="s">
        <v>84</v>
      </c>
      <c r="AL42" t="s">
        <v>84</v>
      </c>
      <c r="AM42" t="s">
        <v>87</v>
      </c>
      <c r="AO42" t="s">
        <v>87</v>
      </c>
      <c r="AP42" t="s">
        <v>87</v>
      </c>
      <c r="AQ42" t="s">
        <v>84</v>
      </c>
      <c r="AS42" t="s">
        <v>87</v>
      </c>
      <c r="AT42" t="s">
        <v>84</v>
      </c>
      <c r="AU42" t="s">
        <v>432</v>
      </c>
      <c r="AW42" t="s">
        <v>89</v>
      </c>
      <c r="AX42" t="s">
        <v>87</v>
      </c>
      <c r="AY42" t="s">
        <v>84</v>
      </c>
      <c r="AZ42" t="s">
        <v>87</v>
      </c>
      <c r="BA42" t="s">
        <v>84</v>
      </c>
      <c r="BB42" t="s">
        <v>84</v>
      </c>
      <c r="BC42" t="s">
        <v>84</v>
      </c>
      <c r="BD42" t="s">
        <v>433</v>
      </c>
      <c r="BE42" t="s">
        <v>84</v>
      </c>
      <c r="BH42" t="s">
        <v>87</v>
      </c>
      <c r="BI42" t="s">
        <v>84</v>
      </c>
      <c r="BJ42" t="s">
        <v>84</v>
      </c>
      <c r="BL42" t="s">
        <v>87</v>
      </c>
      <c r="BM42" t="s">
        <v>84</v>
      </c>
      <c r="BN42" t="s">
        <v>84</v>
      </c>
      <c r="BP42" t="s">
        <v>84</v>
      </c>
      <c r="BQ42" t="s">
        <v>84</v>
      </c>
      <c r="BR42" t="s">
        <v>84</v>
      </c>
      <c r="BS42" t="s">
        <v>87</v>
      </c>
      <c r="BT42" t="s">
        <v>84</v>
      </c>
      <c r="BV42" t="s">
        <v>87</v>
      </c>
      <c r="BW42" t="s">
        <v>84</v>
      </c>
      <c r="BX42" t="s">
        <v>84</v>
      </c>
      <c r="BY42" t="s">
        <v>84</v>
      </c>
      <c r="BZ42" t="s">
        <v>87</v>
      </c>
      <c r="CB42" t="s">
        <v>84</v>
      </c>
      <c r="CD42" t="s">
        <v>84</v>
      </c>
    </row>
    <row r="43" spans="1:83" x14ac:dyDescent="0.25">
      <c r="A43" t="s">
        <v>101</v>
      </c>
      <c r="B43" t="s">
        <v>102</v>
      </c>
      <c r="C43" t="s">
        <v>103</v>
      </c>
      <c r="D43" t="s">
        <v>104</v>
      </c>
      <c r="E43" t="s">
        <v>1926</v>
      </c>
      <c r="F43" s="1">
        <v>132</v>
      </c>
      <c r="G43" s="1" t="s">
        <v>94</v>
      </c>
      <c r="H43" t="s">
        <v>95</v>
      </c>
      <c r="I43" t="s">
        <v>87</v>
      </c>
      <c r="J43" t="s">
        <v>84</v>
      </c>
      <c r="K43" t="s">
        <v>87</v>
      </c>
      <c r="L43" t="s">
        <v>84</v>
      </c>
      <c r="M43" t="s">
        <v>87</v>
      </c>
      <c r="N43" t="s">
        <v>84</v>
      </c>
      <c r="O43" t="s">
        <v>84</v>
      </c>
      <c r="Q43" t="s">
        <v>84</v>
      </c>
      <c r="T43" t="s">
        <v>96</v>
      </c>
      <c r="U43" t="s">
        <v>87</v>
      </c>
      <c r="V43" t="s">
        <v>87</v>
      </c>
      <c r="W43" t="s">
        <v>84</v>
      </c>
      <c r="Y43" t="s">
        <v>87</v>
      </c>
      <c r="Z43" t="s">
        <v>84</v>
      </c>
      <c r="AA43" t="s">
        <v>84</v>
      </c>
      <c r="AC43" t="s">
        <v>84</v>
      </c>
      <c r="AD43" t="s">
        <v>84</v>
      </c>
      <c r="AE43" t="s">
        <v>84</v>
      </c>
      <c r="AF43" t="s">
        <v>84</v>
      </c>
      <c r="AG43" t="s">
        <v>87</v>
      </c>
      <c r="AI43" t="s">
        <v>87</v>
      </c>
      <c r="AJ43" t="s">
        <v>84</v>
      </c>
      <c r="AK43" t="s">
        <v>84</v>
      </c>
      <c r="AL43" t="s">
        <v>84</v>
      </c>
      <c r="AM43" t="s">
        <v>84</v>
      </c>
      <c r="AO43" t="s">
        <v>87</v>
      </c>
      <c r="AP43" t="s">
        <v>87</v>
      </c>
      <c r="AQ43" t="s">
        <v>84</v>
      </c>
      <c r="AS43" t="s">
        <v>87</v>
      </c>
      <c r="AT43" t="s">
        <v>84</v>
      </c>
      <c r="AU43" t="s">
        <v>105</v>
      </c>
      <c r="AW43" t="s">
        <v>89</v>
      </c>
      <c r="AX43" t="s">
        <v>84</v>
      </c>
      <c r="AY43" t="s">
        <v>84</v>
      </c>
      <c r="AZ43" t="s">
        <v>84</v>
      </c>
      <c r="BA43" t="s">
        <v>87</v>
      </c>
      <c r="BB43" t="s">
        <v>84</v>
      </c>
      <c r="BC43" t="s">
        <v>87</v>
      </c>
      <c r="BE43" t="s">
        <v>84</v>
      </c>
      <c r="BH43" t="s">
        <v>87</v>
      </c>
      <c r="BI43" t="s">
        <v>84</v>
      </c>
      <c r="BJ43" t="s">
        <v>84</v>
      </c>
      <c r="BL43" t="s">
        <v>87</v>
      </c>
      <c r="BM43" t="s">
        <v>84</v>
      </c>
      <c r="BN43" t="s">
        <v>84</v>
      </c>
      <c r="BP43" t="s">
        <v>87</v>
      </c>
      <c r="BQ43" t="s">
        <v>84</v>
      </c>
      <c r="BR43" t="s">
        <v>84</v>
      </c>
      <c r="BS43" t="s">
        <v>84</v>
      </c>
      <c r="BT43" t="s">
        <v>84</v>
      </c>
      <c r="BV43" t="s">
        <v>84</v>
      </c>
      <c r="BW43" t="s">
        <v>84</v>
      </c>
      <c r="BX43" t="s">
        <v>84</v>
      </c>
      <c r="BY43" t="s">
        <v>84</v>
      </c>
      <c r="BZ43" t="s">
        <v>87</v>
      </c>
      <c r="CB43" t="s">
        <v>84</v>
      </c>
      <c r="CD43" t="s">
        <v>84</v>
      </c>
    </row>
    <row r="44" spans="1:83" x14ac:dyDescent="0.25">
      <c r="A44" t="s">
        <v>1790</v>
      </c>
      <c r="B44" t="s">
        <v>1791</v>
      </c>
      <c r="C44" t="s">
        <v>1792</v>
      </c>
      <c r="D44" t="s">
        <v>228</v>
      </c>
      <c r="E44" t="s">
        <v>1996</v>
      </c>
      <c r="F44" s="1">
        <v>143</v>
      </c>
      <c r="G44" s="1" t="s">
        <v>94</v>
      </c>
      <c r="H44" t="s">
        <v>1793</v>
      </c>
      <c r="I44" t="s">
        <v>87</v>
      </c>
      <c r="J44" t="s">
        <v>84</v>
      </c>
      <c r="K44" t="s">
        <v>84</v>
      </c>
      <c r="L44" t="s">
        <v>84</v>
      </c>
      <c r="M44" t="s">
        <v>84</v>
      </c>
      <c r="N44" t="s">
        <v>84</v>
      </c>
      <c r="O44" t="s">
        <v>84</v>
      </c>
      <c r="Q44" t="s">
        <v>84</v>
      </c>
      <c r="R44" t="s">
        <v>84</v>
      </c>
      <c r="T44" t="s">
        <v>86</v>
      </c>
      <c r="U44" t="s">
        <v>87</v>
      </c>
      <c r="V44" t="s">
        <v>84</v>
      </c>
      <c r="W44" t="s">
        <v>84</v>
      </c>
      <c r="Y44" t="s">
        <v>87</v>
      </c>
      <c r="Z44" t="s">
        <v>84</v>
      </c>
      <c r="AA44" t="s">
        <v>84</v>
      </c>
      <c r="AC44" t="s">
        <v>84</v>
      </c>
      <c r="AD44" t="s">
        <v>84</v>
      </c>
      <c r="AE44" t="s">
        <v>87</v>
      </c>
      <c r="AF44" t="s">
        <v>84</v>
      </c>
      <c r="AG44" t="s">
        <v>87</v>
      </c>
      <c r="AH44" t="s">
        <v>1794</v>
      </c>
      <c r="AI44" t="s">
        <v>84</v>
      </c>
      <c r="AJ44" t="s">
        <v>84</v>
      </c>
      <c r="AK44" t="s">
        <v>84</v>
      </c>
      <c r="AL44" t="s">
        <v>84</v>
      </c>
      <c r="AM44" t="s">
        <v>87</v>
      </c>
      <c r="AO44" t="s">
        <v>87</v>
      </c>
      <c r="AP44" t="s">
        <v>87</v>
      </c>
      <c r="AQ44" t="s">
        <v>87</v>
      </c>
      <c r="AS44" t="s">
        <v>87</v>
      </c>
      <c r="AT44" t="s">
        <v>84</v>
      </c>
      <c r="AU44" t="s">
        <v>1795</v>
      </c>
      <c r="AW44" t="s">
        <v>89</v>
      </c>
      <c r="AX44" t="s">
        <v>87</v>
      </c>
      <c r="AY44" t="s">
        <v>84</v>
      </c>
      <c r="AZ44" t="s">
        <v>84</v>
      </c>
      <c r="BA44" t="s">
        <v>84</v>
      </c>
      <c r="BB44" t="s">
        <v>87</v>
      </c>
      <c r="BC44" t="s">
        <v>84</v>
      </c>
      <c r="BE44" t="s">
        <v>84</v>
      </c>
      <c r="BH44" t="s">
        <v>87</v>
      </c>
      <c r="BI44" t="s">
        <v>84</v>
      </c>
      <c r="BJ44" t="s">
        <v>84</v>
      </c>
      <c r="BL44" t="s">
        <v>87</v>
      </c>
      <c r="BM44" t="s">
        <v>84</v>
      </c>
      <c r="BN44" t="s">
        <v>84</v>
      </c>
      <c r="BP44" t="s">
        <v>84</v>
      </c>
      <c r="BQ44" t="s">
        <v>84</v>
      </c>
      <c r="BR44" t="s">
        <v>84</v>
      </c>
      <c r="BS44" t="s">
        <v>84</v>
      </c>
      <c r="BT44" t="s">
        <v>87</v>
      </c>
      <c r="BV44" t="s">
        <v>84</v>
      </c>
      <c r="BW44" t="s">
        <v>84</v>
      </c>
      <c r="BX44" t="s">
        <v>84</v>
      </c>
      <c r="BY44" t="s">
        <v>84</v>
      </c>
      <c r="BZ44" t="s">
        <v>87</v>
      </c>
      <c r="CA44" t="s">
        <v>1665</v>
      </c>
      <c r="CB44" t="s">
        <v>84</v>
      </c>
      <c r="CD44" t="s">
        <v>84</v>
      </c>
    </row>
    <row r="45" spans="1:83" x14ac:dyDescent="0.25">
      <c r="A45" t="s">
        <v>1009</v>
      </c>
      <c r="B45" t="s">
        <v>1010</v>
      </c>
      <c r="C45" t="s">
        <v>1011</v>
      </c>
      <c r="D45" t="s">
        <v>93</v>
      </c>
      <c r="E45" t="s">
        <v>1996</v>
      </c>
      <c r="F45" s="1">
        <v>149</v>
      </c>
      <c r="G45" s="1" t="s">
        <v>94</v>
      </c>
      <c r="H45" t="s">
        <v>95</v>
      </c>
      <c r="I45" t="s">
        <v>87</v>
      </c>
      <c r="J45" t="s">
        <v>84</v>
      </c>
      <c r="K45" t="s">
        <v>87</v>
      </c>
      <c r="L45" t="s">
        <v>84</v>
      </c>
      <c r="M45" t="s">
        <v>87</v>
      </c>
      <c r="N45" t="s">
        <v>84</v>
      </c>
      <c r="O45" t="s">
        <v>84</v>
      </c>
      <c r="Q45" t="s">
        <v>84</v>
      </c>
      <c r="R45" t="s">
        <v>84</v>
      </c>
      <c r="T45" t="s">
        <v>96</v>
      </c>
      <c r="U45" t="s">
        <v>87</v>
      </c>
      <c r="V45" t="s">
        <v>84</v>
      </c>
      <c r="W45" t="s">
        <v>84</v>
      </c>
      <c r="Y45" t="s">
        <v>87</v>
      </c>
      <c r="Z45" t="s">
        <v>84</v>
      </c>
      <c r="AA45" t="s">
        <v>84</v>
      </c>
      <c r="AC45" t="s">
        <v>84</v>
      </c>
      <c r="AD45" t="s">
        <v>87</v>
      </c>
      <c r="AE45" t="s">
        <v>84</v>
      </c>
      <c r="AF45" t="s">
        <v>84</v>
      </c>
      <c r="AG45" t="s">
        <v>87</v>
      </c>
      <c r="AI45" t="s">
        <v>84</v>
      </c>
      <c r="AJ45" t="s">
        <v>84</v>
      </c>
      <c r="AK45" t="s">
        <v>84</v>
      </c>
      <c r="AL45" t="s">
        <v>84</v>
      </c>
      <c r="AM45" t="s">
        <v>87</v>
      </c>
      <c r="AO45" t="s">
        <v>87</v>
      </c>
      <c r="AP45" t="s">
        <v>87</v>
      </c>
      <c r="AQ45" t="s">
        <v>84</v>
      </c>
      <c r="AS45" t="s">
        <v>87</v>
      </c>
      <c r="AT45" t="s">
        <v>84</v>
      </c>
      <c r="AU45" t="s">
        <v>279</v>
      </c>
      <c r="AW45" t="s">
        <v>89</v>
      </c>
      <c r="AX45" t="s">
        <v>84</v>
      </c>
      <c r="AY45" t="s">
        <v>84</v>
      </c>
      <c r="AZ45" t="s">
        <v>84</v>
      </c>
      <c r="BA45" t="s">
        <v>87</v>
      </c>
      <c r="BB45" t="s">
        <v>84</v>
      </c>
      <c r="BC45" t="s">
        <v>84</v>
      </c>
      <c r="BD45" t="s">
        <v>1012</v>
      </c>
      <c r="BE45" t="s">
        <v>84</v>
      </c>
      <c r="BH45" t="s">
        <v>87</v>
      </c>
      <c r="BI45" t="s">
        <v>84</v>
      </c>
      <c r="BJ45" t="s">
        <v>84</v>
      </c>
      <c r="BL45" t="s">
        <v>87</v>
      </c>
      <c r="BM45" t="s">
        <v>84</v>
      </c>
      <c r="BN45" t="s">
        <v>84</v>
      </c>
      <c r="BP45" t="s">
        <v>84</v>
      </c>
      <c r="BQ45" t="s">
        <v>84</v>
      </c>
      <c r="BR45" t="s">
        <v>84</v>
      </c>
      <c r="BS45" t="s">
        <v>84</v>
      </c>
      <c r="BT45" t="s">
        <v>87</v>
      </c>
      <c r="BV45" t="s">
        <v>84</v>
      </c>
      <c r="BW45" t="s">
        <v>87</v>
      </c>
      <c r="BX45" t="s">
        <v>84</v>
      </c>
      <c r="BY45" t="s">
        <v>84</v>
      </c>
      <c r="BZ45" t="s">
        <v>87</v>
      </c>
      <c r="CB45" t="s">
        <v>84</v>
      </c>
      <c r="CD45" t="s">
        <v>84</v>
      </c>
    </row>
    <row r="46" spans="1:83" x14ac:dyDescent="0.25">
      <c r="A46" t="s">
        <v>673</v>
      </c>
      <c r="B46" t="s">
        <v>674</v>
      </c>
      <c r="C46" t="s">
        <v>675</v>
      </c>
      <c r="D46" t="s">
        <v>204</v>
      </c>
      <c r="E46" t="s">
        <v>1926</v>
      </c>
      <c r="F46" s="1">
        <v>201</v>
      </c>
      <c r="G46" s="1" t="s">
        <v>94</v>
      </c>
      <c r="H46" t="s">
        <v>95</v>
      </c>
      <c r="I46" t="s">
        <v>87</v>
      </c>
      <c r="J46" t="s">
        <v>84</v>
      </c>
      <c r="K46" t="s">
        <v>84</v>
      </c>
      <c r="L46" t="s">
        <v>84</v>
      </c>
      <c r="M46" t="s">
        <v>87</v>
      </c>
      <c r="N46" t="s">
        <v>84</v>
      </c>
      <c r="O46" t="s">
        <v>84</v>
      </c>
      <c r="Q46" t="s">
        <v>84</v>
      </c>
      <c r="T46" t="s">
        <v>86</v>
      </c>
      <c r="U46" t="s">
        <v>84</v>
      </c>
      <c r="V46" t="s">
        <v>84</v>
      </c>
      <c r="W46" t="s">
        <v>84</v>
      </c>
      <c r="X46" t="s">
        <v>395</v>
      </c>
      <c r="Y46" t="s">
        <v>84</v>
      </c>
      <c r="Z46" t="s">
        <v>84</v>
      </c>
      <c r="AA46" t="s">
        <v>84</v>
      </c>
      <c r="AB46" t="s">
        <v>395</v>
      </c>
      <c r="AC46" t="s">
        <v>84</v>
      </c>
      <c r="AD46" t="s">
        <v>84</v>
      </c>
      <c r="AE46" t="s">
        <v>84</v>
      </c>
      <c r="AF46" t="s">
        <v>84</v>
      </c>
      <c r="AG46" t="s">
        <v>84</v>
      </c>
      <c r="AH46" t="s">
        <v>676</v>
      </c>
      <c r="AI46" t="s">
        <v>84</v>
      </c>
      <c r="AJ46" t="s">
        <v>84</v>
      </c>
      <c r="AK46" t="s">
        <v>84</v>
      </c>
      <c r="AL46" t="s">
        <v>84</v>
      </c>
      <c r="AM46" t="s">
        <v>87</v>
      </c>
      <c r="AO46" t="s">
        <v>87</v>
      </c>
      <c r="AP46" t="s">
        <v>87</v>
      </c>
      <c r="AQ46" t="s">
        <v>84</v>
      </c>
      <c r="AS46" t="s">
        <v>87</v>
      </c>
      <c r="AT46" t="s">
        <v>84</v>
      </c>
      <c r="AU46" t="s">
        <v>677</v>
      </c>
      <c r="AW46" t="s">
        <v>89</v>
      </c>
      <c r="AX46" t="s">
        <v>84</v>
      </c>
      <c r="AY46" t="s">
        <v>84</v>
      </c>
      <c r="AZ46" t="s">
        <v>84</v>
      </c>
      <c r="BA46" t="s">
        <v>87</v>
      </c>
      <c r="BB46" t="s">
        <v>87</v>
      </c>
      <c r="BC46" t="s">
        <v>84</v>
      </c>
      <c r="BE46" t="s">
        <v>84</v>
      </c>
      <c r="BH46" t="s">
        <v>87</v>
      </c>
      <c r="BI46" t="s">
        <v>84</v>
      </c>
      <c r="BJ46" t="s">
        <v>84</v>
      </c>
      <c r="BL46" t="s">
        <v>87</v>
      </c>
      <c r="BM46" t="s">
        <v>84</v>
      </c>
      <c r="BN46" t="s">
        <v>84</v>
      </c>
      <c r="BP46" t="s">
        <v>87</v>
      </c>
      <c r="BQ46" t="s">
        <v>84</v>
      </c>
      <c r="BR46" t="s">
        <v>84</v>
      </c>
      <c r="BS46" t="s">
        <v>84</v>
      </c>
      <c r="BT46" t="s">
        <v>84</v>
      </c>
      <c r="BV46" t="s">
        <v>84</v>
      </c>
      <c r="BW46" t="s">
        <v>84</v>
      </c>
      <c r="BX46" t="s">
        <v>84</v>
      </c>
      <c r="BY46" t="s">
        <v>84</v>
      </c>
      <c r="BZ46" t="s">
        <v>84</v>
      </c>
      <c r="CA46" t="s">
        <v>678</v>
      </c>
      <c r="CB46" t="s">
        <v>84</v>
      </c>
      <c r="CD46" t="s">
        <v>84</v>
      </c>
    </row>
    <row r="47" spans="1:83" x14ac:dyDescent="0.25">
      <c r="A47" t="s">
        <v>322</v>
      </c>
      <c r="B47" t="s">
        <v>323</v>
      </c>
      <c r="C47" t="s">
        <v>324</v>
      </c>
      <c r="D47" t="s">
        <v>325</v>
      </c>
      <c r="E47" t="s">
        <v>1924</v>
      </c>
      <c r="F47" s="1">
        <v>203</v>
      </c>
      <c r="G47" s="1" t="s">
        <v>94</v>
      </c>
      <c r="H47" t="s">
        <v>95</v>
      </c>
      <c r="I47" t="s">
        <v>87</v>
      </c>
      <c r="J47" t="s">
        <v>84</v>
      </c>
      <c r="K47" t="s">
        <v>84</v>
      </c>
      <c r="L47" t="s">
        <v>84</v>
      </c>
      <c r="M47" t="s">
        <v>84</v>
      </c>
      <c r="N47" t="s">
        <v>84</v>
      </c>
      <c r="O47" t="s">
        <v>87</v>
      </c>
      <c r="Q47" t="s">
        <v>84</v>
      </c>
      <c r="T47" t="s">
        <v>86</v>
      </c>
      <c r="U47" t="s">
        <v>87</v>
      </c>
      <c r="V47" t="s">
        <v>84</v>
      </c>
      <c r="W47" t="s">
        <v>84</v>
      </c>
      <c r="Y47" t="s">
        <v>87</v>
      </c>
      <c r="Z47" t="s">
        <v>84</v>
      </c>
      <c r="AA47" t="s">
        <v>84</v>
      </c>
      <c r="AC47" t="s">
        <v>87</v>
      </c>
      <c r="AD47" t="s">
        <v>84</v>
      </c>
      <c r="AE47" t="s">
        <v>84</v>
      </c>
      <c r="AF47" t="s">
        <v>84</v>
      </c>
      <c r="AG47" t="s">
        <v>87</v>
      </c>
      <c r="AI47" t="s">
        <v>84</v>
      </c>
      <c r="AJ47" t="s">
        <v>84</v>
      </c>
      <c r="AK47" t="s">
        <v>84</v>
      </c>
      <c r="AL47" t="s">
        <v>87</v>
      </c>
      <c r="AM47" t="s">
        <v>84</v>
      </c>
      <c r="AO47" t="s">
        <v>87</v>
      </c>
      <c r="AP47" t="s">
        <v>87</v>
      </c>
      <c r="AQ47" t="s">
        <v>84</v>
      </c>
      <c r="AS47" t="s">
        <v>87</v>
      </c>
      <c r="AT47" t="s">
        <v>84</v>
      </c>
      <c r="AU47" t="s">
        <v>326</v>
      </c>
      <c r="AW47" t="s">
        <v>89</v>
      </c>
      <c r="AX47" t="s">
        <v>84</v>
      </c>
      <c r="AY47" t="s">
        <v>84</v>
      </c>
      <c r="AZ47" t="s">
        <v>84</v>
      </c>
      <c r="BA47" t="s">
        <v>87</v>
      </c>
      <c r="BB47" t="s">
        <v>84</v>
      </c>
      <c r="BC47" t="s">
        <v>87</v>
      </c>
      <c r="BE47" t="s">
        <v>84</v>
      </c>
      <c r="BH47" t="s">
        <v>87</v>
      </c>
      <c r="BI47" t="s">
        <v>84</v>
      </c>
      <c r="BJ47" t="s">
        <v>84</v>
      </c>
      <c r="BL47" t="s">
        <v>87</v>
      </c>
      <c r="BM47" t="s">
        <v>84</v>
      </c>
      <c r="BN47" t="s">
        <v>84</v>
      </c>
      <c r="BP47" t="s">
        <v>84</v>
      </c>
      <c r="BQ47" t="s">
        <v>84</v>
      </c>
      <c r="BR47" t="s">
        <v>84</v>
      </c>
      <c r="BS47" t="s">
        <v>87</v>
      </c>
      <c r="BT47" t="s">
        <v>84</v>
      </c>
      <c r="BV47" t="s">
        <v>87</v>
      </c>
      <c r="BW47" t="s">
        <v>84</v>
      </c>
      <c r="BX47" t="s">
        <v>84</v>
      </c>
      <c r="BY47" t="s">
        <v>84</v>
      </c>
      <c r="BZ47" t="s">
        <v>87</v>
      </c>
      <c r="CB47" t="s">
        <v>84</v>
      </c>
      <c r="CD47" t="s">
        <v>84</v>
      </c>
    </row>
    <row r="48" spans="1:83" x14ac:dyDescent="0.25">
      <c r="A48" t="s">
        <v>505</v>
      </c>
      <c r="B48" t="s">
        <v>506</v>
      </c>
      <c r="C48" t="s">
        <v>507</v>
      </c>
      <c r="D48" t="s">
        <v>204</v>
      </c>
      <c r="E48" t="s">
        <v>1926</v>
      </c>
      <c r="F48" s="1">
        <v>216</v>
      </c>
      <c r="G48" s="1" t="s">
        <v>94</v>
      </c>
      <c r="H48" t="s">
        <v>95</v>
      </c>
      <c r="I48" t="s">
        <v>87</v>
      </c>
      <c r="J48" t="s">
        <v>84</v>
      </c>
      <c r="K48" t="s">
        <v>87</v>
      </c>
      <c r="L48" t="s">
        <v>84</v>
      </c>
      <c r="M48" t="s">
        <v>87</v>
      </c>
      <c r="N48" t="s">
        <v>84</v>
      </c>
      <c r="O48" t="s">
        <v>84</v>
      </c>
      <c r="P48" t="s">
        <v>508</v>
      </c>
      <c r="Q48" t="s">
        <v>84</v>
      </c>
      <c r="R48" t="s">
        <v>84</v>
      </c>
      <c r="T48" t="s">
        <v>86</v>
      </c>
      <c r="U48" t="s">
        <v>87</v>
      </c>
      <c r="V48" t="s">
        <v>87</v>
      </c>
      <c r="W48" t="s">
        <v>84</v>
      </c>
      <c r="Y48" t="s">
        <v>87</v>
      </c>
      <c r="Z48" t="s">
        <v>87</v>
      </c>
      <c r="AA48" t="s">
        <v>84</v>
      </c>
      <c r="AC48" t="s">
        <v>84</v>
      </c>
      <c r="AD48" t="s">
        <v>84</v>
      </c>
      <c r="AE48" t="s">
        <v>84</v>
      </c>
      <c r="AF48" t="s">
        <v>84</v>
      </c>
      <c r="AG48" t="s">
        <v>87</v>
      </c>
      <c r="AH48" t="s">
        <v>509</v>
      </c>
      <c r="AI48" t="s">
        <v>84</v>
      </c>
      <c r="AJ48" t="s">
        <v>84</v>
      </c>
      <c r="AK48" t="s">
        <v>84</v>
      </c>
      <c r="AL48" t="s">
        <v>84</v>
      </c>
      <c r="AM48" t="s">
        <v>87</v>
      </c>
      <c r="AO48" t="s">
        <v>87</v>
      </c>
      <c r="AP48" t="s">
        <v>87</v>
      </c>
      <c r="AQ48" t="s">
        <v>84</v>
      </c>
      <c r="AR48" t="s">
        <v>510</v>
      </c>
      <c r="AS48" t="s">
        <v>87</v>
      </c>
      <c r="AT48" t="s">
        <v>84</v>
      </c>
      <c r="AU48" t="s">
        <v>511</v>
      </c>
      <c r="AW48" t="s">
        <v>89</v>
      </c>
      <c r="AX48" t="s">
        <v>84</v>
      </c>
      <c r="AY48" t="s">
        <v>84</v>
      </c>
      <c r="AZ48" t="s">
        <v>87</v>
      </c>
      <c r="BA48" t="s">
        <v>84</v>
      </c>
      <c r="BB48" t="s">
        <v>84</v>
      </c>
      <c r="BC48" t="s">
        <v>87</v>
      </c>
      <c r="BE48" t="s">
        <v>84</v>
      </c>
      <c r="BH48" t="s">
        <v>87</v>
      </c>
      <c r="BI48" t="s">
        <v>84</v>
      </c>
      <c r="BJ48" t="s">
        <v>84</v>
      </c>
      <c r="BL48" t="s">
        <v>87</v>
      </c>
      <c r="BM48" t="s">
        <v>84</v>
      </c>
      <c r="BN48" t="s">
        <v>84</v>
      </c>
      <c r="BP48" t="s">
        <v>84</v>
      </c>
      <c r="BQ48" t="s">
        <v>84</v>
      </c>
      <c r="BR48" t="s">
        <v>84</v>
      </c>
      <c r="BS48" t="s">
        <v>84</v>
      </c>
      <c r="BT48" t="s">
        <v>87</v>
      </c>
      <c r="BV48" t="s">
        <v>84</v>
      </c>
      <c r="BW48" t="s">
        <v>84</v>
      </c>
      <c r="BX48" t="s">
        <v>84</v>
      </c>
      <c r="BY48" t="s">
        <v>84</v>
      </c>
      <c r="BZ48" t="s">
        <v>84</v>
      </c>
      <c r="CA48" t="s">
        <v>509</v>
      </c>
      <c r="CB48" t="s">
        <v>84</v>
      </c>
      <c r="CD48" t="s">
        <v>84</v>
      </c>
    </row>
    <row r="49" spans="1:83" x14ac:dyDescent="0.25">
      <c r="A49" t="s">
        <v>422</v>
      </c>
      <c r="B49" t="s">
        <v>423</v>
      </c>
      <c r="C49" t="s">
        <v>424</v>
      </c>
      <c r="D49" t="s">
        <v>425</v>
      </c>
      <c r="E49" t="s">
        <v>1927</v>
      </c>
      <c r="F49" s="1">
        <v>252</v>
      </c>
      <c r="G49" s="1" t="s">
        <v>84</v>
      </c>
      <c r="I49" t="s">
        <v>85</v>
      </c>
      <c r="J49" t="s">
        <v>85</v>
      </c>
      <c r="K49" t="s">
        <v>85</v>
      </c>
      <c r="L49" t="s">
        <v>85</v>
      </c>
      <c r="M49" t="s">
        <v>85</v>
      </c>
      <c r="N49" t="s">
        <v>85</v>
      </c>
      <c r="O49" t="s">
        <v>85</v>
      </c>
      <c r="Q49" t="s">
        <v>84</v>
      </c>
      <c r="T49" t="s">
        <v>86</v>
      </c>
      <c r="U49" t="s">
        <v>87</v>
      </c>
      <c r="V49" t="s">
        <v>87</v>
      </c>
      <c r="W49" t="s">
        <v>87</v>
      </c>
      <c r="X49" t="s">
        <v>426</v>
      </c>
      <c r="Y49" t="s">
        <v>87</v>
      </c>
      <c r="Z49" t="s">
        <v>87</v>
      </c>
      <c r="AA49" t="s">
        <v>87</v>
      </c>
      <c r="AB49" t="s">
        <v>426</v>
      </c>
      <c r="AC49" t="s">
        <v>84</v>
      </c>
      <c r="AD49" t="s">
        <v>84</v>
      </c>
      <c r="AE49" t="s">
        <v>87</v>
      </c>
      <c r="AF49" t="s">
        <v>87</v>
      </c>
      <c r="AG49" t="s">
        <v>87</v>
      </c>
      <c r="AI49" t="s">
        <v>87</v>
      </c>
      <c r="AJ49" t="s">
        <v>84</v>
      </c>
      <c r="AK49" t="s">
        <v>84</v>
      </c>
      <c r="AL49" t="s">
        <v>84</v>
      </c>
      <c r="AM49" t="s">
        <v>84</v>
      </c>
      <c r="AO49" t="s">
        <v>87</v>
      </c>
      <c r="AP49" t="s">
        <v>87</v>
      </c>
      <c r="AQ49" t="s">
        <v>84</v>
      </c>
      <c r="AS49" t="s">
        <v>87</v>
      </c>
      <c r="AT49" t="s">
        <v>84</v>
      </c>
      <c r="AU49" t="s">
        <v>427</v>
      </c>
      <c r="AW49" t="s">
        <v>89</v>
      </c>
      <c r="AX49" t="s">
        <v>84</v>
      </c>
      <c r="AY49" t="s">
        <v>84</v>
      </c>
      <c r="AZ49" t="s">
        <v>84</v>
      </c>
      <c r="BA49" t="s">
        <v>87</v>
      </c>
      <c r="BB49" t="s">
        <v>84</v>
      </c>
      <c r="BC49" t="s">
        <v>84</v>
      </c>
      <c r="BD49" t="s">
        <v>428</v>
      </c>
      <c r="BE49" t="s">
        <v>84</v>
      </c>
      <c r="BH49" t="s">
        <v>87</v>
      </c>
      <c r="BI49" t="s">
        <v>84</v>
      </c>
      <c r="BJ49" t="s">
        <v>84</v>
      </c>
      <c r="BL49" t="s">
        <v>87</v>
      </c>
      <c r="BM49" t="s">
        <v>84</v>
      </c>
      <c r="BN49" t="s">
        <v>84</v>
      </c>
      <c r="BP49" t="s">
        <v>87</v>
      </c>
      <c r="BQ49" t="s">
        <v>84</v>
      </c>
      <c r="BR49" t="s">
        <v>84</v>
      </c>
      <c r="BS49" t="s">
        <v>84</v>
      </c>
      <c r="BT49" t="s">
        <v>84</v>
      </c>
      <c r="BV49" t="s">
        <v>84</v>
      </c>
      <c r="BW49" t="s">
        <v>84</v>
      </c>
      <c r="BX49" t="s">
        <v>87</v>
      </c>
      <c r="BY49" t="s">
        <v>87</v>
      </c>
      <c r="BZ49" t="s">
        <v>87</v>
      </c>
      <c r="CB49" t="s">
        <v>84</v>
      </c>
      <c r="CD49" t="s">
        <v>84</v>
      </c>
    </row>
    <row r="50" spans="1:83" x14ac:dyDescent="0.25">
      <c r="A50" t="s">
        <v>679</v>
      </c>
      <c r="B50" t="s">
        <v>680</v>
      </c>
      <c r="C50" t="s">
        <v>681</v>
      </c>
      <c r="D50" t="s">
        <v>204</v>
      </c>
      <c r="E50" t="s">
        <v>1926</v>
      </c>
      <c r="F50" s="1">
        <v>257</v>
      </c>
      <c r="G50" s="1" t="s">
        <v>94</v>
      </c>
      <c r="H50" t="s">
        <v>682</v>
      </c>
      <c r="I50" t="s">
        <v>87</v>
      </c>
      <c r="J50" t="s">
        <v>84</v>
      </c>
      <c r="K50" t="s">
        <v>84</v>
      </c>
      <c r="L50" t="s">
        <v>84</v>
      </c>
      <c r="M50" t="s">
        <v>87</v>
      </c>
      <c r="N50" t="s">
        <v>84</v>
      </c>
      <c r="O50" t="s">
        <v>84</v>
      </c>
      <c r="Q50" t="s">
        <v>84</v>
      </c>
      <c r="T50" t="s">
        <v>96</v>
      </c>
      <c r="U50" t="s">
        <v>87</v>
      </c>
      <c r="V50" t="s">
        <v>87</v>
      </c>
      <c r="W50" t="s">
        <v>84</v>
      </c>
      <c r="Y50" t="s">
        <v>87</v>
      </c>
      <c r="Z50" t="s">
        <v>87</v>
      </c>
      <c r="AA50" t="s">
        <v>84</v>
      </c>
      <c r="AC50" t="s">
        <v>87</v>
      </c>
      <c r="AD50" t="s">
        <v>84</v>
      </c>
      <c r="AE50" t="s">
        <v>84</v>
      </c>
      <c r="AF50" t="s">
        <v>84</v>
      </c>
      <c r="AG50" t="s">
        <v>87</v>
      </c>
      <c r="AI50" t="s">
        <v>84</v>
      </c>
      <c r="AJ50" t="s">
        <v>84</v>
      </c>
      <c r="AK50" t="s">
        <v>84</v>
      </c>
      <c r="AL50" t="s">
        <v>87</v>
      </c>
      <c r="AM50" t="s">
        <v>84</v>
      </c>
      <c r="AO50" t="s">
        <v>87</v>
      </c>
      <c r="AP50" t="s">
        <v>87</v>
      </c>
      <c r="AQ50" t="s">
        <v>84</v>
      </c>
      <c r="AS50" t="s">
        <v>87</v>
      </c>
      <c r="AT50" t="s">
        <v>84</v>
      </c>
      <c r="AU50" t="s">
        <v>683</v>
      </c>
      <c r="AW50" t="s">
        <v>89</v>
      </c>
      <c r="AX50" t="s">
        <v>87</v>
      </c>
      <c r="AY50" t="s">
        <v>87</v>
      </c>
      <c r="AZ50" t="s">
        <v>87</v>
      </c>
      <c r="BA50" t="s">
        <v>84</v>
      </c>
      <c r="BB50" t="s">
        <v>84</v>
      </c>
      <c r="BC50" t="s">
        <v>84</v>
      </c>
      <c r="BD50" t="s">
        <v>684</v>
      </c>
      <c r="BE50" t="s">
        <v>84</v>
      </c>
      <c r="BH50" t="s">
        <v>87</v>
      </c>
      <c r="BI50" t="s">
        <v>84</v>
      </c>
      <c r="BJ50" t="s">
        <v>84</v>
      </c>
      <c r="BL50" t="s">
        <v>87</v>
      </c>
      <c r="BM50" t="s">
        <v>84</v>
      </c>
      <c r="BN50" t="s">
        <v>84</v>
      </c>
      <c r="BP50" t="s">
        <v>84</v>
      </c>
      <c r="BQ50" t="s">
        <v>84</v>
      </c>
      <c r="BR50" t="s">
        <v>84</v>
      </c>
      <c r="BS50" t="s">
        <v>87</v>
      </c>
      <c r="BT50" t="s">
        <v>84</v>
      </c>
      <c r="BV50" t="s">
        <v>87</v>
      </c>
      <c r="BW50" t="s">
        <v>84</v>
      </c>
      <c r="BX50" t="s">
        <v>84</v>
      </c>
      <c r="BY50" t="s">
        <v>84</v>
      </c>
      <c r="BZ50" t="s">
        <v>84</v>
      </c>
      <c r="CB50" t="s">
        <v>84</v>
      </c>
      <c r="CD50" t="s">
        <v>84</v>
      </c>
    </row>
    <row r="51" spans="1:83" x14ac:dyDescent="0.25">
      <c r="A51" t="s">
        <v>648</v>
      </c>
      <c r="B51" t="s">
        <v>649</v>
      </c>
      <c r="C51" t="s">
        <v>650</v>
      </c>
      <c r="D51" t="s">
        <v>137</v>
      </c>
      <c r="E51" t="s">
        <v>1926</v>
      </c>
      <c r="F51" s="1">
        <v>266</v>
      </c>
      <c r="G51" s="1" t="s">
        <v>84</v>
      </c>
      <c r="I51" t="s">
        <v>85</v>
      </c>
      <c r="J51" t="s">
        <v>85</v>
      </c>
      <c r="K51" t="s">
        <v>85</v>
      </c>
      <c r="L51" t="s">
        <v>85</v>
      </c>
      <c r="M51" t="s">
        <v>85</v>
      </c>
      <c r="N51" t="s">
        <v>85</v>
      </c>
      <c r="O51" t="s">
        <v>85</v>
      </c>
      <c r="Q51" t="s">
        <v>84</v>
      </c>
      <c r="T51" t="s">
        <v>96</v>
      </c>
      <c r="U51" t="s">
        <v>87</v>
      </c>
      <c r="V51" t="s">
        <v>87</v>
      </c>
      <c r="W51" t="s">
        <v>84</v>
      </c>
      <c r="Y51" t="s">
        <v>87</v>
      </c>
      <c r="Z51" t="s">
        <v>87</v>
      </c>
      <c r="AA51" t="s">
        <v>84</v>
      </c>
      <c r="AC51" t="s">
        <v>84</v>
      </c>
      <c r="AD51" t="s">
        <v>84</v>
      </c>
      <c r="AE51" t="s">
        <v>84</v>
      </c>
      <c r="AF51" t="s">
        <v>84</v>
      </c>
      <c r="AG51" t="s">
        <v>87</v>
      </c>
      <c r="AI51" t="s">
        <v>87</v>
      </c>
      <c r="AJ51" t="s">
        <v>84</v>
      </c>
      <c r="AK51" t="s">
        <v>84</v>
      </c>
      <c r="AL51" t="s">
        <v>84</v>
      </c>
      <c r="AM51" t="s">
        <v>84</v>
      </c>
      <c r="AO51" t="s">
        <v>87</v>
      </c>
      <c r="AP51" t="s">
        <v>87</v>
      </c>
      <c r="AQ51" t="s">
        <v>84</v>
      </c>
      <c r="AS51" t="s">
        <v>87</v>
      </c>
      <c r="AT51" t="s">
        <v>84</v>
      </c>
      <c r="AU51" t="s">
        <v>294</v>
      </c>
      <c r="AW51" t="s">
        <v>89</v>
      </c>
      <c r="AX51" t="s">
        <v>84</v>
      </c>
      <c r="AY51" t="s">
        <v>84</v>
      </c>
      <c r="AZ51" t="s">
        <v>84</v>
      </c>
      <c r="BA51" t="s">
        <v>87</v>
      </c>
      <c r="BB51" t="s">
        <v>84</v>
      </c>
      <c r="BC51" t="s">
        <v>84</v>
      </c>
      <c r="BD51" t="s">
        <v>224</v>
      </c>
      <c r="BE51" t="s">
        <v>84</v>
      </c>
      <c r="BH51" t="s">
        <v>87</v>
      </c>
      <c r="BI51" t="s">
        <v>84</v>
      </c>
      <c r="BJ51" t="s">
        <v>84</v>
      </c>
      <c r="BL51" t="s">
        <v>87</v>
      </c>
      <c r="BM51" t="s">
        <v>84</v>
      </c>
      <c r="BN51" t="s">
        <v>84</v>
      </c>
      <c r="BP51" t="s">
        <v>87</v>
      </c>
      <c r="BQ51" t="s">
        <v>84</v>
      </c>
      <c r="BR51" t="s">
        <v>84</v>
      </c>
      <c r="BS51" t="s">
        <v>84</v>
      </c>
      <c r="BT51" t="s">
        <v>84</v>
      </c>
      <c r="BV51" t="s">
        <v>87</v>
      </c>
      <c r="BW51" t="s">
        <v>84</v>
      </c>
      <c r="BX51" t="s">
        <v>84</v>
      </c>
      <c r="BY51" t="s">
        <v>84</v>
      </c>
      <c r="BZ51" t="s">
        <v>84</v>
      </c>
      <c r="CB51" t="s">
        <v>84</v>
      </c>
      <c r="CD51" t="s">
        <v>84</v>
      </c>
    </row>
    <row r="52" spans="1:83" x14ac:dyDescent="0.25">
      <c r="A52" t="s">
        <v>1220</v>
      </c>
      <c r="B52" t="s">
        <v>1221</v>
      </c>
      <c r="C52" t="s">
        <v>1222</v>
      </c>
      <c r="D52" t="s">
        <v>109</v>
      </c>
      <c r="E52" t="s">
        <v>1924</v>
      </c>
      <c r="F52" s="1">
        <v>268</v>
      </c>
      <c r="G52" s="1" t="s">
        <v>84</v>
      </c>
      <c r="I52" t="s">
        <v>85</v>
      </c>
      <c r="J52" t="s">
        <v>85</v>
      </c>
      <c r="K52" t="s">
        <v>85</v>
      </c>
      <c r="L52" t="s">
        <v>85</v>
      </c>
      <c r="M52" t="s">
        <v>85</v>
      </c>
      <c r="N52" t="s">
        <v>85</v>
      </c>
      <c r="O52" t="s">
        <v>85</v>
      </c>
      <c r="Q52" t="s">
        <v>84</v>
      </c>
      <c r="R52" t="s">
        <v>84</v>
      </c>
      <c r="T52" t="s">
        <v>86</v>
      </c>
      <c r="U52" t="s">
        <v>87</v>
      </c>
      <c r="V52" t="s">
        <v>84</v>
      </c>
      <c r="W52" t="s">
        <v>84</v>
      </c>
      <c r="Y52" t="s">
        <v>87</v>
      </c>
      <c r="Z52" t="s">
        <v>84</v>
      </c>
      <c r="AA52" t="s">
        <v>84</v>
      </c>
      <c r="AB52" t="s">
        <v>112</v>
      </c>
      <c r="AC52" t="s">
        <v>84</v>
      </c>
      <c r="AD52" t="s">
        <v>84</v>
      </c>
      <c r="AE52" t="s">
        <v>84</v>
      </c>
      <c r="AF52" t="s">
        <v>84</v>
      </c>
      <c r="AG52" t="s">
        <v>84</v>
      </c>
      <c r="AH52" t="s">
        <v>309</v>
      </c>
      <c r="AI52" t="s">
        <v>84</v>
      </c>
      <c r="AJ52" t="s">
        <v>84</v>
      </c>
      <c r="AK52" t="s">
        <v>84</v>
      </c>
      <c r="AL52" t="s">
        <v>84</v>
      </c>
      <c r="AM52" t="s">
        <v>87</v>
      </c>
      <c r="AO52" t="s">
        <v>87</v>
      </c>
      <c r="AP52" t="s">
        <v>87</v>
      </c>
      <c r="AQ52" t="s">
        <v>87</v>
      </c>
      <c r="AS52" t="s">
        <v>87</v>
      </c>
      <c r="AT52" t="s">
        <v>84</v>
      </c>
      <c r="AU52" t="s">
        <v>1223</v>
      </c>
      <c r="AW52" t="s">
        <v>89</v>
      </c>
      <c r="AX52" t="s">
        <v>84</v>
      </c>
      <c r="AY52" t="s">
        <v>84</v>
      </c>
      <c r="AZ52" t="s">
        <v>84</v>
      </c>
      <c r="BA52" t="s">
        <v>87</v>
      </c>
      <c r="BB52" t="s">
        <v>87</v>
      </c>
      <c r="BC52" t="s">
        <v>84</v>
      </c>
      <c r="BE52" t="s">
        <v>84</v>
      </c>
      <c r="BH52" t="s">
        <v>87</v>
      </c>
      <c r="BI52" t="s">
        <v>84</v>
      </c>
      <c r="BJ52" t="s">
        <v>84</v>
      </c>
      <c r="BL52" t="s">
        <v>87</v>
      </c>
      <c r="BM52" t="s">
        <v>84</v>
      </c>
      <c r="BN52" t="s">
        <v>84</v>
      </c>
      <c r="BP52" t="s">
        <v>84</v>
      </c>
      <c r="BQ52" t="s">
        <v>84</v>
      </c>
      <c r="BR52" t="s">
        <v>84</v>
      </c>
      <c r="BS52" t="s">
        <v>84</v>
      </c>
      <c r="BT52" t="s">
        <v>87</v>
      </c>
      <c r="BV52" t="s">
        <v>84</v>
      </c>
      <c r="BW52" t="s">
        <v>84</v>
      </c>
      <c r="BX52" t="s">
        <v>84</v>
      </c>
      <c r="BY52" t="s">
        <v>84</v>
      </c>
      <c r="BZ52" t="s">
        <v>87</v>
      </c>
      <c r="CB52" t="s">
        <v>84</v>
      </c>
      <c r="CD52" t="s">
        <v>84</v>
      </c>
    </row>
    <row r="53" spans="1:83" x14ac:dyDescent="0.25">
      <c r="A53" t="s">
        <v>257</v>
      </c>
      <c r="B53" t="s">
        <v>258</v>
      </c>
      <c r="C53" t="s">
        <v>259</v>
      </c>
      <c r="D53" t="s">
        <v>222</v>
      </c>
      <c r="E53" t="s">
        <v>222</v>
      </c>
      <c r="F53" s="1">
        <v>310</v>
      </c>
      <c r="G53" s="1" t="s">
        <v>84</v>
      </c>
      <c r="I53" t="s">
        <v>85</v>
      </c>
      <c r="J53" t="s">
        <v>85</v>
      </c>
      <c r="K53" t="s">
        <v>85</v>
      </c>
      <c r="L53" t="s">
        <v>85</v>
      </c>
      <c r="M53" t="s">
        <v>85</v>
      </c>
      <c r="N53" t="s">
        <v>85</v>
      </c>
      <c r="O53" t="s">
        <v>85</v>
      </c>
      <c r="Q53" t="s">
        <v>84</v>
      </c>
      <c r="T53" t="s">
        <v>86</v>
      </c>
      <c r="U53" t="s">
        <v>87</v>
      </c>
      <c r="V53" t="s">
        <v>87</v>
      </c>
      <c r="W53" t="s">
        <v>87</v>
      </c>
      <c r="Y53" t="s">
        <v>87</v>
      </c>
      <c r="Z53" t="s">
        <v>87</v>
      </c>
      <c r="AA53" t="s">
        <v>87</v>
      </c>
      <c r="AB53" t="s">
        <v>260</v>
      </c>
      <c r="AC53" t="s">
        <v>84</v>
      </c>
      <c r="AD53" t="s">
        <v>84</v>
      </c>
      <c r="AE53" t="s">
        <v>84</v>
      </c>
      <c r="AF53" t="s">
        <v>84</v>
      </c>
      <c r="AG53" t="s">
        <v>87</v>
      </c>
      <c r="AH53" t="s">
        <v>261</v>
      </c>
      <c r="AI53" t="s">
        <v>84</v>
      </c>
      <c r="AJ53" t="s">
        <v>84</v>
      </c>
      <c r="AK53" t="s">
        <v>84</v>
      </c>
      <c r="AL53" t="s">
        <v>84</v>
      </c>
      <c r="AM53" t="s">
        <v>87</v>
      </c>
      <c r="AO53" t="s">
        <v>87</v>
      </c>
      <c r="AP53" t="s">
        <v>87</v>
      </c>
      <c r="AQ53" t="s">
        <v>84</v>
      </c>
      <c r="AS53" t="s">
        <v>87</v>
      </c>
      <c r="AT53" t="s">
        <v>84</v>
      </c>
      <c r="AU53" t="s">
        <v>262</v>
      </c>
      <c r="AW53" t="s">
        <v>89</v>
      </c>
      <c r="AX53" t="s">
        <v>87</v>
      </c>
      <c r="AY53" t="s">
        <v>84</v>
      </c>
      <c r="AZ53" t="s">
        <v>84</v>
      </c>
      <c r="BA53" t="s">
        <v>84</v>
      </c>
      <c r="BB53" t="s">
        <v>87</v>
      </c>
      <c r="BC53" t="s">
        <v>84</v>
      </c>
      <c r="BE53" t="s">
        <v>84</v>
      </c>
      <c r="BH53" t="s">
        <v>87</v>
      </c>
      <c r="BI53" t="s">
        <v>84</v>
      </c>
      <c r="BJ53" t="s">
        <v>84</v>
      </c>
      <c r="BL53" t="s">
        <v>87</v>
      </c>
      <c r="BM53" t="s">
        <v>84</v>
      </c>
      <c r="BN53" t="s">
        <v>84</v>
      </c>
      <c r="BP53" t="s">
        <v>84</v>
      </c>
      <c r="BQ53" t="s">
        <v>84</v>
      </c>
      <c r="BR53" t="s">
        <v>84</v>
      </c>
      <c r="BS53" t="s">
        <v>84</v>
      </c>
      <c r="BT53" t="s">
        <v>87</v>
      </c>
      <c r="BV53" t="s">
        <v>87</v>
      </c>
      <c r="BW53" t="s">
        <v>84</v>
      </c>
      <c r="BX53" t="s">
        <v>84</v>
      </c>
      <c r="BY53" t="s">
        <v>84</v>
      </c>
      <c r="BZ53" t="s">
        <v>87</v>
      </c>
      <c r="CB53" t="s">
        <v>84</v>
      </c>
      <c r="CD53" t="s">
        <v>84</v>
      </c>
    </row>
    <row r="54" spans="1:83" x14ac:dyDescent="0.25">
      <c r="A54" t="s">
        <v>765</v>
      </c>
      <c r="B54" t="s">
        <v>766</v>
      </c>
      <c r="C54" t="s">
        <v>767</v>
      </c>
      <c r="D54" t="s">
        <v>191</v>
      </c>
      <c r="E54" t="s">
        <v>1994</v>
      </c>
      <c r="F54" s="1">
        <v>334</v>
      </c>
      <c r="G54" s="1" t="s">
        <v>84</v>
      </c>
      <c r="I54" t="s">
        <v>85</v>
      </c>
      <c r="J54" t="s">
        <v>85</v>
      </c>
      <c r="K54" t="s">
        <v>85</v>
      </c>
      <c r="L54" t="s">
        <v>85</v>
      </c>
      <c r="M54" t="s">
        <v>85</v>
      </c>
      <c r="N54" t="s">
        <v>85</v>
      </c>
      <c r="O54" t="s">
        <v>85</v>
      </c>
      <c r="Q54" t="s">
        <v>84</v>
      </c>
      <c r="T54" t="s">
        <v>96</v>
      </c>
      <c r="U54" t="s">
        <v>87</v>
      </c>
      <c r="V54" t="s">
        <v>84</v>
      </c>
      <c r="W54" t="s">
        <v>84</v>
      </c>
      <c r="Y54" t="s">
        <v>87</v>
      </c>
      <c r="Z54" t="s">
        <v>84</v>
      </c>
      <c r="AA54" t="s">
        <v>84</v>
      </c>
      <c r="AC54" t="s">
        <v>84</v>
      </c>
      <c r="AD54" t="s">
        <v>84</v>
      </c>
      <c r="AE54" t="s">
        <v>87</v>
      </c>
      <c r="AF54" t="s">
        <v>84</v>
      </c>
      <c r="AG54" t="s">
        <v>87</v>
      </c>
      <c r="AH54" t="s">
        <v>768</v>
      </c>
      <c r="AI54" t="s">
        <v>87</v>
      </c>
      <c r="AJ54" t="s">
        <v>84</v>
      </c>
      <c r="AK54" t="s">
        <v>84</v>
      </c>
      <c r="AL54" t="s">
        <v>84</v>
      </c>
      <c r="AM54" t="s">
        <v>84</v>
      </c>
      <c r="AO54" t="s">
        <v>87</v>
      </c>
      <c r="AP54" t="s">
        <v>87</v>
      </c>
      <c r="AQ54" t="s">
        <v>84</v>
      </c>
      <c r="AS54" t="s">
        <v>87</v>
      </c>
      <c r="AT54" t="s">
        <v>84</v>
      </c>
      <c r="AU54" t="s">
        <v>757</v>
      </c>
      <c r="AW54" t="s">
        <v>89</v>
      </c>
      <c r="AX54" t="s">
        <v>84</v>
      </c>
      <c r="AY54" t="s">
        <v>84</v>
      </c>
      <c r="AZ54" t="s">
        <v>84</v>
      </c>
      <c r="BA54" t="s">
        <v>87</v>
      </c>
      <c r="BB54" t="s">
        <v>84</v>
      </c>
      <c r="BC54" t="s">
        <v>84</v>
      </c>
      <c r="BD54" t="s">
        <v>266</v>
      </c>
      <c r="BE54" t="s">
        <v>84</v>
      </c>
      <c r="BH54" t="s">
        <v>87</v>
      </c>
      <c r="BI54" t="s">
        <v>84</v>
      </c>
      <c r="BJ54" t="s">
        <v>84</v>
      </c>
      <c r="BL54" t="s">
        <v>87</v>
      </c>
      <c r="BM54" t="s">
        <v>84</v>
      </c>
      <c r="BN54" t="s">
        <v>84</v>
      </c>
      <c r="BP54" t="s">
        <v>87</v>
      </c>
      <c r="BQ54" t="s">
        <v>84</v>
      </c>
      <c r="BR54" t="s">
        <v>84</v>
      </c>
      <c r="BS54" t="s">
        <v>84</v>
      </c>
      <c r="BT54" t="s">
        <v>84</v>
      </c>
      <c r="BV54" t="s">
        <v>84</v>
      </c>
      <c r="BW54" t="s">
        <v>84</v>
      </c>
      <c r="BX54" t="s">
        <v>84</v>
      </c>
      <c r="BY54" t="s">
        <v>84</v>
      </c>
      <c r="BZ54" t="s">
        <v>87</v>
      </c>
      <c r="CB54" t="s">
        <v>84</v>
      </c>
      <c r="CD54" t="s">
        <v>84</v>
      </c>
    </row>
    <row r="55" spans="1:83" x14ac:dyDescent="0.25">
      <c r="A55" t="s">
        <v>1779</v>
      </c>
      <c r="B55" t="s">
        <v>1780</v>
      </c>
      <c r="C55" t="s">
        <v>1781</v>
      </c>
      <c r="D55" t="s">
        <v>987</v>
      </c>
      <c r="E55" t="s">
        <v>1924</v>
      </c>
      <c r="F55" s="1">
        <v>354</v>
      </c>
      <c r="G55" s="1" t="s">
        <v>84</v>
      </c>
      <c r="I55" t="s">
        <v>85</v>
      </c>
      <c r="J55" t="s">
        <v>85</v>
      </c>
      <c r="K55" t="s">
        <v>85</v>
      </c>
      <c r="L55" t="s">
        <v>85</v>
      </c>
      <c r="M55" t="s">
        <v>85</v>
      </c>
      <c r="N55" t="s">
        <v>85</v>
      </c>
      <c r="O55" t="s">
        <v>85</v>
      </c>
      <c r="Q55" t="s">
        <v>84</v>
      </c>
      <c r="T55" t="s">
        <v>86</v>
      </c>
      <c r="U55" t="s">
        <v>87</v>
      </c>
      <c r="V55" t="s">
        <v>87</v>
      </c>
      <c r="W55" t="s">
        <v>84</v>
      </c>
      <c r="Y55" t="s">
        <v>87</v>
      </c>
      <c r="Z55" t="s">
        <v>87</v>
      </c>
      <c r="AA55" t="s">
        <v>84</v>
      </c>
      <c r="AC55" t="s">
        <v>87</v>
      </c>
      <c r="AD55" t="s">
        <v>84</v>
      </c>
      <c r="AE55" t="s">
        <v>84</v>
      </c>
      <c r="AF55" t="s">
        <v>84</v>
      </c>
      <c r="AG55" t="s">
        <v>87</v>
      </c>
      <c r="AI55" t="s">
        <v>87</v>
      </c>
      <c r="AJ55" t="s">
        <v>84</v>
      </c>
      <c r="AK55" t="s">
        <v>84</v>
      </c>
      <c r="AL55" t="s">
        <v>84</v>
      </c>
      <c r="AM55" t="s">
        <v>84</v>
      </c>
      <c r="AO55" t="s">
        <v>87</v>
      </c>
      <c r="AP55" t="s">
        <v>87</v>
      </c>
      <c r="AQ55" t="s">
        <v>84</v>
      </c>
      <c r="AS55" t="s">
        <v>87</v>
      </c>
      <c r="AT55" t="s">
        <v>84</v>
      </c>
      <c r="AU55" t="s">
        <v>1782</v>
      </c>
      <c r="AW55" t="s">
        <v>89</v>
      </c>
      <c r="AX55" t="s">
        <v>87</v>
      </c>
      <c r="AY55" t="s">
        <v>84</v>
      </c>
      <c r="AZ55" t="s">
        <v>84</v>
      </c>
      <c r="BA55" t="s">
        <v>84</v>
      </c>
      <c r="BB55" t="s">
        <v>84</v>
      </c>
      <c r="BC55" t="s">
        <v>84</v>
      </c>
      <c r="BD55" t="s">
        <v>1783</v>
      </c>
      <c r="BE55" t="s">
        <v>84</v>
      </c>
      <c r="BH55" t="s">
        <v>87</v>
      </c>
      <c r="BI55" t="s">
        <v>84</v>
      </c>
      <c r="BJ55" t="s">
        <v>84</v>
      </c>
      <c r="BL55" t="s">
        <v>87</v>
      </c>
      <c r="BM55" t="s">
        <v>84</v>
      </c>
      <c r="BN55" t="s">
        <v>84</v>
      </c>
      <c r="BP55" t="s">
        <v>87</v>
      </c>
      <c r="BQ55" t="s">
        <v>84</v>
      </c>
      <c r="BR55" t="s">
        <v>84</v>
      </c>
      <c r="BS55" t="s">
        <v>84</v>
      </c>
      <c r="BT55" t="s">
        <v>84</v>
      </c>
      <c r="BV55" t="s">
        <v>87</v>
      </c>
      <c r="BW55" t="s">
        <v>84</v>
      </c>
      <c r="BX55" t="s">
        <v>84</v>
      </c>
      <c r="BY55" t="s">
        <v>84</v>
      </c>
      <c r="BZ55" t="s">
        <v>84</v>
      </c>
      <c r="CB55" t="s">
        <v>84</v>
      </c>
      <c r="CD55" t="s">
        <v>84</v>
      </c>
    </row>
    <row r="56" spans="1:83" x14ac:dyDescent="0.25">
      <c r="A56" t="s">
        <v>460</v>
      </c>
      <c r="B56" t="s">
        <v>461</v>
      </c>
      <c r="C56" t="s">
        <v>462</v>
      </c>
      <c r="D56" t="s">
        <v>204</v>
      </c>
      <c r="E56" t="s">
        <v>1926</v>
      </c>
      <c r="F56" s="1">
        <v>360</v>
      </c>
      <c r="G56" s="1" t="s">
        <v>94</v>
      </c>
      <c r="H56" t="s">
        <v>95</v>
      </c>
      <c r="I56" t="s">
        <v>87</v>
      </c>
      <c r="J56" t="s">
        <v>84</v>
      </c>
      <c r="K56" t="s">
        <v>84</v>
      </c>
      <c r="L56" t="s">
        <v>84</v>
      </c>
      <c r="M56" t="s">
        <v>87</v>
      </c>
      <c r="N56" t="s">
        <v>84</v>
      </c>
      <c r="O56" t="s">
        <v>84</v>
      </c>
      <c r="Q56" t="s">
        <v>84</v>
      </c>
      <c r="R56" t="s">
        <v>84</v>
      </c>
      <c r="T56" t="s">
        <v>96</v>
      </c>
      <c r="U56" t="s">
        <v>87</v>
      </c>
      <c r="V56" t="s">
        <v>84</v>
      </c>
      <c r="W56" t="s">
        <v>84</v>
      </c>
      <c r="Y56" t="s">
        <v>87</v>
      </c>
      <c r="Z56" t="s">
        <v>87</v>
      </c>
      <c r="AA56" t="s">
        <v>84</v>
      </c>
      <c r="AC56" t="s">
        <v>87</v>
      </c>
      <c r="AD56" t="s">
        <v>84</v>
      </c>
      <c r="AE56" t="s">
        <v>84</v>
      </c>
      <c r="AF56" t="s">
        <v>84</v>
      </c>
      <c r="AG56" t="s">
        <v>87</v>
      </c>
      <c r="AI56" t="s">
        <v>84</v>
      </c>
      <c r="AJ56" t="s">
        <v>84</v>
      </c>
      <c r="AK56" t="s">
        <v>84</v>
      </c>
      <c r="AL56" t="s">
        <v>84</v>
      </c>
      <c r="AM56" t="s">
        <v>87</v>
      </c>
      <c r="AO56" t="s">
        <v>87</v>
      </c>
      <c r="AP56" t="s">
        <v>87</v>
      </c>
      <c r="AQ56" t="s">
        <v>84</v>
      </c>
      <c r="AS56" t="s">
        <v>87</v>
      </c>
      <c r="AT56" t="s">
        <v>84</v>
      </c>
      <c r="AU56" t="s">
        <v>464</v>
      </c>
      <c r="AW56" t="s">
        <v>89</v>
      </c>
      <c r="AX56" t="s">
        <v>87</v>
      </c>
      <c r="AY56" t="s">
        <v>84</v>
      </c>
      <c r="AZ56" t="s">
        <v>84</v>
      </c>
      <c r="BA56" t="s">
        <v>84</v>
      </c>
      <c r="BB56" t="s">
        <v>84</v>
      </c>
      <c r="BC56" t="s">
        <v>87</v>
      </c>
      <c r="BE56" t="s">
        <v>84</v>
      </c>
      <c r="BH56" t="s">
        <v>87</v>
      </c>
      <c r="BI56" t="s">
        <v>84</v>
      </c>
      <c r="BJ56" t="s">
        <v>84</v>
      </c>
      <c r="BL56" t="s">
        <v>87</v>
      </c>
      <c r="BM56" t="s">
        <v>84</v>
      </c>
      <c r="BN56" t="s">
        <v>84</v>
      </c>
      <c r="BP56" t="s">
        <v>87</v>
      </c>
      <c r="BQ56" t="s">
        <v>84</v>
      </c>
      <c r="BR56" t="s">
        <v>84</v>
      </c>
      <c r="BS56" t="s">
        <v>84</v>
      </c>
      <c r="BT56" t="s">
        <v>84</v>
      </c>
      <c r="BV56" t="s">
        <v>84</v>
      </c>
      <c r="BW56" t="s">
        <v>84</v>
      </c>
      <c r="BX56" t="s">
        <v>84</v>
      </c>
      <c r="BY56" t="s">
        <v>84</v>
      </c>
      <c r="BZ56" t="s">
        <v>87</v>
      </c>
      <c r="CB56" t="s">
        <v>84</v>
      </c>
      <c r="CD56" t="s">
        <v>84</v>
      </c>
    </row>
    <row r="57" spans="1:83" x14ac:dyDescent="0.25">
      <c r="A57" t="s">
        <v>1211</v>
      </c>
      <c r="B57" t="s">
        <v>1212</v>
      </c>
      <c r="C57" t="s">
        <v>1213</v>
      </c>
      <c r="D57" t="s">
        <v>198</v>
      </c>
      <c r="E57" t="s">
        <v>1995</v>
      </c>
      <c r="F57" s="1">
        <v>367</v>
      </c>
      <c r="G57" s="1" t="s">
        <v>94</v>
      </c>
      <c r="H57" t="s">
        <v>1214</v>
      </c>
      <c r="I57" t="s">
        <v>87</v>
      </c>
      <c r="J57" t="s">
        <v>84</v>
      </c>
      <c r="K57" t="s">
        <v>84</v>
      </c>
      <c r="L57" t="s">
        <v>84</v>
      </c>
      <c r="M57" t="s">
        <v>84</v>
      </c>
      <c r="N57" t="s">
        <v>84</v>
      </c>
      <c r="O57" t="s">
        <v>84</v>
      </c>
      <c r="Q57" t="s">
        <v>84</v>
      </c>
      <c r="T57" t="s">
        <v>86</v>
      </c>
      <c r="U57" t="s">
        <v>87</v>
      </c>
      <c r="V57" t="s">
        <v>87</v>
      </c>
      <c r="W57" t="s">
        <v>84</v>
      </c>
      <c r="Y57" t="s">
        <v>87</v>
      </c>
      <c r="Z57" t="s">
        <v>87</v>
      </c>
      <c r="AA57" t="s">
        <v>84</v>
      </c>
      <c r="AC57" t="s">
        <v>84</v>
      </c>
      <c r="AD57" t="s">
        <v>87</v>
      </c>
      <c r="AE57" t="s">
        <v>84</v>
      </c>
      <c r="AF57" t="s">
        <v>84</v>
      </c>
      <c r="AG57" t="s">
        <v>84</v>
      </c>
      <c r="AI57" t="s">
        <v>87</v>
      </c>
      <c r="AJ57" t="s">
        <v>84</v>
      </c>
      <c r="AK57" t="s">
        <v>84</v>
      </c>
      <c r="AL57" t="s">
        <v>84</v>
      </c>
      <c r="AM57" t="s">
        <v>84</v>
      </c>
      <c r="AO57" t="s">
        <v>84</v>
      </c>
      <c r="AP57" t="s">
        <v>87</v>
      </c>
      <c r="AQ57" t="s">
        <v>84</v>
      </c>
      <c r="AS57" t="s">
        <v>87</v>
      </c>
      <c r="AT57" t="s">
        <v>84</v>
      </c>
      <c r="AU57" t="s">
        <v>1215</v>
      </c>
      <c r="AW57" t="s">
        <v>89</v>
      </c>
      <c r="AX57" t="s">
        <v>84</v>
      </c>
      <c r="AY57" t="s">
        <v>84</v>
      </c>
      <c r="AZ57" t="s">
        <v>84</v>
      </c>
      <c r="BA57" t="s">
        <v>87</v>
      </c>
      <c r="BB57" t="s">
        <v>84</v>
      </c>
      <c r="BC57" t="s">
        <v>87</v>
      </c>
      <c r="BE57" t="s">
        <v>84</v>
      </c>
      <c r="BH57" t="s">
        <v>87</v>
      </c>
      <c r="BI57" t="s">
        <v>84</v>
      </c>
      <c r="BJ57" t="s">
        <v>84</v>
      </c>
      <c r="BL57" t="s">
        <v>87</v>
      </c>
      <c r="BM57" t="s">
        <v>84</v>
      </c>
      <c r="BN57" t="s">
        <v>84</v>
      </c>
      <c r="BP57" t="s">
        <v>87</v>
      </c>
      <c r="BQ57" t="s">
        <v>84</v>
      </c>
      <c r="BR57" t="s">
        <v>84</v>
      </c>
      <c r="BS57" t="s">
        <v>84</v>
      </c>
      <c r="BT57" t="s">
        <v>84</v>
      </c>
      <c r="BV57" t="s">
        <v>84</v>
      </c>
      <c r="BW57" t="s">
        <v>84</v>
      </c>
      <c r="BX57" t="s">
        <v>84</v>
      </c>
      <c r="BY57" t="s">
        <v>87</v>
      </c>
      <c r="BZ57" t="s">
        <v>84</v>
      </c>
      <c r="CB57" t="s">
        <v>84</v>
      </c>
      <c r="CD57" t="s">
        <v>84</v>
      </c>
    </row>
    <row r="58" spans="1:83" x14ac:dyDescent="0.25">
      <c r="A58" t="s">
        <v>1383</v>
      </c>
      <c r="B58" t="s">
        <v>1384</v>
      </c>
      <c r="C58" t="s">
        <v>1385</v>
      </c>
      <c r="D58" t="s">
        <v>109</v>
      </c>
      <c r="E58" t="s">
        <v>1924</v>
      </c>
      <c r="F58" s="1">
        <v>377</v>
      </c>
      <c r="G58" s="1" t="s">
        <v>94</v>
      </c>
      <c r="H58" t="s">
        <v>95</v>
      </c>
      <c r="I58" t="s">
        <v>87</v>
      </c>
      <c r="J58" t="s">
        <v>84</v>
      </c>
      <c r="K58" t="s">
        <v>84</v>
      </c>
      <c r="L58" t="s">
        <v>84</v>
      </c>
      <c r="M58" t="s">
        <v>84</v>
      </c>
      <c r="N58" t="s">
        <v>84</v>
      </c>
      <c r="O58" t="s">
        <v>84</v>
      </c>
      <c r="Q58" t="s">
        <v>84</v>
      </c>
      <c r="T58" t="s">
        <v>96</v>
      </c>
      <c r="U58" t="s">
        <v>87</v>
      </c>
      <c r="V58" t="s">
        <v>84</v>
      </c>
      <c r="W58" t="s">
        <v>87</v>
      </c>
      <c r="Y58" t="s">
        <v>87</v>
      </c>
      <c r="Z58" t="s">
        <v>84</v>
      </c>
      <c r="AA58" t="s">
        <v>84</v>
      </c>
      <c r="AC58" t="s">
        <v>84</v>
      </c>
      <c r="AD58" t="s">
        <v>84</v>
      </c>
      <c r="AE58" t="s">
        <v>84</v>
      </c>
      <c r="AF58" t="s">
        <v>84</v>
      </c>
      <c r="AG58" t="s">
        <v>87</v>
      </c>
      <c r="AI58" t="s">
        <v>87</v>
      </c>
      <c r="AJ58" t="s">
        <v>84</v>
      </c>
      <c r="AK58" t="s">
        <v>84</v>
      </c>
      <c r="AL58" t="s">
        <v>84</v>
      </c>
      <c r="AM58" t="s">
        <v>84</v>
      </c>
      <c r="AO58" t="s">
        <v>87</v>
      </c>
      <c r="AP58" t="s">
        <v>87</v>
      </c>
      <c r="AQ58" t="s">
        <v>84</v>
      </c>
      <c r="AS58" t="s">
        <v>87</v>
      </c>
      <c r="AT58" t="s">
        <v>84</v>
      </c>
      <c r="AU58" t="s">
        <v>1386</v>
      </c>
      <c r="AW58" t="s">
        <v>89</v>
      </c>
      <c r="AX58" t="s">
        <v>84</v>
      </c>
      <c r="AY58" t="s">
        <v>84</v>
      </c>
      <c r="AZ58" t="s">
        <v>84</v>
      </c>
      <c r="BA58" t="s">
        <v>87</v>
      </c>
      <c r="BB58" t="s">
        <v>84</v>
      </c>
      <c r="BC58" t="s">
        <v>87</v>
      </c>
      <c r="BE58" t="s">
        <v>84</v>
      </c>
      <c r="BH58" t="s">
        <v>87</v>
      </c>
      <c r="BI58" t="s">
        <v>84</v>
      </c>
      <c r="BJ58" t="s">
        <v>84</v>
      </c>
      <c r="BL58" t="s">
        <v>87</v>
      </c>
      <c r="BM58" t="s">
        <v>84</v>
      </c>
      <c r="BN58" t="s">
        <v>84</v>
      </c>
      <c r="BP58" t="s">
        <v>87</v>
      </c>
      <c r="BQ58" t="s">
        <v>84</v>
      </c>
      <c r="BR58" t="s">
        <v>84</v>
      </c>
      <c r="BS58" t="s">
        <v>84</v>
      </c>
      <c r="BT58" t="s">
        <v>84</v>
      </c>
      <c r="BV58" t="s">
        <v>87</v>
      </c>
      <c r="BW58" t="s">
        <v>84</v>
      </c>
      <c r="BX58" t="s">
        <v>84</v>
      </c>
      <c r="BY58" t="s">
        <v>84</v>
      </c>
      <c r="BZ58" t="s">
        <v>84</v>
      </c>
      <c r="CA58" t="s">
        <v>1387</v>
      </c>
      <c r="CB58" t="s">
        <v>94</v>
      </c>
      <c r="CC58" t="s">
        <v>1388</v>
      </c>
      <c r="CD58" t="s">
        <v>94</v>
      </c>
      <c r="CE58" t="s">
        <v>1389</v>
      </c>
    </row>
    <row r="59" spans="1:83" x14ac:dyDescent="0.25">
      <c r="A59" t="s">
        <v>521</v>
      </c>
      <c r="B59" t="s">
        <v>522</v>
      </c>
      <c r="C59" t="s">
        <v>523</v>
      </c>
      <c r="D59" t="s">
        <v>204</v>
      </c>
      <c r="E59" t="s">
        <v>1926</v>
      </c>
      <c r="F59" s="1">
        <v>389</v>
      </c>
      <c r="G59" s="1" t="s">
        <v>94</v>
      </c>
      <c r="H59" t="s">
        <v>95</v>
      </c>
      <c r="I59" t="s">
        <v>87</v>
      </c>
      <c r="J59" t="s">
        <v>84</v>
      </c>
      <c r="K59" t="s">
        <v>84</v>
      </c>
      <c r="L59" t="s">
        <v>87</v>
      </c>
      <c r="M59" t="s">
        <v>87</v>
      </c>
      <c r="N59" t="s">
        <v>84</v>
      </c>
      <c r="O59" t="s">
        <v>84</v>
      </c>
      <c r="Q59" t="s">
        <v>84</v>
      </c>
      <c r="T59" t="s">
        <v>86</v>
      </c>
      <c r="U59" t="s">
        <v>87</v>
      </c>
      <c r="V59" t="s">
        <v>87</v>
      </c>
      <c r="W59" t="s">
        <v>84</v>
      </c>
      <c r="Y59" t="s">
        <v>87</v>
      </c>
      <c r="Z59" t="s">
        <v>87</v>
      </c>
      <c r="AA59" t="s">
        <v>84</v>
      </c>
      <c r="AB59" t="s">
        <v>524</v>
      </c>
      <c r="AC59" t="s">
        <v>87</v>
      </c>
      <c r="AD59" t="s">
        <v>84</v>
      </c>
      <c r="AE59" t="s">
        <v>84</v>
      </c>
      <c r="AF59" t="s">
        <v>84</v>
      </c>
      <c r="AG59" t="s">
        <v>84</v>
      </c>
      <c r="AH59" t="s">
        <v>525</v>
      </c>
      <c r="AI59" t="s">
        <v>84</v>
      </c>
      <c r="AJ59" t="s">
        <v>84</v>
      </c>
      <c r="AK59" t="s">
        <v>84</v>
      </c>
      <c r="AL59" t="s">
        <v>84</v>
      </c>
      <c r="AM59" t="s">
        <v>87</v>
      </c>
      <c r="AO59" t="s">
        <v>87</v>
      </c>
      <c r="AP59" t="s">
        <v>87</v>
      </c>
      <c r="AQ59" t="s">
        <v>84</v>
      </c>
      <c r="AS59" t="s">
        <v>87</v>
      </c>
      <c r="AT59" t="s">
        <v>84</v>
      </c>
      <c r="AU59" t="s">
        <v>240</v>
      </c>
      <c r="AW59" t="s">
        <v>89</v>
      </c>
      <c r="AX59" t="s">
        <v>87</v>
      </c>
      <c r="AY59" t="s">
        <v>84</v>
      </c>
      <c r="AZ59" t="s">
        <v>84</v>
      </c>
      <c r="BA59" t="s">
        <v>84</v>
      </c>
      <c r="BB59" t="s">
        <v>84</v>
      </c>
      <c r="BC59" t="s">
        <v>87</v>
      </c>
      <c r="BD59" t="s">
        <v>280</v>
      </c>
      <c r="BE59" t="s">
        <v>84</v>
      </c>
      <c r="BH59" t="s">
        <v>87</v>
      </c>
      <c r="BI59" t="s">
        <v>84</v>
      </c>
      <c r="BJ59" t="s">
        <v>84</v>
      </c>
      <c r="BL59" t="s">
        <v>87</v>
      </c>
      <c r="BM59" t="s">
        <v>84</v>
      </c>
      <c r="BN59" t="s">
        <v>84</v>
      </c>
      <c r="BO59" t="s">
        <v>526</v>
      </c>
      <c r="BP59" t="s">
        <v>84</v>
      </c>
      <c r="BQ59" t="s">
        <v>84</v>
      </c>
      <c r="BR59" t="s">
        <v>87</v>
      </c>
      <c r="BS59" t="s">
        <v>87</v>
      </c>
      <c r="BT59" t="s">
        <v>84</v>
      </c>
      <c r="BV59" t="s">
        <v>87</v>
      </c>
      <c r="BW59" t="s">
        <v>84</v>
      </c>
      <c r="BX59" t="s">
        <v>87</v>
      </c>
      <c r="BY59" t="s">
        <v>84</v>
      </c>
      <c r="BZ59" t="s">
        <v>87</v>
      </c>
      <c r="CB59" t="s">
        <v>84</v>
      </c>
      <c r="CD59" t="s">
        <v>84</v>
      </c>
    </row>
    <row r="60" spans="1:83" x14ac:dyDescent="0.25">
      <c r="A60" t="s">
        <v>826</v>
      </c>
      <c r="B60" t="s">
        <v>827</v>
      </c>
      <c r="C60" t="s">
        <v>828</v>
      </c>
      <c r="D60" t="s">
        <v>233</v>
      </c>
      <c r="E60" t="s">
        <v>1924</v>
      </c>
      <c r="F60" s="1">
        <v>395</v>
      </c>
      <c r="G60" s="1" t="s">
        <v>94</v>
      </c>
      <c r="H60" t="s">
        <v>829</v>
      </c>
      <c r="I60" t="s">
        <v>87</v>
      </c>
      <c r="J60" t="s">
        <v>84</v>
      </c>
      <c r="K60" t="s">
        <v>84</v>
      </c>
      <c r="L60" t="s">
        <v>84</v>
      </c>
      <c r="M60" t="s">
        <v>87</v>
      </c>
      <c r="N60" t="s">
        <v>84</v>
      </c>
      <c r="O60" t="s">
        <v>87</v>
      </c>
      <c r="Q60" t="s">
        <v>84</v>
      </c>
      <c r="T60" t="s">
        <v>96</v>
      </c>
      <c r="U60" t="s">
        <v>87</v>
      </c>
      <c r="V60" t="s">
        <v>87</v>
      </c>
      <c r="W60" t="s">
        <v>84</v>
      </c>
      <c r="Y60" t="s">
        <v>87</v>
      </c>
      <c r="Z60" t="s">
        <v>84</v>
      </c>
      <c r="AA60" t="s">
        <v>84</v>
      </c>
      <c r="AC60" t="s">
        <v>87</v>
      </c>
      <c r="AD60" t="s">
        <v>84</v>
      </c>
      <c r="AE60" t="s">
        <v>84</v>
      </c>
      <c r="AF60" t="s">
        <v>84</v>
      </c>
      <c r="AG60" t="s">
        <v>84</v>
      </c>
      <c r="AI60" t="s">
        <v>87</v>
      </c>
      <c r="AJ60" t="s">
        <v>84</v>
      </c>
      <c r="AK60" t="s">
        <v>84</v>
      </c>
      <c r="AL60" t="s">
        <v>84</v>
      </c>
      <c r="AM60" t="s">
        <v>84</v>
      </c>
      <c r="AO60" t="s">
        <v>87</v>
      </c>
      <c r="AP60" t="s">
        <v>87</v>
      </c>
      <c r="AQ60" t="s">
        <v>84</v>
      </c>
      <c r="AS60" t="s">
        <v>87</v>
      </c>
      <c r="AT60" t="s">
        <v>84</v>
      </c>
      <c r="AU60" t="s">
        <v>224</v>
      </c>
      <c r="AW60" t="s">
        <v>89</v>
      </c>
      <c r="AX60" t="s">
        <v>87</v>
      </c>
      <c r="AY60" t="s">
        <v>87</v>
      </c>
      <c r="AZ60" t="s">
        <v>84</v>
      </c>
      <c r="BA60" t="s">
        <v>84</v>
      </c>
      <c r="BB60" t="s">
        <v>87</v>
      </c>
      <c r="BC60" t="s">
        <v>84</v>
      </c>
      <c r="BE60" t="s">
        <v>84</v>
      </c>
      <c r="BH60" t="s">
        <v>87</v>
      </c>
      <c r="BI60" t="s">
        <v>84</v>
      </c>
      <c r="BJ60" t="s">
        <v>84</v>
      </c>
      <c r="BL60" t="s">
        <v>87</v>
      </c>
      <c r="BM60" t="s">
        <v>84</v>
      </c>
      <c r="BN60" t="s">
        <v>84</v>
      </c>
      <c r="BP60" t="s">
        <v>87</v>
      </c>
      <c r="BQ60" t="s">
        <v>84</v>
      </c>
      <c r="BR60" t="s">
        <v>84</v>
      </c>
      <c r="BS60" t="s">
        <v>84</v>
      </c>
      <c r="BT60" t="s">
        <v>84</v>
      </c>
      <c r="BV60" t="s">
        <v>84</v>
      </c>
      <c r="BW60" t="s">
        <v>84</v>
      </c>
      <c r="BX60" t="s">
        <v>84</v>
      </c>
      <c r="BY60" t="s">
        <v>84</v>
      </c>
      <c r="BZ60" t="s">
        <v>87</v>
      </c>
      <c r="CB60" t="s">
        <v>84</v>
      </c>
      <c r="CD60" t="s">
        <v>84</v>
      </c>
    </row>
    <row r="61" spans="1:83" x14ac:dyDescent="0.25">
      <c r="A61" t="s">
        <v>1324</v>
      </c>
      <c r="B61" t="s">
        <v>1325</v>
      </c>
      <c r="C61" t="s">
        <v>1326</v>
      </c>
      <c r="D61" t="s">
        <v>334</v>
      </c>
      <c r="E61" t="s">
        <v>1924</v>
      </c>
      <c r="F61" s="1">
        <v>399</v>
      </c>
      <c r="G61" s="1" t="s">
        <v>84</v>
      </c>
      <c r="I61" t="s">
        <v>85</v>
      </c>
      <c r="J61" t="s">
        <v>85</v>
      </c>
      <c r="K61" t="s">
        <v>85</v>
      </c>
      <c r="L61" t="s">
        <v>85</v>
      </c>
      <c r="M61" t="s">
        <v>85</v>
      </c>
      <c r="N61" t="s">
        <v>85</v>
      </c>
      <c r="O61" t="s">
        <v>85</v>
      </c>
      <c r="Q61" t="s">
        <v>84</v>
      </c>
      <c r="T61" t="s">
        <v>86</v>
      </c>
      <c r="U61" t="s">
        <v>87</v>
      </c>
      <c r="V61" t="s">
        <v>87</v>
      </c>
      <c r="W61" t="s">
        <v>84</v>
      </c>
      <c r="Y61" t="s">
        <v>87</v>
      </c>
      <c r="Z61" t="s">
        <v>87</v>
      </c>
      <c r="AA61" t="s">
        <v>87</v>
      </c>
      <c r="AC61" t="s">
        <v>84</v>
      </c>
      <c r="AD61" t="s">
        <v>84</v>
      </c>
      <c r="AE61" t="s">
        <v>84</v>
      </c>
      <c r="AF61" t="s">
        <v>87</v>
      </c>
      <c r="AG61" t="s">
        <v>87</v>
      </c>
      <c r="AI61" t="s">
        <v>84</v>
      </c>
      <c r="AJ61" t="s">
        <v>84</v>
      </c>
      <c r="AK61" t="s">
        <v>84</v>
      </c>
      <c r="AL61" t="s">
        <v>84</v>
      </c>
      <c r="AM61" t="s">
        <v>87</v>
      </c>
      <c r="AO61" t="s">
        <v>87</v>
      </c>
      <c r="AP61" t="s">
        <v>87</v>
      </c>
      <c r="AQ61" t="s">
        <v>84</v>
      </c>
      <c r="AS61" t="s">
        <v>87</v>
      </c>
      <c r="AT61" t="s">
        <v>84</v>
      </c>
      <c r="AU61" t="s">
        <v>763</v>
      </c>
      <c r="AW61" t="s">
        <v>89</v>
      </c>
      <c r="AX61" t="s">
        <v>87</v>
      </c>
      <c r="AY61" t="s">
        <v>87</v>
      </c>
      <c r="AZ61" t="s">
        <v>84</v>
      </c>
      <c r="BA61" t="s">
        <v>84</v>
      </c>
      <c r="BB61" t="s">
        <v>84</v>
      </c>
      <c r="BC61" t="s">
        <v>87</v>
      </c>
      <c r="BD61" t="s">
        <v>1327</v>
      </c>
      <c r="BE61" t="s">
        <v>84</v>
      </c>
      <c r="BH61" t="s">
        <v>87</v>
      </c>
      <c r="BI61" t="s">
        <v>84</v>
      </c>
      <c r="BJ61" t="s">
        <v>84</v>
      </c>
      <c r="BL61" t="s">
        <v>87</v>
      </c>
      <c r="BM61" t="s">
        <v>84</v>
      </c>
      <c r="BN61" t="s">
        <v>84</v>
      </c>
      <c r="BP61" t="s">
        <v>84</v>
      </c>
      <c r="BQ61" t="s">
        <v>84</v>
      </c>
      <c r="BR61" t="s">
        <v>84</v>
      </c>
      <c r="BS61" t="s">
        <v>84</v>
      </c>
      <c r="BT61" t="s">
        <v>87</v>
      </c>
      <c r="BV61" t="s">
        <v>87</v>
      </c>
      <c r="BW61" t="s">
        <v>84</v>
      </c>
      <c r="BX61" t="s">
        <v>84</v>
      </c>
      <c r="BY61" t="s">
        <v>84</v>
      </c>
      <c r="BZ61" t="s">
        <v>87</v>
      </c>
      <c r="CB61" t="s">
        <v>84</v>
      </c>
      <c r="CD61" t="s">
        <v>84</v>
      </c>
    </row>
    <row r="62" spans="1:83" x14ac:dyDescent="0.25">
      <c r="A62" t="s">
        <v>651</v>
      </c>
      <c r="B62" t="s">
        <v>652</v>
      </c>
      <c r="C62" t="s">
        <v>653</v>
      </c>
      <c r="D62" t="s">
        <v>109</v>
      </c>
      <c r="E62" t="s">
        <v>1924</v>
      </c>
      <c r="F62" s="1">
        <v>414</v>
      </c>
      <c r="G62" s="1" t="s">
        <v>84</v>
      </c>
      <c r="I62" t="s">
        <v>85</v>
      </c>
      <c r="J62" t="s">
        <v>85</v>
      </c>
      <c r="K62" t="s">
        <v>85</v>
      </c>
      <c r="L62" t="s">
        <v>85</v>
      </c>
      <c r="M62" t="s">
        <v>85</v>
      </c>
      <c r="N62" t="s">
        <v>85</v>
      </c>
      <c r="O62" t="s">
        <v>85</v>
      </c>
      <c r="Q62" t="s">
        <v>84</v>
      </c>
      <c r="T62" t="s">
        <v>86</v>
      </c>
      <c r="U62" t="s">
        <v>87</v>
      </c>
      <c r="V62" t="s">
        <v>87</v>
      </c>
      <c r="W62" t="s">
        <v>84</v>
      </c>
      <c r="Y62" t="s">
        <v>87</v>
      </c>
      <c r="Z62" t="s">
        <v>87</v>
      </c>
      <c r="AA62" t="s">
        <v>84</v>
      </c>
      <c r="AC62" t="s">
        <v>84</v>
      </c>
      <c r="AD62" t="s">
        <v>84</v>
      </c>
      <c r="AE62" t="s">
        <v>84</v>
      </c>
      <c r="AF62" t="s">
        <v>84</v>
      </c>
      <c r="AG62" t="s">
        <v>87</v>
      </c>
      <c r="AH62" t="s">
        <v>654</v>
      </c>
      <c r="AI62" t="s">
        <v>87</v>
      </c>
      <c r="AJ62" t="s">
        <v>84</v>
      </c>
      <c r="AK62" t="s">
        <v>84</v>
      </c>
      <c r="AL62" t="s">
        <v>84</v>
      </c>
      <c r="AM62" t="s">
        <v>84</v>
      </c>
      <c r="AO62" t="s">
        <v>87</v>
      </c>
      <c r="AP62" t="s">
        <v>87</v>
      </c>
      <c r="AQ62" t="s">
        <v>87</v>
      </c>
      <c r="AS62" t="s">
        <v>87</v>
      </c>
      <c r="AT62" t="s">
        <v>84</v>
      </c>
      <c r="AU62" t="s">
        <v>240</v>
      </c>
      <c r="AW62" t="s">
        <v>89</v>
      </c>
      <c r="AX62" t="s">
        <v>84</v>
      </c>
      <c r="AY62" t="s">
        <v>84</v>
      </c>
      <c r="AZ62" t="s">
        <v>84</v>
      </c>
      <c r="BA62" t="s">
        <v>87</v>
      </c>
      <c r="BB62" t="s">
        <v>84</v>
      </c>
      <c r="BC62" t="s">
        <v>84</v>
      </c>
      <c r="BD62" t="s">
        <v>280</v>
      </c>
      <c r="BE62" t="s">
        <v>84</v>
      </c>
      <c r="BH62" t="s">
        <v>87</v>
      </c>
      <c r="BI62" t="s">
        <v>84</v>
      </c>
      <c r="BJ62" t="s">
        <v>84</v>
      </c>
      <c r="BL62" t="s">
        <v>87</v>
      </c>
      <c r="BM62" t="s">
        <v>84</v>
      </c>
      <c r="BN62" t="s">
        <v>84</v>
      </c>
      <c r="BP62" t="s">
        <v>84</v>
      </c>
      <c r="BQ62" t="s">
        <v>84</v>
      </c>
      <c r="BR62" t="s">
        <v>84</v>
      </c>
      <c r="BS62" t="s">
        <v>87</v>
      </c>
      <c r="BT62" t="s">
        <v>84</v>
      </c>
      <c r="BV62" t="s">
        <v>84</v>
      </c>
      <c r="BW62" t="s">
        <v>84</v>
      </c>
      <c r="BX62" t="s">
        <v>84</v>
      </c>
      <c r="BY62" t="s">
        <v>84</v>
      </c>
      <c r="BZ62" t="s">
        <v>87</v>
      </c>
      <c r="CB62" t="s">
        <v>84</v>
      </c>
      <c r="CD62" t="s">
        <v>84</v>
      </c>
    </row>
    <row r="63" spans="1:83" x14ac:dyDescent="0.25">
      <c r="A63" t="s">
        <v>512</v>
      </c>
      <c r="B63" t="s">
        <v>513</v>
      </c>
      <c r="C63" t="s">
        <v>514</v>
      </c>
      <c r="D63" t="s">
        <v>515</v>
      </c>
      <c r="E63" t="s">
        <v>1924</v>
      </c>
      <c r="F63" s="1">
        <v>436</v>
      </c>
      <c r="G63" s="1" t="s">
        <v>94</v>
      </c>
      <c r="H63" t="s">
        <v>516</v>
      </c>
      <c r="I63" t="s">
        <v>87</v>
      </c>
      <c r="J63" t="s">
        <v>84</v>
      </c>
      <c r="K63" t="s">
        <v>84</v>
      </c>
      <c r="L63" t="s">
        <v>84</v>
      </c>
      <c r="M63" t="s">
        <v>87</v>
      </c>
      <c r="N63" t="s">
        <v>84</v>
      </c>
      <c r="O63" t="s">
        <v>84</v>
      </c>
      <c r="Q63" t="s">
        <v>84</v>
      </c>
      <c r="R63" t="s">
        <v>84</v>
      </c>
      <c r="T63" t="s">
        <v>96</v>
      </c>
      <c r="U63" t="s">
        <v>87</v>
      </c>
      <c r="V63" t="s">
        <v>84</v>
      </c>
      <c r="W63" t="s">
        <v>84</v>
      </c>
      <c r="Y63" t="s">
        <v>87</v>
      </c>
      <c r="Z63" t="s">
        <v>84</v>
      </c>
      <c r="AA63" t="s">
        <v>87</v>
      </c>
      <c r="AC63" t="s">
        <v>87</v>
      </c>
      <c r="AD63" t="s">
        <v>84</v>
      </c>
      <c r="AE63" t="s">
        <v>84</v>
      </c>
      <c r="AF63" t="s">
        <v>84</v>
      </c>
      <c r="AG63" t="s">
        <v>87</v>
      </c>
      <c r="AH63" t="s">
        <v>517</v>
      </c>
      <c r="AI63" t="s">
        <v>84</v>
      </c>
      <c r="AJ63" t="s">
        <v>84</v>
      </c>
      <c r="AK63" t="s">
        <v>84</v>
      </c>
      <c r="AL63" t="s">
        <v>87</v>
      </c>
      <c r="AM63" t="s">
        <v>84</v>
      </c>
      <c r="AO63" t="s">
        <v>87</v>
      </c>
      <c r="AP63" t="s">
        <v>87</v>
      </c>
      <c r="AQ63" t="s">
        <v>84</v>
      </c>
      <c r="AS63" t="s">
        <v>87</v>
      </c>
      <c r="AT63" t="s">
        <v>84</v>
      </c>
      <c r="AU63" t="s">
        <v>294</v>
      </c>
      <c r="AW63" t="s">
        <v>89</v>
      </c>
      <c r="AX63" t="s">
        <v>87</v>
      </c>
      <c r="AY63" t="s">
        <v>84</v>
      </c>
      <c r="AZ63" t="s">
        <v>84</v>
      </c>
      <c r="BA63" t="s">
        <v>84</v>
      </c>
      <c r="BB63" t="s">
        <v>84</v>
      </c>
      <c r="BC63" t="s">
        <v>84</v>
      </c>
      <c r="BD63" t="s">
        <v>518</v>
      </c>
      <c r="BE63" t="s">
        <v>84</v>
      </c>
      <c r="BH63" t="s">
        <v>87</v>
      </c>
      <c r="BI63" t="s">
        <v>84</v>
      </c>
      <c r="BJ63" t="s">
        <v>84</v>
      </c>
      <c r="BL63" t="s">
        <v>87</v>
      </c>
      <c r="BM63" t="s">
        <v>84</v>
      </c>
      <c r="BN63" t="s">
        <v>84</v>
      </c>
      <c r="BP63" t="s">
        <v>84</v>
      </c>
      <c r="BQ63" t="s">
        <v>84</v>
      </c>
      <c r="BR63" t="s">
        <v>84</v>
      </c>
      <c r="BS63" t="s">
        <v>87</v>
      </c>
      <c r="BT63" t="s">
        <v>84</v>
      </c>
      <c r="BV63" t="s">
        <v>87</v>
      </c>
      <c r="BW63" t="s">
        <v>84</v>
      </c>
      <c r="BX63" t="s">
        <v>84</v>
      </c>
      <c r="BY63" t="s">
        <v>84</v>
      </c>
      <c r="BZ63" t="s">
        <v>87</v>
      </c>
      <c r="CA63" t="s">
        <v>519</v>
      </c>
      <c r="CB63" t="s">
        <v>84</v>
      </c>
      <c r="CD63" t="s">
        <v>84</v>
      </c>
    </row>
    <row r="64" spans="1:83" x14ac:dyDescent="0.25">
      <c r="A64" t="s">
        <v>225</v>
      </c>
      <c r="B64" t="s">
        <v>226</v>
      </c>
      <c r="C64" t="s">
        <v>227</v>
      </c>
      <c r="D64" t="s">
        <v>228</v>
      </c>
      <c r="E64" t="s">
        <v>1996</v>
      </c>
      <c r="F64" s="1">
        <v>439</v>
      </c>
      <c r="G64" s="1" t="s">
        <v>84</v>
      </c>
      <c r="I64" t="s">
        <v>85</v>
      </c>
      <c r="J64" t="s">
        <v>85</v>
      </c>
      <c r="K64" t="s">
        <v>85</v>
      </c>
      <c r="L64" t="s">
        <v>85</v>
      </c>
      <c r="M64" t="s">
        <v>85</v>
      </c>
      <c r="N64" t="s">
        <v>85</v>
      </c>
      <c r="O64" t="s">
        <v>85</v>
      </c>
      <c r="Q64" t="s">
        <v>84</v>
      </c>
      <c r="T64" t="s">
        <v>86</v>
      </c>
      <c r="U64" t="s">
        <v>87</v>
      </c>
      <c r="V64" t="s">
        <v>84</v>
      </c>
      <c r="W64" t="s">
        <v>84</v>
      </c>
      <c r="Y64" t="s">
        <v>87</v>
      </c>
      <c r="Z64" t="s">
        <v>84</v>
      </c>
      <c r="AA64" t="s">
        <v>84</v>
      </c>
      <c r="AC64" t="s">
        <v>84</v>
      </c>
      <c r="AD64" t="s">
        <v>84</v>
      </c>
      <c r="AE64" t="s">
        <v>84</v>
      </c>
      <c r="AF64" t="s">
        <v>84</v>
      </c>
      <c r="AG64" t="s">
        <v>87</v>
      </c>
      <c r="AH64" t="s">
        <v>229</v>
      </c>
      <c r="AI64" t="s">
        <v>87</v>
      </c>
      <c r="AJ64" t="s">
        <v>84</v>
      </c>
      <c r="AK64" t="s">
        <v>84</v>
      </c>
      <c r="AL64" t="s">
        <v>84</v>
      </c>
      <c r="AM64" t="s">
        <v>84</v>
      </c>
      <c r="AO64" t="s">
        <v>87</v>
      </c>
      <c r="AP64" t="s">
        <v>87</v>
      </c>
      <c r="AQ64" t="s">
        <v>87</v>
      </c>
      <c r="AS64" t="s">
        <v>84</v>
      </c>
      <c r="AT64" t="s">
        <v>87</v>
      </c>
      <c r="AW64" t="s">
        <v>89</v>
      </c>
      <c r="AX64" t="s">
        <v>84</v>
      </c>
      <c r="AY64" t="s">
        <v>84</v>
      </c>
      <c r="AZ64" t="s">
        <v>84</v>
      </c>
      <c r="BA64" t="s">
        <v>87</v>
      </c>
      <c r="BB64" t="s">
        <v>84</v>
      </c>
      <c r="BC64" t="s">
        <v>87</v>
      </c>
      <c r="BE64" t="s">
        <v>84</v>
      </c>
      <c r="BH64" t="s">
        <v>87</v>
      </c>
      <c r="BI64" t="s">
        <v>84</v>
      </c>
      <c r="BJ64" t="s">
        <v>84</v>
      </c>
      <c r="BL64" t="s">
        <v>87</v>
      </c>
      <c r="BM64" t="s">
        <v>84</v>
      </c>
      <c r="BN64" t="s">
        <v>84</v>
      </c>
      <c r="BP64" t="s">
        <v>87</v>
      </c>
      <c r="BQ64" t="s">
        <v>84</v>
      </c>
      <c r="BR64" t="s">
        <v>84</v>
      </c>
      <c r="BS64" t="s">
        <v>84</v>
      </c>
      <c r="BT64" t="s">
        <v>84</v>
      </c>
      <c r="BV64" t="s">
        <v>87</v>
      </c>
      <c r="BW64" t="s">
        <v>84</v>
      </c>
      <c r="BX64" t="s">
        <v>84</v>
      </c>
      <c r="BY64" t="s">
        <v>84</v>
      </c>
      <c r="BZ64" t="s">
        <v>84</v>
      </c>
      <c r="CB64" t="s">
        <v>84</v>
      </c>
      <c r="CD64" t="s">
        <v>84</v>
      </c>
    </row>
    <row r="65" spans="1:82" x14ac:dyDescent="0.25">
      <c r="A65" t="s">
        <v>1141</v>
      </c>
      <c r="B65" t="s">
        <v>1142</v>
      </c>
      <c r="C65" t="s">
        <v>1143</v>
      </c>
      <c r="D65" t="s">
        <v>93</v>
      </c>
      <c r="E65" t="s">
        <v>1996</v>
      </c>
      <c r="F65" s="1">
        <v>450</v>
      </c>
      <c r="G65" s="1" t="s">
        <v>94</v>
      </c>
      <c r="H65" t="s">
        <v>95</v>
      </c>
      <c r="I65" t="s">
        <v>87</v>
      </c>
      <c r="J65" t="s">
        <v>84</v>
      </c>
      <c r="K65" t="s">
        <v>84</v>
      </c>
      <c r="L65" t="s">
        <v>84</v>
      </c>
      <c r="M65" t="s">
        <v>87</v>
      </c>
      <c r="N65" t="s">
        <v>84</v>
      </c>
      <c r="O65" t="s">
        <v>84</v>
      </c>
      <c r="Q65" t="s">
        <v>84</v>
      </c>
      <c r="T65" t="s">
        <v>96</v>
      </c>
      <c r="U65" t="s">
        <v>87</v>
      </c>
      <c r="V65" t="s">
        <v>84</v>
      </c>
      <c r="W65" t="s">
        <v>84</v>
      </c>
      <c r="Y65" t="s">
        <v>87</v>
      </c>
      <c r="Z65" t="s">
        <v>84</v>
      </c>
      <c r="AA65" t="s">
        <v>84</v>
      </c>
      <c r="AC65" t="s">
        <v>84</v>
      </c>
      <c r="AD65" t="s">
        <v>84</v>
      </c>
      <c r="AE65" t="s">
        <v>84</v>
      </c>
      <c r="AF65" t="s">
        <v>84</v>
      </c>
      <c r="AG65" t="s">
        <v>87</v>
      </c>
      <c r="AH65" t="s">
        <v>1144</v>
      </c>
      <c r="AI65" t="s">
        <v>84</v>
      </c>
      <c r="AJ65" t="s">
        <v>84</v>
      </c>
      <c r="AK65" t="s">
        <v>84</v>
      </c>
      <c r="AL65" t="s">
        <v>84</v>
      </c>
      <c r="AM65" t="s">
        <v>87</v>
      </c>
      <c r="AO65" t="s">
        <v>87</v>
      </c>
      <c r="AP65" t="s">
        <v>87</v>
      </c>
      <c r="AQ65" t="s">
        <v>87</v>
      </c>
      <c r="AS65" t="s">
        <v>87</v>
      </c>
      <c r="AT65" t="s">
        <v>84</v>
      </c>
      <c r="AU65" t="s">
        <v>1145</v>
      </c>
      <c r="AW65" t="s">
        <v>89</v>
      </c>
      <c r="AX65" t="s">
        <v>87</v>
      </c>
      <c r="AY65" t="s">
        <v>84</v>
      </c>
      <c r="AZ65" t="s">
        <v>84</v>
      </c>
      <c r="BA65" t="s">
        <v>84</v>
      </c>
      <c r="BB65" t="s">
        <v>84</v>
      </c>
      <c r="BC65" t="s">
        <v>84</v>
      </c>
      <c r="BD65" t="s">
        <v>1146</v>
      </c>
      <c r="BE65" t="s">
        <v>84</v>
      </c>
      <c r="BH65" t="s">
        <v>87</v>
      </c>
      <c r="BI65" t="s">
        <v>84</v>
      </c>
      <c r="BJ65" t="s">
        <v>84</v>
      </c>
      <c r="BL65" t="s">
        <v>87</v>
      </c>
      <c r="BM65" t="s">
        <v>84</v>
      </c>
      <c r="BN65" t="s">
        <v>84</v>
      </c>
      <c r="BP65" t="s">
        <v>87</v>
      </c>
      <c r="BQ65" t="s">
        <v>84</v>
      </c>
      <c r="BR65" t="s">
        <v>84</v>
      </c>
      <c r="BS65" t="s">
        <v>84</v>
      </c>
      <c r="BT65" t="s">
        <v>84</v>
      </c>
      <c r="BV65" t="s">
        <v>84</v>
      </c>
      <c r="BW65" t="s">
        <v>84</v>
      </c>
      <c r="BX65" t="s">
        <v>84</v>
      </c>
      <c r="BY65" t="s">
        <v>84</v>
      </c>
      <c r="BZ65" t="s">
        <v>87</v>
      </c>
      <c r="CB65" t="s">
        <v>84</v>
      </c>
      <c r="CD65" t="s">
        <v>84</v>
      </c>
    </row>
    <row r="66" spans="1:82" x14ac:dyDescent="0.25">
      <c r="A66" t="s">
        <v>167</v>
      </c>
      <c r="B66" t="s">
        <v>168</v>
      </c>
      <c r="C66" t="s">
        <v>169</v>
      </c>
      <c r="D66" t="s">
        <v>170</v>
      </c>
      <c r="E66" t="s">
        <v>1994</v>
      </c>
      <c r="F66" s="1">
        <v>466</v>
      </c>
      <c r="G66" s="1" t="s">
        <v>84</v>
      </c>
      <c r="I66" t="s">
        <v>85</v>
      </c>
      <c r="J66" t="s">
        <v>85</v>
      </c>
      <c r="K66" t="s">
        <v>85</v>
      </c>
      <c r="L66" t="s">
        <v>85</v>
      </c>
      <c r="M66" t="s">
        <v>85</v>
      </c>
      <c r="N66" t="s">
        <v>85</v>
      </c>
      <c r="O66" t="s">
        <v>85</v>
      </c>
      <c r="Q66" t="s">
        <v>84</v>
      </c>
      <c r="T66" t="s">
        <v>96</v>
      </c>
      <c r="U66" t="s">
        <v>87</v>
      </c>
      <c r="V66" t="s">
        <v>84</v>
      </c>
      <c r="W66" t="s">
        <v>84</v>
      </c>
      <c r="Y66" t="s">
        <v>87</v>
      </c>
      <c r="Z66" t="s">
        <v>84</v>
      </c>
      <c r="AA66" t="s">
        <v>84</v>
      </c>
      <c r="AC66" t="s">
        <v>84</v>
      </c>
      <c r="AD66" t="s">
        <v>84</v>
      </c>
      <c r="AE66" t="s">
        <v>84</v>
      </c>
      <c r="AF66" t="s">
        <v>87</v>
      </c>
      <c r="AG66" t="s">
        <v>87</v>
      </c>
      <c r="AH66" t="s">
        <v>171</v>
      </c>
      <c r="AI66" t="s">
        <v>87</v>
      </c>
      <c r="AJ66" t="s">
        <v>84</v>
      </c>
      <c r="AK66" t="s">
        <v>84</v>
      </c>
      <c r="AL66" t="s">
        <v>87</v>
      </c>
      <c r="AM66" t="s">
        <v>84</v>
      </c>
      <c r="AO66" t="s">
        <v>87</v>
      </c>
      <c r="AP66" t="s">
        <v>87</v>
      </c>
      <c r="AQ66" t="s">
        <v>87</v>
      </c>
      <c r="AS66" t="s">
        <v>87</v>
      </c>
      <c r="AT66" t="s">
        <v>87</v>
      </c>
      <c r="AU66" t="s">
        <v>172</v>
      </c>
      <c r="AW66" t="s">
        <v>89</v>
      </c>
      <c r="AX66" t="s">
        <v>87</v>
      </c>
      <c r="AY66" t="s">
        <v>87</v>
      </c>
      <c r="AZ66" t="s">
        <v>84</v>
      </c>
      <c r="BA66" t="s">
        <v>84</v>
      </c>
      <c r="BB66" t="s">
        <v>84</v>
      </c>
      <c r="BC66" t="s">
        <v>87</v>
      </c>
      <c r="BD66" t="s">
        <v>173</v>
      </c>
      <c r="BE66" t="s">
        <v>84</v>
      </c>
      <c r="BH66" t="s">
        <v>87</v>
      </c>
      <c r="BI66" t="s">
        <v>84</v>
      </c>
      <c r="BJ66" t="s">
        <v>84</v>
      </c>
      <c r="BL66" t="s">
        <v>87</v>
      </c>
      <c r="BM66" t="s">
        <v>84</v>
      </c>
      <c r="BN66" t="s">
        <v>84</v>
      </c>
      <c r="BP66" t="s">
        <v>87</v>
      </c>
      <c r="BQ66" t="s">
        <v>84</v>
      </c>
      <c r="BR66" t="s">
        <v>84</v>
      </c>
      <c r="BS66" t="s">
        <v>87</v>
      </c>
      <c r="BT66" t="s">
        <v>84</v>
      </c>
      <c r="BV66" t="s">
        <v>87</v>
      </c>
      <c r="BW66" t="s">
        <v>84</v>
      </c>
      <c r="BX66" t="s">
        <v>84</v>
      </c>
      <c r="BY66" t="s">
        <v>84</v>
      </c>
      <c r="BZ66" t="s">
        <v>84</v>
      </c>
      <c r="CA66" t="s">
        <v>174</v>
      </c>
      <c r="CB66" t="s">
        <v>84</v>
      </c>
      <c r="CD66" t="s">
        <v>84</v>
      </c>
    </row>
    <row r="67" spans="1:82" x14ac:dyDescent="0.25">
      <c r="A67" t="s">
        <v>106</v>
      </c>
      <c r="B67" t="s">
        <v>107</v>
      </c>
      <c r="C67" t="s">
        <v>108</v>
      </c>
      <c r="D67" t="s">
        <v>109</v>
      </c>
      <c r="E67" t="s">
        <v>1924</v>
      </c>
      <c r="F67" s="1">
        <v>476</v>
      </c>
      <c r="G67" s="1" t="s">
        <v>94</v>
      </c>
      <c r="H67" t="s">
        <v>110</v>
      </c>
      <c r="I67" t="s">
        <v>87</v>
      </c>
      <c r="J67" t="s">
        <v>87</v>
      </c>
      <c r="K67" t="s">
        <v>84</v>
      </c>
      <c r="L67" t="s">
        <v>84</v>
      </c>
      <c r="M67" t="s">
        <v>84</v>
      </c>
      <c r="N67" t="s">
        <v>84</v>
      </c>
      <c r="O67" t="s">
        <v>84</v>
      </c>
      <c r="Q67" t="s">
        <v>84</v>
      </c>
      <c r="R67" t="s">
        <v>84</v>
      </c>
      <c r="T67" t="s">
        <v>86</v>
      </c>
      <c r="U67" t="s">
        <v>87</v>
      </c>
      <c r="V67" t="s">
        <v>87</v>
      </c>
      <c r="W67" t="s">
        <v>84</v>
      </c>
      <c r="X67" t="s">
        <v>111</v>
      </c>
      <c r="Y67" t="s">
        <v>87</v>
      </c>
      <c r="Z67" t="s">
        <v>84</v>
      </c>
      <c r="AA67" t="s">
        <v>84</v>
      </c>
      <c r="AB67" t="s">
        <v>112</v>
      </c>
      <c r="AC67" t="s">
        <v>87</v>
      </c>
      <c r="AD67" t="s">
        <v>84</v>
      </c>
      <c r="AE67" t="s">
        <v>84</v>
      </c>
      <c r="AF67" t="s">
        <v>84</v>
      </c>
      <c r="AG67" t="s">
        <v>87</v>
      </c>
      <c r="AH67" t="s">
        <v>113</v>
      </c>
      <c r="AI67" t="s">
        <v>87</v>
      </c>
      <c r="AJ67" t="s">
        <v>84</v>
      </c>
      <c r="AK67" t="s">
        <v>84</v>
      </c>
      <c r="AL67" t="s">
        <v>84</v>
      </c>
      <c r="AM67" t="s">
        <v>84</v>
      </c>
      <c r="AO67" t="s">
        <v>87</v>
      </c>
      <c r="AP67" t="s">
        <v>87</v>
      </c>
      <c r="AQ67" t="s">
        <v>84</v>
      </c>
      <c r="AS67" t="s">
        <v>87</v>
      </c>
      <c r="AT67" t="s">
        <v>84</v>
      </c>
      <c r="AU67" t="s">
        <v>114</v>
      </c>
      <c r="AW67" t="s">
        <v>89</v>
      </c>
      <c r="AX67" t="s">
        <v>87</v>
      </c>
      <c r="AY67" t="s">
        <v>87</v>
      </c>
      <c r="AZ67" t="s">
        <v>84</v>
      </c>
      <c r="BA67" t="s">
        <v>84</v>
      </c>
      <c r="BB67" t="s">
        <v>84</v>
      </c>
      <c r="BC67" t="s">
        <v>84</v>
      </c>
      <c r="BD67" t="s">
        <v>115</v>
      </c>
      <c r="BE67" t="s">
        <v>84</v>
      </c>
      <c r="BH67" t="s">
        <v>87</v>
      </c>
      <c r="BI67" t="s">
        <v>84</v>
      </c>
      <c r="BJ67" t="s">
        <v>84</v>
      </c>
      <c r="BL67" t="s">
        <v>87</v>
      </c>
      <c r="BM67" t="s">
        <v>84</v>
      </c>
      <c r="BN67" t="s">
        <v>84</v>
      </c>
      <c r="BP67" t="s">
        <v>87</v>
      </c>
      <c r="BQ67" t="s">
        <v>84</v>
      </c>
      <c r="BR67" t="s">
        <v>84</v>
      </c>
      <c r="BS67" t="s">
        <v>84</v>
      </c>
      <c r="BT67" t="s">
        <v>84</v>
      </c>
      <c r="BV67" t="s">
        <v>87</v>
      </c>
      <c r="BW67" t="s">
        <v>84</v>
      </c>
      <c r="BX67" t="s">
        <v>84</v>
      </c>
      <c r="BY67" t="s">
        <v>84</v>
      </c>
      <c r="BZ67" t="s">
        <v>84</v>
      </c>
      <c r="CA67" t="s">
        <v>116</v>
      </c>
      <c r="CB67" t="s">
        <v>84</v>
      </c>
      <c r="CD67" t="s">
        <v>84</v>
      </c>
    </row>
    <row r="68" spans="1:82" x14ac:dyDescent="0.25">
      <c r="A68" t="s">
        <v>949</v>
      </c>
      <c r="B68" t="s">
        <v>950</v>
      </c>
      <c r="C68" t="s">
        <v>951</v>
      </c>
      <c r="D68" t="s">
        <v>952</v>
      </c>
      <c r="E68" t="s">
        <v>1924</v>
      </c>
      <c r="F68" s="1">
        <v>486</v>
      </c>
      <c r="G68" s="1" t="s">
        <v>84</v>
      </c>
      <c r="I68" t="s">
        <v>85</v>
      </c>
      <c r="J68" t="s">
        <v>85</v>
      </c>
      <c r="K68" t="s">
        <v>85</v>
      </c>
      <c r="L68" t="s">
        <v>85</v>
      </c>
      <c r="M68" t="s">
        <v>85</v>
      </c>
      <c r="N68" t="s">
        <v>85</v>
      </c>
      <c r="O68" t="s">
        <v>85</v>
      </c>
      <c r="Q68" t="s">
        <v>84</v>
      </c>
      <c r="T68" t="s">
        <v>96</v>
      </c>
      <c r="U68" t="s">
        <v>87</v>
      </c>
      <c r="V68" t="s">
        <v>87</v>
      </c>
      <c r="W68" t="s">
        <v>84</v>
      </c>
      <c r="Y68" t="s">
        <v>87</v>
      </c>
      <c r="Z68" t="s">
        <v>87</v>
      </c>
      <c r="AA68" t="s">
        <v>84</v>
      </c>
      <c r="AC68" t="s">
        <v>84</v>
      </c>
      <c r="AD68" t="s">
        <v>84</v>
      </c>
      <c r="AE68" t="s">
        <v>84</v>
      </c>
      <c r="AF68" t="s">
        <v>87</v>
      </c>
      <c r="AG68" t="s">
        <v>84</v>
      </c>
      <c r="AI68" t="s">
        <v>84</v>
      </c>
      <c r="AJ68" t="s">
        <v>84</v>
      </c>
      <c r="AK68" t="s">
        <v>84</v>
      </c>
      <c r="AL68" t="s">
        <v>84</v>
      </c>
      <c r="AM68" t="s">
        <v>87</v>
      </c>
      <c r="AO68" t="s">
        <v>87</v>
      </c>
      <c r="AP68" t="s">
        <v>87</v>
      </c>
      <c r="AQ68" t="s">
        <v>84</v>
      </c>
      <c r="AS68" t="s">
        <v>87</v>
      </c>
      <c r="AT68" t="s">
        <v>84</v>
      </c>
      <c r="AU68" t="s">
        <v>953</v>
      </c>
      <c r="AW68" t="s">
        <v>89</v>
      </c>
      <c r="AX68" t="s">
        <v>84</v>
      </c>
      <c r="AY68" t="s">
        <v>87</v>
      </c>
      <c r="AZ68" t="s">
        <v>87</v>
      </c>
      <c r="BA68" t="s">
        <v>84</v>
      </c>
      <c r="BB68" t="s">
        <v>87</v>
      </c>
      <c r="BC68" t="s">
        <v>84</v>
      </c>
      <c r="BE68" t="s">
        <v>84</v>
      </c>
      <c r="BH68" t="s">
        <v>87</v>
      </c>
      <c r="BI68" t="s">
        <v>84</v>
      </c>
      <c r="BJ68" t="s">
        <v>84</v>
      </c>
      <c r="BL68" t="s">
        <v>87</v>
      </c>
      <c r="BM68" t="s">
        <v>84</v>
      </c>
      <c r="BN68" t="s">
        <v>84</v>
      </c>
      <c r="BP68" t="s">
        <v>84</v>
      </c>
      <c r="BQ68" t="s">
        <v>84</v>
      </c>
      <c r="BR68" t="s">
        <v>84</v>
      </c>
      <c r="BS68" t="s">
        <v>87</v>
      </c>
      <c r="BT68" t="s">
        <v>84</v>
      </c>
      <c r="BV68" t="s">
        <v>84</v>
      </c>
      <c r="BW68" t="s">
        <v>84</v>
      </c>
      <c r="BX68" t="s">
        <v>84</v>
      </c>
      <c r="BY68" t="s">
        <v>84</v>
      </c>
      <c r="BZ68" t="s">
        <v>87</v>
      </c>
      <c r="CB68" t="s">
        <v>84</v>
      </c>
      <c r="CD68" t="s">
        <v>84</v>
      </c>
    </row>
    <row r="69" spans="1:82" x14ac:dyDescent="0.25">
      <c r="A69" t="s">
        <v>1020</v>
      </c>
      <c r="B69" t="s">
        <v>1021</v>
      </c>
      <c r="C69" t="s">
        <v>1022</v>
      </c>
      <c r="D69" t="s">
        <v>137</v>
      </c>
      <c r="E69" t="s">
        <v>1926</v>
      </c>
      <c r="F69" s="1">
        <v>496</v>
      </c>
      <c r="G69" s="1" t="s">
        <v>94</v>
      </c>
      <c r="H69" t="s">
        <v>1023</v>
      </c>
      <c r="I69" t="s">
        <v>87</v>
      </c>
      <c r="J69" t="s">
        <v>84</v>
      </c>
      <c r="K69" t="s">
        <v>84</v>
      </c>
      <c r="L69" t="s">
        <v>84</v>
      </c>
      <c r="M69" t="s">
        <v>87</v>
      </c>
      <c r="N69" t="s">
        <v>84</v>
      </c>
      <c r="O69" t="s">
        <v>84</v>
      </c>
      <c r="Q69" t="s">
        <v>84</v>
      </c>
      <c r="T69" t="s">
        <v>96</v>
      </c>
      <c r="U69" t="s">
        <v>87</v>
      </c>
      <c r="V69" t="s">
        <v>87</v>
      </c>
      <c r="W69" t="s">
        <v>87</v>
      </c>
      <c r="Y69" t="s">
        <v>87</v>
      </c>
      <c r="Z69" t="s">
        <v>87</v>
      </c>
      <c r="AA69" t="s">
        <v>84</v>
      </c>
      <c r="AC69" t="s">
        <v>84</v>
      </c>
      <c r="AD69" t="s">
        <v>84</v>
      </c>
      <c r="AE69" t="s">
        <v>84</v>
      </c>
      <c r="AF69" t="s">
        <v>87</v>
      </c>
      <c r="AG69" t="s">
        <v>87</v>
      </c>
      <c r="AI69" t="s">
        <v>87</v>
      </c>
      <c r="AJ69" t="s">
        <v>84</v>
      </c>
      <c r="AK69" t="s">
        <v>84</v>
      </c>
      <c r="AL69" t="s">
        <v>84</v>
      </c>
      <c r="AM69" t="s">
        <v>84</v>
      </c>
      <c r="AO69" t="s">
        <v>87</v>
      </c>
      <c r="AP69" t="s">
        <v>87</v>
      </c>
      <c r="AQ69" t="s">
        <v>84</v>
      </c>
      <c r="AS69" t="s">
        <v>87</v>
      </c>
      <c r="AT69" t="s">
        <v>84</v>
      </c>
      <c r="AU69" t="s">
        <v>1024</v>
      </c>
      <c r="AW69" t="s">
        <v>89</v>
      </c>
      <c r="AX69" t="s">
        <v>84</v>
      </c>
      <c r="AY69" t="s">
        <v>84</v>
      </c>
      <c r="AZ69" t="s">
        <v>84</v>
      </c>
      <c r="BA69" t="s">
        <v>87</v>
      </c>
      <c r="BB69" t="s">
        <v>87</v>
      </c>
      <c r="BC69" t="s">
        <v>84</v>
      </c>
      <c r="BE69" t="s">
        <v>84</v>
      </c>
      <c r="BH69" t="s">
        <v>87</v>
      </c>
      <c r="BI69" t="s">
        <v>84</v>
      </c>
      <c r="BJ69" t="s">
        <v>84</v>
      </c>
      <c r="BL69" t="s">
        <v>87</v>
      </c>
      <c r="BM69" t="s">
        <v>84</v>
      </c>
      <c r="BN69" t="s">
        <v>84</v>
      </c>
      <c r="BP69" t="s">
        <v>87</v>
      </c>
      <c r="BQ69" t="s">
        <v>84</v>
      </c>
      <c r="BR69" t="s">
        <v>84</v>
      </c>
      <c r="BS69" t="s">
        <v>84</v>
      </c>
      <c r="BT69" t="s">
        <v>84</v>
      </c>
      <c r="BV69" t="s">
        <v>84</v>
      </c>
      <c r="BW69" t="s">
        <v>84</v>
      </c>
      <c r="BX69" t="s">
        <v>84</v>
      </c>
      <c r="BY69" t="s">
        <v>87</v>
      </c>
      <c r="BZ69" t="s">
        <v>87</v>
      </c>
      <c r="CB69" t="s">
        <v>84</v>
      </c>
      <c r="CD69" t="s">
        <v>84</v>
      </c>
    </row>
    <row r="70" spans="1:82" x14ac:dyDescent="0.25">
      <c r="A70" t="s">
        <v>1661</v>
      </c>
      <c r="B70" t="s">
        <v>1662</v>
      </c>
      <c r="C70" t="s">
        <v>1663</v>
      </c>
      <c r="D70" t="s">
        <v>204</v>
      </c>
      <c r="E70" t="s">
        <v>1926</v>
      </c>
      <c r="F70" s="1">
        <v>526</v>
      </c>
      <c r="G70" s="1" t="s">
        <v>94</v>
      </c>
      <c r="H70" t="s">
        <v>95</v>
      </c>
      <c r="I70" t="s">
        <v>87</v>
      </c>
      <c r="J70" t="s">
        <v>84</v>
      </c>
      <c r="K70" t="s">
        <v>84</v>
      </c>
      <c r="L70" t="s">
        <v>84</v>
      </c>
      <c r="M70" t="s">
        <v>84</v>
      </c>
      <c r="N70" t="s">
        <v>84</v>
      </c>
      <c r="O70" t="s">
        <v>84</v>
      </c>
      <c r="Q70" t="s">
        <v>84</v>
      </c>
      <c r="T70" t="s">
        <v>96</v>
      </c>
      <c r="U70" t="s">
        <v>87</v>
      </c>
      <c r="V70" t="s">
        <v>87</v>
      </c>
      <c r="W70" t="s">
        <v>84</v>
      </c>
      <c r="Y70" t="s">
        <v>87</v>
      </c>
      <c r="Z70" t="s">
        <v>87</v>
      </c>
      <c r="AA70" t="s">
        <v>84</v>
      </c>
      <c r="AC70" t="s">
        <v>84</v>
      </c>
      <c r="AD70" t="s">
        <v>84</v>
      </c>
      <c r="AE70" t="s">
        <v>84</v>
      </c>
      <c r="AF70" t="s">
        <v>84</v>
      </c>
      <c r="AG70" t="s">
        <v>87</v>
      </c>
      <c r="AH70" t="s">
        <v>509</v>
      </c>
      <c r="AI70" t="s">
        <v>87</v>
      </c>
      <c r="AJ70" t="s">
        <v>84</v>
      </c>
      <c r="AK70" t="s">
        <v>84</v>
      </c>
      <c r="AL70" t="s">
        <v>84</v>
      </c>
      <c r="AM70" t="s">
        <v>84</v>
      </c>
      <c r="AO70" t="s">
        <v>87</v>
      </c>
      <c r="AP70" t="s">
        <v>87</v>
      </c>
      <c r="AQ70" t="s">
        <v>84</v>
      </c>
      <c r="AS70" t="s">
        <v>87</v>
      </c>
      <c r="AT70" t="s">
        <v>84</v>
      </c>
      <c r="AU70" t="s">
        <v>1664</v>
      </c>
      <c r="AW70" t="s">
        <v>89</v>
      </c>
      <c r="AX70" t="s">
        <v>84</v>
      </c>
      <c r="AY70" t="s">
        <v>84</v>
      </c>
      <c r="AZ70" t="s">
        <v>84</v>
      </c>
      <c r="BA70" t="s">
        <v>87</v>
      </c>
      <c r="BB70" t="s">
        <v>87</v>
      </c>
      <c r="BC70" t="s">
        <v>84</v>
      </c>
      <c r="BE70" t="s">
        <v>84</v>
      </c>
      <c r="BH70" t="s">
        <v>87</v>
      </c>
      <c r="BI70" t="s">
        <v>84</v>
      </c>
      <c r="BJ70" t="s">
        <v>84</v>
      </c>
      <c r="BL70" t="s">
        <v>87</v>
      </c>
      <c r="BM70" t="s">
        <v>84</v>
      </c>
      <c r="BN70" t="s">
        <v>84</v>
      </c>
      <c r="BP70" t="s">
        <v>87</v>
      </c>
      <c r="BQ70" t="s">
        <v>84</v>
      </c>
      <c r="BR70" t="s">
        <v>84</v>
      </c>
      <c r="BS70" t="s">
        <v>84</v>
      </c>
      <c r="BT70" t="s">
        <v>84</v>
      </c>
      <c r="BV70" t="s">
        <v>84</v>
      </c>
      <c r="BW70" t="s">
        <v>84</v>
      </c>
      <c r="BX70" t="s">
        <v>84</v>
      </c>
      <c r="BY70" t="s">
        <v>84</v>
      </c>
      <c r="BZ70" t="s">
        <v>87</v>
      </c>
      <c r="CA70" t="s">
        <v>1665</v>
      </c>
      <c r="CB70" t="s">
        <v>84</v>
      </c>
      <c r="CD70" t="s">
        <v>84</v>
      </c>
    </row>
    <row r="71" spans="1:82" x14ac:dyDescent="0.25">
      <c r="A71" t="s">
        <v>470</v>
      </c>
      <c r="B71" t="s">
        <v>471</v>
      </c>
      <c r="C71" t="s">
        <v>472</v>
      </c>
      <c r="D71" t="s">
        <v>104</v>
      </c>
      <c r="E71" t="s">
        <v>1926</v>
      </c>
      <c r="F71" s="1">
        <v>539</v>
      </c>
      <c r="G71" s="1" t="s">
        <v>84</v>
      </c>
      <c r="I71" t="s">
        <v>85</v>
      </c>
      <c r="J71" t="s">
        <v>85</v>
      </c>
      <c r="K71" t="s">
        <v>85</v>
      </c>
      <c r="L71" t="s">
        <v>85</v>
      </c>
      <c r="M71" t="s">
        <v>85</v>
      </c>
      <c r="N71" t="s">
        <v>85</v>
      </c>
      <c r="O71" t="s">
        <v>85</v>
      </c>
      <c r="Q71" t="s">
        <v>84</v>
      </c>
      <c r="T71" t="s">
        <v>96</v>
      </c>
      <c r="U71" t="s">
        <v>87</v>
      </c>
      <c r="V71" t="s">
        <v>84</v>
      </c>
      <c r="W71" t="s">
        <v>84</v>
      </c>
      <c r="Y71" t="s">
        <v>87</v>
      </c>
      <c r="Z71" t="s">
        <v>84</v>
      </c>
      <c r="AA71" t="s">
        <v>84</v>
      </c>
      <c r="AB71" t="s">
        <v>473</v>
      </c>
      <c r="AC71" t="s">
        <v>84</v>
      </c>
      <c r="AD71" t="s">
        <v>84</v>
      </c>
      <c r="AE71" t="s">
        <v>84</v>
      </c>
      <c r="AF71" t="s">
        <v>84</v>
      </c>
      <c r="AG71" t="s">
        <v>87</v>
      </c>
      <c r="AI71" t="s">
        <v>87</v>
      </c>
      <c r="AJ71" t="s">
        <v>84</v>
      </c>
      <c r="AK71" t="s">
        <v>84</v>
      </c>
      <c r="AL71" t="s">
        <v>84</v>
      </c>
      <c r="AM71" t="s">
        <v>84</v>
      </c>
      <c r="AO71" t="s">
        <v>84</v>
      </c>
      <c r="AP71" t="s">
        <v>87</v>
      </c>
      <c r="AQ71" t="s">
        <v>84</v>
      </c>
      <c r="AS71" t="s">
        <v>87</v>
      </c>
      <c r="AT71" t="s">
        <v>84</v>
      </c>
      <c r="AU71" t="s">
        <v>474</v>
      </c>
      <c r="AW71" t="s">
        <v>89</v>
      </c>
      <c r="AX71" t="s">
        <v>87</v>
      </c>
      <c r="AY71" t="s">
        <v>84</v>
      </c>
      <c r="AZ71" t="s">
        <v>84</v>
      </c>
      <c r="BA71" t="s">
        <v>84</v>
      </c>
      <c r="BB71" t="s">
        <v>84</v>
      </c>
      <c r="BC71" t="s">
        <v>84</v>
      </c>
      <c r="BD71" t="s">
        <v>475</v>
      </c>
      <c r="BE71" t="s">
        <v>84</v>
      </c>
      <c r="BH71" t="s">
        <v>87</v>
      </c>
      <c r="BI71" t="s">
        <v>84</v>
      </c>
      <c r="BJ71" t="s">
        <v>84</v>
      </c>
      <c r="BL71" t="s">
        <v>87</v>
      </c>
      <c r="BM71" t="s">
        <v>84</v>
      </c>
      <c r="BN71" t="s">
        <v>84</v>
      </c>
      <c r="BP71" t="s">
        <v>84</v>
      </c>
      <c r="BQ71" t="s">
        <v>84</v>
      </c>
      <c r="BR71" t="s">
        <v>84</v>
      </c>
      <c r="BS71" t="s">
        <v>87</v>
      </c>
      <c r="BT71" t="s">
        <v>84</v>
      </c>
      <c r="BV71" t="s">
        <v>87</v>
      </c>
      <c r="BW71" t="s">
        <v>84</v>
      </c>
      <c r="BX71" t="s">
        <v>84</v>
      </c>
      <c r="BY71" t="s">
        <v>84</v>
      </c>
      <c r="BZ71" t="s">
        <v>87</v>
      </c>
      <c r="CB71" t="s">
        <v>84</v>
      </c>
      <c r="CD71" t="s">
        <v>84</v>
      </c>
    </row>
    <row r="72" spans="1:82" x14ac:dyDescent="0.25">
      <c r="A72" t="s">
        <v>350</v>
      </c>
      <c r="B72" t="s">
        <v>341</v>
      </c>
      <c r="C72" t="s">
        <v>351</v>
      </c>
      <c r="D72" t="s">
        <v>233</v>
      </c>
      <c r="E72" t="s">
        <v>1924</v>
      </c>
      <c r="F72" s="1">
        <v>550</v>
      </c>
      <c r="G72" s="1" t="s">
        <v>94</v>
      </c>
      <c r="H72" t="s">
        <v>352</v>
      </c>
      <c r="I72" t="s">
        <v>87</v>
      </c>
      <c r="J72" t="s">
        <v>84</v>
      </c>
      <c r="K72" t="s">
        <v>84</v>
      </c>
      <c r="L72" t="s">
        <v>84</v>
      </c>
      <c r="M72" t="s">
        <v>87</v>
      </c>
      <c r="N72" t="s">
        <v>84</v>
      </c>
      <c r="O72" t="s">
        <v>84</v>
      </c>
      <c r="Q72" t="s">
        <v>84</v>
      </c>
      <c r="T72" t="s">
        <v>86</v>
      </c>
      <c r="U72" t="s">
        <v>87</v>
      </c>
      <c r="V72" t="s">
        <v>84</v>
      </c>
      <c r="W72" t="s">
        <v>84</v>
      </c>
      <c r="Y72" t="s">
        <v>84</v>
      </c>
      <c r="Z72" t="s">
        <v>84</v>
      </c>
      <c r="AA72" t="s">
        <v>84</v>
      </c>
      <c r="AB72" t="s">
        <v>112</v>
      </c>
      <c r="AC72" t="s">
        <v>84</v>
      </c>
      <c r="AD72" t="s">
        <v>84</v>
      </c>
      <c r="AE72" t="s">
        <v>87</v>
      </c>
      <c r="AF72" t="s">
        <v>84</v>
      </c>
      <c r="AG72" t="s">
        <v>84</v>
      </c>
      <c r="AI72" t="s">
        <v>87</v>
      </c>
      <c r="AJ72" t="s">
        <v>84</v>
      </c>
      <c r="AK72" t="s">
        <v>84</v>
      </c>
      <c r="AL72" t="s">
        <v>84</v>
      </c>
      <c r="AM72" t="s">
        <v>84</v>
      </c>
      <c r="AO72" t="s">
        <v>84</v>
      </c>
      <c r="AP72" t="s">
        <v>87</v>
      </c>
      <c r="AQ72" t="s">
        <v>84</v>
      </c>
      <c r="AR72" t="s">
        <v>353</v>
      </c>
      <c r="AS72" t="s">
        <v>87</v>
      </c>
      <c r="AT72" t="s">
        <v>84</v>
      </c>
      <c r="AU72" t="s">
        <v>279</v>
      </c>
      <c r="AW72" t="s">
        <v>89</v>
      </c>
      <c r="AX72" t="s">
        <v>84</v>
      </c>
      <c r="AY72" t="s">
        <v>84</v>
      </c>
      <c r="AZ72" t="s">
        <v>84</v>
      </c>
      <c r="BA72" t="s">
        <v>87</v>
      </c>
      <c r="BB72" t="s">
        <v>84</v>
      </c>
      <c r="BC72" t="s">
        <v>84</v>
      </c>
      <c r="BD72" t="s">
        <v>280</v>
      </c>
      <c r="BE72" t="s">
        <v>84</v>
      </c>
      <c r="BH72" t="s">
        <v>87</v>
      </c>
      <c r="BI72" t="s">
        <v>84</v>
      </c>
      <c r="BJ72" t="s">
        <v>84</v>
      </c>
      <c r="BL72" t="s">
        <v>87</v>
      </c>
      <c r="BM72" t="s">
        <v>84</v>
      </c>
      <c r="BN72" t="s">
        <v>84</v>
      </c>
      <c r="BP72" t="s">
        <v>87</v>
      </c>
      <c r="BQ72" t="s">
        <v>84</v>
      </c>
      <c r="BR72" t="s">
        <v>84</v>
      </c>
      <c r="BS72" t="s">
        <v>87</v>
      </c>
      <c r="BT72" t="s">
        <v>84</v>
      </c>
      <c r="BV72" t="s">
        <v>84</v>
      </c>
      <c r="BW72" t="s">
        <v>84</v>
      </c>
      <c r="BX72" t="s">
        <v>84</v>
      </c>
      <c r="BY72" t="s">
        <v>84</v>
      </c>
      <c r="BZ72" t="s">
        <v>87</v>
      </c>
      <c r="CB72" t="s">
        <v>84</v>
      </c>
      <c r="CD72" t="s">
        <v>84</v>
      </c>
    </row>
    <row r="73" spans="1:82" x14ac:dyDescent="0.25">
      <c r="A73" t="s">
        <v>984</v>
      </c>
      <c r="B73" t="s">
        <v>985</v>
      </c>
      <c r="C73" t="s">
        <v>986</v>
      </c>
      <c r="D73" t="s">
        <v>987</v>
      </c>
      <c r="E73" t="s">
        <v>1924</v>
      </c>
      <c r="F73" s="1">
        <v>570</v>
      </c>
      <c r="G73" s="1" t="s">
        <v>84</v>
      </c>
      <c r="I73" t="s">
        <v>85</v>
      </c>
      <c r="J73" t="s">
        <v>85</v>
      </c>
      <c r="K73" t="s">
        <v>85</v>
      </c>
      <c r="L73" t="s">
        <v>85</v>
      </c>
      <c r="M73" t="s">
        <v>85</v>
      </c>
      <c r="N73" t="s">
        <v>85</v>
      </c>
      <c r="O73" t="s">
        <v>85</v>
      </c>
      <c r="Q73" t="s">
        <v>84</v>
      </c>
      <c r="T73" t="s">
        <v>86</v>
      </c>
      <c r="U73" t="s">
        <v>87</v>
      </c>
      <c r="V73" t="s">
        <v>87</v>
      </c>
      <c r="W73" t="s">
        <v>84</v>
      </c>
      <c r="Y73" t="s">
        <v>87</v>
      </c>
      <c r="Z73" t="s">
        <v>87</v>
      </c>
      <c r="AA73" t="s">
        <v>87</v>
      </c>
      <c r="AC73" t="s">
        <v>84</v>
      </c>
      <c r="AD73" t="s">
        <v>84</v>
      </c>
      <c r="AE73" t="s">
        <v>84</v>
      </c>
      <c r="AF73" t="s">
        <v>84</v>
      </c>
      <c r="AG73" t="s">
        <v>87</v>
      </c>
      <c r="AI73" t="s">
        <v>84</v>
      </c>
      <c r="AJ73" t="s">
        <v>84</v>
      </c>
      <c r="AK73" t="s">
        <v>84</v>
      </c>
      <c r="AL73" t="s">
        <v>84</v>
      </c>
      <c r="AM73" t="s">
        <v>87</v>
      </c>
      <c r="AO73" t="s">
        <v>87</v>
      </c>
      <c r="AP73" t="s">
        <v>87</v>
      </c>
      <c r="AQ73" t="s">
        <v>84</v>
      </c>
      <c r="AS73" t="s">
        <v>87</v>
      </c>
      <c r="AT73" t="s">
        <v>84</v>
      </c>
      <c r="AU73" t="s">
        <v>279</v>
      </c>
      <c r="AW73" t="s">
        <v>89</v>
      </c>
      <c r="AX73" t="s">
        <v>84</v>
      </c>
      <c r="AY73" t="s">
        <v>84</v>
      </c>
      <c r="AZ73" t="s">
        <v>84</v>
      </c>
      <c r="BA73" t="s">
        <v>87</v>
      </c>
      <c r="BB73" t="s">
        <v>84</v>
      </c>
      <c r="BC73" t="s">
        <v>84</v>
      </c>
      <c r="BD73" t="s">
        <v>988</v>
      </c>
      <c r="BE73" t="s">
        <v>84</v>
      </c>
      <c r="BH73" t="s">
        <v>87</v>
      </c>
      <c r="BI73" t="s">
        <v>84</v>
      </c>
      <c r="BJ73" t="s">
        <v>84</v>
      </c>
      <c r="BL73" t="s">
        <v>87</v>
      </c>
      <c r="BM73" t="s">
        <v>84</v>
      </c>
      <c r="BN73" t="s">
        <v>84</v>
      </c>
      <c r="BP73" t="s">
        <v>84</v>
      </c>
      <c r="BQ73" t="s">
        <v>84</v>
      </c>
      <c r="BR73" t="s">
        <v>84</v>
      </c>
      <c r="BS73" t="s">
        <v>84</v>
      </c>
      <c r="BT73" t="s">
        <v>87</v>
      </c>
      <c r="BV73" t="s">
        <v>84</v>
      </c>
      <c r="BW73" t="s">
        <v>84</v>
      </c>
      <c r="BX73" t="s">
        <v>84</v>
      </c>
      <c r="BY73" t="s">
        <v>84</v>
      </c>
      <c r="BZ73" t="s">
        <v>87</v>
      </c>
      <c r="CB73" t="s">
        <v>84</v>
      </c>
      <c r="CD73" t="s">
        <v>84</v>
      </c>
    </row>
    <row r="74" spans="1:82" x14ac:dyDescent="0.25">
      <c r="A74" t="s">
        <v>1378</v>
      </c>
      <c r="B74" t="s">
        <v>1379</v>
      </c>
      <c r="C74" t="s">
        <v>1380</v>
      </c>
      <c r="D74" t="s">
        <v>743</v>
      </c>
      <c r="E74" t="s">
        <v>1995</v>
      </c>
      <c r="F74" s="1">
        <v>593</v>
      </c>
      <c r="G74" s="1" t="s">
        <v>94</v>
      </c>
      <c r="H74" t="s">
        <v>1381</v>
      </c>
      <c r="I74" t="s">
        <v>87</v>
      </c>
      <c r="J74" t="s">
        <v>84</v>
      </c>
      <c r="K74" t="s">
        <v>84</v>
      </c>
      <c r="L74" t="s">
        <v>84</v>
      </c>
      <c r="M74" t="s">
        <v>84</v>
      </c>
      <c r="N74" t="s">
        <v>84</v>
      </c>
      <c r="O74" t="s">
        <v>84</v>
      </c>
      <c r="Q74" t="s">
        <v>84</v>
      </c>
      <c r="T74" t="s">
        <v>86</v>
      </c>
      <c r="U74" t="s">
        <v>87</v>
      </c>
      <c r="V74" t="s">
        <v>87</v>
      </c>
      <c r="W74" t="s">
        <v>87</v>
      </c>
      <c r="Y74" t="s">
        <v>87</v>
      </c>
      <c r="Z74" t="s">
        <v>84</v>
      </c>
      <c r="AA74" t="s">
        <v>84</v>
      </c>
      <c r="AB74" t="s">
        <v>1382</v>
      </c>
      <c r="AC74" t="s">
        <v>84</v>
      </c>
      <c r="AD74" t="s">
        <v>84</v>
      </c>
      <c r="AE74" t="s">
        <v>84</v>
      </c>
      <c r="AF74" t="s">
        <v>84</v>
      </c>
      <c r="AG74" t="s">
        <v>84</v>
      </c>
      <c r="AH74" t="s">
        <v>1381</v>
      </c>
      <c r="AI74" t="s">
        <v>84</v>
      </c>
      <c r="AJ74" t="s">
        <v>84</v>
      </c>
      <c r="AK74" t="s">
        <v>84</v>
      </c>
      <c r="AL74" t="s">
        <v>87</v>
      </c>
      <c r="AM74" t="s">
        <v>84</v>
      </c>
      <c r="AO74" t="s">
        <v>87</v>
      </c>
      <c r="AP74" t="s">
        <v>87</v>
      </c>
      <c r="AQ74" t="s">
        <v>84</v>
      </c>
      <c r="AS74" t="s">
        <v>84</v>
      </c>
      <c r="AT74" t="s">
        <v>87</v>
      </c>
      <c r="AW74" t="s">
        <v>89</v>
      </c>
      <c r="AX74" t="s">
        <v>87</v>
      </c>
      <c r="AY74" t="s">
        <v>87</v>
      </c>
      <c r="AZ74" t="s">
        <v>87</v>
      </c>
      <c r="BA74" t="s">
        <v>84</v>
      </c>
      <c r="BB74" t="s">
        <v>84</v>
      </c>
      <c r="BC74" t="s">
        <v>84</v>
      </c>
      <c r="BD74" t="s">
        <v>348</v>
      </c>
      <c r="BE74" t="s">
        <v>84</v>
      </c>
      <c r="BH74" t="s">
        <v>87</v>
      </c>
      <c r="BI74" t="s">
        <v>84</v>
      </c>
      <c r="BJ74" t="s">
        <v>84</v>
      </c>
      <c r="BL74" t="s">
        <v>87</v>
      </c>
      <c r="BM74" t="s">
        <v>84</v>
      </c>
      <c r="BN74" t="s">
        <v>84</v>
      </c>
      <c r="BP74" t="s">
        <v>84</v>
      </c>
      <c r="BQ74" t="s">
        <v>84</v>
      </c>
      <c r="BR74" t="s">
        <v>84</v>
      </c>
      <c r="BS74" t="s">
        <v>87</v>
      </c>
      <c r="BT74" t="s">
        <v>84</v>
      </c>
      <c r="BV74" t="s">
        <v>84</v>
      </c>
      <c r="BW74" t="s">
        <v>84</v>
      </c>
      <c r="BX74" t="s">
        <v>84</v>
      </c>
      <c r="BY74" t="s">
        <v>84</v>
      </c>
      <c r="BZ74" t="s">
        <v>84</v>
      </c>
      <c r="CA74" t="s">
        <v>1381</v>
      </c>
      <c r="CB74" t="s">
        <v>84</v>
      </c>
      <c r="CD74" t="s">
        <v>84</v>
      </c>
    </row>
    <row r="75" spans="1:82" x14ac:dyDescent="0.25">
      <c r="A75" t="s">
        <v>1224</v>
      </c>
      <c r="B75" t="s">
        <v>1225</v>
      </c>
      <c r="C75" t="s">
        <v>1226</v>
      </c>
      <c r="D75" t="s">
        <v>170</v>
      </c>
      <c r="E75" t="s">
        <v>1994</v>
      </c>
      <c r="F75" s="1">
        <v>594</v>
      </c>
      <c r="G75" s="1" t="s">
        <v>94</v>
      </c>
      <c r="H75" t="s">
        <v>95</v>
      </c>
      <c r="I75" t="s">
        <v>87</v>
      </c>
      <c r="J75" t="s">
        <v>84</v>
      </c>
      <c r="K75" t="s">
        <v>84</v>
      </c>
      <c r="L75" t="s">
        <v>84</v>
      </c>
      <c r="M75" t="s">
        <v>84</v>
      </c>
      <c r="N75" t="s">
        <v>84</v>
      </c>
      <c r="O75" t="s">
        <v>84</v>
      </c>
      <c r="Q75" t="s">
        <v>84</v>
      </c>
      <c r="T75" t="s">
        <v>86</v>
      </c>
      <c r="U75" t="s">
        <v>87</v>
      </c>
      <c r="V75" t="s">
        <v>87</v>
      </c>
      <c r="W75" t="s">
        <v>84</v>
      </c>
      <c r="Y75" t="s">
        <v>87</v>
      </c>
      <c r="Z75" t="s">
        <v>87</v>
      </c>
      <c r="AA75" t="s">
        <v>84</v>
      </c>
      <c r="AC75" t="s">
        <v>84</v>
      </c>
      <c r="AD75" t="s">
        <v>84</v>
      </c>
      <c r="AE75" t="s">
        <v>84</v>
      </c>
      <c r="AF75" t="s">
        <v>84</v>
      </c>
      <c r="AG75" t="s">
        <v>84</v>
      </c>
      <c r="AH75" t="s">
        <v>1227</v>
      </c>
      <c r="AI75" t="s">
        <v>84</v>
      </c>
      <c r="AJ75" t="s">
        <v>84</v>
      </c>
      <c r="AK75" t="s">
        <v>84</v>
      </c>
      <c r="AL75" t="s">
        <v>84</v>
      </c>
      <c r="AM75" t="s">
        <v>87</v>
      </c>
      <c r="AO75" t="s">
        <v>87</v>
      </c>
      <c r="AP75" t="s">
        <v>87</v>
      </c>
      <c r="AQ75" t="s">
        <v>84</v>
      </c>
      <c r="AS75" t="s">
        <v>87</v>
      </c>
      <c r="AT75" t="s">
        <v>84</v>
      </c>
      <c r="AU75" t="s">
        <v>194</v>
      </c>
      <c r="AW75" t="s">
        <v>89</v>
      </c>
      <c r="AX75" t="s">
        <v>87</v>
      </c>
      <c r="AY75" t="s">
        <v>84</v>
      </c>
      <c r="AZ75" t="s">
        <v>84</v>
      </c>
      <c r="BA75" t="s">
        <v>84</v>
      </c>
      <c r="BB75" t="s">
        <v>84</v>
      </c>
      <c r="BC75" t="s">
        <v>84</v>
      </c>
      <c r="BD75" t="s">
        <v>266</v>
      </c>
      <c r="BE75" t="s">
        <v>84</v>
      </c>
      <c r="BH75" t="s">
        <v>87</v>
      </c>
      <c r="BI75" t="s">
        <v>84</v>
      </c>
      <c r="BJ75" t="s">
        <v>84</v>
      </c>
      <c r="BL75" t="s">
        <v>87</v>
      </c>
      <c r="BM75" t="s">
        <v>84</v>
      </c>
      <c r="BN75" t="s">
        <v>84</v>
      </c>
      <c r="BP75" t="s">
        <v>84</v>
      </c>
      <c r="BQ75" t="s">
        <v>84</v>
      </c>
      <c r="BR75" t="s">
        <v>84</v>
      </c>
      <c r="BS75" t="s">
        <v>84</v>
      </c>
      <c r="BT75" t="s">
        <v>87</v>
      </c>
      <c r="BV75" t="s">
        <v>87</v>
      </c>
      <c r="BW75" t="s">
        <v>84</v>
      </c>
      <c r="BX75" t="s">
        <v>84</v>
      </c>
      <c r="BY75" t="s">
        <v>84</v>
      </c>
      <c r="BZ75" t="s">
        <v>87</v>
      </c>
      <c r="CB75" t="s">
        <v>84</v>
      </c>
      <c r="CD75" t="s">
        <v>84</v>
      </c>
    </row>
    <row r="76" spans="1:82" x14ac:dyDescent="0.25">
      <c r="A76" t="s">
        <v>1651</v>
      </c>
      <c r="B76" t="s">
        <v>1652</v>
      </c>
      <c r="C76" t="s">
        <v>1653</v>
      </c>
      <c r="D76" t="s">
        <v>515</v>
      </c>
      <c r="E76" t="s">
        <v>1924</v>
      </c>
      <c r="F76" s="1">
        <v>603</v>
      </c>
      <c r="G76" s="1" t="s">
        <v>94</v>
      </c>
      <c r="H76" t="s">
        <v>409</v>
      </c>
      <c r="I76" t="s">
        <v>87</v>
      </c>
      <c r="J76" t="s">
        <v>84</v>
      </c>
      <c r="K76" t="s">
        <v>84</v>
      </c>
      <c r="L76" t="s">
        <v>84</v>
      </c>
      <c r="M76" t="s">
        <v>87</v>
      </c>
      <c r="N76" t="s">
        <v>84</v>
      </c>
      <c r="O76" t="s">
        <v>84</v>
      </c>
      <c r="Q76" t="s">
        <v>84</v>
      </c>
      <c r="T76" t="s">
        <v>86</v>
      </c>
      <c r="U76" t="s">
        <v>87</v>
      </c>
      <c r="V76" t="s">
        <v>84</v>
      </c>
      <c r="W76" t="s">
        <v>84</v>
      </c>
      <c r="Y76" t="s">
        <v>87</v>
      </c>
      <c r="Z76" t="s">
        <v>84</v>
      </c>
      <c r="AA76" t="s">
        <v>84</v>
      </c>
      <c r="AB76" t="s">
        <v>344</v>
      </c>
      <c r="AC76" t="s">
        <v>84</v>
      </c>
      <c r="AD76" t="s">
        <v>84</v>
      </c>
      <c r="AE76" t="s">
        <v>84</v>
      </c>
      <c r="AF76" t="s">
        <v>84</v>
      </c>
      <c r="AG76" t="s">
        <v>87</v>
      </c>
      <c r="AH76" t="s">
        <v>1654</v>
      </c>
      <c r="AI76" t="s">
        <v>84</v>
      </c>
      <c r="AJ76" t="s">
        <v>84</v>
      </c>
      <c r="AK76" t="s">
        <v>84</v>
      </c>
      <c r="AL76" t="s">
        <v>84</v>
      </c>
      <c r="AM76" t="s">
        <v>87</v>
      </c>
      <c r="AO76" t="s">
        <v>84</v>
      </c>
      <c r="AP76" t="s">
        <v>87</v>
      </c>
      <c r="AQ76" t="s">
        <v>84</v>
      </c>
      <c r="AS76" t="s">
        <v>87</v>
      </c>
      <c r="AT76" t="s">
        <v>84</v>
      </c>
      <c r="AU76" t="s">
        <v>1655</v>
      </c>
      <c r="AW76" t="s">
        <v>89</v>
      </c>
      <c r="AX76" t="s">
        <v>84</v>
      </c>
      <c r="AY76" t="s">
        <v>84</v>
      </c>
      <c r="AZ76" t="s">
        <v>87</v>
      </c>
      <c r="BA76" t="s">
        <v>84</v>
      </c>
      <c r="BB76" t="s">
        <v>84</v>
      </c>
      <c r="BC76" t="s">
        <v>84</v>
      </c>
      <c r="BD76" t="s">
        <v>1656</v>
      </c>
      <c r="BE76" t="s">
        <v>84</v>
      </c>
      <c r="BH76" t="s">
        <v>87</v>
      </c>
      <c r="BI76" t="s">
        <v>84</v>
      </c>
      <c r="BJ76" t="s">
        <v>84</v>
      </c>
      <c r="BL76" t="s">
        <v>87</v>
      </c>
      <c r="BM76" t="s">
        <v>84</v>
      </c>
      <c r="BN76" t="s">
        <v>84</v>
      </c>
      <c r="BP76" t="s">
        <v>84</v>
      </c>
      <c r="BQ76" t="s">
        <v>84</v>
      </c>
      <c r="BR76" t="s">
        <v>84</v>
      </c>
      <c r="BS76" t="s">
        <v>87</v>
      </c>
      <c r="BT76" t="s">
        <v>84</v>
      </c>
      <c r="BV76" t="s">
        <v>87</v>
      </c>
      <c r="BW76" t="s">
        <v>84</v>
      </c>
      <c r="BX76" t="s">
        <v>84</v>
      </c>
      <c r="BY76" t="s">
        <v>84</v>
      </c>
      <c r="BZ76" t="s">
        <v>87</v>
      </c>
      <c r="CB76" t="s">
        <v>84</v>
      </c>
      <c r="CD76" t="s">
        <v>84</v>
      </c>
    </row>
    <row r="77" spans="1:82" x14ac:dyDescent="0.25">
      <c r="A77" t="s">
        <v>577</v>
      </c>
      <c r="B77" t="s">
        <v>578</v>
      </c>
      <c r="C77" t="s">
        <v>579</v>
      </c>
      <c r="D77" t="s">
        <v>233</v>
      </c>
      <c r="E77" t="s">
        <v>1924</v>
      </c>
      <c r="F77" s="1">
        <v>608</v>
      </c>
      <c r="G77" s="1" t="s">
        <v>94</v>
      </c>
      <c r="H77" t="s">
        <v>95</v>
      </c>
      <c r="I77" t="s">
        <v>87</v>
      </c>
      <c r="J77" t="s">
        <v>84</v>
      </c>
      <c r="K77" t="s">
        <v>84</v>
      </c>
      <c r="L77" t="s">
        <v>84</v>
      </c>
      <c r="M77" t="s">
        <v>87</v>
      </c>
      <c r="N77" t="s">
        <v>84</v>
      </c>
      <c r="O77" t="s">
        <v>84</v>
      </c>
      <c r="Q77" t="s">
        <v>84</v>
      </c>
      <c r="T77" t="s">
        <v>86</v>
      </c>
      <c r="U77" t="s">
        <v>87</v>
      </c>
      <c r="V77" t="s">
        <v>84</v>
      </c>
      <c r="W77" t="s">
        <v>84</v>
      </c>
      <c r="Y77" t="s">
        <v>87</v>
      </c>
      <c r="Z77" t="s">
        <v>84</v>
      </c>
      <c r="AA77" t="s">
        <v>84</v>
      </c>
      <c r="AB77" t="s">
        <v>580</v>
      </c>
      <c r="AC77" t="s">
        <v>84</v>
      </c>
      <c r="AD77" t="s">
        <v>84</v>
      </c>
      <c r="AE77" t="s">
        <v>84</v>
      </c>
      <c r="AF77" t="s">
        <v>87</v>
      </c>
      <c r="AG77" t="s">
        <v>87</v>
      </c>
      <c r="AI77" t="s">
        <v>87</v>
      </c>
      <c r="AJ77" t="s">
        <v>84</v>
      </c>
      <c r="AK77" t="s">
        <v>84</v>
      </c>
      <c r="AL77" t="s">
        <v>84</v>
      </c>
      <c r="AM77" t="s">
        <v>84</v>
      </c>
      <c r="AO77" t="s">
        <v>87</v>
      </c>
      <c r="AP77" t="s">
        <v>87</v>
      </c>
      <c r="AQ77" t="s">
        <v>87</v>
      </c>
      <c r="AS77" t="s">
        <v>87</v>
      </c>
      <c r="AT77" t="s">
        <v>84</v>
      </c>
      <c r="AU77" t="s">
        <v>581</v>
      </c>
      <c r="AW77" t="s">
        <v>89</v>
      </c>
      <c r="AX77" t="s">
        <v>84</v>
      </c>
      <c r="AY77" t="s">
        <v>84</v>
      </c>
      <c r="AZ77" t="s">
        <v>84</v>
      </c>
      <c r="BA77" t="s">
        <v>87</v>
      </c>
      <c r="BB77" t="s">
        <v>84</v>
      </c>
      <c r="BC77" t="s">
        <v>84</v>
      </c>
      <c r="BD77" t="s">
        <v>582</v>
      </c>
      <c r="BE77" t="s">
        <v>84</v>
      </c>
      <c r="BH77" t="s">
        <v>87</v>
      </c>
      <c r="BI77" t="s">
        <v>84</v>
      </c>
      <c r="BJ77" t="s">
        <v>84</v>
      </c>
      <c r="BL77" t="s">
        <v>87</v>
      </c>
      <c r="BM77" t="s">
        <v>84</v>
      </c>
      <c r="BN77" t="s">
        <v>84</v>
      </c>
      <c r="BO77" t="s">
        <v>583</v>
      </c>
      <c r="BP77" t="s">
        <v>84</v>
      </c>
      <c r="BQ77" t="s">
        <v>84</v>
      </c>
      <c r="BR77" t="s">
        <v>84</v>
      </c>
      <c r="BS77" t="s">
        <v>87</v>
      </c>
      <c r="BT77" t="s">
        <v>84</v>
      </c>
      <c r="BV77" t="s">
        <v>87</v>
      </c>
      <c r="BW77" t="s">
        <v>84</v>
      </c>
      <c r="BX77" t="s">
        <v>84</v>
      </c>
      <c r="BY77" t="s">
        <v>84</v>
      </c>
      <c r="BZ77" t="s">
        <v>87</v>
      </c>
      <c r="CB77" t="s">
        <v>84</v>
      </c>
      <c r="CD77" t="s">
        <v>84</v>
      </c>
    </row>
    <row r="78" spans="1:82" x14ac:dyDescent="0.25">
      <c r="A78" t="s">
        <v>584</v>
      </c>
      <c r="B78" t="s">
        <v>585</v>
      </c>
      <c r="C78" t="s">
        <v>586</v>
      </c>
      <c r="D78" t="s">
        <v>104</v>
      </c>
      <c r="E78" t="s">
        <v>1926</v>
      </c>
      <c r="F78" s="1">
        <v>612</v>
      </c>
      <c r="G78" s="1" t="s">
        <v>84</v>
      </c>
      <c r="I78" t="s">
        <v>85</v>
      </c>
      <c r="J78" t="s">
        <v>85</v>
      </c>
      <c r="K78" t="s">
        <v>85</v>
      </c>
      <c r="L78" t="s">
        <v>85</v>
      </c>
      <c r="M78" t="s">
        <v>85</v>
      </c>
      <c r="N78" t="s">
        <v>85</v>
      </c>
      <c r="O78" t="s">
        <v>85</v>
      </c>
      <c r="Q78" t="s">
        <v>84</v>
      </c>
      <c r="T78" t="s">
        <v>96</v>
      </c>
      <c r="U78" t="s">
        <v>87</v>
      </c>
      <c r="V78" t="s">
        <v>84</v>
      </c>
      <c r="W78" t="s">
        <v>84</v>
      </c>
      <c r="X78" t="s">
        <v>588</v>
      </c>
      <c r="Y78" t="s">
        <v>84</v>
      </c>
      <c r="Z78" t="s">
        <v>84</v>
      </c>
      <c r="AA78" t="s">
        <v>84</v>
      </c>
      <c r="AB78" t="s">
        <v>375</v>
      </c>
      <c r="AC78" t="s">
        <v>87</v>
      </c>
      <c r="AD78" t="s">
        <v>84</v>
      </c>
      <c r="AE78" t="s">
        <v>87</v>
      </c>
      <c r="AF78" t="s">
        <v>84</v>
      </c>
      <c r="AG78" t="s">
        <v>87</v>
      </c>
      <c r="AH78" t="s">
        <v>589</v>
      </c>
      <c r="AI78" t="s">
        <v>84</v>
      </c>
      <c r="AJ78" t="s">
        <v>84</v>
      </c>
      <c r="AK78" t="s">
        <v>84</v>
      </c>
      <c r="AL78" t="s">
        <v>84</v>
      </c>
      <c r="AM78" t="s">
        <v>87</v>
      </c>
      <c r="AO78" t="s">
        <v>87</v>
      </c>
      <c r="AP78" t="s">
        <v>87</v>
      </c>
      <c r="AQ78" t="s">
        <v>84</v>
      </c>
      <c r="AS78" t="s">
        <v>87</v>
      </c>
      <c r="AT78" t="s">
        <v>84</v>
      </c>
      <c r="AU78" t="s">
        <v>590</v>
      </c>
      <c r="AW78" t="s">
        <v>89</v>
      </c>
      <c r="AX78" t="s">
        <v>84</v>
      </c>
      <c r="AY78" t="s">
        <v>84</v>
      </c>
      <c r="AZ78" t="s">
        <v>84</v>
      </c>
      <c r="BA78" t="s">
        <v>87</v>
      </c>
      <c r="BB78" t="s">
        <v>84</v>
      </c>
      <c r="BC78" t="s">
        <v>84</v>
      </c>
      <c r="BD78" t="s">
        <v>591</v>
      </c>
      <c r="BE78" t="s">
        <v>84</v>
      </c>
      <c r="BH78" t="s">
        <v>87</v>
      </c>
      <c r="BI78" t="s">
        <v>84</v>
      </c>
      <c r="BJ78" t="s">
        <v>84</v>
      </c>
      <c r="BL78" t="s">
        <v>87</v>
      </c>
      <c r="BM78" t="s">
        <v>84</v>
      </c>
      <c r="BN78" t="s">
        <v>84</v>
      </c>
      <c r="BP78" t="s">
        <v>84</v>
      </c>
      <c r="BQ78" t="s">
        <v>84</v>
      </c>
      <c r="BR78" t="s">
        <v>84</v>
      </c>
      <c r="BS78" t="s">
        <v>84</v>
      </c>
      <c r="BT78" t="s">
        <v>87</v>
      </c>
      <c r="BV78" t="s">
        <v>87</v>
      </c>
      <c r="BW78" t="s">
        <v>84</v>
      </c>
      <c r="BX78" t="s">
        <v>84</v>
      </c>
      <c r="BY78" t="s">
        <v>84</v>
      </c>
      <c r="BZ78" t="s">
        <v>84</v>
      </c>
      <c r="CB78" t="s">
        <v>84</v>
      </c>
      <c r="CD78" t="s">
        <v>84</v>
      </c>
    </row>
    <row r="79" spans="1:82" x14ac:dyDescent="0.25">
      <c r="A79" t="s">
        <v>134</v>
      </c>
      <c r="B79" t="s">
        <v>135</v>
      </c>
      <c r="C79" t="s">
        <v>136</v>
      </c>
      <c r="D79" t="s">
        <v>137</v>
      </c>
      <c r="E79" t="s">
        <v>1926</v>
      </c>
      <c r="F79" s="1">
        <v>626</v>
      </c>
      <c r="G79" s="1" t="s">
        <v>94</v>
      </c>
      <c r="H79" t="s">
        <v>138</v>
      </c>
      <c r="I79" t="s">
        <v>84</v>
      </c>
      <c r="J79" t="s">
        <v>84</v>
      </c>
      <c r="K79" t="s">
        <v>84</v>
      </c>
      <c r="L79" t="s">
        <v>84</v>
      </c>
      <c r="M79" t="s">
        <v>84</v>
      </c>
      <c r="N79" t="s">
        <v>84</v>
      </c>
      <c r="O79" t="s">
        <v>84</v>
      </c>
      <c r="P79" t="s">
        <v>139</v>
      </c>
      <c r="Q79" t="s">
        <v>84</v>
      </c>
      <c r="T79" t="s">
        <v>86</v>
      </c>
      <c r="U79" t="s">
        <v>87</v>
      </c>
      <c r="V79" t="s">
        <v>87</v>
      </c>
      <c r="W79" t="s">
        <v>84</v>
      </c>
      <c r="Y79" t="s">
        <v>87</v>
      </c>
      <c r="Z79" t="s">
        <v>87</v>
      </c>
      <c r="AA79" t="s">
        <v>84</v>
      </c>
      <c r="AC79" t="s">
        <v>84</v>
      </c>
      <c r="AD79" t="s">
        <v>84</v>
      </c>
      <c r="AE79" t="s">
        <v>87</v>
      </c>
      <c r="AF79" t="s">
        <v>87</v>
      </c>
      <c r="AG79" t="s">
        <v>87</v>
      </c>
      <c r="AH79" t="s">
        <v>140</v>
      </c>
      <c r="AI79" t="s">
        <v>84</v>
      </c>
      <c r="AJ79" t="s">
        <v>84</v>
      </c>
      <c r="AK79" t="s">
        <v>84</v>
      </c>
      <c r="AL79" t="s">
        <v>84</v>
      </c>
      <c r="AM79" t="s">
        <v>87</v>
      </c>
      <c r="AO79" t="s">
        <v>87</v>
      </c>
      <c r="AP79" t="s">
        <v>87</v>
      </c>
      <c r="AQ79" t="s">
        <v>87</v>
      </c>
      <c r="AS79" t="s">
        <v>87</v>
      </c>
      <c r="AT79" t="s">
        <v>84</v>
      </c>
      <c r="AU79" t="s">
        <v>141</v>
      </c>
      <c r="AW79" t="s">
        <v>89</v>
      </c>
      <c r="AX79" t="s">
        <v>87</v>
      </c>
      <c r="AY79" t="s">
        <v>87</v>
      </c>
      <c r="AZ79" t="s">
        <v>87</v>
      </c>
      <c r="BA79" t="s">
        <v>84</v>
      </c>
      <c r="BB79" t="s">
        <v>87</v>
      </c>
      <c r="BC79" t="s">
        <v>84</v>
      </c>
      <c r="BE79" t="s">
        <v>84</v>
      </c>
      <c r="BH79" t="s">
        <v>87</v>
      </c>
      <c r="BI79" t="s">
        <v>84</v>
      </c>
      <c r="BJ79" t="s">
        <v>84</v>
      </c>
      <c r="BL79" t="s">
        <v>87</v>
      </c>
      <c r="BM79" t="s">
        <v>87</v>
      </c>
      <c r="BN79" t="s">
        <v>84</v>
      </c>
      <c r="BP79" t="s">
        <v>84</v>
      </c>
      <c r="BQ79" t="s">
        <v>84</v>
      </c>
      <c r="BR79" t="s">
        <v>84</v>
      </c>
      <c r="BS79" t="s">
        <v>84</v>
      </c>
      <c r="BT79" t="s">
        <v>87</v>
      </c>
      <c r="BV79" t="s">
        <v>84</v>
      </c>
      <c r="BW79" t="s">
        <v>84</v>
      </c>
      <c r="BX79" t="s">
        <v>84</v>
      </c>
      <c r="BY79" t="s">
        <v>84</v>
      </c>
      <c r="BZ79" t="s">
        <v>87</v>
      </c>
      <c r="CB79" t="s">
        <v>84</v>
      </c>
      <c r="CD79" t="s">
        <v>84</v>
      </c>
    </row>
    <row r="80" spans="1:82" x14ac:dyDescent="0.25">
      <c r="A80" t="s">
        <v>643</v>
      </c>
      <c r="B80" t="s">
        <v>644</v>
      </c>
      <c r="C80" t="s">
        <v>645</v>
      </c>
      <c r="D80" t="s">
        <v>204</v>
      </c>
      <c r="E80" t="s">
        <v>1926</v>
      </c>
      <c r="F80" s="1">
        <v>650</v>
      </c>
      <c r="G80" s="1" t="s">
        <v>94</v>
      </c>
      <c r="H80" t="s">
        <v>95</v>
      </c>
      <c r="I80" t="s">
        <v>87</v>
      </c>
      <c r="J80" t="s">
        <v>84</v>
      </c>
      <c r="K80" t="s">
        <v>87</v>
      </c>
      <c r="L80" t="s">
        <v>87</v>
      </c>
      <c r="M80" t="s">
        <v>87</v>
      </c>
      <c r="N80" t="s">
        <v>87</v>
      </c>
      <c r="O80" t="s">
        <v>84</v>
      </c>
      <c r="Q80" t="s">
        <v>84</v>
      </c>
      <c r="R80" t="s">
        <v>84</v>
      </c>
      <c r="T80" t="s">
        <v>96</v>
      </c>
      <c r="U80" t="s">
        <v>87</v>
      </c>
      <c r="V80" t="s">
        <v>84</v>
      </c>
      <c r="W80" t="s">
        <v>84</v>
      </c>
      <c r="Y80" t="s">
        <v>87</v>
      </c>
      <c r="Z80" t="s">
        <v>84</v>
      </c>
      <c r="AA80" t="s">
        <v>84</v>
      </c>
      <c r="AC80" t="s">
        <v>84</v>
      </c>
      <c r="AD80" t="s">
        <v>84</v>
      </c>
      <c r="AE80" t="s">
        <v>84</v>
      </c>
      <c r="AF80" t="s">
        <v>84</v>
      </c>
      <c r="AG80" t="s">
        <v>87</v>
      </c>
      <c r="AI80" t="s">
        <v>87</v>
      </c>
      <c r="AJ80" t="s">
        <v>84</v>
      </c>
      <c r="AK80" t="s">
        <v>84</v>
      </c>
      <c r="AL80" t="s">
        <v>84</v>
      </c>
      <c r="AM80" t="s">
        <v>84</v>
      </c>
      <c r="AO80" t="s">
        <v>87</v>
      </c>
      <c r="AP80" t="s">
        <v>87</v>
      </c>
      <c r="AQ80" t="s">
        <v>84</v>
      </c>
      <c r="AS80" t="s">
        <v>87</v>
      </c>
      <c r="AT80" t="s">
        <v>84</v>
      </c>
      <c r="AU80" t="s">
        <v>647</v>
      </c>
      <c r="AW80" t="s">
        <v>89</v>
      </c>
      <c r="AX80" t="s">
        <v>87</v>
      </c>
      <c r="AY80" t="s">
        <v>87</v>
      </c>
      <c r="AZ80" t="s">
        <v>87</v>
      </c>
      <c r="BA80" t="s">
        <v>84</v>
      </c>
      <c r="BB80" t="s">
        <v>84</v>
      </c>
      <c r="BC80" t="s">
        <v>84</v>
      </c>
      <c r="BD80" t="s">
        <v>224</v>
      </c>
      <c r="BE80" t="s">
        <v>84</v>
      </c>
      <c r="BH80" t="s">
        <v>87</v>
      </c>
      <c r="BI80" t="s">
        <v>84</v>
      </c>
      <c r="BJ80" t="s">
        <v>84</v>
      </c>
      <c r="BL80" t="s">
        <v>87</v>
      </c>
      <c r="BM80" t="s">
        <v>84</v>
      </c>
      <c r="BN80" t="s">
        <v>84</v>
      </c>
      <c r="BP80" t="s">
        <v>87</v>
      </c>
      <c r="BQ80" t="s">
        <v>84</v>
      </c>
      <c r="BR80" t="s">
        <v>84</v>
      </c>
      <c r="BS80" t="s">
        <v>84</v>
      </c>
      <c r="BT80" t="s">
        <v>84</v>
      </c>
      <c r="BV80" t="s">
        <v>87</v>
      </c>
      <c r="BW80" t="s">
        <v>84</v>
      </c>
      <c r="BX80" t="s">
        <v>84</v>
      </c>
      <c r="BY80" t="s">
        <v>84</v>
      </c>
      <c r="BZ80" t="s">
        <v>84</v>
      </c>
      <c r="CB80" t="s">
        <v>84</v>
      </c>
      <c r="CD80" t="s">
        <v>84</v>
      </c>
    </row>
    <row r="81" spans="1:83" x14ac:dyDescent="0.25">
      <c r="A81" t="s">
        <v>1657</v>
      </c>
      <c r="B81" t="s">
        <v>1658</v>
      </c>
      <c r="C81" t="s">
        <v>1659</v>
      </c>
      <c r="D81" t="s">
        <v>137</v>
      </c>
      <c r="E81" t="s">
        <v>1926</v>
      </c>
      <c r="F81" s="1">
        <v>686</v>
      </c>
      <c r="G81" s="1" t="s">
        <v>84</v>
      </c>
      <c r="I81" t="s">
        <v>85</v>
      </c>
      <c r="J81" t="s">
        <v>85</v>
      </c>
      <c r="K81" t="s">
        <v>85</v>
      </c>
      <c r="L81" t="s">
        <v>85</v>
      </c>
      <c r="M81" t="s">
        <v>85</v>
      </c>
      <c r="N81" t="s">
        <v>85</v>
      </c>
      <c r="O81" t="s">
        <v>85</v>
      </c>
      <c r="Q81" t="s">
        <v>84</v>
      </c>
      <c r="T81" t="s">
        <v>96</v>
      </c>
      <c r="U81" t="s">
        <v>87</v>
      </c>
      <c r="V81" t="s">
        <v>87</v>
      </c>
      <c r="W81" t="s">
        <v>87</v>
      </c>
      <c r="Y81" t="s">
        <v>87</v>
      </c>
      <c r="Z81" t="s">
        <v>87</v>
      </c>
      <c r="AA81" t="s">
        <v>87</v>
      </c>
      <c r="AC81" t="s">
        <v>84</v>
      </c>
      <c r="AD81" t="s">
        <v>84</v>
      </c>
      <c r="AE81" t="s">
        <v>84</v>
      </c>
      <c r="AF81" t="s">
        <v>84</v>
      </c>
      <c r="AG81" t="s">
        <v>87</v>
      </c>
      <c r="AI81" t="s">
        <v>84</v>
      </c>
      <c r="AJ81" t="s">
        <v>84</v>
      </c>
      <c r="AK81" t="s">
        <v>84</v>
      </c>
      <c r="AL81" t="s">
        <v>84</v>
      </c>
      <c r="AM81" t="s">
        <v>87</v>
      </c>
      <c r="AO81" t="s">
        <v>87</v>
      </c>
      <c r="AP81" t="s">
        <v>87</v>
      </c>
      <c r="AQ81" t="s">
        <v>84</v>
      </c>
      <c r="AS81" t="s">
        <v>87</v>
      </c>
      <c r="AT81" t="s">
        <v>84</v>
      </c>
      <c r="AU81" t="s">
        <v>1660</v>
      </c>
      <c r="AW81" t="s">
        <v>89</v>
      </c>
      <c r="AX81" t="s">
        <v>87</v>
      </c>
      <c r="AY81" t="s">
        <v>84</v>
      </c>
      <c r="AZ81" t="s">
        <v>84</v>
      </c>
      <c r="BA81" t="s">
        <v>84</v>
      </c>
      <c r="BB81" t="s">
        <v>84</v>
      </c>
      <c r="BC81" t="s">
        <v>87</v>
      </c>
      <c r="BE81" t="s">
        <v>84</v>
      </c>
      <c r="BH81" t="s">
        <v>87</v>
      </c>
      <c r="BI81" t="s">
        <v>84</v>
      </c>
      <c r="BJ81" t="s">
        <v>84</v>
      </c>
      <c r="BL81" t="s">
        <v>87</v>
      </c>
      <c r="BM81" t="s">
        <v>84</v>
      </c>
      <c r="BN81" t="s">
        <v>84</v>
      </c>
      <c r="BP81" t="s">
        <v>84</v>
      </c>
      <c r="BQ81" t="s">
        <v>84</v>
      </c>
      <c r="BR81" t="s">
        <v>84</v>
      </c>
      <c r="BS81" t="s">
        <v>84</v>
      </c>
      <c r="BT81" t="s">
        <v>87</v>
      </c>
      <c r="BV81" t="s">
        <v>84</v>
      </c>
      <c r="BW81" t="s">
        <v>84</v>
      </c>
      <c r="BX81" t="s">
        <v>84</v>
      </c>
      <c r="BY81" t="s">
        <v>84</v>
      </c>
      <c r="BZ81" t="s">
        <v>87</v>
      </c>
      <c r="CB81" t="s">
        <v>84</v>
      </c>
      <c r="CD81" t="s">
        <v>84</v>
      </c>
    </row>
    <row r="82" spans="1:83" x14ac:dyDescent="0.25">
      <c r="A82" t="s">
        <v>331</v>
      </c>
      <c r="B82" t="s">
        <v>332</v>
      </c>
      <c r="C82" t="s">
        <v>333</v>
      </c>
      <c r="D82" t="s">
        <v>334</v>
      </c>
      <c r="E82" t="s">
        <v>1924</v>
      </c>
      <c r="F82" s="1">
        <v>762</v>
      </c>
      <c r="G82" s="1" t="s">
        <v>94</v>
      </c>
      <c r="H82" t="s">
        <v>336</v>
      </c>
      <c r="I82" t="s">
        <v>87</v>
      </c>
      <c r="J82" t="s">
        <v>84</v>
      </c>
      <c r="K82" t="s">
        <v>84</v>
      </c>
      <c r="L82" t="s">
        <v>87</v>
      </c>
      <c r="M82" t="s">
        <v>87</v>
      </c>
      <c r="N82" t="s">
        <v>84</v>
      </c>
      <c r="O82" t="s">
        <v>84</v>
      </c>
      <c r="Q82" t="s">
        <v>84</v>
      </c>
      <c r="T82" t="s">
        <v>96</v>
      </c>
      <c r="U82" t="s">
        <v>87</v>
      </c>
      <c r="V82" t="s">
        <v>87</v>
      </c>
      <c r="W82" t="s">
        <v>84</v>
      </c>
      <c r="Y82" t="s">
        <v>87</v>
      </c>
      <c r="Z82" t="s">
        <v>87</v>
      </c>
      <c r="AA82" t="s">
        <v>84</v>
      </c>
      <c r="AB82" t="s">
        <v>337</v>
      </c>
      <c r="AC82" t="s">
        <v>87</v>
      </c>
      <c r="AD82" t="s">
        <v>87</v>
      </c>
      <c r="AE82" t="s">
        <v>84</v>
      </c>
      <c r="AF82" t="s">
        <v>84</v>
      </c>
      <c r="AG82" t="s">
        <v>87</v>
      </c>
      <c r="AI82" t="s">
        <v>84</v>
      </c>
      <c r="AJ82" t="s">
        <v>84</v>
      </c>
      <c r="AK82" t="s">
        <v>84</v>
      </c>
      <c r="AL82" t="s">
        <v>84</v>
      </c>
      <c r="AM82" t="s">
        <v>87</v>
      </c>
      <c r="AO82" t="s">
        <v>87</v>
      </c>
      <c r="AP82" t="s">
        <v>87</v>
      </c>
      <c r="AQ82" t="s">
        <v>87</v>
      </c>
      <c r="AS82" t="s">
        <v>87</v>
      </c>
      <c r="AT82" t="s">
        <v>84</v>
      </c>
      <c r="AU82" t="s">
        <v>338</v>
      </c>
      <c r="AW82" t="s">
        <v>89</v>
      </c>
      <c r="AX82" t="s">
        <v>84</v>
      </c>
      <c r="AY82" t="s">
        <v>84</v>
      </c>
      <c r="AZ82" t="s">
        <v>84</v>
      </c>
      <c r="BA82" t="s">
        <v>87</v>
      </c>
      <c r="BB82" t="s">
        <v>84</v>
      </c>
      <c r="BC82" t="s">
        <v>84</v>
      </c>
      <c r="BD82" t="s">
        <v>339</v>
      </c>
      <c r="BE82" t="s">
        <v>84</v>
      </c>
      <c r="BH82" t="s">
        <v>87</v>
      </c>
      <c r="BI82" t="s">
        <v>84</v>
      </c>
      <c r="BJ82" t="s">
        <v>84</v>
      </c>
      <c r="BL82" t="s">
        <v>87</v>
      </c>
      <c r="BM82" t="s">
        <v>84</v>
      </c>
      <c r="BN82" t="s">
        <v>84</v>
      </c>
      <c r="BP82" t="s">
        <v>84</v>
      </c>
      <c r="BQ82" t="s">
        <v>84</v>
      </c>
      <c r="BR82" t="s">
        <v>84</v>
      </c>
      <c r="BS82" t="s">
        <v>84</v>
      </c>
      <c r="BT82" t="s">
        <v>87</v>
      </c>
      <c r="BV82" t="s">
        <v>87</v>
      </c>
      <c r="BW82" t="s">
        <v>87</v>
      </c>
      <c r="BX82" t="s">
        <v>84</v>
      </c>
      <c r="BY82" t="s">
        <v>84</v>
      </c>
      <c r="BZ82" t="s">
        <v>87</v>
      </c>
      <c r="CB82" t="s">
        <v>84</v>
      </c>
      <c r="CD82" t="s">
        <v>84</v>
      </c>
    </row>
    <row r="83" spans="1:83" x14ac:dyDescent="0.25">
      <c r="A83" t="s">
        <v>637</v>
      </c>
      <c r="B83" t="s">
        <v>638</v>
      </c>
      <c r="C83" t="s">
        <v>639</v>
      </c>
      <c r="D83" t="s">
        <v>425</v>
      </c>
      <c r="E83" t="s">
        <v>1927</v>
      </c>
      <c r="F83" s="1">
        <v>764</v>
      </c>
      <c r="G83" s="1" t="s">
        <v>84</v>
      </c>
      <c r="I83" t="s">
        <v>85</v>
      </c>
      <c r="J83" t="s">
        <v>85</v>
      </c>
      <c r="K83" t="s">
        <v>85</v>
      </c>
      <c r="L83" t="s">
        <v>85</v>
      </c>
      <c r="M83" t="s">
        <v>85</v>
      </c>
      <c r="N83" t="s">
        <v>85</v>
      </c>
      <c r="O83" t="s">
        <v>85</v>
      </c>
      <c r="Q83" t="s">
        <v>84</v>
      </c>
      <c r="T83" t="s">
        <v>96</v>
      </c>
      <c r="U83" t="s">
        <v>87</v>
      </c>
      <c r="V83" t="s">
        <v>84</v>
      </c>
      <c r="W83" t="s">
        <v>84</v>
      </c>
      <c r="Y83" t="s">
        <v>84</v>
      </c>
      <c r="Z83" t="s">
        <v>84</v>
      </c>
      <c r="AA83" t="s">
        <v>84</v>
      </c>
      <c r="AB83" t="s">
        <v>640</v>
      </c>
      <c r="AC83" t="s">
        <v>84</v>
      </c>
      <c r="AD83" t="s">
        <v>84</v>
      </c>
      <c r="AE83" t="s">
        <v>84</v>
      </c>
      <c r="AF83" t="s">
        <v>84</v>
      </c>
      <c r="AG83" t="s">
        <v>84</v>
      </c>
      <c r="AH83" t="s">
        <v>641</v>
      </c>
      <c r="AI83" t="s">
        <v>87</v>
      </c>
      <c r="AJ83" t="s">
        <v>84</v>
      </c>
      <c r="AK83" t="s">
        <v>84</v>
      </c>
      <c r="AL83" t="s">
        <v>84</v>
      </c>
      <c r="AM83" t="s">
        <v>84</v>
      </c>
      <c r="AO83" t="s">
        <v>87</v>
      </c>
      <c r="AP83" t="s">
        <v>87</v>
      </c>
      <c r="AQ83" t="s">
        <v>84</v>
      </c>
      <c r="AS83" t="s">
        <v>87</v>
      </c>
      <c r="AT83" t="s">
        <v>84</v>
      </c>
      <c r="AU83" t="s">
        <v>642</v>
      </c>
      <c r="AW83" t="s">
        <v>89</v>
      </c>
      <c r="AX83" t="s">
        <v>87</v>
      </c>
      <c r="AY83" t="s">
        <v>84</v>
      </c>
      <c r="AZ83" t="s">
        <v>84</v>
      </c>
      <c r="BA83" t="s">
        <v>84</v>
      </c>
      <c r="BB83" t="s">
        <v>87</v>
      </c>
      <c r="BC83" t="s">
        <v>84</v>
      </c>
      <c r="BE83" t="s">
        <v>84</v>
      </c>
      <c r="BH83" t="s">
        <v>87</v>
      </c>
      <c r="BI83" t="s">
        <v>84</v>
      </c>
      <c r="BJ83" t="s">
        <v>84</v>
      </c>
      <c r="BL83" t="s">
        <v>87</v>
      </c>
      <c r="BM83" t="s">
        <v>84</v>
      </c>
      <c r="BN83" t="s">
        <v>84</v>
      </c>
      <c r="BP83" t="s">
        <v>87</v>
      </c>
      <c r="BQ83" t="s">
        <v>84</v>
      </c>
      <c r="BR83" t="s">
        <v>84</v>
      </c>
      <c r="BS83" t="s">
        <v>84</v>
      </c>
      <c r="BT83" t="s">
        <v>84</v>
      </c>
      <c r="BV83" t="s">
        <v>84</v>
      </c>
      <c r="BW83" t="s">
        <v>84</v>
      </c>
      <c r="BX83" t="s">
        <v>84</v>
      </c>
      <c r="BY83" t="s">
        <v>87</v>
      </c>
      <c r="BZ83" t="s">
        <v>87</v>
      </c>
      <c r="CB83" t="s">
        <v>84</v>
      </c>
      <c r="CD83" t="s">
        <v>84</v>
      </c>
    </row>
    <row r="84" spans="1:83" x14ac:dyDescent="0.25">
      <c r="A84" t="s">
        <v>1036</v>
      </c>
      <c r="B84" t="s">
        <v>1037</v>
      </c>
      <c r="C84" t="s">
        <v>1038</v>
      </c>
      <c r="D84" t="s">
        <v>204</v>
      </c>
      <c r="E84" t="s">
        <v>1926</v>
      </c>
      <c r="F84" s="1">
        <v>776</v>
      </c>
      <c r="G84" s="1" t="s">
        <v>94</v>
      </c>
      <c r="H84" t="s">
        <v>95</v>
      </c>
      <c r="I84" t="s">
        <v>87</v>
      </c>
      <c r="J84" t="s">
        <v>84</v>
      </c>
      <c r="K84" t="s">
        <v>84</v>
      </c>
      <c r="L84" t="s">
        <v>87</v>
      </c>
      <c r="M84" t="s">
        <v>87</v>
      </c>
      <c r="N84" t="s">
        <v>84</v>
      </c>
      <c r="O84" t="s">
        <v>84</v>
      </c>
      <c r="Q84" t="s">
        <v>84</v>
      </c>
      <c r="T84" t="s">
        <v>96</v>
      </c>
      <c r="U84" t="s">
        <v>84</v>
      </c>
      <c r="V84" t="s">
        <v>84</v>
      </c>
      <c r="W84" t="s">
        <v>84</v>
      </c>
      <c r="X84" t="s">
        <v>395</v>
      </c>
      <c r="Y84" t="s">
        <v>84</v>
      </c>
      <c r="Z84" t="s">
        <v>84</v>
      </c>
      <c r="AA84" t="s">
        <v>84</v>
      </c>
      <c r="AB84" t="s">
        <v>395</v>
      </c>
      <c r="AC84" t="s">
        <v>84</v>
      </c>
      <c r="AD84" t="s">
        <v>84</v>
      </c>
      <c r="AE84" t="s">
        <v>84</v>
      </c>
      <c r="AF84" t="s">
        <v>84</v>
      </c>
      <c r="AG84" t="s">
        <v>84</v>
      </c>
      <c r="AH84" t="s">
        <v>1039</v>
      </c>
      <c r="AI84" t="s">
        <v>84</v>
      </c>
      <c r="AJ84" t="s">
        <v>84</v>
      </c>
      <c r="AK84" t="s">
        <v>84</v>
      </c>
      <c r="AL84" t="s">
        <v>84</v>
      </c>
      <c r="AM84" t="s">
        <v>87</v>
      </c>
      <c r="AO84" t="s">
        <v>87</v>
      </c>
      <c r="AP84" t="s">
        <v>87</v>
      </c>
      <c r="AQ84" t="s">
        <v>84</v>
      </c>
      <c r="AS84" t="s">
        <v>87</v>
      </c>
      <c r="AT84" t="s">
        <v>84</v>
      </c>
      <c r="AU84" t="s">
        <v>1040</v>
      </c>
      <c r="AW84" t="s">
        <v>89</v>
      </c>
      <c r="AX84" t="s">
        <v>87</v>
      </c>
      <c r="AY84" t="s">
        <v>84</v>
      </c>
      <c r="AZ84" t="s">
        <v>84</v>
      </c>
      <c r="BA84" t="s">
        <v>84</v>
      </c>
      <c r="BB84" t="s">
        <v>87</v>
      </c>
      <c r="BC84" t="s">
        <v>84</v>
      </c>
      <c r="BE84" t="s">
        <v>84</v>
      </c>
      <c r="BH84" t="s">
        <v>87</v>
      </c>
      <c r="BI84" t="s">
        <v>84</v>
      </c>
      <c r="BJ84" t="s">
        <v>84</v>
      </c>
      <c r="BL84" t="s">
        <v>87</v>
      </c>
      <c r="BM84" t="s">
        <v>84</v>
      </c>
      <c r="BN84" t="s">
        <v>84</v>
      </c>
      <c r="BP84" t="s">
        <v>87</v>
      </c>
      <c r="BQ84" t="s">
        <v>84</v>
      </c>
      <c r="BR84" t="s">
        <v>84</v>
      </c>
      <c r="BS84" t="s">
        <v>84</v>
      </c>
      <c r="BT84" t="s">
        <v>84</v>
      </c>
      <c r="BV84" t="s">
        <v>84</v>
      </c>
      <c r="BW84" t="s">
        <v>84</v>
      </c>
      <c r="BX84" t="s">
        <v>84</v>
      </c>
      <c r="BY84" t="s">
        <v>84</v>
      </c>
      <c r="BZ84" t="s">
        <v>87</v>
      </c>
      <c r="CA84" t="s">
        <v>1041</v>
      </c>
      <c r="CB84" t="s">
        <v>84</v>
      </c>
      <c r="CD84" t="s">
        <v>84</v>
      </c>
    </row>
    <row r="85" spans="1:83" x14ac:dyDescent="0.25">
      <c r="A85" t="s">
        <v>192</v>
      </c>
      <c r="B85" t="s">
        <v>363</v>
      </c>
      <c r="C85" t="s">
        <v>364</v>
      </c>
      <c r="D85" t="s">
        <v>245</v>
      </c>
      <c r="E85" t="s">
        <v>1995</v>
      </c>
      <c r="F85" s="1">
        <v>780</v>
      </c>
      <c r="G85" s="1" t="s">
        <v>94</v>
      </c>
      <c r="H85" t="s">
        <v>365</v>
      </c>
      <c r="I85" t="s">
        <v>87</v>
      </c>
      <c r="J85" t="s">
        <v>84</v>
      </c>
      <c r="K85" t="s">
        <v>84</v>
      </c>
      <c r="L85" t="s">
        <v>84</v>
      </c>
      <c r="M85" t="s">
        <v>84</v>
      </c>
      <c r="N85" t="s">
        <v>84</v>
      </c>
      <c r="O85" t="s">
        <v>84</v>
      </c>
      <c r="Q85" t="s">
        <v>84</v>
      </c>
      <c r="R85" t="s">
        <v>84</v>
      </c>
      <c r="T85" t="s">
        <v>86</v>
      </c>
      <c r="U85" t="s">
        <v>87</v>
      </c>
      <c r="V85" t="s">
        <v>87</v>
      </c>
      <c r="W85" t="s">
        <v>84</v>
      </c>
      <c r="Y85" t="s">
        <v>87</v>
      </c>
      <c r="Z85" t="s">
        <v>87</v>
      </c>
      <c r="AA85" t="s">
        <v>84</v>
      </c>
      <c r="AC85" t="s">
        <v>84</v>
      </c>
      <c r="AD85" t="s">
        <v>84</v>
      </c>
      <c r="AE85" t="s">
        <v>84</v>
      </c>
      <c r="AF85" t="s">
        <v>84</v>
      </c>
      <c r="AG85" t="s">
        <v>87</v>
      </c>
      <c r="AI85" t="s">
        <v>84</v>
      </c>
      <c r="AJ85" t="s">
        <v>84</v>
      </c>
      <c r="AK85" t="s">
        <v>84</v>
      </c>
      <c r="AL85" t="s">
        <v>84</v>
      </c>
      <c r="AM85" t="s">
        <v>87</v>
      </c>
      <c r="AO85" t="s">
        <v>87</v>
      </c>
      <c r="AP85" t="s">
        <v>87</v>
      </c>
      <c r="AQ85" t="s">
        <v>84</v>
      </c>
      <c r="AS85" t="s">
        <v>84</v>
      </c>
      <c r="AT85" t="s">
        <v>87</v>
      </c>
      <c r="AW85" t="s">
        <v>89</v>
      </c>
      <c r="AX85" t="s">
        <v>84</v>
      </c>
      <c r="AY85" t="s">
        <v>87</v>
      </c>
      <c r="AZ85" t="s">
        <v>87</v>
      </c>
      <c r="BA85" t="s">
        <v>84</v>
      </c>
      <c r="BB85" t="s">
        <v>84</v>
      </c>
      <c r="BC85" t="s">
        <v>87</v>
      </c>
      <c r="BE85" t="s">
        <v>84</v>
      </c>
      <c r="BH85" t="s">
        <v>87</v>
      </c>
      <c r="BI85" t="s">
        <v>84</v>
      </c>
      <c r="BJ85" t="s">
        <v>84</v>
      </c>
      <c r="BL85" t="s">
        <v>87</v>
      </c>
      <c r="BM85" t="s">
        <v>84</v>
      </c>
      <c r="BN85" t="s">
        <v>84</v>
      </c>
      <c r="BP85" t="s">
        <v>84</v>
      </c>
      <c r="BQ85" t="s">
        <v>84</v>
      </c>
      <c r="BR85" t="s">
        <v>84</v>
      </c>
      <c r="BS85" t="s">
        <v>84</v>
      </c>
      <c r="BT85" t="s">
        <v>87</v>
      </c>
      <c r="BV85" t="s">
        <v>87</v>
      </c>
      <c r="BW85" t="s">
        <v>84</v>
      </c>
      <c r="BX85" t="s">
        <v>84</v>
      </c>
      <c r="BY85" t="s">
        <v>84</v>
      </c>
      <c r="BZ85" t="s">
        <v>87</v>
      </c>
      <c r="CB85" t="s">
        <v>84</v>
      </c>
      <c r="CD85" t="s">
        <v>84</v>
      </c>
    </row>
    <row r="86" spans="1:83" x14ac:dyDescent="0.25">
      <c r="A86" t="s">
        <v>646</v>
      </c>
      <c r="B86" t="s">
        <v>989</v>
      </c>
      <c r="C86" t="s">
        <v>990</v>
      </c>
      <c r="D86" t="s">
        <v>991</v>
      </c>
      <c r="E86" t="s">
        <v>1995</v>
      </c>
      <c r="F86" s="1">
        <v>885</v>
      </c>
      <c r="G86" s="1" t="s">
        <v>84</v>
      </c>
      <c r="I86" t="s">
        <v>85</v>
      </c>
      <c r="J86" t="s">
        <v>85</v>
      </c>
      <c r="K86" t="s">
        <v>85</v>
      </c>
      <c r="L86" t="s">
        <v>85</v>
      </c>
      <c r="M86" t="s">
        <v>85</v>
      </c>
      <c r="N86" t="s">
        <v>85</v>
      </c>
      <c r="O86" t="s">
        <v>85</v>
      </c>
      <c r="Q86" t="s">
        <v>84</v>
      </c>
      <c r="T86" t="s">
        <v>96</v>
      </c>
      <c r="U86" t="s">
        <v>87</v>
      </c>
      <c r="V86" t="s">
        <v>84</v>
      </c>
      <c r="W86" t="s">
        <v>84</v>
      </c>
      <c r="Y86" t="s">
        <v>87</v>
      </c>
      <c r="Z86" t="s">
        <v>87</v>
      </c>
      <c r="AA86" t="s">
        <v>84</v>
      </c>
      <c r="AC86" t="s">
        <v>87</v>
      </c>
      <c r="AD86" t="s">
        <v>84</v>
      </c>
      <c r="AE86" t="s">
        <v>84</v>
      </c>
      <c r="AF86" t="s">
        <v>84</v>
      </c>
      <c r="AG86" t="s">
        <v>87</v>
      </c>
      <c r="AI86" t="s">
        <v>84</v>
      </c>
      <c r="AJ86" t="s">
        <v>84</v>
      </c>
      <c r="AK86" t="s">
        <v>84</v>
      </c>
      <c r="AL86" t="s">
        <v>84</v>
      </c>
      <c r="AM86" t="s">
        <v>87</v>
      </c>
      <c r="AO86" t="s">
        <v>87</v>
      </c>
      <c r="AP86" t="s">
        <v>87</v>
      </c>
      <c r="AQ86" t="s">
        <v>87</v>
      </c>
      <c r="AS86" t="s">
        <v>87</v>
      </c>
      <c r="AT86" t="s">
        <v>84</v>
      </c>
      <c r="AU86" t="s">
        <v>279</v>
      </c>
      <c r="AW86" t="s">
        <v>89</v>
      </c>
      <c r="AX86" t="s">
        <v>87</v>
      </c>
      <c r="AY86" t="s">
        <v>84</v>
      </c>
      <c r="AZ86" t="s">
        <v>84</v>
      </c>
      <c r="BA86" t="s">
        <v>84</v>
      </c>
      <c r="BB86" t="s">
        <v>87</v>
      </c>
      <c r="BC86" t="s">
        <v>84</v>
      </c>
      <c r="BE86" t="s">
        <v>84</v>
      </c>
      <c r="BH86" t="s">
        <v>87</v>
      </c>
      <c r="BI86" t="s">
        <v>84</v>
      </c>
      <c r="BJ86" t="s">
        <v>84</v>
      </c>
      <c r="BL86" t="s">
        <v>87</v>
      </c>
      <c r="BM86" t="s">
        <v>84</v>
      </c>
      <c r="BN86" t="s">
        <v>84</v>
      </c>
      <c r="BP86" t="s">
        <v>87</v>
      </c>
      <c r="BQ86" t="s">
        <v>84</v>
      </c>
      <c r="BR86" t="s">
        <v>84</v>
      </c>
      <c r="BS86" t="s">
        <v>84</v>
      </c>
      <c r="BT86" t="s">
        <v>84</v>
      </c>
      <c r="BV86" t="s">
        <v>87</v>
      </c>
      <c r="BW86" t="s">
        <v>84</v>
      </c>
      <c r="BX86" t="s">
        <v>84</v>
      </c>
      <c r="BY86" t="s">
        <v>84</v>
      </c>
      <c r="BZ86" t="s">
        <v>84</v>
      </c>
      <c r="CB86" t="s">
        <v>84</v>
      </c>
      <c r="CD86" t="s">
        <v>84</v>
      </c>
    </row>
    <row r="87" spans="1:83" x14ac:dyDescent="0.25">
      <c r="A87" t="s">
        <v>1554</v>
      </c>
      <c r="B87" t="s">
        <v>1555</v>
      </c>
      <c r="C87" t="s">
        <v>1556</v>
      </c>
      <c r="D87" t="s">
        <v>425</v>
      </c>
      <c r="E87" t="s">
        <v>1927</v>
      </c>
      <c r="F87" s="1">
        <v>936</v>
      </c>
      <c r="G87" s="1" t="s">
        <v>94</v>
      </c>
      <c r="H87" t="s">
        <v>1557</v>
      </c>
      <c r="I87" t="s">
        <v>87</v>
      </c>
      <c r="J87" t="s">
        <v>84</v>
      </c>
      <c r="K87" t="s">
        <v>84</v>
      </c>
      <c r="L87" t="s">
        <v>84</v>
      </c>
      <c r="M87" t="s">
        <v>87</v>
      </c>
      <c r="N87" t="s">
        <v>84</v>
      </c>
      <c r="O87" t="s">
        <v>84</v>
      </c>
      <c r="Q87" t="s">
        <v>84</v>
      </c>
      <c r="T87" t="s">
        <v>96</v>
      </c>
      <c r="U87" t="s">
        <v>87</v>
      </c>
      <c r="V87" t="s">
        <v>84</v>
      </c>
      <c r="W87" t="s">
        <v>84</v>
      </c>
      <c r="Y87" t="s">
        <v>87</v>
      </c>
      <c r="Z87" t="s">
        <v>84</v>
      </c>
      <c r="AA87" t="s">
        <v>84</v>
      </c>
      <c r="AC87" t="s">
        <v>87</v>
      </c>
      <c r="AD87" t="s">
        <v>84</v>
      </c>
      <c r="AE87" t="s">
        <v>84</v>
      </c>
      <c r="AF87" t="s">
        <v>84</v>
      </c>
      <c r="AG87" t="s">
        <v>87</v>
      </c>
      <c r="AI87" t="s">
        <v>84</v>
      </c>
      <c r="AJ87" t="s">
        <v>84</v>
      </c>
      <c r="AK87" t="s">
        <v>84</v>
      </c>
      <c r="AL87" t="s">
        <v>84</v>
      </c>
      <c r="AM87" t="s">
        <v>87</v>
      </c>
      <c r="AO87" t="s">
        <v>87</v>
      </c>
      <c r="AP87" t="s">
        <v>87</v>
      </c>
      <c r="AQ87" t="s">
        <v>84</v>
      </c>
      <c r="AS87" t="s">
        <v>87</v>
      </c>
      <c r="AT87" t="s">
        <v>84</v>
      </c>
      <c r="AU87" t="s">
        <v>1558</v>
      </c>
      <c r="AW87" t="s">
        <v>89</v>
      </c>
      <c r="AX87" t="s">
        <v>87</v>
      </c>
      <c r="AY87" t="s">
        <v>87</v>
      </c>
      <c r="AZ87" t="s">
        <v>87</v>
      </c>
      <c r="BA87" t="s">
        <v>84</v>
      </c>
      <c r="BB87" t="s">
        <v>84</v>
      </c>
      <c r="BC87" t="s">
        <v>84</v>
      </c>
      <c r="BD87" t="s">
        <v>1559</v>
      </c>
      <c r="BE87" t="s">
        <v>84</v>
      </c>
      <c r="BH87" t="s">
        <v>87</v>
      </c>
      <c r="BI87" t="s">
        <v>84</v>
      </c>
      <c r="BJ87" t="s">
        <v>84</v>
      </c>
      <c r="BL87" t="s">
        <v>87</v>
      </c>
      <c r="BM87" t="s">
        <v>87</v>
      </c>
      <c r="BN87" t="s">
        <v>84</v>
      </c>
      <c r="BP87" t="s">
        <v>84</v>
      </c>
      <c r="BQ87" t="s">
        <v>84</v>
      </c>
      <c r="BR87" t="s">
        <v>84</v>
      </c>
      <c r="BS87" t="s">
        <v>84</v>
      </c>
      <c r="BT87" t="s">
        <v>87</v>
      </c>
      <c r="BV87" t="s">
        <v>87</v>
      </c>
      <c r="BW87" t="s">
        <v>84</v>
      </c>
      <c r="BX87" t="s">
        <v>84</v>
      </c>
      <c r="BY87" t="s">
        <v>84</v>
      </c>
      <c r="BZ87" t="s">
        <v>87</v>
      </c>
      <c r="CB87" t="s">
        <v>84</v>
      </c>
      <c r="CD87" t="s">
        <v>84</v>
      </c>
    </row>
    <row r="88" spans="1:83" x14ac:dyDescent="0.25">
      <c r="A88" t="s">
        <v>555</v>
      </c>
      <c r="B88" t="s">
        <v>721</v>
      </c>
      <c r="C88" t="s">
        <v>722</v>
      </c>
      <c r="D88" t="s">
        <v>374</v>
      </c>
      <c r="E88" t="s">
        <v>1927</v>
      </c>
      <c r="F88" s="1">
        <v>972</v>
      </c>
      <c r="G88" s="1" t="s">
        <v>84</v>
      </c>
      <c r="I88" t="s">
        <v>85</v>
      </c>
      <c r="J88" t="s">
        <v>85</v>
      </c>
      <c r="K88" t="s">
        <v>85</v>
      </c>
      <c r="L88" t="s">
        <v>85</v>
      </c>
      <c r="M88" t="s">
        <v>85</v>
      </c>
      <c r="N88" t="s">
        <v>85</v>
      </c>
      <c r="O88" t="s">
        <v>85</v>
      </c>
      <c r="Q88" t="s">
        <v>84</v>
      </c>
      <c r="R88" t="s">
        <v>84</v>
      </c>
      <c r="T88" t="s">
        <v>96</v>
      </c>
      <c r="U88" t="s">
        <v>87</v>
      </c>
      <c r="V88" t="s">
        <v>84</v>
      </c>
      <c r="W88" t="s">
        <v>84</v>
      </c>
      <c r="Y88" t="s">
        <v>87</v>
      </c>
      <c r="Z88" t="s">
        <v>87</v>
      </c>
      <c r="AA88" t="s">
        <v>87</v>
      </c>
      <c r="AC88" t="s">
        <v>84</v>
      </c>
      <c r="AD88" t="s">
        <v>87</v>
      </c>
      <c r="AE88" t="s">
        <v>84</v>
      </c>
      <c r="AF88" t="s">
        <v>84</v>
      </c>
      <c r="AG88" t="s">
        <v>87</v>
      </c>
      <c r="AI88" t="s">
        <v>84</v>
      </c>
      <c r="AJ88" t="s">
        <v>84</v>
      </c>
      <c r="AK88" t="s">
        <v>84</v>
      </c>
      <c r="AL88" t="s">
        <v>87</v>
      </c>
      <c r="AM88" t="s">
        <v>84</v>
      </c>
      <c r="AO88" t="s">
        <v>87</v>
      </c>
      <c r="AP88" t="s">
        <v>87</v>
      </c>
      <c r="AQ88" t="s">
        <v>84</v>
      </c>
      <c r="AS88" t="s">
        <v>87</v>
      </c>
      <c r="AT88" t="s">
        <v>84</v>
      </c>
      <c r="AU88" t="s">
        <v>723</v>
      </c>
      <c r="AW88" t="s">
        <v>89</v>
      </c>
      <c r="AX88" t="s">
        <v>84</v>
      </c>
      <c r="AY88" t="s">
        <v>87</v>
      </c>
      <c r="AZ88" t="s">
        <v>87</v>
      </c>
      <c r="BA88" t="s">
        <v>87</v>
      </c>
      <c r="BB88" t="s">
        <v>87</v>
      </c>
      <c r="BC88" t="s">
        <v>84</v>
      </c>
      <c r="BE88" t="s">
        <v>84</v>
      </c>
      <c r="BH88" t="s">
        <v>87</v>
      </c>
      <c r="BI88" t="s">
        <v>84</v>
      </c>
      <c r="BJ88" t="s">
        <v>84</v>
      </c>
      <c r="BL88" t="s">
        <v>87</v>
      </c>
      <c r="BM88" t="s">
        <v>84</v>
      </c>
      <c r="BN88" t="s">
        <v>87</v>
      </c>
      <c r="BP88" t="s">
        <v>87</v>
      </c>
      <c r="BQ88" t="s">
        <v>84</v>
      </c>
      <c r="BR88" t="s">
        <v>84</v>
      </c>
      <c r="BS88" t="s">
        <v>87</v>
      </c>
      <c r="BT88" t="s">
        <v>84</v>
      </c>
      <c r="BV88" t="s">
        <v>87</v>
      </c>
      <c r="BW88" t="s">
        <v>87</v>
      </c>
      <c r="BX88" t="s">
        <v>84</v>
      </c>
      <c r="BY88" t="s">
        <v>84</v>
      </c>
      <c r="BZ88" t="s">
        <v>87</v>
      </c>
      <c r="CB88" t="s">
        <v>84</v>
      </c>
      <c r="CD88" t="s">
        <v>84</v>
      </c>
    </row>
    <row r="89" spans="1:83" x14ac:dyDescent="0.25">
      <c r="A89" t="s">
        <v>1399</v>
      </c>
      <c r="B89" t="s">
        <v>1400</v>
      </c>
      <c r="C89" t="s">
        <v>1401</v>
      </c>
      <c r="D89" t="s">
        <v>334</v>
      </c>
      <c r="E89" t="s">
        <v>1924</v>
      </c>
      <c r="F89" s="1">
        <v>1005</v>
      </c>
      <c r="G89" s="1" t="s">
        <v>84</v>
      </c>
      <c r="I89" t="s">
        <v>85</v>
      </c>
      <c r="J89" t="s">
        <v>85</v>
      </c>
      <c r="K89" t="s">
        <v>85</v>
      </c>
      <c r="L89" t="s">
        <v>85</v>
      </c>
      <c r="M89" t="s">
        <v>85</v>
      </c>
      <c r="N89" t="s">
        <v>85</v>
      </c>
      <c r="O89" t="s">
        <v>85</v>
      </c>
      <c r="Q89" t="s">
        <v>84</v>
      </c>
      <c r="R89" t="s">
        <v>84</v>
      </c>
      <c r="T89" t="s">
        <v>86</v>
      </c>
      <c r="U89" t="s">
        <v>87</v>
      </c>
      <c r="V89" t="s">
        <v>87</v>
      </c>
      <c r="W89" t="s">
        <v>84</v>
      </c>
      <c r="Y89" t="s">
        <v>87</v>
      </c>
      <c r="Z89" t="s">
        <v>87</v>
      </c>
      <c r="AA89" t="s">
        <v>84</v>
      </c>
      <c r="AC89" t="s">
        <v>84</v>
      </c>
      <c r="AD89" t="s">
        <v>84</v>
      </c>
      <c r="AE89" t="s">
        <v>84</v>
      </c>
      <c r="AF89" t="s">
        <v>87</v>
      </c>
      <c r="AG89" t="s">
        <v>84</v>
      </c>
      <c r="AH89" t="s">
        <v>525</v>
      </c>
      <c r="AI89" t="s">
        <v>87</v>
      </c>
      <c r="AJ89" t="s">
        <v>84</v>
      </c>
      <c r="AK89" t="s">
        <v>84</v>
      </c>
      <c r="AL89" t="s">
        <v>84</v>
      </c>
      <c r="AM89" t="s">
        <v>84</v>
      </c>
      <c r="AO89" t="s">
        <v>87</v>
      </c>
      <c r="AP89" t="s">
        <v>87</v>
      </c>
      <c r="AQ89" t="s">
        <v>84</v>
      </c>
      <c r="AS89" t="s">
        <v>87</v>
      </c>
      <c r="AT89" t="s">
        <v>84</v>
      </c>
      <c r="AU89" t="s">
        <v>1402</v>
      </c>
      <c r="AW89" t="s">
        <v>89</v>
      </c>
      <c r="AX89" t="s">
        <v>87</v>
      </c>
      <c r="AY89" t="s">
        <v>84</v>
      </c>
      <c r="AZ89" t="s">
        <v>84</v>
      </c>
      <c r="BA89" t="s">
        <v>84</v>
      </c>
      <c r="BB89" t="s">
        <v>84</v>
      </c>
      <c r="BC89" t="s">
        <v>84</v>
      </c>
      <c r="BD89" t="s">
        <v>433</v>
      </c>
      <c r="BE89" t="s">
        <v>84</v>
      </c>
      <c r="BH89" t="s">
        <v>87</v>
      </c>
      <c r="BI89" t="s">
        <v>84</v>
      </c>
      <c r="BJ89" t="s">
        <v>84</v>
      </c>
      <c r="BL89" t="s">
        <v>87</v>
      </c>
      <c r="BM89" t="s">
        <v>84</v>
      </c>
      <c r="BN89" t="s">
        <v>84</v>
      </c>
      <c r="BP89" t="s">
        <v>87</v>
      </c>
      <c r="BQ89" t="s">
        <v>84</v>
      </c>
      <c r="BR89" t="s">
        <v>84</v>
      </c>
      <c r="BS89" t="s">
        <v>84</v>
      </c>
      <c r="BT89" t="s">
        <v>84</v>
      </c>
      <c r="BV89" t="s">
        <v>84</v>
      </c>
      <c r="BW89" t="s">
        <v>84</v>
      </c>
      <c r="BX89" t="s">
        <v>84</v>
      </c>
      <c r="BY89" t="s">
        <v>84</v>
      </c>
      <c r="BZ89" t="s">
        <v>87</v>
      </c>
      <c r="CB89" t="s">
        <v>84</v>
      </c>
      <c r="CD89" t="s">
        <v>84</v>
      </c>
    </row>
    <row r="90" spans="1:83" x14ac:dyDescent="0.25">
      <c r="A90" t="s">
        <v>366</v>
      </c>
      <c r="B90" t="s">
        <v>367</v>
      </c>
      <c r="C90" t="s">
        <v>368</v>
      </c>
      <c r="D90" t="s">
        <v>245</v>
      </c>
      <c r="E90" t="s">
        <v>1995</v>
      </c>
      <c r="F90" s="1">
        <v>1060</v>
      </c>
      <c r="G90" s="1" t="s">
        <v>94</v>
      </c>
      <c r="H90" t="s">
        <v>369</v>
      </c>
      <c r="I90" t="s">
        <v>87</v>
      </c>
      <c r="J90" t="s">
        <v>84</v>
      </c>
      <c r="K90" t="s">
        <v>84</v>
      </c>
      <c r="L90" t="s">
        <v>84</v>
      </c>
      <c r="M90" t="s">
        <v>84</v>
      </c>
      <c r="N90" t="s">
        <v>84</v>
      </c>
      <c r="O90" t="s">
        <v>84</v>
      </c>
      <c r="Q90" t="s">
        <v>84</v>
      </c>
      <c r="T90" t="s">
        <v>86</v>
      </c>
      <c r="U90" t="s">
        <v>87</v>
      </c>
      <c r="V90" t="s">
        <v>84</v>
      </c>
      <c r="W90" t="s">
        <v>84</v>
      </c>
      <c r="Y90" t="s">
        <v>87</v>
      </c>
      <c r="Z90" t="s">
        <v>87</v>
      </c>
      <c r="AA90" t="s">
        <v>87</v>
      </c>
      <c r="AC90" t="s">
        <v>87</v>
      </c>
      <c r="AD90" t="s">
        <v>84</v>
      </c>
      <c r="AE90" t="s">
        <v>84</v>
      </c>
      <c r="AF90" t="s">
        <v>84</v>
      </c>
      <c r="AG90" t="s">
        <v>87</v>
      </c>
      <c r="AI90" t="s">
        <v>84</v>
      </c>
      <c r="AJ90" t="s">
        <v>84</v>
      </c>
      <c r="AK90" t="s">
        <v>84</v>
      </c>
      <c r="AL90" t="s">
        <v>84</v>
      </c>
      <c r="AM90" t="s">
        <v>87</v>
      </c>
      <c r="AO90" t="s">
        <v>87</v>
      </c>
      <c r="AP90" t="s">
        <v>87</v>
      </c>
      <c r="AQ90" t="s">
        <v>84</v>
      </c>
      <c r="AS90" t="s">
        <v>87</v>
      </c>
      <c r="AT90" t="s">
        <v>84</v>
      </c>
      <c r="AU90" t="s">
        <v>370</v>
      </c>
      <c r="AW90" t="s">
        <v>89</v>
      </c>
      <c r="AX90" t="s">
        <v>84</v>
      </c>
      <c r="AY90" t="s">
        <v>87</v>
      </c>
      <c r="AZ90" t="s">
        <v>87</v>
      </c>
      <c r="BA90" t="s">
        <v>84</v>
      </c>
      <c r="BB90" t="s">
        <v>84</v>
      </c>
      <c r="BC90" t="s">
        <v>84</v>
      </c>
      <c r="BD90" t="s">
        <v>84</v>
      </c>
      <c r="BE90" t="s">
        <v>84</v>
      </c>
      <c r="BH90" t="s">
        <v>87</v>
      </c>
      <c r="BI90" t="s">
        <v>84</v>
      </c>
      <c r="BJ90" t="s">
        <v>84</v>
      </c>
      <c r="BL90" t="s">
        <v>87</v>
      </c>
      <c r="BM90" t="s">
        <v>84</v>
      </c>
      <c r="BN90" t="s">
        <v>84</v>
      </c>
      <c r="BP90" t="s">
        <v>84</v>
      </c>
      <c r="BQ90" t="s">
        <v>84</v>
      </c>
      <c r="BR90" t="s">
        <v>84</v>
      </c>
      <c r="BS90" t="s">
        <v>84</v>
      </c>
      <c r="BT90" t="s">
        <v>87</v>
      </c>
      <c r="BV90" t="s">
        <v>87</v>
      </c>
      <c r="BW90" t="s">
        <v>84</v>
      </c>
      <c r="BX90" t="s">
        <v>84</v>
      </c>
      <c r="BY90" t="s">
        <v>84</v>
      </c>
      <c r="BZ90" t="s">
        <v>84</v>
      </c>
      <c r="CB90" t="s">
        <v>84</v>
      </c>
      <c r="CD90" t="s">
        <v>84</v>
      </c>
    </row>
    <row r="91" spans="1:83" x14ac:dyDescent="0.25">
      <c r="A91" t="s">
        <v>1905</v>
      </c>
      <c r="B91" t="s">
        <v>1906</v>
      </c>
      <c r="C91" t="s">
        <v>1907</v>
      </c>
      <c r="D91" t="s">
        <v>104</v>
      </c>
      <c r="E91" t="s">
        <v>1926</v>
      </c>
      <c r="F91" s="1">
        <v>1124</v>
      </c>
      <c r="G91" s="1" t="s">
        <v>84</v>
      </c>
      <c r="I91" t="s">
        <v>85</v>
      </c>
      <c r="J91" t="s">
        <v>85</v>
      </c>
      <c r="K91" t="s">
        <v>85</v>
      </c>
      <c r="L91" t="s">
        <v>85</v>
      </c>
      <c r="M91" t="s">
        <v>85</v>
      </c>
      <c r="N91" t="s">
        <v>85</v>
      </c>
      <c r="O91" t="s">
        <v>85</v>
      </c>
      <c r="Q91" t="s">
        <v>84</v>
      </c>
      <c r="T91" t="s">
        <v>86</v>
      </c>
      <c r="U91" t="s">
        <v>87</v>
      </c>
      <c r="V91" t="s">
        <v>87</v>
      </c>
      <c r="W91" t="s">
        <v>84</v>
      </c>
      <c r="Y91" t="s">
        <v>87</v>
      </c>
      <c r="Z91" t="s">
        <v>84</v>
      </c>
      <c r="AA91" t="s">
        <v>84</v>
      </c>
      <c r="AB91" t="s">
        <v>1159</v>
      </c>
      <c r="AC91" t="s">
        <v>87</v>
      </c>
      <c r="AD91" t="s">
        <v>84</v>
      </c>
      <c r="AE91" t="s">
        <v>84</v>
      </c>
      <c r="AF91" t="s">
        <v>84</v>
      </c>
      <c r="AG91" t="s">
        <v>87</v>
      </c>
      <c r="AH91" t="s">
        <v>229</v>
      </c>
      <c r="AI91" t="s">
        <v>84</v>
      </c>
      <c r="AJ91" t="s">
        <v>84</v>
      </c>
      <c r="AK91" t="s">
        <v>84</v>
      </c>
      <c r="AL91" t="s">
        <v>84</v>
      </c>
      <c r="AM91" t="s">
        <v>87</v>
      </c>
      <c r="AO91" t="s">
        <v>87</v>
      </c>
      <c r="AP91" t="s">
        <v>87</v>
      </c>
      <c r="AQ91" t="s">
        <v>84</v>
      </c>
      <c r="AS91" t="s">
        <v>87</v>
      </c>
      <c r="AT91" t="s">
        <v>84</v>
      </c>
      <c r="AU91" t="s">
        <v>240</v>
      </c>
      <c r="AW91" t="s">
        <v>89</v>
      </c>
      <c r="AX91" t="s">
        <v>87</v>
      </c>
      <c r="AY91" t="s">
        <v>84</v>
      </c>
      <c r="AZ91" t="s">
        <v>84</v>
      </c>
      <c r="BA91" t="s">
        <v>84</v>
      </c>
      <c r="BB91" t="s">
        <v>84</v>
      </c>
      <c r="BC91" t="s">
        <v>84</v>
      </c>
      <c r="BD91" t="s">
        <v>1908</v>
      </c>
      <c r="BE91" t="s">
        <v>84</v>
      </c>
      <c r="BH91" t="s">
        <v>87</v>
      </c>
      <c r="BI91" t="s">
        <v>84</v>
      </c>
      <c r="BJ91" t="s">
        <v>84</v>
      </c>
      <c r="BL91" t="s">
        <v>87</v>
      </c>
      <c r="BM91" t="s">
        <v>84</v>
      </c>
      <c r="BN91" t="s">
        <v>84</v>
      </c>
      <c r="BP91" t="s">
        <v>84</v>
      </c>
      <c r="BQ91" t="s">
        <v>84</v>
      </c>
      <c r="BR91" t="s">
        <v>84</v>
      </c>
      <c r="BS91" t="s">
        <v>84</v>
      </c>
      <c r="BT91" t="s">
        <v>87</v>
      </c>
      <c r="BV91" t="s">
        <v>87</v>
      </c>
      <c r="BW91" t="s">
        <v>84</v>
      </c>
      <c r="BX91" t="s">
        <v>84</v>
      </c>
      <c r="BY91" t="s">
        <v>84</v>
      </c>
      <c r="BZ91" t="s">
        <v>84</v>
      </c>
      <c r="CB91" t="s">
        <v>84</v>
      </c>
      <c r="CD91" t="s">
        <v>84</v>
      </c>
    </row>
    <row r="92" spans="1:83" x14ac:dyDescent="0.25">
      <c r="A92" t="s">
        <v>327</v>
      </c>
      <c r="B92" t="s">
        <v>328</v>
      </c>
      <c r="C92" t="s">
        <v>221</v>
      </c>
      <c r="D92" t="s">
        <v>222</v>
      </c>
      <c r="E92" t="s">
        <v>222</v>
      </c>
      <c r="F92" s="1">
        <v>1178</v>
      </c>
      <c r="G92" s="1" t="s">
        <v>84</v>
      </c>
      <c r="I92" t="s">
        <v>85</v>
      </c>
      <c r="J92" t="s">
        <v>85</v>
      </c>
      <c r="K92" t="s">
        <v>85</v>
      </c>
      <c r="L92" t="s">
        <v>85</v>
      </c>
      <c r="M92" t="s">
        <v>85</v>
      </c>
      <c r="N92" t="s">
        <v>85</v>
      </c>
      <c r="O92" t="s">
        <v>85</v>
      </c>
      <c r="Q92" t="s">
        <v>84</v>
      </c>
      <c r="T92" t="s">
        <v>96</v>
      </c>
      <c r="U92" t="s">
        <v>87</v>
      </c>
      <c r="V92" t="s">
        <v>87</v>
      </c>
      <c r="W92" t="s">
        <v>84</v>
      </c>
      <c r="Y92" t="s">
        <v>87</v>
      </c>
      <c r="Z92" t="s">
        <v>87</v>
      </c>
      <c r="AA92" t="s">
        <v>87</v>
      </c>
      <c r="AC92" t="s">
        <v>87</v>
      </c>
      <c r="AD92" t="s">
        <v>87</v>
      </c>
      <c r="AE92" t="s">
        <v>87</v>
      </c>
      <c r="AF92" t="s">
        <v>87</v>
      </c>
      <c r="AG92" t="s">
        <v>87</v>
      </c>
      <c r="AI92" t="s">
        <v>87</v>
      </c>
      <c r="AJ92" t="s">
        <v>84</v>
      </c>
      <c r="AK92" t="s">
        <v>84</v>
      </c>
      <c r="AL92" t="s">
        <v>84</v>
      </c>
      <c r="AM92" t="s">
        <v>84</v>
      </c>
      <c r="AO92" t="s">
        <v>87</v>
      </c>
      <c r="AP92" t="s">
        <v>87</v>
      </c>
      <c r="AQ92" t="s">
        <v>84</v>
      </c>
      <c r="AS92" t="s">
        <v>87</v>
      </c>
      <c r="AT92" t="s">
        <v>84</v>
      </c>
      <c r="AU92" t="s">
        <v>329</v>
      </c>
      <c r="AW92" t="s">
        <v>89</v>
      </c>
      <c r="AX92" t="s">
        <v>87</v>
      </c>
      <c r="AY92" t="s">
        <v>87</v>
      </c>
      <c r="AZ92" t="s">
        <v>87</v>
      </c>
      <c r="BA92" t="s">
        <v>84</v>
      </c>
      <c r="BB92" t="s">
        <v>84</v>
      </c>
      <c r="BC92" t="s">
        <v>84</v>
      </c>
      <c r="BD92" t="s">
        <v>330</v>
      </c>
      <c r="BE92" t="s">
        <v>84</v>
      </c>
      <c r="BH92" t="s">
        <v>87</v>
      </c>
      <c r="BI92" t="s">
        <v>84</v>
      </c>
      <c r="BJ92" t="s">
        <v>84</v>
      </c>
      <c r="BL92" t="s">
        <v>87</v>
      </c>
      <c r="BM92" t="s">
        <v>84</v>
      </c>
      <c r="BN92" t="s">
        <v>84</v>
      </c>
      <c r="BP92" t="s">
        <v>87</v>
      </c>
      <c r="BQ92" t="s">
        <v>84</v>
      </c>
      <c r="BR92" t="s">
        <v>84</v>
      </c>
      <c r="BS92" t="s">
        <v>84</v>
      </c>
      <c r="BT92" t="s">
        <v>84</v>
      </c>
      <c r="BV92" t="s">
        <v>87</v>
      </c>
      <c r="BW92" t="s">
        <v>84</v>
      </c>
      <c r="BX92" t="s">
        <v>84</v>
      </c>
      <c r="BY92" t="s">
        <v>84</v>
      </c>
      <c r="BZ92" t="s">
        <v>87</v>
      </c>
      <c r="CB92" t="s">
        <v>84</v>
      </c>
      <c r="CD92" t="s">
        <v>84</v>
      </c>
    </row>
    <row r="93" spans="1:83" x14ac:dyDescent="0.25">
      <c r="A93" t="s">
        <v>1203</v>
      </c>
      <c r="B93" t="s">
        <v>1204</v>
      </c>
      <c r="C93" t="s">
        <v>1205</v>
      </c>
      <c r="D93" t="s">
        <v>1206</v>
      </c>
      <c r="E93" t="s">
        <v>1994</v>
      </c>
      <c r="F93" s="1">
        <v>1200</v>
      </c>
      <c r="G93" s="1" t="s">
        <v>94</v>
      </c>
      <c r="H93" t="s">
        <v>1207</v>
      </c>
      <c r="I93" t="s">
        <v>87</v>
      </c>
      <c r="J93" t="s">
        <v>87</v>
      </c>
      <c r="K93" t="s">
        <v>87</v>
      </c>
      <c r="L93" t="s">
        <v>84</v>
      </c>
      <c r="M93" t="s">
        <v>87</v>
      </c>
      <c r="N93" t="s">
        <v>84</v>
      </c>
      <c r="O93" t="s">
        <v>84</v>
      </c>
      <c r="Q93" t="s">
        <v>84</v>
      </c>
      <c r="T93" t="s">
        <v>86</v>
      </c>
      <c r="U93" t="s">
        <v>87</v>
      </c>
      <c r="V93" t="s">
        <v>84</v>
      </c>
      <c r="W93" t="s">
        <v>84</v>
      </c>
      <c r="Y93" t="s">
        <v>87</v>
      </c>
      <c r="Z93" t="s">
        <v>84</v>
      </c>
      <c r="AA93" t="s">
        <v>84</v>
      </c>
      <c r="AC93" t="s">
        <v>87</v>
      </c>
      <c r="AD93" t="s">
        <v>84</v>
      </c>
      <c r="AE93" t="s">
        <v>84</v>
      </c>
      <c r="AF93" t="s">
        <v>84</v>
      </c>
      <c r="AG93" t="s">
        <v>84</v>
      </c>
      <c r="AH93" t="s">
        <v>1208</v>
      </c>
      <c r="AI93" t="s">
        <v>84</v>
      </c>
      <c r="AJ93" t="s">
        <v>84</v>
      </c>
      <c r="AK93" t="s">
        <v>84</v>
      </c>
      <c r="AL93" t="s">
        <v>84</v>
      </c>
      <c r="AM93" t="s">
        <v>87</v>
      </c>
      <c r="AO93" t="s">
        <v>87</v>
      </c>
      <c r="AP93" t="s">
        <v>87</v>
      </c>
      <c r="AQ93" t="s">
        <v>84</v>
      </c>
      <c r="AS93" t="s">
        <v>87</v>
      </c>
      <c r="AT93" t="s">
        <v>84</v>
      </c>
      <c r="AU93" t="s">
        <v>1209</v>
      </c>
      <c r="AW93" t="s">
        <v>89</v>
      </c>
      <c r="AX93" t="s">
        <v>84</v>
      </c>
      <c r="AY93" t="s">
        <v>87</v>
      </c>
      <c r="AZ93" t="s">
        <v>84</v>
      </c>
      <c r="BA93" t="s">
        <v>84</v>
      </c>
      <c r="BB93" t="s">
        <v>84</v>
      </c>
      <c r="BC93" t="s">
        <v>84</v>
      </c>
      <c r="BD93" t="s">
        <v>211</v>
      </c>
      <c r="BE93" t="s">
        <v>84</v>
      </c>
      <c r="BH93" t="s">
        <v>87</v>
      </c>
      <c r="BI93" t="s">
        <v>84</v>
      </c>
      <c r="BJ93" t="s">
        <v>84</v>
      </c>
      <c r="BL93" t="s">
        <v>87</v>
      </c>
      <c r="BM93" t="s">
        <v>84</v>
      </c>
      <c r="BN93" t="s">
        <v>84</v>
      </c>
      <c r="BO93" t="s">
        <v>1210</v>
      </c>
      <c r="BP93" t="s">
        <v>84</v>
      </c>
      <c r="BQ93" t="s">
        <v>84</v>
      </c>
      <c r="BR93" t="s">
        <v>84</v>
      </c>
      <c r="BS93" t="s">
        <v>84</v>
      </c>
      <c r="BT93" t="s">
        <v>87</v>
      </c>
      <c r="BV93" t="s">
        <v>87</v>
      </c>
      <c r="BW93" t="s">
        <v>84</v>
      </c>
      <c r="BX93" t="s">
        <v>84</v>
      </c>
      <c r="BY93" t="s">
        <v>84</v>
      </c>
      <c r="BZ93" t="s">
        <v>84</v>
      </c>
      <c r="CB93" t="s">
        <v>84</v>
      </c>
      <c r="CD93" t="s">
        <v>84</v>
      </c>
    </row>
    <row r="94" spans="1:83" x14ac:dyDescent="0.25">
      <c r="A94" t="s">
        <v>230</v>
      </c>
      <c r="B94" t="s">
        <v>231</v>
      </c>
      <c r="C94" t="s">
        <v>232</v>
      </c>
      <c r="D94" t="s">
        <v>233</v>
      </c>
      <c r="E94" t="s">
        <v>1924</v>
      </c>
      <c r="F94" s="1">
        <v>1203</v>
      </c>
      <c r="G94" s="1" t="s">
        <v>84</v>
      </c>
      <c r="I94" t="s">
        <v>85</v>
      </c>
      <c r="J94" t="s">
        <v>85</v>
      </c>
      <c r="K94" t="s">
        <v>85</v>
      </c>
      <c r="L94" t="s">
        <v>85</v>
      </c>
      <c r="M94" t="s">
        <v>85</v>
      </c>
      <c r="N94" t="s">
        <v>85</v>
      </c>
      <c r="O94" t="s">
        <v>85</v>
      </c>
      <c r="Q94" t="s">
        <v>84</v>
      </c>
      <c r="T94" t="s">
        <v>86</v>
      </c>
      <c r="U94" t="s">
        <v>87</v>
      </c>
      <c r="V94" t="s">
        <v>87</v>
      </c>
      <c r="W94" t="s">
        <v>84</v>
      </c>
      <c r="Y94" t="s">
        <v>87</v>
      </c>
      <c r="Z94" t="s">
        <v>87</v>
      </c>
      <c r="AA94" t="s">
        <v>84</v>
      </c>
      <c r="AC94" t="s">
        <v>84</v>
      </c>
      <c r="AD94" t="s">
        <v>84</v>
      </c>
      <c r="AE94" t="s">
        <v>87</v>
      </c>
      <c r="AF94" t="s">
        <v>87</v>
      </c>
      <c r="AG94" t="s">
        <v>87</v>
      </c>
      <c r="AI94" t="s">
        <v>84</v>
      </c>
      <c r="AJ94" t="s">
        <v>84</v>
      </c>
      <c r="AK94" t="s">
        <v>84</v>
      </c>
      <c r="AL94" t="s">
        <v>87</v>
      </c>
      <c r="AM94" t="s">
        <v>84</v>
      </c>
      <c r="AO94" t="s">
        <v>87</v>
      </c>
      <c r="AP94" t="s">
        <v>87</v>
      </c>
      <c r="AQ94" t="s">
        <v>84</v>
      </c>
      <c r="AS94" t="s">
        <v>87</v>
      </c>
      <c r="AT94" t="s">
        <v>84</v>
      </c>
      <c r="AU94" t="s">
        <v>234</v>
      </c>
      <c r="AW94" t="s">
        <v>89</v>
      </c>
      <c r="AX94" t="s">
        <v>87</v>
      </c>
      <c r="AY94" t="s">
        <v>87</v>
      </c>
      <c r="AZ94" t="s">
        <v>87</v>
      </c>
      <c r="BA94" t="s">
        <v>84</v>
      </c>
      <c r="BB94" t="s">
        <v>84</v>
      </c>
      <c r="BC94" t="s">
        <v>84</v>
      </c>
      <c r="BD94" t="s">
        <v>235</v>
      </c>
      <c r="BE94" t="s">
        <v>84</v>
      </c>
      <c r="BH94" t="s">
        <v>87</v>
      </c>
      <c r="BI94" t="s">
        <v>84</v>
      </c>
      <c r="BJ94" t="s">
        <v>84</v>
      </c>
      <c r="BL94" t="s">
        <v>87</v>
      </c>
      <c r="BM94" t="s">
        <v>84</v>
      </c>
      <c r="BN94" t="s">
        <v>84</v>
      </c>
      <c r="BP94" t="s">
        <v>87</v>
      </c>
      <c r="BQ94" t="s">
        <v>84</v>
      </c>
      <c r="BR94" t="s">
        <v>84</v>
      </c>
      <c r="BS94" t="s">
        <v>84</v>
      </c>
      <c r="BT94" t="s">
        <v>84</v>
      </c>
      <c r="BV94" t="s">
        <v>87</v>
      </c>
      <c r="BW94" t="s">
        <v>84</v>
      </c>
      <c r="BX94" t="s">
        <v>84</v>
      </c>
      <c r="BY94" t="s">
        <v>84</v>
      </c>
      <c r="BZ94" t="s">
        <v>84</v>
      </c>
      <c r="CB94" t="s">
        <v>84</v>
      </c>
      <c r="CD94" t="s">
        <v>84</v>
      </c>
    </row>
    <row r="95" spans="1:83" x14ac:dyDescent="0.25">
      <c r="A95" t="s">
        <v>1328</v>
      </c>
      <c r="B95" t="s">
        <v>1329</v>
      </c>
      <c r="C95" t="s">
        <v>1330</v>
      </c>
      <c r="D95" t="s">
        <v>156</v>
      </c>
      <c r="E95" t="s">
        <v>1928</v>
      </c>
      <c r="F95" s="1">
        <v>1249</v>
      </c>
      <c r="G95" s="1" t="s">
        <v>94</v>
      </c>
      <c r="H95" t="s">
        <v>157</v>
      </c>
      <c r="I95" t="s">
        <v>87</v>
      </c>
      <c r="J95" t="s">
        <v>84</v>
      </c>
      <c r="K95" t="s">
        <v>84</v>
      </c>
      <c r="L95" t="s">
        <v>84</v>
      </c>
      <c r="M95" t="s">
        <v>87</v>
      </c>
      <c r="N95" t="s">
        <v>84</v>
      </c>
      <c r="O95" t="s">
        <v>84</v>
      </c>
      <c r="Q95" t="s">
        <v>84</v>
      </c>
      <c r="R95" t="s">
        <v>84</v>
      </c>
      <c r="T95" t="s">
        <v>96</v>
      </c>
      <c r="U95" t="s">
        <v>87</v>
      </c>
      <c r="V95" t="s">
        <v>84</v>
      </c>
      <c r="W95" t="s">
        <v>84</v>
      </c>
      <c r="Y95" t="s">
        <v>87</v>
      </c>
      <c r="Z95" t="s">
        <v>84</v>
      </c>
      <c r="AA95" t="s">
        <v>84</v>
      </c>
      <c r="AC95" t="s">
        <v>84</v>
      </c>
      <c r="AD95" t="s">
        <v>84</v>
      </c>
      <c r="AE95" t="s">
        <v>84</v>
      </c>
      <c r="AF95" t="s">
        <v>84</v>
      </c>
      <c r="AG95" t="s">
        <v>87</v>
      </c>
      <c r="AH95" t="s">
        <v>1201</v>
      </c>
      <c r="AI95" t="s">
        <v>84</v>
      </c>
      <c r="AJ95" t="s">
        <v>84</v>
      </c>
      <c r="AK95" t="s">
        <v>84</v>
      </c>
      <c r="AL95" t="s">
        <v>87</v>
      </c>
      <c r="AM95" t="s">
        <v>84</v>
      </c>
      <c r="AO95" t="s">
        <v>87</v>
      </c>
      <c r="AP95" t="s">
        <v>87</v>
      </c>
      <c r="AQ95" t="s">
        <v>84</v>
      </c>
      <c r="AS95" t="s">
        <v>87</v>
      </c>
      <c r="AT95" t="s">
        <v>84</v>
      </c>
      <c r="AU95" t="s">
        <v>1331</v>
      </c>
      <c r="AW95" t="s">
        <v>89</v>
      </c>
      <c r="AX95" t="s">
        <v>87</v>
      </c>
      <c r="AY95" t="s">
        <v>87</v>
      </c>
      <c r="AZ95" t="s">
        <v>87</v>
      </c>
      <c r="BA95" t="s">
        <v>84</v>
      </c>
      <c r="BB95" t="s">
        <v>84</v>
      </c>
      <c r="BC95" t="s">
        <v>87</v>
      </c>
      <c r="BE95" t="s">
        <v>84</v>
      </c>
      <c r="BH95" t="s">
        <v>87</v>
      </c>
      <c r="BI95" t="s">
        <v>84</v>
      </c>
      <c r="BJ95" t="s">
        <v>84</v>
      </c>
      <c r="BL95" t="s">
        <v>87</v>
      </c>
      <c r="BM95" t="s">
        <v>84</v>
      </c>
      <c r="BN95" t="s">
        <v>84</v>
      </c>
      <c r="BP95" t="s">
        <v>84</v>
      </c>
      <c r="BQ95" t="s">
        <v>84</v>
      </c>
      <c r="BR95" t="s">
        <v>84</v>
      </c>
      <c r="BS95" t="s">
        <v>87</v>
      </c>
      <c r="BT95" t="s">
        <v>84</v>
      </c>
      <c r="BV95" t="s">
        <v>84</v>
      </c>
      <c r="BW95" t="s">
        <v>84</v>
      </c>
      <c r="BX95" t="s">
        <v>84</v>
      </c>
      <c r="BY95" t="s">
        <v>84</v>
      </c>
      <c r="BZ95" t="s">
        <v>87</v>
      </c>
      <c r="CB95" t="s">
        <v>84</v>
      </c>
      <c r="CD95" t="s">
        <v>84</v>
      </c>
    </row>
    <row r="96" spans="1:83" x14ac:dyDescent="0.25">
      <c r="A96" t="s">
        <v>769</v>
      </c>
      <c r="B96" t="s">
        <v>770</v>
      </c>
      <c r="C96" t="s">
        <v>771</v>
      </c>
      <c r="D96" t="s">
        <v>104</v>
      </c>
      <c r="E96" t="s">
        <v>1926</v>
      </c>
      <c r="F96" s="1">
        <v>1270</v>
      </c>
      <c r="G96" s="1" t="s">
        <v>94</v>
      </c>
      <c r="H96" t="s">
        <v>270</v>
      </c>
      <c r="I96" t="s">
        <v>84</v>
      </c>
      <c r="J96" t="s">
        <v>84</v>
      </c>
      <c r="K96" t="s">
        <v>84</v>
      </c>
      <c r="L96" t="s">
        <v>84</v>
      </c>
      <c r="M96" t="s">
        <v>84</v>
      </c>
      <c r="N96" t="s">
        <v>84</v>
      </c>
      <c r="O96" t="s">
        <v>87</v>
      </c>
      <c r="Q96" t="s">
        <v>84</v>
      </c>
      <c r="T96" t="s">
        <v>86</v>
      </c>
      <c r="U96" t="s">
        <v>87</v>
      </c>
      <c r="V96" t="s">
        <v>84</v>
      </c>
      <c r="W96" t="s">
        <v>84</v>
      </c>
      <c r="Y96" t="s">
        <v>87</v>
      </c>
      <c r="Z96" t="s">
        <v>84</v>
      </c>
      <c r="AA96" t="s">
        <v>84</v>
      </c>
      <c r="AC96" t="s">
        <v>84</v>
      </c>
      <c r="AD96" t="s">
        <v>84</v>
      </c>
      <c r="AE96" t="s">
        <v>87</v>
      </c>
      <c r="AF96" t="s">
        <v>84</v>
      </c>
      <c r="AG96" t="s">
        <v>84</v>
      </c>
      <c r="AI96" t="s">
        <v>84</v>
      </c>
      <c r="AJ96" t="s">
        <v>84</v>
      </c>
      <c r="AK96" t="s">
        <v>84</v>
      </c>
      <c r="AL96" t="s">
        <v>84</v>
      </c>
      <c r="AM96" t="s">
        <v>87</v>
      </c>
      <c r="AO96" t="s">
        <v>87</v>
      </c>
      <c r="AP96" t="s">
        <v>87</v>
      </c>
      <c r="AQ96" t="s">
        <v>84</v>
      </c>
      <c r="AS96" t="s">
        <v>87</v>
      </c>
      <c r="AT96" t="s">
        <v>84</v>
      </c>
      <c r="AU96" t="s">
        <v>772</v>
      </c>
      <c r="AW96" t="s">
        <v>89</v>
      </c>
      <c r="AX96" t="s">
        <v>87</v>
      </c>
      <c r="AY96" t="s">
        <v>87</v>
      </c>
      <c r="AZ96" t="s">
        <v>87</v>
      </c>
      <c r="BA96" t="s">
        <v>84</v>
      </c>
      <c r="BB96" t="s">
        <v>87</v>
      </c>
      <c r="BC96" t="s">
        <v>84</v>
      </c>
      <c r="BD96" t="s">
        <v>773</v>
      </c>
      <c r="BE96" t="s">
        <v>84</v>
      </c>
      <c r="BH96" t="s">
        <v>87</v>
      </c>
      <c r="BI96" t="s">
        <v>84</v>
      </c>
      <c r="BJ96" t="s">
        <v>84</v>
      </c>
      <c r="BL96" t="s">
        <v>87</v>
      </c>
      <c r="BM96" t="s">
        <v>84</v>
      </c>
      <c r="BN96" t="s">
        <v>84</v>
      </c>
      <c r="BP96" t="s">
        <v>84</v>
      </c>
      <c r="BQ96" t="s">
        <v>84</v>
      </c>
      <c r="BR96" t="s">
        <v>84</v>
      </c>
      <c r="BS96" t="s">
        <v>84</v>
      </c>
      <c r="BT96" t="s">
        <v>87</v>
      </c>
      <c r="BV96" t="s">
        <v>87</v>
      </c>
      <c r="BW96" t="s">
        <v>84</v>
      </c>
      <c r="BX96" t="s">
        <v>84</v>
      </c>
      <c r="BY96" t="s">
        <v>84</v>
      </c>
      <c r="BZ96" t="s">
        <v>84</v>
      </c>
      <c r="CB96" t="s">
        <v>84</v>
      </c>
      <c r="CD96" t="s">
        <v>94</v>
      </c>
      <c r="CE96" t="s">
        <v>774</v>
      </c>
    </row>
    <row r="97" spans="1:83" x14ac:dyDescent="0.25">
      <c r="A97" t="s">
        <v>340</v>
      </c>
      <c r="B97" t="s">
        <v>341</v>
      </c>
      <c r="C97" t="s">
        <v>342</v>
      </c>
      <c r="D97" t="s">
        <v>264</v>
      </c>
      <c r="E97" t="s">
        <v>1925</v>
      </c>
      <c r="F97" s="1">
        <v>1290</v>
      </c>
      <c r="G97" s="1" t="s">
        <v>94</v>
      </c>
      <c r="H97" t="s">
        <v>343</v>
      </c>
      <c r="I97" t="s">
        <v>87</v>
      </c>
      <c r="J97" t="s">
        <v>84</v>
      </c>
      <c r="K97" t="s">
        <v>84</v>
      </c>
      <c r="L97" t="s">
        <v>84</v>
      </c>
      <c r="M97" t="s">
        <v>84</v>
      </c>
      <c r="N97" t="s">
        <v>84</v>
      </c>
      <c r="O97" t="s">
        <v>84</v>
      </c>
      <c r="Q97" t="s">
        <v>84</v>
      </c>
      <c r="T97" t="s">
        <v>96</v>
      </c>
      <c r="U97" t="s">
        <v>87</v>
      </c>
      <c r="V97" t="s">
        <v>87</v>
      </c>
      <c r="W97" t="s">
        <v>84</v>
      </c>
      <c r="X97" t="s">
        <v>344</v>
      </c>
      <c r="Y97" t="s">
        <v>87</v>
      </c>
      <c r="Z97" t="s">
        <v>87</v>
      </c>
      <c r="AA97" t="s">
        <v>84</v>
      </c>
      <c r="AB97" t="s">
        <v>344</v>
      </c>
      <c r="AC97" t="s">
        <v>84</v>
      </c>
      <c r="AD97" t="s">
        <v>84</v>
      </c>
      <c r="AE97" t="s">
        <v>84</v>
      </c>
      <c r="AF97" t="s">
        <v>84</v>
      </c>
      <c r="AG97" t="s">
        <v>84</v>
      </c>
      <c r="AH97" t="s">
        <v>345</v>
      </c>
      <c r="AI97" t="s">
        <v>84</v>
      </c>
      <c r="AJ97" t="s">
        <v>84</v>
      </c>
      <c r="AK97" t="s">
        <v>84</v>
      </c>
      <c r="AL97" t="s">
        <v>84</v>
      </c>
      <c r="AM97" t="s">
        <v>87</v>
      </c>
      <c r="AO97" t="s">
        <v>87</v>
      </c>
      <c r="AP97" t="s">
        <v>87</v>
      </c>
      <c r="AQ97" t="s">
        <v>84</v>
      </c>
      <c r="AR97" t="s">
        <v>346</v>
      </c>
      <c r="AS97" t="s">
        <v>87</v>
      </c>
      <c r="AT97" t="s">
        <v>84</v>
      </c>
      <c r="AU97" t="s">
        <v>347</v>
      </c>
      <c r="AW97" t="s">
        <v>89</v>
      </c>
      <c r="AX97" t="s">
        <v>87</v>
      </c>
      <c r="AY97" t="s">
        <v>87</v>
      </c>
      <c r="AZ97" t="s">
        <v>87</v>
      </c>
      <c r="BA97" t="s">
        <v>84</v>
      </c>
      <c r="BB97" t="s">
        <v>84</v>
      </c>
      <c r="BC97" t="s">
        <v>84</v>
      </c>
      <c r="BD97" t="s">
        <v>348</v>
      </c>
      <c r="BE97" t="s">
        <v>84</v>
      </c>
      <c r="BH97" t="s">
        <v>87</v>
      </c>
      <c r="BI97" t="s">
        <v>84</v>
      </c>
      <c r="BJ97" t="s">
        <v>84</v>
      </c>
      <c r="BL97" t="s">
        <v>87</v>
      </c>
      <c r="BM97" t="s">
        <v>84</v>
      </c>
      <c r="BN97" t="s">
        <v>84</v>
      </c>
      <c r="BP97" t="s">
        <v>84</v>
      </c>
      <c r="BQ97" t="s">
        <v>84</v>
      </c>
      <c r="BR97" t="s">
        <v>84</v>
      </c>
      <c r="BS97" t="s">
        <v>84</v>
      </c>
      <c r="BT97" t="s">
        <v>87</v>
      </c>
      <c r="BV97" t="s">
        <v>84</v>
      </c>
      <c r="BW97" t="s">
        <v>84</v>
      </c>
      <c r="BX97" t="s">
        <v>84</v>
      </c>
      <c r="BY97" t="s">
        <v>84</v>
      </c>
      <c r="BZ97" t="s">
        <v>84</v>
      </c>
      <c r="CA97" t="s">
        <v>349</v>
      </c>
      <c r="CB97" t="s">
        <v>84</v>
      </c>
      <c r="CD97" t="s">
        <v>84</v>
      </c>
    </row>
    <row r="98" spans="1:83" x14ac:dyDescent="0.25">
      <c r="A98" t="s">
        <v>201</v>
      </c>
      <c r="B98" t="s">
        <v>202</v>
      </c>
      <c r="C98" t="s">
        <v>203</v>
      </c>
      <c r="D98" t="s">
        <v>204</v>
      </c>
      <c r="E98" t="s">
        <v>1926</v>
      </c>
      <c r="F98" s="1">
        <v>1290</v>
      </c>
      <c r="G98" s="1" t="s">
        <v>94</v>
      </c>
      <c r="H98" t="s">
        <v>95</v>
      </c>
      <c r="I98" t="s">
        <v>84</v>
      </c>
      <c r="J98" t="s">
        <v>84</v>
      </c>
      <c r="K98" t="s">
        <v>84</v>
      </c>
      <c r="L98" t="s">
        <v>84</v>
      </c>
      <c r="M98" t="s">
        <v>84</v>
      </c>
      <c r="N98" t="s">
        <v>84</v>
      </c>
      <c r="O98" t="s">
        <v>87</v>
      </c>
      <c r="Q98" t="s">
        <v>84</v>
      </c>
      <c r="T98" t="s">
        <v>96</v>
      </c>
      <c r="U98" t="s">
        <v>87</v>
      </c>
      <c r="V98" t="s">
        <v>87</v>
      </c>
      <c r="W98" t="s">
        <v>84</v>
      </c>
      <c r="Y98" t="s">
        <v>87</v>
      </c>
      <c r="Z98" t="s">
        <v>87</v>
      </c>
      <c r="AA98" t="s">
        <v>84</v>
      </c>
      <c r="AC98" t="s">
        <v>87</v>
      </c>
      <c r="AD98" t="s">
        <v>84</v>
      </c>
      <c r="AE98" t="s">
        <v>84</v>
      </c>
      <c r="AF98" t="s">
        <v>84</v>
      </c>
      <c r="AG98" t="s">
        <v>84</v>
      </c>
      <c r="AI98" t="s">
        <v>84</v>
      </c>
      <c r="AJ98" t="s">
        <v>84</v>
      </c>
      <c r="AK98" t="s">
        <v>84</v>
      </c>
      <c r="AL98" t="s">
        <v>84</v>
      </c>
      <c r="AM98" t="s">
        <v>87</v>
      </c>
      <c r="AO98" t="s">
        <v>87</v>
      </c>
      <c r="AP98" t="s">
        <v>87</v>
      </c>
      <c r="AQ98" t="s">
        <v>84</v>
      </c>
      <c r="AS98" t="s">
        <v>87</v>
      </c>
      <c r="AT98" t="s">
        <v>84</v>
      </c>
      <c r="AU98" t="s">
        <v>205</v>
      </c>
      <c r="AW98" t="s">
        <v>89</v>
      </c>
      <c r="AX98" t="s">
        <v>87</v>
      </c>
      <c r="AY98" t="s">
        <v>84</v>
      </c>
      <c r="AZ98" t="s">
        <v>84</v>
      </c>
      <c r="BA98" t="s">
        <v>84</v>
      </c>
      <c r="BB98" t="s">
        <v>84</v>
      </c>
      <c r="BC98" t="s">
        <v>87</v>
      </c>
      <c r="BE98" t="s">
        <v>84</v>
      </c>
      <c r="BH98" t="s">
        <v>87</v>
      </c>
      <c r="BI98" t="s">
        <v>84</v>
      </c>
      <c r="BJ98" t="s">
        <v>84</v>
      </c>
      <c r="BL98" t="s">
        <v>87</v>
      </c>
      <c r="BM98" t="s">
        <v>84</v>
      </c>
      <c r="BN98" t="s">
        <v>84</v>
      </c>
      <c r="BP98" t="s">
        <v>84</v>
      </c>
      <c r="BQ98" t="s">
        <v>84</v>
      </c>
      <c r="BR98" t="s">
        <v>84</v>
      </c>
      <c r="BS98" t="s">
        <v>84</v>
      </c>
      <c r="BT98" t="s">
        <v>87</v>
      </c>
      <c r="BV98" t="s">
        <v>87</v>
      </c>
      <c r="BW98" t="s">
        <v>84</v>
      </c>
      <c r="BX98" t="s">
        <v>84</v>
      </c>
      <c r="BY98" t="s">
        <v>84</v>
      </c>
      <c r="BZ98" t="s">
        <v>87</v>
      </c>
      <c r="CB98" t="s">
        <v>84</v>
      </c>
      <c r="CD98" t="s">
        <v>84</v>
      </c>
    </row>
    <row r="99" spans="1:83" x14ac:dyDescent="0.25">
      <c r="A99" t="s">
        <v>250</v>
      </c>
      <c r="B99" t="s">
        <v>251</v>
      </c>
      <c r="C99" t="s">
        <v>252</v>
      </c>
      <c r="D99" t="s">
        <v>253</v>
      </c>
      <c r="E99" t="s">
        <v>1995</v>
      </c>
      <c r="F99" s="1">
        <v>1350</v>
      </c>
      <c r="G99" s="1" t="s">
        <v>84</v>
      </c>
      <c r="I99" t="s">
        <v>85</v>
      </c>
      <c r="J99" t="s">
        <v>85</v>
      </c>
      <c r="K99" t="s">
        <v>85</v>
      </c>
      <c r="L99" t="s">
        <v>85</v>
      </c>
      <c r="M99" t="s">
        <v>85</v>
      </c>
      <c r="N99" t="s">
        <v>85</v>
      </c>
      <c r="O99" t="s">
        <v>85</v>
      </c>
      <c r="Q99" t="s">
        <v>84</v>
      </c>
      <c r="T99" t="s">
        <v>96</v>
      </c>
      <c r="U99" t="s">
        <v>87</v>
      </c>
      <c r="V99" t="s">
        <v>87</v>
      </c>
      <c r="W99" t="s">
        <v>87</v>
      </c>
      <c r="Y99" t="s">
        <v>87</v>
      </c>
      <c r="Z99" t="s">
        <v>87</v>
      </c>
      <c r="AA99" t="s">
        <v>87</v>
      </c>
      <c r="AC99" t="s">
        <v>87</v>
      </c>
      <c r="AD99" t="s">
        <v>84</v>
      </c>
      <c r="AE99" t="s">
        <v>84</v>
      </c>
      <c r="AF99" t="s">
        <v>84</v>
      </c>
      <c r="AG99" t="s">
        <v>87</v>
      </c>
      <c r="AI99" t="s">
        <v>87</v>
      </c>
      <c r="AJ99" t="s">
        <v>84</v>
      </c>
      <c r="AK99" t="s">
        <v>84</v>
      </c>
      <c r="AL99" t="s">
        <v>84</v>
      </c>
      <c r="AM99" t="s">
        <v>84</v>
      </c>
      <c r="AO99" t="s">
        <v>87</v>
      </c>
      <c r="AP99" t="s">
        <v>87</v>
      </c>
      <c r="AQ99" t="s">
        <v>87</v>
      </c>
      <c r="AS99" t="s">
        <v>87</v>
      </c>
      <c r="AT99" t="s">
        <v>84</v>
      </c>
      <c r="AU99" t="s">
        <v>254</v>
      </c>
      <c r="AW99" t="s">
        <v>89</v>
      </c>
      <c r="AX99" t="s">
        <v>87</v>
      </c>
      <c r="AY99" t="s">
        <v>84</v>
      </c>
      <c r="AZ99" t="s">
        <v>87</v>
      </c>
      <c r="BA99" t="s">
        <v>84</v>
      </c>
      <c r="BB99" t="s">
        <v>87</v>
      </c>
      <c r="BC99" t="s">
        <v>84</v>
      </c>
      <c r="BE99" t="s">
        <v>84</v>
      </c>
      <c r="BH99" t="s">
        <v>87</v>
      </c>
      <c r="BI99" t="s">
        <v>84</v>
      </c>
      <c r="BJ99" t="s">
        <v>84</v>
      </c>
      <c r="BL99" t="s">
        <v>87</v>
      </c>
      <c r="BM99" t="s">
        <v>84</v>
      </c>
      <c r="BN99" t="s">
        <v>84</v>
      </c>
      <c r="BP99" t="s">
        <v>87</v>
      </c>
      <c r="BQ99" t="s">
        <v>84</v>
      </c>
      <c r="BR99" t="s">
        <v>84</v>
      </c>
      <c r="BS99" t="s">
        <v>84</v>
      </c>
      <c r="BT99" t="s">
        <v>84</v>
      </c>
      <c r="BV99" t="s">
        <v>87</v>
      </c>
      <c r="BW99" t="s">
        <v>84</v>
      </c>
      <c r="BX99" t="s">
        <v>84</v>
      </c>
      <c r="BY99" t="s">
        <v>84</v>
      </c>
      <c r="BZ99" t="s">
        <v>87</v>
      </c>
      <c r="CB99" t="s">
        <v>94</v>
      </c>
      <c r="CC99" t="s">
        <v>255</v>
      </c>
      <c r="CD99" t="s">
        <v>94</v>
      </c>
      <c r="CE99" t="s">
        <v>256</v>
      </c>
    </row>
    <row r="100" spans="1:83" x14ac:dyDescent="0.25">
      <c r="A100" t="s">
        <v>1873</v>
      </c>
      <c r="B100" t="s">
        <v>1874</v>
      </c>
      <c r="C100" t="s">
        <v>1875</v>
      </c>
      <c r="D100" t="s">
        <v>538</v>
      </c>
      <c r="E100" t="s">
        <v>1925</v>
      </c>
      <c r="F100" s="1">
        <v>1350</v>
      </c>
      <c r="G100" s="1" t="s">
        <v>94</v>
      </c>
      <c r="H100" t="s">
        <v>1876</v>
      </c>
      <c r="I100" t="s">
        <v>87</v>
      </c>
      <c r="J100" t="s">
        <v>84</v>
      </c>
      <c r="K100" t="s">
        <v>84</v>
      </c>
      <c r="L100" t="s">
        <v>84</v>
      </c>
      <c r="M100" t="s">
        <v>84</v>
      </c>
      <c r="N100" t="s">
        <v>84</v>
      </c>
      <c r="O100" t="s">
        <v>84</v>
      </c>
      <c r="Q100" t="s">
        <v>84</v>
      </c>
      <c r="T100" t="s">
        <v>86</v>
      </c>
      <c r="U100" t="s">
        <v>87</v>
      </c>
      <c r="V100" t="s">
        <v>87</v>
      </c>
      <c r="W100" t="s">
        <v>84</v>
      </c>
      <c r="Y100" t="s">
        <v>87</v>
      </c>
      <c r="Z100" t="s">
        <v>87</v>
      </c>
      <c r="AA100" t="s">
        <v>87</v>
      </c>
      <c r="AC100" t="s">
        <v>84</v>
      </c>
      <c r="AD100" t="s">
        <v>87</v>
      </c>
      <c r="AE100" t="s">
        <v>87</v>
      </c>
      <c r="AF100" t="s">
        <v>84</v>
      </c>
      <c r="AG100" t="s">
        <v>87</v>
      </c>
      <c r="AI100" t="s">
        <v>87</v>
      </c>
      <c r="AJ100" t="s">
        <v>84</v>
      </c>
      <c r="AK100" t="s">
        <v>84</v>
      </c>
      <c r="AL100" t="s">
        <v>84</v>
      </c>
      <c r="AM100" t="s">
        <v>84</v>
      </c>
      <c r="AO100" t="s">
        <v>87</v>
      </c>
      <c r="AP100" t="s">
        <v>87</v>
      </c>
      <c r="AQ100" t="s">
        <v>87</v>
      </c>
      <c r="AS100" t="s">
        <v>87</v>
      </c>
      <c r="AT100" t="s">
        <v>84</v>
      </c>
      <c r="AU100" t="s">
        <v>1877</v>
      </c>
      <c r="AW100" t="s">
        <v>89</v>
      </c>
      <c r="AX100" t="s">
        <v>87</v>
      </c>
      <c r="AY100" t="s">
        <v>84</v>
      </c>
      <c r="AZ100" t="s">
        <v>87</v>
      </c>
      <c r="BA100" t="s">
        <v>84</v>
      </c>
      <c r="BB100" t="s">
        <v>84</v>
      </c>
      <c r="BC100" t="s">
        <v>84</v>
      </c>
      <c r="BD100" t="s">
        <v>1878</v>
      </c>
      <c r="BE100" t="s">
        <v>84</v>
      </c>
      <c r="BH100" t="s">
        <v>87</v>
      </c>
      <c r="BI100" t="s">
        <v>84</v>
      </c>
      <c r="BJ100" t="s">
        <v>84</v>
      </c>
      <c r="BL100" t="s">
        <v>87</v>
      </c>
      <c r="BM100" t="s">
        <v>84</v>
      </c>
      <c r="BN100" t="s">
        <v>84</v>
      </c>
      <c r="BP100" t="s">
        <v>87</v>
      </c>
      <c r="BQ100" t="s">
        <v>84</v>
      </c>
      <c r="BR100" t="s">
        <v>84</v>
      </c>
      <c r="BS100" t="s">
        <v>84</v>
      </c>
      <c r="BT100" t="s">
        <v>84</v>
      </c>
      <c r="BV100" t="s">
        <v>87</v>
      </c>
      <c r="BW100" t="s">
        <v>87</v>
      </c>
      <c r="BX100" t="s">
        <v>84</v>
      </c>
      <c r="BY100" t="s">
        <v>84</v>
      </c>
      <c r="BZ100" t="s">
        <v>84</v>
      </c>
      <c r="CB100" t="s">
        <v>84</v>
      </c>
      <c r="CD100" t="s">
        <v>84</v>
      </c>
    </row>
    <row r="101" spans="1:83" x14ac:dyDescent="0.25">
      <c r="A101" t="s">
        <v>707</v>
      </c>
      <c r="B101" t="s">
        <v>708</v>
      </c>
      <c r="C101" t="s">
        <v>709</v>
      </c>
      <c r="D101" t="s">
        <v>137</v>
      </c>
      <c r="E101" t="s">
        <v>1926</v>
      </c>
      <c r="F101" s="1">
        <v>1372</v>
      </c>
      <c r="G101" s="1" t="s">
        <v>94</v>
      </c>
      <c r="H101" t="s">
        <v>710</v>
      </c>
      <c r="I101" t="s">
        <v>87</v>
      </c>
      <c r="J101" t="s">
        <v>84</v>
      </c>
      <c r="K101" t="s">
        <v>84</v>
      </c>
      <c r="L101" t="s">
        <v>84</v>
      </c>
      <c r="M101" t="s">
        <v>84</v>
      </c>
      <c r="N101" t="s">
        <v>84</v>
      </c>
      <c r="O101" t="s">
        <v>84</v>
      </c>
      <c r="Q101" t="s">
        <v>84</v>
      </c>
      <c r="T101" t="s">
        <v>86</v>
      </c>
      <c r="U101" t="s">
        <v>87</v>
      </c>
      <c r="V101" t="s">
        <v>87</v>
      </c>
      <c r="W101" t="s">
        <v>84</v>
      </c>
      <c r="Y101" t="s">
        <v>87</v>
      </c>
      <c r="Z101" t="s">
        <v>87</v>
      </c>
      <c r="AA101" t="s">
        <v>84</v>
      </c>
      <c r="AC101" t="s">
        <v>84</v>
      </c>
      <c r="AD101" t="s">
        <v>84</v>
      </c>
      <c r="AE101" t="s">
        <v>84</v>
      </c>
      <c r="AF101" t="s">
        <v>84</v>
      </c>
      <c r="AG101" t="s">
        <v>87</v>
      </c>
      <c r="AI101" t="s">
        <v>84</v>
      </c>
      <c r="AJ101" t="s">
        <v>84</v>
      </c>
      <c r="AK101" t="s">
        <v>84</v>
      </c>
      <c r="AL101" t="s">
        <v>87</v>
      </c>
      <c r="AM101" t="s">
        <v>84</v>
      </c>
      <c r="AO101" t="s">
        <v>84</v>
      </c>
      <c r="AP101" t="s">
        <v>87</v>
      </c>
      <c r="AQ101" t="s">
        <v>84</v>
      </c>
      <c r="AS101" t="s">
        <v>87</v>
      </c>
      <c r="AT101" t="s">
        <v>84</v>
      </c>
      <c r="AU101" t="s">
        <v>711</v>
      </c>
      <c r="AW101" t="s">
        <v>89</v>
      </c>
      <c r="AX101" t="s">
        <v>87</v>
      </c>
      <c r="AY101" t="s">
        <v>84</v>
      </c>
      <c r="AZ101" t="s">
        <v>84</v>
      </c>
      <c r="BA101" t="s">
        <v>84</v>
      </c>
      <c r="BB101" t="s">
        <v>84</v>
      </c>
      <c r="BC101" t="s">
        <v>87</v>
      </c>
      <c r="BE101" t="s">
        <v>84</v>
      </c>
      <c r="BH101" t="s">
        <v>87</v>
      </c>
      <c r="BI101" t="s">
        <v>84</v>
      </c>
      <c r="BJ101" t="s">
        <v>84</v>
      </c>
      <c r="BL101" t="s">
        <v>87</v>
      </c>
      <c r="BM101" t="s">
        <v>87</v>
      </c>
      <c r="BN101" t="s">
        <v>84</v>
      </c>
      <c r="BP101" t="s">
        <v>84</v>
      </c>
      <c r="BQ101" t="s">
        <v>84</v>
      </c>
      <c r="BR101" t="s">
        <v>84</v>
      </c>
      <c r="BS101" t="s">
        <v>87</v>
      </c>
      <c r="BT101" t="s">
        <v>84</v>
      </c>
      <c r="BV101" t="s">
        <v>87</v>
      </c>
      <c r="BW101" t="s">
        <v>84</v>
      </c>
      <c r="BX101" t="s">
        <v>84</v>
      </c>
      <c r="BY101" t="s">
        <v>84</v>
      </c>
      <c r="BZ101" t="s">
        <v>84</v>
      </c>
      <c r="CB101" t="s">
        <v>84</v>
      </c>
      <c r="CD101" t="s">
        <v>84</v>
      </c>
    </row>
    <row r="102" spans="1:83" x14ac:dyDescent="0.25">
      <c r="A102" t="s">
        <v>1608</v>
      </c>
      <c r="B102" t="s">
        <v>1609</v>
      </c>
      <c r="C102" t="s">
        <v>1610</v>
      </c>
      <c r="D102" t="s">
        <v>204</v>
      </c>
      <c r="E102" t="s">
        <v>1926</v>
      </c>
      <c r="F102" s="1">
        <v>1571</v>
      </c>
      <c r="G102" s="1" t="s">
        <v>94</v>
      </c>
      <c r="H102" t="s">
        <v>95</v>
      </c>
      <c r="I102" t="s">
        <v>84</v>
      </c>
      <c r="J102" t="s">
        <v>84</v>
      </c>
      <c r="K102" t="s">
        <v>84</v>
      </c>
      <c r="L102" t="s">
        <v>84</v>
      </c>
      <c r="M102" t="s">
        <v>84</v>
      </c>
      <c r="N102" t="s">
        <v>84</v>
      </c>
      <c r="O102" t="s">
        <v>87</v>
      </c>
      <c r="Q102" t="s">
        <v>84</v>
      </c>
      <c r="R102" t="s">
        <v>84</v>
      </c>
      <c r="T102" t="s">
        <v>96</v>
      </c>
      <c r="U102" t="s">
        <v>87</v>
      </c>
      <c r="V102" t="s">
        <v>84</v>
      </c>
      <c r="W102" t="s">
        <v>84</v>
      </c>
      <c r="Y102" t="s">
        <v>87</v>
      </c>
      <c r="Z102" t="s">
        <v>84</v>
      </c>
      <c r="AA102" t="s">
        <v>84</v>
      </c>
      <c r="AC102" t="s">
        <v>84</v>
      </c>
      <c r="AD102" t="s">
        <v>84</v>
      </c>
      <c r="AE102" t="s">
        <v>84</v>
      </c>
      <c r="AF102" t="s">
        <v>84</v>
      </c>
      <c r="AG102" t="s">
        <v>87</v>
      </c>
      <c r="AI102" t="s">
        <v>84</v>
      </c>
      <c r="AJ102" t="s">
        <v>84</v>
      </c>
      <c r="AK102" t="s">
        <v>84</v>
      </c>
      <c r="AL102" t="s">
        <v>84</v>
      </c>
      <c r="AM102" t="s">
        <v>87</v>
      </c>
      <c r="AO102" t="s">
        <v>87</v>
      </c>
      <c r="AP102" t="s">
        <v>87</v>
      </c>
      <c r="AQ102" t="s">
        <v>84</v>
      </c>
      <c r="AS102" t="s">
        <v>87</v>
      </c>
      <c r="AT102" t="s">
        <v>84</v>
      </c>
      <c r="AU102" t="s">
        <v>1611</v>
      </c>
      <c r="AW102" t="s">
        <v>89</v>
      </c>
      <c r="AX102" t="s">
        <v>84</v>
      </c>
      <c r="AY102" t="s">
        <v>84</v>
      </c>
      <c r="AZ102" t="s">
        <v>87</v>
      </c>
      <c r="BA102" t="s">
        <v>84</v>
      </c>
      <c r="BB102" t="s">
        <v>84</v>
      </c>
      <c r="BC102" t="s">
        <v>84</v>
      </c>
      <c r="BD102" t="s">
        <v>348</v>
      </c>
      <c r="BE102" t="s">
        <v>84</v>
      </c>
      <c r="BH102" t="s">
        <v>87</v>
      </c>
      <c r="BI102" t="s">
        <v>84</v>
      </c>
      <c r="BJ102" t="s">
        <v>84</v>
      </c>
      <c r="BL102" t="s">
        <v>87</v>
      </c>
      <c r="BM102" t="s">
        <v>84</v>
      </c>
      <c r="BN102" t="s">
        <v>84</v>
      </c>
      <c r="BP102" t="s">
        <v>84</v>
      </c>
      <c r="BQ102" t="s">
        <v>84</v>
      </c>
      <c r="BR102" t="s">
        <v>84</v>
      </c>
      <c r="BS102" t="s">
        <v>84</v>
      </c>
      <c r="BT102" t="s">
        <v>87</v>
      </c>
      <c r="BV102" t="s">
        <v>84</v>
      </c>
      <c r="BW102" t="s">
        <v>84</v>
      </c>
      <c r="BX102" t="s">
        <v>84</v>
      </c>
      <c r="BY102" t="s">
        <v>84</v>
      </c>
      <c r="BZ102" t="s">
        <v>84</v>
      </c>
      <c r="CA102" t="s">
        <v>780</v>
      </c>
      <c r="CB102" t="s">
        <v>94</v>
      </c>
      <c r="CC102" t="s">
        <v>1612</v>
      </c>
      <c r="CD102" t="s">
        <v>84</v>
      </c>
    </row>
    <row r="103" spans="1:83" x14ac:dyDescent="0.25">
      <c r="A103" t="s">
        <v>794</v>
      </c>
      <c r="B103" t="s">
        <v>795</v>
      </c>
      <c r="C103" t="s">
        <v>796</v>
      </c>
      <c r="D103" t="s">
        <v>299</v>
      </c>
      <c r="E103" t="s">
        <v>1999</v>
      </c>
      <c r="F103" s="1">
        <v>1596</v>
      </c>
      <c r="G103" s="1" t="s">
        <v>94</v>
      </c>
      <c r="H103" t="s">
        <v>95</v>
      </c>
      <c r="I103" t="s">
        <v>87</v>
      </c>
      <c r="J103" t="s">
        <v>87</v>
      </c>
      <c r="K103" t="s">
        <v>87</v>
      </c>
      <c r="L103" t="s">
        <v>87</v>
      </c>
      <c r="M103" t="s">
        <v>87</v>
      </c>
      <c r="N103" t="s">
        <v>87</v>
      </c>
      <c r="O103" t="s">
        <v>84</v>
      </c>
      <c r="Q103" t="s">
        <v>84</v>
      </c>
      <c r="T103" t="s">
        <v>96</v>
      </c>
      <c r="U103" t="s">
        <v>87</v>
      </c>
      <c r="V103" t="s">
        <v>84</v>
      </c>
      <c r="W103" t="s">
        <v>84</v>
      </c>
      <c r="Y103" t="s">
        <v>84</v>
      </c>
      <c r="Z103" t="s">
        <v>84</v>
      </c>
      <c r="AA103" t="s">
        <v>84</v>
      </c>
      <c r="AB103" t="s">
        <v>797</v>
      </c>
      <c r="AC103" t="s">
        <v>87</v>
      </c>
      <c r="AD103" t="s">
        <v>84</v>
      </c>
      <c r="AE103" t="s">
        <v>87</v>
      </c>
      <c r="AF103" t="s">
        <v>84</v>
      </c>
      <c r="AG103" t="s">
        <v>87</v>
      </c>
      <c r="AI103" t="s">
        <v>84</v>
      </c>
      <c r="AJ103" t="s">
        <v>84</v>
      </c>
      <c r="AK103" t="s">
        <v>84</v>
      </c>
      <c r="AL103" t="s">
        <v>84</v>
      </c>
      <c r="AM103" t="s">
        <v>84</v>
      </c>
      <c r="AN103" t="s">
        <v>798</v>
      </c>
      <c r="AO103" t="s">
        <v>87</v>
      </c>
      <c r="AP103" t="s">
        <v>87</v>
      </c>
      <c r="AQ103" t="s">
        <v>84</v>
      </c>
      <c r="AS103" t="s">
        <v>87</v>
      </c>
      <c r="AT103" t="s">
        <v>84</v>
      </c>
      <c r="AU103" t="s">
        <v>799</v>
      </c>
      <c r="AW103" t="s">
        <v>89</v>
      </c>
      <c r="AX103" t="s">
        <v>87</v>
      </c>
      <c r="AY103" t="s">
        <v>87</v>
      </c>
      <c r="AZ103" t="s">
        <v>87</v>
      </c>
      <c r="BA103" t="s">
        <v>84</v>
      </c>
      <c r="BB103" t="s">
        <v>84</v>
      </c>
      <c r="BC103" t="s">
        <v>84</v>
      </c>
      <c r="BD103" t="s">
        <v>800</v>
      </c>
      <c r="BE103" t="s">
        <v>84</v>
      </c>
      <c r="BH103" t="s">
        <v>87</v>
      </c>
      <c r="BI103" t="s">
        <v>84</v>
      </c>
      <c r="BJ103" t="s">
        <v>84</v>
      </c>
      <c r="BL103" t="s">
        <v>87</v>
      </c>
      <c r="BM103" t="s">
        <v>87</v>
      </c>
      <c r="BN103" t="s">
        <v>84</v>
      </c>
      <c r="BP103" t="s">
        <v>84</v>
      </c>
      <c r="BQ103" t="s">
        <v>84</v>
      </c>
      <c r="BR103" t="s">
        <v>84</v>
      </c>
      <c r="BS103" t="s">
        <v>84</v>
      </c>
      <c r="BT103" t="s">
        <v>84</v>
      </c>
      <c r="BU103" t="s">
        <v>798</v>
      </c>
      <c r="BV103" t="s">
        <v>87</v>
      </c>
      <c r="BW103" t="s">
        <v>84</v>
      </c>
      <c r="BX103" t="s">
        <v>87</v>
      </c>
      <c r="BY103" t="s">
        <v>84</v>
      </c>
      <c r="BZ103" t="s">
        <v>87</v>
      </c>
      <c r="CB103" t="s">
        <v>94</v>
      </c>
      <c r="CC103" t="s">
        <v>801</v>
      </c>
      <c r="CD103" t="s">
        <v>94</v>
      </c>
      <c r="CE103" t="s">
        <v>802</v>
      </c>
    </row>
    <row r="104" spans="1:83" x14ac:dyDescent="0.25">
      <c r="A104" t="s">
        <v>411</v>
      </c>
      <c r="B104" t="s">
        <v>412</v>
      </c>
      <c r="C104" t="s">
        <v>413</v>
      </c>
      <c r="D104" t="s">
        <v>414</v>
      </c>
      <c r="E104" t="s">
        <v>1928</v>
      </c>
      <c r="F104" s="1">
        <v>1642</v>
      </c>
      <c r="G104" s="1" t="s">
        <v>84</v>
      </c>
      <c r="I104" t="s">
        <v>85</v>
      </c>
      <c r="J104" t="s">
        <v>85</v>
      </c>
      <c r="K104" t="s">
        <v>85</v>
      </c>
      <c r="L104" t="s">
        <v>85</v>
      </c>
      <c r="M104" t="s">
        <v>85</v>
      </c>
      <c r="N104" t="s">
        <v>85</v>
      </c>
      <c r="O104" t="s">
        <v>85</v>
      </c>
      <c r="Q104" t="s">
        <v>94</v>
      </c>
      <c r="S104" t="s">
        <v>415</v>
      </c>
      <c r="T104" t="s">
        <v>86</v>
      </c>
      <c r="U104" t="s">
        <v>87</v>
      </c>
      <c r="V104" t="s">
        <v>87</v>
      </c>
      <c r="W104" t="s">
        <v>84</v>
      </c>
      <c r="Y104" t="s">
        <v>87</v>
      </c>
      <c r="Z104" t="s">
        <v>87</v>
      </c>
      <c r="AA104" t="s">
        <v>84</v>
      </c>
      <c r="AC104" t="s">
        <v>84</v>
      </c>
      <c r="AD104" t="s">
        <v>87</v>
      </c>
      <c r="AE104" t="s">
        <v>84</v>
      </c>
      <c r="AF104" t="s">
        <v>84</v>
      </c>
      <c r="AG104" t="s">
        <v>84</v>
      </c>
      <c r="AI104" t="s">
        <v>87</v>
      </c>
      <c r="AJ104" t="s">
        <v>84</v>
      </c>
      <c r="AK104" t="s">
        <v>84</v>
      </c>
      <c r="AL104" t="s">
        <v>84</v>
      </c>
      <c r="AM104" t="s">
        <v>84</v>
      </c>
      <c r="AO104" t="s">
        <v>87</v>
      </c>
      <c r="AP104" t="s">
        <v>87</v>
      </c>
      <c r="AQ104" t="s">
        <v>87</v>
      </c>
      <c r="AS104" t="s">
        <v>87</v>
      </c>
      <c r="AT104" t="s">
        <v>84</v>
      </c>
      <c r="AU104" t="s">
        <v>416</v>
      </c>
      <c r="AW104" t="s">
        <v>89</v>
      </c>
      <c r="AX104" t="s">
        <v>87</v>
      </c>
      <c r="AY104" t="s">
        <v>84</v>
      </c>
      <c r="AZ104" t="s">
        <v>84</v>
      </c>
      <c r="BA104" t="s">
        <v>84</v>
      </c>
      <c r="BB104" t="s">
        <v>84</v>
      </c>
      <c r="BC104" t="s">
        <v>87</v>
      </c>
      <c r="BE104" t="s">
        <v>84</v>
      </c>
      <c r="BH104" t="s">
        <v>87</v>
      </c>
      <c r="BI104" t="s">
        <v>84</v>
      </c>
      <c r="BJ104" t="s">
        <v>84</v>
      </c>
      <c r="BL104" t="s">
        <v>87</v>
      </c>
      <c r="BM104" t="s">
        <v>84</v>
      </c>
      <c r="BN104" t="s">
        <v>84</v>
      </c>
      <c r="BP104" t="s">
        <v>87</v>
      </c>
      <c r="BQ104" t="s">
        <v>84</v>
      </c>
      <c r="BR104" t="s">
        <v>84</v>
      </c>
      <c r="BS104" t="s">
        <v>84</v>
      </c>
      <c r="BT104" t="s">
        <v>84</v>
      </c>
      <c r="BV104" t="s">
        <v>87</v>
      </c>
      <c r="BW104" t="s">
        <v>87</v>
      </c>
      <c r="BX104" t="s">
        <v>84</v>
      </c>
      <c r="BY104" t="s">
        <v>84</v>
      </c>
      <c r="BZ104" t="s">
        <v>84</v>
      </c>
      <c r="CB104" t="s">
        <v>84</v>
      </c>
      <c r="CD104" t="s">
        <v>84</v>
      </c>
    </row>
    <row r="105" spans="1:83" x14ac:dyDescent="0.25">
      <c r="A105" t="s">
        <v>316</v>
      </c>
      <c r="B105" t="s">
        <v>317</v>
      </c>
      <c r="C105" t="s">
        <v>318</v>
      </c>
      <c r="D105" t="s">
        <v>319</v>
      </c>
      <c r="E105" t="s">
        <v>1994</v>
      </c>
      <c r="F105" s="1">
        <v>1687</v>
      </c>
      <c r="G105" s="1" t="s">
        <v>84</v>
      </c>
      <c r="I105" t="s">
        <v>85</v>
      </c>
      <c r="J105" t="s">
        <v>85</v>
      </c>
      <c r="K105" t="s">
        <v>85</v>
      </c>
      <c r="L105" t="s">
        <v>85</v>
      </c>
      <c r="M105" t="s">
        <v>85</v>
      </c>
      <c r="N105" t="s">
        <v>85</v>
      </c>
      <c r="O105" t="s">
        <v>85</v>
      </c>
      <c r="Q105" t="s">
        <v>84</v>
      </c>
      <c r="T105" t="s">
        <v>86</v>
      </c>
      <c r="U105" t="s">
        <v>87</v>
      </c>
      <c r="V105" t="s">
        <v>84</v>
      </c>
      <c r="W105" t="s">
        <v>84</v>
      </c>
      <c r="Y105" t="s">
        <v>87</v>
      </c>
      <c r="Z105" t="s">
        <v>84</v>
      </c>
      <c r="AA105" t="s">
        <v>84</v>
      </c>
      <c r="AC105" t="s">
        <v>87</v>
      </c>
      <c r="AD105" t="s">
        <v>84</v>
      </c>
      <c r="AE105" t="s">
        <v>84</v>
      </c>
      <c r="AF105" t="s">
        <v>84</v>
      </c>
      <c r="AG105" t="s">
        <v>87</v>
      </c>
      <c r="AI105" t="s">
        <v>87</v>
      </c>
      <c r="AJ105" t="s">
        <v>84</v>
      </c>
      <c r="AK105" t="s">
        <v>84</v>
      </c>
      <c r="AL105" t="s">
        <v>87</v>
      </c>
      <c r="AM105" t="s">
        <v>84</v>
      </c>
      <c r="AO105" t="s">
        <v>84</v>
      </c>
      <c r="AP105" t="s">
        <v>87</v>
      </c>
      <c r="AQ105" t="s">
        <v>84</v>
      </c>
      <c r="AS105" t="s">
        <v>87</v>
      </c>
      <c r="AT105" t="s">
        <v>84</v>
      </c>
      <c r="AU105" t="s">
        <v>320</v>
      </c>
      <c r="AW105" t="s">
        <v>89</v>
      </c>
      <c r="AX105" t="s">
        <v>84</v>
      </c>
      <c r="AY105" t="s">
        <v>84</v>
      </c>
      <c r="AZ105" t="s">
        <v>84</v>
      </c>
      <c r="BA105" t="s">
        <v>87</v>
      </c>
      <c r="BB105" t="s">
        <v>84</v>
      </c>
      <c r="BC105" t="s">
        <v>84</v>
      </c>
      <c r="BD105" t="s">
        <v>321</v>
      </c>
      <c r="BE105" t="s">
        <v>84</v>
      </c>
      <c r="BH105" t="s">
        <v>87</v>
      </c>
      <c r="BI105" t="s">
        <v>84</v>
      </c>
      <c r="BJ105" t="s">
        <v>84</v>
      </c>
      <c r="BL105" t="s">
        <v>87</v>
      </c>
      <c r="BM105" t="s">
        <v>84</v>
      </c>
      <c r="BN105" t="s">
        <v>84</v>
      </c>
      <c r="BP105" t="s">
        <v>87</v>
      </c>
      <c r="BQ105" t="s">
        <v>84</v>
      </c>
      <c r="BR105" t="s">
        <v>84</v>
      </c>
      <c r="BS105" t="s">
        <v>87</v>
      </c>
      <c r="BT105" t="s">
        <v>84</v>
      </c>
      <c r="BV105" t="s">
        <v>87</v>
      </c>
      <c r="BW105" t="s">
        <v>84</v>
      </c>
      <c r="BX105" t="s">
        <v>84</v>
      </c>
      <c r="BY105" t="s">
        <v>84</v>
      </c>
      <c r="BZ105" t="s">
        <v>87</v>
      </c>
      <c r="CB105" t="s">
        <v>84</v>
      </c>
      <c r="CD105" t="s">
        <v>84</v>
      </c>
    </row>
    <row r="106" spans="1:83" x14ac:dyDescent="0.25">
      <c r="A106" t="s">
        <v>759</v>
      </c>
      <c r="B106" t="s">
        <v>760</v>
      </c>
      <c r="C106" t="s">
        <v>761</v>
      </c>
      <c r="D106" t="s">
        <v>734</v>
      </c>
      <c r="E106" t="s">
        <v>734</v>
      </c>
      <c r="F106" s="1">
        <v>1700</v>
      </c>
      <c r="G106" s="1" t="s">
        <v>94</v>
      </c>
      <c r="H106" t="s">
        <v>762</v>
      </c>
      <c r="I106" t="s">
        <v>87</v>
      </c>
      <c r="J106" t="s">
        <v>84</v>
      </c>
      <c r="K106" t="s">
        <v>87</v>
      </c>
      <c r="L106" t="s">
        <v>84</v>
      </c>
      <c r="M106" t="s">
        <v>87</v>
      </c>
      <c r="N106" t="s">
        <v>84</v>
      </c>
      <c r="O106" t="s">
        <v>84</v>
      </c>
      <c r="Q106" t="s">
        <v>84</v>
      </c>
      <c r="R106" t="s">
        <v>84</v>
      </c>
      <c r="T106" t="s">
        <v>86</v>
      </c>
      <c r="U106" t="s">
        <v>87</v>
      </c>
      <c r="V106" t="s">
        <v>87</v>
      </c>
      <c r="W106" t="s">
        <v>84</v>
      </c>
      <c r="Y106" t="s">
        <v>87</v>
      </c>
      <c r="Z106" t="s">
        <v>87</v>
      </c>
      <c r="AA106" t="s">
        <v>84</v>
      </c>
      <c r="AC106" t="s">
        <v>87</v>
      </c>
      <c r="AD106" t="s">
        <v>84</v>
      </c>
      <c r="AE106" t="s">
        <v>87</v>
      </c>
      <c r="AF106" t="s">
        <v>84</v>
      </c>
      <c r="AG106" t="s">
        <v>87</v>
      </c>
      <c r="AI106" t="s">
        <v>84</v>
      </c>
      <c r="AJ106" t="s">
        <v>84</v>
      </c>
      <c r="AK106" t="s">
        <v>84</v>
      </c>
      <c r="AL106" t="s">
        <v>84</v>
      </c>
      <c r="AM106" t="s">
        <v>87</v>
      </c>
      <c r="AO106" t="s">
        <v>87</v>
      </c>
      <c r="AP106" t="s">
        <v>87</v>
      </c>
      <c r="AQ106" t="s">
        <v>84</v>
      </c>
      <c r="AS106" t="s">
        <v>87</v>
      </c>
      <c r="AT106" t="s">
        <v>84</v>
      </c>
      <c r="AU106" t="s">
        <v>763</v>
      </c>
      <c r="AW106" t="s">
        <v>89</v>
      </c>
      <c r="AX106" t="s">
        <v>87</v>
      </c>
      <c r="AY106" t="s">
        <v>87</v>
      </c>
      <c r="AZ106" t="s">
        <v>84</v>
      </c>
      <c r="BA106" t="s">
        <v>84</v>
      </c>
      <c r="BB106" t="s">
        <v>84</v>
      </c>
      <c r="BC106" t="s">
        <v>87</v>
      </c>
      <c r="BE106" t="s">
        <v>84</v>
      </c>
      <c r="BH106" t="s">
        <v>87</v>
      </c>
      <c r="BI106" t="s">
        <v>84</v>
      </c>
      <c r="BJ106" t="s">
        <v>84</v>
      </c>
      <c r="BL106" t="s">
        <v>87</v>
      </c>
      <c r="BM106" t="s">
        <v>84</v>
      </c>
      <c r="BN106" t="s">
        <v>84</v>
      </c>
      <c r="BP106" t="s">
        <v>84</v>
      </c>
      <c r="BQ106" t="s">
        <v>84</v>
      </c>
      <c r="BR106" t="s">
        <v>84</v>
      </c>
      <c r="BS106" t="s">
        <v>84</v>
      </c>
      <c r="BT106" t="s">
        <v>87</v>
      </c>
      <c r="BV106" t="s">
        <v>87</v>
      </c>
      <c r="BW106" t="s">
        <v>84</v>
      </c>
      <c r="BX106" t="s">
        <v>84</v>
      </c>
      <c r="BY106" t="s">
        <v>84</v>
      </c>
      <c r="BZ106" t="s">
        <v>87</v>
      </c>
      <c r="CB106" t="s">
        <v>84</v>
      </c>
      <c r="CD106" t="s">
        <v>94</v>
      </c>
      <c r="CE106" t="s">
        <v>764</v>
      </c>
    </row>
    <row r="107" spans="1:83" x14ac:dyDescent="0.25">
      <c r="A107" t="s">
        <v>535</v>
      </c>
      <c r="B107" t="s">
        <v>536</v>
      </c>
      <c r="C107" t="s">
        <v>537</v>
      </c>
      <c r="D107" t="s">
        <v>538</v>
      </c>
      <c r="E107" t="s">
        <v>1925</v>
      </c>
      <c r="F107" s="1">
        <v>1790</v>
      </c>
      <c r="G107" s="1" t="s">
        <v>84</v>
      </c>
      <c r="I107" t="s">
        <v>85</v>
      </c>
      <c r="J107" t="s">
        <v>85</v>
      </c>
      <c r="K107" t="s">
        <v>85</v>
      </c>
      <c r="L107" t="s">
        <v>85</v>
      </c>
      <c r="M107" t="s">
        <v>85</v>
      </c>
      <c r="N107" t="s">
        <v>85</v>
      </c>
      <c r="O107" t="s">
        <v>85</v>
      </c>
      <c r="Q107" t="s">
        <v>84</v>
      </c>
      <c r="T107" t="s">
        <v>86</v>
      </c>
      <c r="U107" t="s">
        <v>87</v>
      </c>
      <c r="V107" t="s">
        <v>87</v>
      </c>
      <c r="W107" t="s">
        <v>84</v>
      </c>
      <c r="Y107" t="s">
        <v>87</v>
      </c>
      <c r="Z107" t="s">
        <v>87</v>
      </c>
      <c r="AA107" t="s">
        <v>84</v>
      </c>
      <c r="AC107" t="s">
        <v>87</v>
      </c>
      <c r="AD107" t="s">
        <v>87</v>
      </c>
      <c r="AE107" t="s">
        <v>87</v>
      </c>
      <c r="AF107" t="s">
        <v>87</v>
      </c>
      <c r="AG107" t="s">
        <v>87</v>
      </c>
      <c r="AI107" t="s">
        <v>84</v>
      </c>
      <c r="AJ107" t="s">
        <v>84</v>
      </c>
      <c r="AK107" t="s">
        <v>84</v>
      </c>
      <c r="AL107" t="s">
        <v>84</v>
      </c>
      <c r="AM107" t="s">
        <v>87</v>
      </c>
      <c r="AO107" t="s">
        <v>87</v>
      </c>
      <c r="AP107" t="s">
        <v>87</v>
      </c>
      <c r="AQ107" t="s">
        <v>84</v>
      </c>
      <c r="AS107" t="s">
        <v>87</v>
      </c>
      <c r="AT107" t="s">
        <v>84</v>
      </c>
      <c r="AU107" t="s">
        <v>539</v>
      </c>
      <c r="AW107" t="s">
        <v>89</v>
      </c>
      <c r="AX107" t="s">
        <v>87</v>
      </c>
      <c r="AY107" t="s">
        <v>87</v>
      </c>
      <c r="AZ107" t="s">
        <v>84</v>
      </c>
      <c r="BA107" t="s">
        <v>84</v>
      </c>
      <c r="BB107" t="s">
        <v>84</v>
      </c>
      <c r="BC107" t="s">
        <v>87</v>
      </c>
      <c r="BE107" t="s">
        <v>84</v>
      </c>
      <c r="BH107" t="s">
        <v>87</v>
      </c>
      <c r="BI107" t="s">
        <v>84</v>
      </c>
      <c r="BJ107" t="s">
        <v>84</v>
      </c>
      <c r="BL107" t="s">
        <v>87</v>
      </c>
      <c r="BM107" t="s">
        <v>84</v>
      </c>
      <c r="BN107" t="s">
        <v>84</v>
      </c>
      <c r="BP107" t="s">
        <v>84</v>
      </c>
      <c r="BQ107" t="s">
        <v>84</v>
      </c>
      <c r="BR107" t="s">
        <v>84</v>
      </c>
      <c r="BS107" t="s">
        <v>84</v>
      </c>
      <c r="BT107" t="s">
        <v>87</v>
      </c>
      <c r="BV107" t="s">
        <v>87</v>
      </c>
      <c r="BW107" t="s">
        <v>87</v>
      </c>
      <c r="BX107" t="s">
        <v>84</v>
      </c>
      <c r="BY107" t="s">
        <v>84</v>
      </c>
      <c r="BZ107" t="s">
        <v>87</v>
      </c>
      <c r="CB107" t="s">
        <v>84</v>
      </c>
      <c r="CD107" t="s">
        <v>84</v>
      </c>
    </row>
    <row r="108" spans="1:83" x14ac:dyDescent="0.25">
      <c r="A108" t="s">
        <v>1184</v>
      </c>
      <c r="B108" t="s">
        <v>1185</v>
      </c>
      <c r="C108" t="s">
        <v>1186</v>
      </c>
      <c r="D108" t="s">
        <v>991</v>
      </c>
      <c r="E108" t="s">
        <v>1995</v>
      </c>
      <c r="F108" s="1">
        <v>1958</v>
      </c>
      <c r="G108" s="1" t="s">
        <v>84</v>
      </c>
      <c r="I108" t="s">
        <v>85</v>
      </c>
      <c r="J108" t="s">
        <v>85</v>
      </c>
      <c r="K108" t="s">
        <v>85</v>
      </c>
      <c r="L108" t="s">
        <v>85</v>
      </c>
      <c r="M108" t="s">
        <v>85</v>
      </c>
      <c r="N108" t="s">
        <v>85</v>
      </c>
      <c r="O108" t="s">
        <v>85</v>
      </c>
      <c r="Q108" t="s">
        <v>84</v>
      </c>
      <c r="T108" t="s">
        <v>96</v>
      </c>
      <c r="U108" t="s">
        <v>87</v>
      </c>
      <c r="V108" t="s">
        <v>87</v>
      </c>
      <c r="W108" t="s">
        <v>84</v>
      </c>
      <c r="Y108" t="s">
        <v>87</v>
      </c>
      <c r="Z108" t="s">
        <v>87</v>
      </c>
      <c r="AA108" t="s">
        <v>84</v>
      </c>
      <c r="AC108" t="s">
        <v>87</v>
      </c>
      <c r="AD108" t="s">
        <v>84</v>
      </c>
      <c r="AE108" t="s">
        <v>87</v>
      </c>
      <c r="AF108" t="s">
        <v>84</v>
      </c>
      <c r="AG108" t="s">
        <v>87</v>
      </c>
      <c r="AI108" t="s">
        <v>87</v>
      </c>
      <c r="AJ108" t="s">
        <v>84</v>
      </c>
      <c r="AK108" t="s">
        <v>84</v>
      </c>
      <c r="AL108" t="s">
        <v>84</v>
      </c>
      <c r="AM108" t="s">
        <v>84</v>
      </c>
      <c r="AO108" t="s">
        <v>87</v>
      </c>
      <c r="AP108" t="s">
        <v>87</v>
      </c>
      <c r="AQ108" t="s">
        <v>84</v>
      </c>
      <c r="AS108" t="s">
        <v>87</v>
      </c>
      <c r="AT108" t="s">
        <v>84</v>
      </c>
      <c r="AU108" t="s">
        <v>1187</v>
      </c>
      <c r="AW108" t="s">
        <v>89</v>
      </c>
      <c r="AX108" t="s">
        <v>84</v>
      </c>
      <c r="AY108" t="s">
        <v>84</v>
      </c>
      <c r="AZ108" t="s">
        <v>84</v>
      </c>
      <c r="BA108" t="s">
        <v>87</v>
      </c>
      <c r="BB108" t="s">
        <v>84</v>
      </c>
      <c r="BC108" t="s">
        <v>84</v>
      </c>
      <c r="BD108" t="s">
        <v>1188</v>
      </c>
      <c r="BE108" t="s">
        <v>84</v>
      </c>
      <c r="BH108" t="s">
        <v>87</v>
      </c>
      <c r="BI108" t="s">
        <v>84</v>
      </c>
      <c r="BJ108" t="s">
        <v>84</v>
      </c>
      <c r="BL108" t="s">
        <v>87</v>
      </c>
      <c r="BM108" t="s">
        <v>84</v>
      </c>
      <c r="BN108" t="s">
        <v>84</v>
      </c>
      <c r="BP108" t="s">
        <v>87</v>
      </c>
      <c r="BQ108" t="s">
        <v>84</v>
      </c>
      <c r="BR108" t="s">
        <v>84</v>
      </c>
      <c r="BS108" t="s">
        <v>84</v>
      </c>
      <c r="BT108" t="s">
        <v>84</v>
      </c>
      <c r="BV108" t="s">
        <v>87</v>
      </c>
      <c r="BW108" t="s">
        <v>84</v>
      </c>
      <c r="BX108" t="s">
        <v>84</v>
      </c>
      <c r="BY108" t="s">
        <v>84</v>
      </c>
      <c r="BZ108" t="s">
        <v>84</v>
      </c>
      <c r="CB108" t="s">
        <v>84</v>
      </c>
      <c r="CD108" t="s">
        <v>84</v>
      </c>
    </row>
    <row r="109" spans="1:83" x14ac:dyDescent="0.25">
      <c r="A109" t="s">
        <v>691</v>
      </c>
      <c r="B109" t="s">
        <v>692</v>
      </c>
      <c r="C109" t="s">
        <v>693</v>
      </c>
      <c r="D109" t="s">
        <v>319</v>
      </c>
      <c r="E109" t="s">
        <v>1994</v>
      </c>
      <c r="F109" s="1">
        <v>1966</v>
      </c>
      <c r="G109" s="1" t="s">
        <v>94</v>
      </c>
      <c r="H109" t="s">
        <v>694</v>
      </c>
      <c r="I109" t="s">
        <v>87</v>
      </c>
      <c r="J109" t="s">
        <v>87</v>
      </c>
      <c r="K109" t="s">
        <v>87</v>
      </c>
      <c r="L109" t="s">
        <v>87</v>
      </c>
      <c r="M109" t="s">
        <v>87</v>
      </c>
      <c r="N109" t="s">
        <v>87</v>
      </c>
      <c r="O109" t="s">
        <v>87</v>
      </c>
      <c r="P109" t="s">
        <v>695</v>
      </c>
      <c r="Q109" t="s">
        <v>94</v>
      </c>
      <c r="S109" t="s">
        <v>696</v>
      </c>
      <c r="T109" t="s">
        <v>96</v>
      </c>
      <c r="U109" t="s">
        <v>87</v>
      </c>
      <c r="V109" t="s">
        <v>87</v>
      </c>
      <c r="W109" t="s">
        <v>84</v>
      </c>
      <c r="Y109" t="s">
        <v>87</v>
      </c>
      <c r="Z109" t="s">
        <v>87</v>
      </c>
      <c r="AA109" t="s">
        <v>84</v>
      </c>
      <c r="AC109" t="s">
        <v>84</v>
      </c>
      <c r="AD109" t="s">
        <v>87</v>
      </c>
      <c r="AE109" t="s">
        <v>84</v>
      </c>
      <c r="AF109" t="s">
        <v>84</v>
      </c>
      <c r="AG109" t="s">
        <v>87</v>
      </c>
      <c r="AI109" t="s">
        <v>87</v>
      </c>
      <c r="AJ109" t="s">
        <v>84</v>
      </c>
      <c r="AK109" t="s">
        <v>84</v>
      </c>
      <c r="AL109" t="s">
        <v>84</v>
      </c>
      <c r="AM109" t="s">
        <v>84</v>
      </c>
      <c r="AO109" t="s">
        <v>87</v>
      </c>
      <c r="AP109" t="s">
        <v>87</v>
      </c>
      <c r="AQ109" t="s">
        <v>87</v>
      </c>
      <c r="AS109" t="s">
        <v>87</v>
      </c>
      <c r="AT109" t="s">
        <v>84</v>
      </c>
      <c r="AU109" t="s">
        <v>697</v>
      </c>
      <c r="AW109" t="s">
        <v>89</v>
      </c>
      <c r="AX109" t="s">
        <v>87</v>
      </c>
      <c r="AY109" t="s">
        <v>87</v>
      </c>
      <c r="AZ109" t="s">
        <v>87</v>
      </c>
      <c r="BA109" t="s">
        <v>84</v>
      </c>
      <c r="BB109" t="s">
        <v>84</v>
      </c>
      <c r="BC109" t="s">
        <v>84</v>
      </c>
      <c r="BD109" t="s">
        <v>698</v>
      </c>
      <c r="BE109" t="s">
        <v>84</v>
      </c>
      <c r="BH109" t="s">
        <v>87</v>
      </c>
      <c r="BI109" t="s">
        <v>84</v>
      </c>
      <c r="BJ109" t="s">
        <v>84</v>
      </c>
      <c r="BL109" t="s">
        <v>87</v>
      </c>
      <c r="BM109" t="s">
        <v>84</v>
      </c>
      <c r="BN109" t="s">
        <v>84</v>
      </c>
      <c r="BO109" t="s">
        <v>699</v>
      </c>
      <c r="BP109" t="s">
        <v>87</v>
      </c>
      <c r="BQ109" t="s">
        <v>84</v>
      </c>
      <c r="BR109" t="s">
        <v>84</v>
      </c>
      <c r="BS109" t="s">
        <v>84</v>
      </c>
      <c r="BT109" t="s">
        <v>84</v>
      </c>
      <c r="BV109" t="s">
        <v>87</v>
      </c>
      <c r="BW109" t="s">
        <v>87</v>
      </c>
      <c r="BX109" t="s">
        <v>84</v>
      </c>
      <c r="BY109" t="s">
        <v>84</v>
      </c>
      <c r="BZ109" t="s">
        <v>87</v>
      </c>
      <c r="CB109" t="s">
        <v>84</v>
      </c>
      <c r="CD109" t="s">
        <v>84</v>
      </c>
    </row>
    <row r="110" spans="1:83" x14ac:dyDescent="0.25">
      <c r="A110" t="s">
        <v>1675</v>
      </c>
      <c r="B110" t="s">
        <v>1676</v>
      </c>
      <c r="C110" t="s">
        <v>1677</v>
      </c>
      <c r="D110" t="s">
        <v>299</v>
      </c>
      <c r="E110" t="s">
        <v>1999</v>
      </c>
      <c r="F110" s="1">
        <v>1985</v>
      </c>
      <c r="G110" s="1" t="s">
        <v>94</v>
      </c>
      <c r="H110" t="s">
        <v>95</v>
      </c>
      <c r="I110" t="s">
        <v>87</v>
      </c>
      <c r="J110" t="s">
        <v>87</v>
      </c>
      <c r="K110" t="s">
        <v>87</v>
      </c>
      <c r="L110" t="s">
        <v>87</v>
      </c>
      <c r="M110" t="s">
        <v>87</v>
      </c>
      <c r="N110" t="s">
        <v>87</v>
      </c>
      <c r="O110" t="s">
        <v>87</v>
      </c>
      <c r="Q110" t="s">
        <v>84</v>
      </c>
      <c r="T110" t="s">
        <v>86</v>
      </c>
      <c r="U110" t="s">
        <v>87</v>
      </c>
      <c r="V110" t="s">
        <v>87</v>
      </c>
      <c r="W110" t="s">
        <v>84</v>
      </c>
      <c r="Y110" t="s">
        <v>87</v>
      </c>
      <c r="Z110" t="s">
        <v>87</v>
      </c>
      <c r="AA110" t="s">
        <v>84</v>
      </c>
      <c r="AB110" t="s">
        <v>1678</v>
      </c>
      <c r="AC110" t="s">
        <v>87</v>
      </c>
      <c r="AD110" t="s">
        <v>87</v>
      </c>
      <c r="AE110" t="s">
        <v>84</v>
      </c>
      <c r="AF110" t="s">
        <v>84</v>
      </c>
      <c r="AG110" t="s">
        <v>87</v>
      </c>
      <c r="AI110" t="s">
        <v>87</v>
      </c>
      <c r="AJ110" t="s">
        <v>84</v>
      </c>
      <c r="AK110" t="s">
        <v>84</v>
      </c>
      <c r="AL110" t="s">
        <v>84</v>
      </c>
      <c r="AM110" t="s">
        <v>84</v>
      </c>
      <c r="AO110" t="s">
        <v>87</v>
      </c>
      <c r="AP110" t="s">
        <v>87</v>
      </c>
      <c r="AQ110" t="s">
        <v>84</v>
      </c>
      <c r="AR110" t="s">
        <v>1678</v>
      </c>
      <c r="AS110" t="s">
        <v>87</v>
      </c>
      <c r="AT110" t="s">
        <v>84</v>
      </c>
      <c r="AU110" t="s">
        <v>240</v>
      </c>
      <c r="AW110" t="s">
        <v>89</v>
      </c>
      <c r="AX110" t="s">
        <v>87</v>
      </c>
      <c r="AY110" t="s">
        <v>84</v>
      </c>
      <c r="AZ110" t="s">
        <v>84</v>
      </c>
      <c r="BA110" t="s">
        <v>84</v>
      </c>
      <c r="BB110" t="s">
        <v>84</v>
      </c>
      <c r="BC110" t="s">
        <v>84</v>
      </c>
      <c r="BD110" t="s">
        <v>1679</v>
      </c>
      <c r="BE110" t="s">
        <v>84</v>
      </c>
      <c r="BH110" t="s">
        <v>87</v>
      </c>
      <c r="BI110" t="s">
        <v>84</v>
      </c>
      <c r="BJ110" t="s">
        <v>84</v>
      </c>
      <c r="BL110" t="s">
        <v>87</v>
      </c>
      <c r="BM110" t="s">
        <v>84</v>
      </c>
      <c r="BN110" t="s">
        <v>84</v>
      </c>
      <c r="BO110" t="s">
        <v>293</v>
      </c>
      <c r="BP110" t="s">
        <v>87</v>
      </c>
      <c r="BQ110" t="s">
        <v>84</v>
      </c>
      <c r="BR110" t="s">
        <v>84</v>
      </c>
      <c r="BS110" t="s">
        <v>84</v>
      </c>
      <c r="BT110" t="s">
        <v>84</v>
      </c>
      <c r="BV110" t="s">
        <v>87</v>
      </c>
      <c r="BW110" t="s">
        <v>84</v>
      </c>
      <c r="BX110" t="s">
        <v>84</v>
      </c>
      <c r="BY110" t="s">
        <v>84</v>
      </c>
      <c r="BZ110" t="s">
        <v>87</v>
      </c>
      <c r="CB110" t="s">
        <v>84</v>
      </c>
      <c r="CD110" t="s">
        <v>84</v>
      </c>
    </row>
    <row r="111" spans="1:83" x14ac:dyDescent="0.25">
      <c r="A111" t="s">
        <v>465</v>
      </c>
      <c r="B111" t="s">
        <v>466</v>
      </c>
      <c r="C111" t="s">
        <v>467</v>
      </c>
      <c r="D111" t="s">
        <v>170</v>
      </c>
      <c r="E111" t="s">
        <v>1994</v>
      </c>
      <c r="F111" s="1">
        <v>2000</v>
      </c>
      <c r="G111" s="1" t="s">
        <v>94</v>
      </c>
      <c r="H111" t="s">
        <v>95</v>
      </c>
      <c r="I111" t="s">
        <v>87</v>
      </c>
      <c r="J111" t="s">
        <v>84</v>
      </c>
      <c r="K111" t="s">
        <v>84</v>
      </c>
      <c r="L111" t="s">
        <v>84</v>
      </c>
      <c r="M111" t="s">
        <v>87</v>
      </c>
      <c r="N111" t="s">
        <v>84</v>
      </c>
      <c r="O111" t="s">
        <v>84</v>
      </c>
      <c r="Q111" t="s">
        <v>84</v>
      </c>
      <c r="T111" t="s">
        <v>96</v>
      </c>
      <c r="U111" t="s">
        <v>87</v>
      </c>
      <c r="V111" t="s">
        <v>87</v>
      </c>
      <c r="W111" t="s">
        <v>84</v>
      </c>
      <c r="Y111" t="s">
        <v>87</v>
      </c>
      <c r="Z111" t="s">
        <v>87</v>
      </c>
      <c r="AA111" t="s">
        <v>84</v>
      </c>
      <c r="AC111" t="s">
        <v>84</v>
      </c>
      <c r="AD111" t="s">
        <v>84</v>
      </c>
      <c r="AE111" t="s">
        <v>84</v>
      </c>
      <c r="AF111" t="s">
        <v>84</v>
      </c>
      <c r="AG111" t="s">
        <v>87</v>
      </c>
      <c r="AH111" t="s">
        <v>309</v>
      </c>
      <c r="AI111" t="s">
        <v>84</v>
      </c>
      <c r="AJ111" t="s">
        <v>84</v>
      </c>
      <c r="AK111" t="s">
        <v>84</v>
      </c>
      <c r="AL111" t="s">
        <v>87</v>
      </c>
      <c r="AM111" t="s">
        <v>84</v>
      </c>
      <c r="AO111" t="s">
        <v>87</v>
      </c>
      <c r="AP111" t="s">
        <v>87</v>
      </c>
      <c r="AQ111" t="s">
        <v>87</v>
      </c>
      <c r="AS111" t="s">
        <v>87</v>
      </c>
      <c r="AT111" t="s">
        <v>84</v>
      </c>
      <c r="AU111" t="s">
        <v>468</v>
      </c>
      <c r="AW111" t="s">
        <v>89</v>
      </c>
      <c r="AX111" t="s">
        <v>84</v>
      </c>
      <c r="AY111" t="s">
        <v>84</v>
      </c>
      <c r="AZ111" t="s">
        <v>84</v>
      </c>
      <c r="BA111" t="s">
        <v>87</v>
      </c>
      <c r="BB111" t="s">
        <v>84</v>
      </c>
      <c r="BC111" t="s">
        <v>87</v>
      </c>
      <c r="BE111" t="s">
        <v>84</v>
      </c>
      <c r="BH111" t="s">
        <v>87</v>
      </c>
      <c r="BI111" t="s">
        <v>84</v>
      </c>
      <c r="BJ111" t="s">
        <v>84</v>
      </c>
      <c r="BL111" t="s">
        <v>87</v>
      </c>
      <c r="BM111" t="s">
        <v>84</v>
      </c>
      <c r="BN111" t="s">
        <v>84</v>
      </c>
      <c r="BP111" t="s">
        <v>84</v>
      </c>
      <c r="BQ111" t="s">
        <v>84</v>
      </c>
      <c r="BR111" t="s">
        <v>84</v>
      </c>
      <c r="BS111" t="s">
        <v>87</v>
      </c>
      <c r="BT111" t="s">
        <v>84</v>
      </c>
      <c r="BV111" t="s">
        <v>87</v>
      </c>
      <c r="BW111" t="s">
        <v>84</v>
      </c>
      <c r="BX111" t="s">
        <v>84</v>
      </c>
      <c r="BY111" t="s">
        <v>84</v>
      </c>
      <c r="BZ111" t="s">
        <v>87</v>
      </c>
      <c r="CB111" t="s">
        <v>94</v>
      </c>
      <c r="CC111" t="s">
        <v>469</v>
      </c>
      <c r="CD111" t="s">
        <v>84</v>
      </c>
    </row>
    <row r="112" spans="1:83" x14ac:dyDescent="0.25">
      <c r="A112" t="s">
        <v>1497</v>
      </c>
      <c r="B112" t="s">
        <v>1498</v>
      </c>
      <c r="C112" t="s">
        <v>1499</v>
      </c>
      <c r="D112" t="s">
        <v>811</v>
      </c>
      <c r="E112" t="s">
        <v>1997</v>
      </c>
      <c r="F112" s="1">
        <v>2009</v>
      </c>
      <c r="G112" s="1" t="s">
        <v>94</v>
      </c>
      <c r="H112" t="s">
        <v>1500</v>
      </c>
      <c r="I112" t="s">
        <v>87</v>
      </c>
      <c r="J112" t="s">
        <v>84</v>
      </c>
      <c r="K112" t="s">
        <v>84</v>
      </c>
      <c r="L112" t="s">
        <v>87</v>
      </c>
      <c r="M112" t="s">
        <v>87</v>
      </c>
      <c r="N112" t="s">
        <v>84</v>
      </c>
      <c r="O112" t="s">
        <v>84</v>
      </c>
      <c r="Q112" t="s">
        <v>84</v>
      </c>
      <c r="T112" t="s">
        <v>96</v>
      </c>
      <c r="U112" t="s">
        <v>87</v>
      </c>
      <c r="V112" t="s">
        <v>84</v>
      </c>
      <c r="W112" t="s">
        <v>84</v>
      </c>
      <c r="Y112" t="s">
        <v>87</v>
      </c>
      <c r="Z112" t="s">
        <v>84</v>
      </c>
      <c r="AA112" t="s">
        <v>84</v>
      </c>
      <c r="AB112" t="s">
        <v>1501</v>
      </c>
      <c r="AC112" t="s">
        <v>84</v>
      </c>
      <c r="AD112" t="s">
        <v>84</v>
      </c>
      <c r="AE112" t="s">
        <v>84</v>
      </c>
      <c r="AF112" t="s">
        <v>84</v>
      </c>
      <c r="AG112" t="s">
        <v>87</v>
      </c>
      <c r="AI112" t="s">
        <v>87</v>
      </c>
      <c r="AJ112" t="s">
        <v>84</v>
      </c>
      <c r="AK112" t="s">
        <v>84</v>
      </c>
      <c r="AL112" t="s">
        <v>84</v>
      </c>
      <c r="AM112" t="s">
        <v>84</v>
      </c>
      <c r="AO112" t="s">
        <v>87</v>
      </c>
      <c r="AP112" t="s">
        <v>87</v>
      </c>
      <c r="AQ112" t="s">
        <v>84</v>
      </c>
      <c r="AS112" t="s">
        <v>87</v>
      </c>
      <c r="AT112" t="s">
        <v>84</v>
      </c>
      <c r="AU112" t="s">
        <v>1502</v>
      </c>
      <c r="AW112" t="s">
        <v>89</v>
      </c>
      <c r="AX112" t="s">
        <v>87</v>
      </c>
      <c r="AY112" t="s">
        <v>87</v>
      </c>
      <c r="AZ112" t="s">
        <v>84</v>
      </c>
      <c r="BA112" t="s">
        <v>84</v>
      </c>
      <c r="BB112" t="s">
        <v>84</v>
      </c>
      <c r="BC112" t="s">
        <v>84</v>
      </c>
      <c r="BD112" t="s">
        <v>1503</v>
      </c>
      <c r="BE112" t="s">
        <v>84</v>
      </c>
      <c r="BH112" t="s">
        <v>87</v>
      </c>
      <c r="BI112" t="s">
        <v>84</v>
      </c>
      <c r="BJ112" t="s">
        <v>84</v>
      </c>
      <c r="BL112" t="s">
        <v>87</v>
      </c>
      <c r="BM112" t="s">
        <v>84</v>
      </c>
      <c r="BN112" t="s">
        <v>84</v>
      </c>
      <c r="BP112" t="s">
        <v>87</v>
      </c>
      <c r="BQ112" t="s">
        <v>84</v>
      </c>
      <c r="BR112" t="s">
        <v>84</v>
      </c>
      <c r="BS112" t="s">
        <v>84</v>
      </c>
      <c r="BT112" t="s">
        <v>84</v>
      </c>
      <c r="BV112" t="s">
        <v>84</v>
      </c>
      <c r="BW112" t="s">
        <v>84</v>
      </c>
      <c r="BX112" t="s">
        <v>84</v>
      </c>
      <c r="BY112" t="s">
        <v>84</v>
      </c>
      <c r="BZ112" t="s">
        <v>87</v>
      </c>
      <c r="CB112" t="s">
        <v>84</v>
      </c>
      <c r="CD112" t="s">
        <v>84</v>
      </c>
    </row>
    <row r="113" spans="1:82" x14ac:dyDescent="0.25">
      <c r="A113" t="s">
        <v>631</v>
      </c>
      <c r="B113" t="s">
        <v>632</v>
      </c>
      <c r="C113" t="s">
        <v>633</v>
      </c>
      <c r="D113" t="s">
        <v>414</v>
      </c>
      <c r="E113" t="s">
        <v>1928</v>
      </c>
      <c r="F113" s="10">
        <v>2011</v>
      </c>
      <c r="G113" s="1" t="s">
        <v>94</v>
      </c>
      <c r="H113" t="s">
        <v>634</v>
      </c>
      <c r="I113" t="s">
        <v>87</v>
      </c>
      <c r="J113" t="s">
        <v>84</v>
      </c>
      <c r="K113" t="s">
        <v>84</v>
      </c>
      <c r="L113" t="s">
        <v>84</v>
      </c>
      <c r="M113" t="s">
        <v>87</v>
      </c>
      <c r="N113" t="s">
        <v>84</v>
      </c>
      <c r="O113" t="s">
        <v>87</v>
      </c>
      <c r="Q113" t="s">
        <v>84</v>
      </c>
      <c r="T113" t="s">
        <v>96</v>
      </c>
      <c r="U113" t="s">
        <v>87</v>
      </c>
      <c r="V113" t="s">
        <v>84</v>
      </c>
      <c r="W113" t="s">
        <v>84</v>
      </c>
      <c r="Y113" t="s">
        <v>87</v>
      </c>
      <c r="Z113" t="s">
        <v>84</v>
      </c>
      <c r="AA113" t="s">
        <v>84</v>
      </c>
      <c r="AC113" t="s">
        <v>87</v>
      </c>
      <c r="AD113" t="s">
        <v>84</v>
      </c>
      <c r="AE113" t="s">
        <v>84</v>
      </c>
      <c r="AF113" t="s">
        <v>84</v>
      </c>
      <c r="AG113" t="s">
        <v>84</v>
      </c>
      <c r="AH113" t="s">
        <v>635</v>
      </c>
      <c r="AI113" t="s">
        <v>87</v>
      </c>
      <c r="AJ113" t="s">
        <v>84</v>
      </c>
      <c r="AK113" t="s">
        <v>84</v>
      </c>
      <c r="AL113" t="s">
        <v>84</v>
      </c>
      <c r="AM113" t="s">
        <v>84</v>
      </c>
      <c r="AO113" t="s">
        <v>87</v>
      </c>
      <c r="AP113" t="s">
        <v>87</v>
      </c>
      <c r="AQ113" t="s">
        <v>87</v>
      </c>
      <c r="AS113" t="s">
        <v>87</v>
      </c>
      <c r="AT113" t="s">
        <v>84</v>
      </c>
      <c r="AU113" t="s">
        <v>636</v>
      </c>
      <c r="AW113" t="s">
        <v>89</v>
      </c>
      <c r="AX113" t="s">
        <v>87</v>
      </c>
      <c r="AY113" t="s">
        <v>87</v>
      </c>
      <c r="AZ113" t="s">
        <v>87</v>
      </c>
      <c r="BA113" t="s">
        <v>84</v>
      </c>
      <c r="BB113" t="s">
        <v>87</v>
      </c>
      <c r="BC113" t="s">
        <v>84</v>
      </c>
      <c r="BE113" t="s">
        <v>84</v>
      </c>
      <c r="BH113" t="s">
        <v>87</v>
      </c>
      <c r="BI113" t="s">
        <v>84</v>
      </c>
      <c r="BJ113" t="s">
        <v>84</v>
      </c>
      <c r="BL113" t="s">
        <v>87</v>
      </c>
      <c r="BM113" t="s">
        <v>84</v>
      </c>
      <c r="BN113" t="s">
        <v>84</v>
      </c>
      <c r="BP113" t="s">
        <v>87</v>
      </c>
      <c r="BQ113" t="s">
        <v>84</v>
      </c>
      <c r="BR113" t="s">
        <v>84</v>
      </c>
      <c r="BS113" t="s">
        <v>84</v>
      </c>
      <c r="BT113" t="s">
        <v>84</v>
      </c>
      <c r="BV113" t="s">
        <v>87</v>
      </c>
      <c r="BW113" t="s">
        <v>84</v>
      </c>
      <c r="BX113" t="s">
        <v>84</v>
      </c>
      <c r="BY113" t="s">
        <v>84</v>
      </c>
      <c r="BZ113" t="s">
        <v>84</v>
      </c>
      <c r="CB113" t="s">
        <v>84</v>
      </c>
      <c r="CD113" t="s">
        <v>84</v>
      </c>
    </row>
    <row r="114" spans="1:82" x14ac:dyDescent="0.25">
      <c r="A114" t="s">
        <v>1216</v>
      </c>
      <c r="B114" t="s">
        <v>1217</v>
      </c>
      <c r="C114" t="s">
        <v>1218</v>
      </c>
      <c r="D114" t="s">
        <v>425</v>
      </c>
      <c r="E114" t="s">
        <v>1927</v>
      </c>
      <c r="F114" s="1">
        <v>2100</v>
      </c>
      <c r="G114" s="1" t="s">
        <v>84</v>
      </c>
      <c r="I114" t="s">
        <v>85</v>
      </c>
      <c r="J114" t="s">
        <v>85</v>
      </c>
      <c r="K114" t="s">
        <v>85</v>
      </c>
      <c r="L114" t="s">
        <v>85</v>
      </c>
      <c r="M114" t="s">
        <v>85</v>
      </c>
      <c r="N114" t="s">
        <v>85</v>
      </c>
      <c r="O114" t="s">
        <v>85</v>
      </c>
      <c r="Q114" t="s">
        <v>84</v>
      </c>
      <c r="T114" t="s">
        <v>86</v>
      </c>
      <c r="U114" t="s">
        <v>87</v>
      </c>
      <c r="V114" t="s">
        <v>87</v>
      </c>
      <c r="W114" t="s">
        <v>84</v>
      </c>
      <c r="Y114" t="s">
        <v>87</v>
      </c>
      <c r="Z114" t="s">
        <v>87</v>
      </c>
      <c r="AA114" t="s">
        <v>84</v>
      </c>
      <c r="AC114" t="s">
        <v>87</v>
      </c>
      <c r="AD114" t="s">
        <v>84</v>
      </c>
      <c r="AE114" t="s">
        <v>84</v>
      </c>
      <c r="AF114" t="s">
        <v>84</v>
      </c>
      <c r="AG114" t="s">
        <v>87</v>
      </c>
      <c r="AI114" t="s">
        <v>87</v>
      </c>
      <c r="AJ114" t="s">
        <v>84</v>
      </c>
      <c r="AK114" t="s">
        <v>84</v>
      </c>
      <c r="AL114" t="s">
        <v>84</v>
      </c>
      <c r="AM114" t="s">
        <v>84</v>
      </c>
      <c r="AO114" t="s">
        <v>87</v>
      </c>
      <c r="AP114" t="s">
        <v>87</v>
      </c>
      <c r="AQ114" t="s">
        <v>84</v>
      </c>
      <c r="AS114" t="s">
        <v>87</v>
      </c>
      <c r="AT114" t="s">
        <v>84</v>
      </c>
      <c r="AU114" t="s">
        <v>1219</v>
      </c>
      <c r="AW114" t="s">
        <v>89</v>
      </c>
      <c r="AX114" t="s">
        <v>87</v>
      </c>
      <c r="AY114" t="s">
        <v>84</v>
      </c>
      <c r="AZ114" t="s">
        <v>84</v>
      </c>
      <c r="BA114" t="s">
        <v>84</v>
      </c>
      <c r="BB114" t="s">
        <v>84</v>
      </c>
      <c r="BC114" t="s">
        <v>87</v>
      </c>
      <c r="BE114" t="s">
        <v>84</v>
      </c>
      <c r="BH114" t="s">
        <v>87</v>
      </c>
      <c r="BI114" t="s">
        <v>84</v>
      </c>
      <c r="BJ114" t="s">
        <v>84</v>
      </c>
      <c r="BL114" t="s">
        <v>87</v>
      </c>
      <c r="BM114" t="s">
        <v>87</v>
      </c>
      <c r="BN114" t="s">
        <v>84</v>
      </c>
      <c r="BP114" t="s">
        <v>84</v>
      </c>
      <c r="BQ114" t="s">
        <v>84</v>
      </c>
      <c r="BR114" t="s">
        <v>84</v>
      </c>
      <c r="BS114" t="s">
        <v>87</v>
      </c>
      <c r="BT114" t="s">
        <v>84</v>
      </c>
      <c r="BV114" t="s">
        <v>87</v>
      </c>
      <c r="BW114" t="s">
        <v>84</v>
      </c>
      <c r="BX114" t="s">
        <v>87</v>
      </c>
      <c r="BY114" t="s">
        <v>84</v>
      </c>
      <c r="BZ114" t="s">
        <v>84</v>
      </c>
      <c r="CB114" t="s">
        <v>84</v>
      </c>
      <c r="CD114" t="s">
        <v>84</v>
      </c>
    </row>
    <row r="115" spans="1:82" x14ac:dyDescent="0.25">
      <c r="A115" t="s">
        <v>1630</v>
      </c>
      <c r="B115" t="s">
        <v>1631</v>
      </c>
      <c r="C115" t="s">
        <v>1632</v>
      </c>
      <c r="D115" t="s">
        <v>952</v>
      </c>
      <c r="E115" t="s">
        <v>1924</v>
      </c>
      <c r="F115" s="1">
        <v>2107</v>
      </c>
      <c r="G115" s="1" t="s">
        <v>94</v>
      </c>
      <c r="H115" t="s">
        <v>1633</v>
      </c>
      <c r="I115" t="s">
        <v>87</v>
      </c>
      <c r="J115" t="s">
        <v>84</v>
      </c>
      <c r="K115" t="s">
        <v>84</v>
      </c>
      <c r="L115" t="s">
        <v>84</v>
      </c>
      <c r="M115" t="s">
        <v>84</v>
      </c>
      <c r="N115" t="s">
        <v>84</v>
      </c>
      <c r="O115" t="s">
        <v>84</v>
      </c>
      <c r="Q115" t="s">
        <v>84</v>
      </c>
      <c r="T115" t="s">
        <v>96</v>
      </c>
      <c r="U115" t="s">
        <v>87</v>
      </c>
      <c r="V115" t="s">
        <v>84</v>
      </c>
      <c r="W115" t="s">
        <v>84</v>
      </c>
      <c r="Y115" t="s">
        <v>87</v>
      </c>
      <c r="Z115" t="s">
        <v>87</v>
      </c>
      <c r="AA115" t="s">
        <v>84</v>
      </c>
      <c r="AB115" t="s">
        <v>337</v>
      </c>
      <c r="AC115" t="s">
        <v>87</v>
      </c>
      <c r="AD115" t="s">
        <v>84</v>
      </c>
      <c r="AE115" t="s">
        <v>84</v>
      </c>
      <c r="AF115" t="s">
        <v>84</v>
      </c>
      <c r="AG115" t="s">
        <v>87</v>
      </c>
      <c r="AH115" t="s">
        <v>1634</v>
      </c>
      <c r="AI115" t="s">
        <v>87</v>
      </c>
      <c r="AJ115" t="s">
        <v>84</v>
      </c>
      <c r="AK115" t="s">
        <v>84</v>
      </c>
      <c r="AL115" t="s">
        <v>87</v>
      </c>
      <c r="AM115" t="s">
        <v>84</v>
      </c>
      <c r="AO115" t="s">
        <v>87</v>
      </c>
      <c r="AP115" t="s">
        <v>87</v>
      </c>
      <c r="AQ115" t="s">
        <v>84</v>
      </c>
      <c r="AS115" t="s">
        <v>87</v>
      </c>
      <c r="AT115" t="s">
        <v>84</v>
      </c>
      <c r="AU115" t="s">
        <v>1635</v>
      </c>
      <c r="AW115" t="s">
        <v>89</v>
      </c>
      <c r="AX115" t="s">
        <v>87</v>
      </c>
      <c r="AY115" t="s">
        <v>84</v>
      </c>
      <c r="AZ115" t="s">
        <v>84</v>
      </c>
      <c r="BA115" t="s">
        <v>84</v>
      </c>
      <c r="BB115" t="s">
        <v>84</v>
      </c>
      <c r="BC115" t="s">
        <v>87</v>
      </c>
      <c r="BE115" t="s">
        <v>84</v>
      </c>
      <c r="BH115" t="s">
        <v>87</v>
      </c>
      <c r="BI115" t="s">
        <v>84</v>
      </c>
      <c r="BJ115" t="s">
        <v>84</v>
      </c>
      <c r="BL115" t="s">
        <v>87</v>
      </c>
      <c r="BM115" t="s">
        <v>87</v>
      </c>
      <c r="BN115" t="s">
        <v>84</v>
      </c>
      <c r="BO115" t="s">
        <v>1636</v>
      </c>
      <c r="BP115" t="s">
        <v>87</v>
      </c>
      <c r="BQ115" t="s">
        <v>84</v>
      </c>
      <c r="BR115" t="s">
        <v>84</v>
      </c>
      <c r="BS115" t="s">
        <v>87</v>
      </c>
      <c r="BT115" t="s">
        <v>84</v>
      </c>
      <c r="BV115" t="s">
        <v>87</v>
      </c>
      <c r="BW115" t="s">
        <v>84</v>
      </c>
      <c r="BX115" t="s">
        <v>84</v>
      </c>
      <c r="BY115" t="s">
        <v>84</v>
      </c>
      <c r="BZ115" t="s">
        <v>87</v>
      </c>
      <c r="CA115" t="s">
        <v>1637</v>
      </c>
      <c r="CB115" t="s">
        <v>94</v>
      </c>
      <c r="CC115" t="s">
        <v>1638</v>
      </c>
      <c r="CD115" t="s">
        <v>84</v>
      </c>
    </row>
    <row r="116" spans="1:82" x14ac:dyDescent="0.25">
      <c r="A116" t="s">
        <v>1784</v>
      </c>
      <c r="B116" t="s">
        <v>1785</v>
      </c>
      <c r="C116" t="s">
        <v>1786</v>
      </c>
      <c r="D116" t="s">
        <v>952</v>
      </c>
      <c r="E116" t="s">
        <v>1924</v>
      </c>
      <c r="F116" s="1">
        <v>2111</v>
      </c>
      <c r="G116" s="1" t="s">
        <v>84</v>
      </c>
      <c r="I116" t="s">
        <v>85</v>
      </c>
      <c r="J116" t="s">
        <v>85</v>
      </c>
      <c r="K116" t="s">
        <v>85</v>
      </c>
      <c r="L116" t="s">
        <v>85</v>
      </c>
      <c r="M116" t="s">
        <v>85</v>
      </c>
      <c r="N116" t="s">
        <v>85</v>
      </c>
      <c r="O116" t="s">
        <v>85</v>
      </c>
      <c r="Q116" t="s">
        <v>84</v>
      </c>
      <c r="T116" t="s">
        <v>86</v>
      </c>
      <c r="U116" t="s">
        <v>87</v>
      </c>
      <c r="V116" t="s">
        <v>87</v>
      </c>
      <c r="W116" t="s">
        <v>84</v>
      </c>
      <c r="Y116" t="s">
        <v>87</v>
      </c>
      <c r="Z116" t="s">
        <v>87</v>
      </c>
      <c r="AA116" t="s">
        <v>84</v>
      </c>
      <c r="AC116" t="s">
        <v>87</v>
      </c>
      <c r="AD116" t="s">
        <v>84</v>
      </c>
      <c r="AE116" t="s">
        <v>84</v>
      </c>
      <c r="AF116" t="s">
        <v>84</v>
      </c>
      <c r="AG116" t="s">
        <v>87</v>
      </c>
      <c r="AI116" t="s">
        <v>84</v>
      </c>
      <c r="AJ116" t="s">
        <v>84</v>
      </c>
      <c r="AK116" t="s">
        <v>84</v>
      </c>
      <c r="AL116" t="s">
        <v>84</v>
      </c>
      <c r="AM116" t="s">
        <v>87</v>
      </c>
      <c r="AO116" t="s">
        <v>87</v>
      </c>
      <c r="AP116" t="s">
        <v>87</v>
      </c>
      <c r="AQ116" t="s">
        <v>87</v>
      </c>
      <c r="AS116" t="s">
        <v>87</v>
      </c>
      <c r="AT116" t="s">
        <v>84</v>
      </c>
      <c r="AU116" t="s">
        <v>1787</v>
      </c>
      <c r="AW116" t="s">
        <v>89</v>
      </c>
      <c r="AX116" t="s">
        <v>87</v>
      </c>
      <c r="AY116" t="s">
        <v>84</v>
      </c>
      <c r="AZ116" t="s">
        <v>84</v>
      </c>
      <c r="BA116" t="s">
        <v>84</v>
      </c>
      <c r="BB116" t="s">
        <v>87</v>
      </c>
      <c r="BC116" t="s">
        <v>84</v>
      </c>
      <c r="BE116" t="s">
        <v>84</v>
      </c>
      <c r="BH116" t="s">
        <v>87</v>
      </c>
      <c r="BI116" t="s">
        <v>84</v>
      </c>
      <c r="BJ116" t="s">
        <v>84</v>
      </c>
      <c r="BL116" t="s">
        <v>87</v>
      </c>
      <c r="BM116" t="s">
        <v>84</v>
      </c>
      <c r="BN116" t="s">
        <v>84</v>
      </c>
      <c r="BP116" t="s">
        <v>84</v>
      </c>
      <c r="BQ116" t="s">
        <v>84</v>
      </c>
      <c r="BR116" t="s">
        <v>84</v>
      </c>
      <c r="BS116" t="s">
        <v>87</v>
      </c>
      <c r="BT116" t="s">
        <v>84</v>
      </c>
      <c r="BV116" t="s">
        <v>84</v>
      </c>
      <c r="BW116" t="s">
        <v>84</v>
      </c>
      <c r="BX116" t="s">
        <v>84</v>
      </c>
      <c r="BY116" t="s">
        <v>84</v>
      </c>
      <c r="BZ116" t="s">
        <v>84</v>
      </c>
      <c r="CA116" t="s">
        <v>1788</v>
      </c>
      <c r="CB116" t="s">
        <v>94</v>
      </c>
      <c r="CC116" t="s">
        <v>1789</v>
      </c>
      <c r="CD116" t="s">
        <v>84</v>
      </c>
    </row>
    <row r="117" spans="1:82" x14ac:dyDescent="0.25">
      <c r="A117" t="s">
        <v>1165</v>
      </c>
      <c r="B117" t="s">
        <v>1166</v>
      </c>
      <c r="C117" t="s">
        <v>1167</v>
      </c>
      <c r="D117" t="s">
        <v>1168</v>
      </c>
      <c r="E117" t="s">
        <v>1924</v>
      </c>
      <c r="F117" s="1">
        <v>2117</v>
      </c>
      <c r="G117" s="1" t="s">
        <v>94</v>
      </c>
      <c r="H117" t="s">
        <v>1169</v>
      </c>
      <c r="I117" t="s">
        <v>87</v>
      </c>
      <c r="J117" t="s">
        <v>84</v>
      </c>
      <c r="K117" t="s">
        <v>84</v>
      </c>
      <c r="L117" t="s">
        <v>84</v>
      </c>
      <c r="M117" t="s">
        <v>84</v>
      </c>
      <c r="N117" t="s">
        <v>84</v>
      </c>
      <c r="O117" t="s">
        <v>84</v>
      </c>
      <c r="Q117" t="s">
        <v>84</v>
      </c>
      <c r="T117" t="s">
        <v>96</v>
      </c>
      <c r="U117" t="s">
        <v>87</v>
      </c>
      <c r="V117" t="s">
        <v>84</v>
      </c>
      <c r="W117" t="s">
        <v>84</v>
      </c>
      <c r="Y117" t="s">
        <v>87</v>
      </c>
      <c r="Z117" t="s">
        <v>87</v>
      </c>
      <c r="AA117" t="s">
        <v>84</v>
      </c>
      <c r="AB117" t="s">
        <v>1170</v>
      </c>
      <c r="AC117" t="s">
        <v>87</v>
      </c>
      <c r="AD117" t="s">
        <v>84</v>
      </c>
      <c r="AE117" t="s">
        <v>87</v>
      </c>
      <c r="AF117" t="s">
        <v>84</v>
      </c>
      <c r="AG117" t="s">
        <v>84</v>
      </c>
      <c r="AH117" t="s">
        <v>1171</v>
      </c>
      <c r="AI117" t="s">
        <v>87</v>
      </c>
      <c r="AJ117" t="s">
        <v>84</v>
      </c>
      <c r="AK117" t="s">
        <v>84</v>
      </c>
      <c r="AL117" t="s">
        <v>84</v>
      </c>
      <c r="AM117" t="s">
        <v>84</v>
      </c>
      <c r="AO117" t="s">
        <v>87</v>
      </c>
      <c r="AP117" t="s">
        <v>87</v>
      </c>
      <c r="AQ117" t="s">
        <v>84</v>
      </c>
      <c r="AS117" t="s">
        <v>87</v>
      </c>
      <c r="AT117" t="s">
        <v>84</v>
      </c>
      <c r="AU117" t="s">
        <v>757</v>
      </c>
      <c r="AW117" t="s">
        <v>89</v>
      </c>
      <c r="AX117" t="s">
        <v>84</v>
      </c>
      <c r="AY117" t="s">
        <v>84</v>
      </c>
      <c r="AZ117" t="s">
        <v>87</v>
      </c>
      <c r="BA117" t="s">
        <v>84</v>
      </c>
      <c r="BB117" t="s">
        <v>84</v>
      </c>
      <c r="BC117" t="s">
        <v>84</v>
      </c>
      <c r="BD117" t="s">
        <v>266</v>
      </c>
      <c r="BE117" t="s">
        <v>84</v>
      </c>
      <c r="BH117" t="s">
        <v>87</v>
      </c>
      <c r="BI117" t="s">
        <v>84</v>
      </c>
      <c r="BJ117" t="s">
        <v>84</v>
      </c>
      <c r="BL117" t="s">
        <v>87</v>
      </c>
      <c r="BM117" t="s">
        <v>84</v>
      </c>
      <c r="BN117" t="s">
        <v>84</v>
      </c>
      <c r="BP117" t="s">
        <v>87</v>
      </c>
      <c r="BQ117" t="s">
        <v>84</v>
      </c>
      <c r="BR117" t="s">
        <v>84</v>
      </c>
      <c r="BS117" t="s">
        <v>84</v>
      </c>
      <c r="BT117" t="s">
        <v>84</v>
      </c>
      <c r="BV117" t="s">
        <v>87</v>
      </c>
      <c r="BW117" t="s">
        <v>84</v>
      </c>
      <c r="BX117" t="s">
        <v>84</v>
      </c>
      <c r="BY117" t="s">
        <v>84</v>
      </c>
      <c r="BZ117" t="s">
        <v>84</v>
      </c>
      <c r="CB117" t="s">
        <v>84</v>
      </c>
      <c r="CD117" t="s">
        <v>84</v>
      </c>
    </row>
    <row r="118" spans="1:82" x14ac:dyDescent="0.25">
      <c r="A118" t="s">
        <v>90</v>
      </c>
      <c r="B118" t="s">
        <v>91</v>
      </c>
      <c r="C118" t="s">
        <v>92</v>
      </c>
      <c r="D118" t="s">
        <v>93</v>
      </c>
      <c r="E118" t="s">
        <v>1996</v>
      </c>
      <c r="F118" s="1">
        <v>2220</v>
      </c>
      <c r="G118" s="1" t="s">
        <v>94</v>
      </c>
      <c r="H118" t="s">
        <v>95</v>
      </c>
      <c r="I118" t="s">
        <v>87</v>
      </c>
      <c r="J118" t="s">
        <v>84</v>
      </c>
      <c r="K118" t="s">
        <v>84</v>
      </c>
      <c r="L118" t="s">
        <v>84</v>
      </c>
      <c r="M118" t="s">
        <v>84</v>
      </c>
      <c r="N118" t="s">
        <v>84</v>
      </c>
      <c r="O118" t="s">
        <v>84</v>
      </c>
      <c r="Q118" t="s">
        <v>84</v>
      </c>
      <c r="T118" t="s">
        <v>96</v>
      </c>
      <c r="U118" t="s">
        <v>87</v>
      </c>
      <c r="V118" t="s">
        <v>87</v>
      </c>
      <c r="W118" t="s">
        <v>84</v>
      </c>
      <c r="X118" t="s">
        <v>97</v>
      </c>
      <c r="Y118" t="s">
        <v>87</v>
      </c>
      <c r="Z118" t="s">
        <v>87</v>
      </c>
      <c r="AA118" t="s">
        <v>84</v>
      </c>
      <c r="AB118" t="s">
        <v>97</v>
      </c>
      <c r="AC118" t="s">
        <v>84</v>
      </c>
      <c r="AD118" t="s">
        <v>84</v>
      </c>
      <c r="AE118" t="s">
        <v>84</v>
      </c>
      <c r="AF118" t="s">
        <v>87</v>
      </c>
      <c r="AG118" t="s">
        <v>87</v>
      </c>
      <c r="AH118" t="s">
        <v>98</v>
      </c>
      <c r="AI118" t="s">
        <v>84</v>
      </c>
      <c r="AJ118" t="s">
        <v>84</v>
      </c>
      <c r="AK118" t="s">
        <v>84</v>
      </c>
      <c r="AL118" t="s">
        <v>87</v>
      </c>
      <c r="AM118" t="s">
        <v>84</v>
      </c>
      <c r="AO118" t="s">
        <v>87</v>
      </c>
      <c r="AP118" t="s">
        <v>87</v>
      </c>
      <c r="AQ118" t="s">
        <v>84</v>
      </c>
      <c r="AR118" t="s">
        <v>97</v>
      </c>
      <c r="AS118" t="s">
        <v>87</v>
      </c>
      <c r="AT118" t="s">
        <v>84</v>
      </c>
      <c r="AU118" t="s">
        <v>99</v>
      </c>
      <c r="AW118" t="s">
        <v>89</v>
      </c>
      <c r="AX118" t="s">
        <v>87</v>
      </c>
      <c r="AY118" t="s">
        <v>84</v>
      </c>
      <c r="AZ118" t="s">
        <v>84</v>
      </c>
      <c r="BA118" t="s">
        <v>84</v>
      </c>
      <c r="BB118" t="s">
        <v>84</v>
      </c>
      <c r="BC118" t="s">
        <v>84</v>
      </c>
      <c r="BD118" t="s">
        <v>100</v>
      </c>
      <c r="BE118" t="s">
        <v>84</v>
      </c>
      <c r="BH118" t="s">
        <v>87</v>
      </c>
      <c r="BI118" t="s">
        <v>84</v>
      </c>
      <c r="BJ118" t="s">
        <v>84</v>
      </c>
      <c r="BL118" t="s">
        <v>87</v>
      </c>
      <c r="BM118" t="s">
        <v>84</v>
      </c>
      <c r="BN118" t="s">
        <v>84</v>
      </c>
      <c r="BP118" t="s">
        <v>84</v>
      </c>
      <c r="BQ118" t="s">
        <v>84</v>
      </c>
      <c r="BR118" t="s">
        <v>84</v>
      </c>
      <c r="BS118" t="s">
        <v>87</v>
      </c>
      <c r="BT118" t="s">
        <v>84</v>
      </c>
      <c r="BV118" t="s">
        <v>87</v>
      </c>
      <c r="BW118" t="s">
        <v>84</v>
      </c>
      <c r="BX118" t="s">
        <v>87</v>
      </c>
      <c r="BY118" t="s">
        <v>84</v>
      </c>
      <c r="BZ118" t="s">
        <v>87</v>
      </c>
      <c r="CB118" t="s">
        <v>84</v>
      </c>
      <c r="CD118" t="s">
        <v>84</v>
      </c>
    </row>
    <row r="119" spans="1:82" x14ac:dyDescent="0.25">
      <c r="A119" t="s">
        <v>1005</v>
      </c>
      <c r="B119" t="s">
        <v>1006</v>
      </c>
      <c r="C119" t="s">
        <v>1007</v>
      </c>
      <c r="D119" t="s">
        <v>104</v>
      </c>
      <c r="E119" t="s">
        <v>1926</v>
      </c>
      <c r="F119" s="1">
        <v>2239</v>
      </c>
      <c r="G119" s="1" t="s">
        <v>94</v>
      </c>
      <c r="H119" t="s">
        <v>1008</v>
      </c>
      <c r="I119" t="s">
        <v>87</v>
      </c>
      <c r="J119" t="s">
        <v>84</v>
      </c>
      <c r="K119" t="s">
        <v>84</v>
      </c>
      <c r="L119" t="s">
        <v>84</v>
      </c>
      <c r="M119" t="s">
        <v>87</v>
      </c>
      <c r="N119" t="s">
        <v>84</v>
      </c>
      <c r="O119" t="s">
        <v>84</v>
      </c>
      <c r="Q119" t="s">
        <v>84</v>
      </c>
      <c r="T119" t="s">
        <v>86</v>
      </c>
      <c r="U119" t="s">
        <v>87</v>
      </c>
      <c r="V119" t="s">
        <v>84</v>
      </c>
      <c r="W119" t="s">
        <v>84</v>
      </c>
      <c r="Y119" t="s">
        <v>87</v>
      </c>
      <c r="Z119" t="s">
        <v>84</v>
      </c>
      <c r="AA119" t="s">
        <v>87</v>
      </c>
      <c r="AC119" t="s">
        <v>84</v>
      </c>
      <c r="AD119" t="s">
        <v>87</v>
      </c>
      <c r="AE119" t="s">
        <v>84</v>
      </c>
      <c r="AF119" t="s">
        <v>84</v>
      </c>
      <c r="AG119" t="s">
        <v>84</v>
      </c>
      <c r="AI119" t="s">
        <v>84</v>
      </c>
      <c r="AJ119" t="s">
        <v>84</v>
      </c>
      <c r="AK119" t="s">
        <v>84</v>
      </c>
      <c r="AL119" t="s">
        <v>84</v>
      </c>
      <c r="AM119" t="s">
        <v>87</v>
      </c>
      <c r="AO119" t="s">
        <v>87</v>
      </c>
      <c r="AP119" t="s">
        <v>87</v>
      </c>
      <c r="AQ119" t="s">
        <v>84</v>
      </c>
      <c r="AS119" t="s">
        <v>87</v>
      </c>
      <c r="AT119" t="s">
        <v>84</v>
      </c>
      <c r="AU119" t="s">
        <v>84</v>
      </c>
      <c r="AW119" t="s">
        <v>89</v>
      </c>
      <c r="AX119" t="s">
        <v>87</v>
      </c>
      <c r="AY119" t="s">
        <v>84</v>
      </c>
      <c r="AZ119" t="s">
        <v>84</v>
      </c>
      <c r="BA119" t="s">
        <v>84</v>
      </c>
      <c r="BB119" t="s">
        <v>87</v>
      </c>
      <c r="BC119" t="s">
        <v>84</v>
      </c>
      <c r="BE119" t="s">
        <v>84</v>
      </c>
      <c r="BH119" t="s">
        <v>87</v>
      </c>
      <c r="BI119" t="s">
        <v>84</v>
      </c>
      <c r="BJ119" t="s">
        <v>84</v>
      </c>
      <c r="BL119" t="s">
        <v>87</v>
      </c>
      <c r="BM119" t="s">
        <v>87</v>
      </c>
      <c r="BN119" t="s">
        <v>84</v>
      </c>
      <c r="BP119" t="s">
        <v>84</v>
      </c>
      <c r="BQ119" t="s">
        <v>84</v>
      </c>
      <c r="BR119" t="s">
        <v>84</v>
      </c>
      <c r="BS119" t="s">
        <v>84</v>
      </c>
      <c r="BT119" t="s">
        <v>87</v>
      </c>
      <c r="BV119" t="s">
        <v>87</v>
      </c>
      <c r="BW119" t="s">
        <v>84</v>
      </c>
      <c r="BX119" t="s">
        <v>87</v>
      </c>
      <c r="BY119" t="s">
        <v>84</v>
      </c>
      <c r="BZ119" t="s">
        <v>84</v>
      </c>
      <c r="CB119" t="s">
        <v>84</v>
      </c>
      <c r="CD119" t="s">
        <v>84</v>
      </c>
    </row>
    <row r="120" spans="1:82" x14ac:dyDescent="0.25">
      <c r="A120" t="s">
        <v>1647</v>
      </c>
      <c r="B120" t="s">
        <v>1648</v>
      </c>
      <c r="C120" t="s">
        <v>1649</v>
      </c>
      <c r="D120" t="s">
        <v>120</v>
      </c>
      <c r="E120" t="s">
        <v>1925</v>
      </c>
      <c r="F120" s="1">
        <v>2251</v>
      </c>
      <c r="G120" s="1" t="s">
        <v>84</v>
      </c>
      <c r="I120" t="s">
        <v>85</v>
      </c>
      <c r="J120" t="s">
        <v>85</v>
      </c>
      <c r="K120" t="s">
        <v>85</v>
      </c>
      <c r="L120" t="s">
        <v>85</v>
      </c>
      <c r="M120" t="s">
        <v>85</v>
      </c>
      <c r="N120" t="s">
        <v>85</v>
      </c>
      <c r="O120" t="s">
        <v>85</v>
      </c>
      <c r="Q120" t="s">
        <v>84</v>
      </c>
      <c r="T120" t="s">
        <v>86</v>
      </c>
      <c r="U120" t="s">
        <v>87</v>
      </c>
      <c r="V120" t="s">
        <v>87</v>
      </c>
      <c r="W120" t="s">
        <v>87</v>
      </c>
      <c r="Y120" t="s">
        <v>87</v>
      </c>
      <c r="Z120" t="s">
        <v>87</v>
      </c>
      <c r="AA120" t="s">
        <v>87</v>
      </c>
      <c r="AC120" t="s">
        <v>87</v>
      </c>
      <c r="AD120" t="s">
        <v>84</v>
      </c>
      <c r="AE120" t="s">
        <v>84</v>
      </c>
      <c r="AF120" t="s">
        <v>84</v>
      </c>
      <c r="AG120" t="s">
        <v>87</v>
      </c>
      <c r="AI120" t="s">
        <v>87</v>
      </c>
      <c r="AJ120" t="s">
        <v>84</v>
      </c>
      <c r="AK120" t="s">
        <v>84</v>
      </c>
      <c r="AL120" t="s">
        <v>84</v>
      </c>
      <c r="AM120" t="s">
        <v>84</v>
      </c>
      <c r="AO120" t="s">
        <v>87</v>
      </c>
      <c r="AP120" t="s">
        <v>87</v>
      </c>
      <c r="AQ120" t="s">
        <v>87</v>
      </c>
      <c r="AS120" t="s">
        <v>87</v>
      </c>
      <c r="AT120" t="s">
        <v>84</v>
      </c>
      <c r="AU120" t="s">
        <v>1650</v>
      </c>
      <c r="AW120" t="s">
        <v>89</v>
      </c>
      <c r="AX120" t="s">
        <v>84</v>
      </c>
      <c r="AY120" t="s">
        <v>84</v>
      </c>
      <c r="AZ120" t="s">
        <v>84</v>
      </c>
      <c r="BA120" t="s">
        <v>87</v>
      </c>
      <c r="BB120" t="s">
        <v>87</v>
      </c>
      <c r="BC120" t="s">
        <v>84</v>
      </c>
      <c r="BE120" t="s">
        <v>84</v>
      </c>
      <c r="BH120" t="s">
        <v>87</v>
      </c>
      <c r="BI120" t="s">
        <v>84</v>
      </c>
      <c r="BJ120" t="s">
        <v>84</v>
      </c>
      <c r="BL120" t="s">
        <v>87</v>
      </c>
      <c r="BM120" t="s">
        <v>84</v>
      </c>
      <c r="BN120" t="s">
        <v>84</v>
      </c>
      <c r="BP120" t="s">
        <v>87</v>
      </c>
      <c r="BQ120" t="s">
        <v>84</v>
      </c>
      <c r="BR120" t="s">
        <v>84</v>
      </c>
      <c r="BS120" t="s">
        <v>84</v>
      </c>
      <c r="BT120" t="s">
        <v>84</v>
      </c>
      <c r="BV120" t="s">
        <v>87</v>
      </c>
      <c r="BW120" t="s">
        <v>84</v>
      </c>
      <c r="BX120" t="s">
        <v>84</v>
      </c>
      <c r="BY120" t="s">
        <v>84</v>
      </c>
      <c r="BZ120" t="s">
        <v>87</v>
      </c>
      <c r="CB120" t="s">
        <v>84</v>
      </c>
      <c r="CD120" t="s">
        <v>84</v>
      </c>
    </row>
    <row r="121" spans="1:82" x14ac:dyDescent="0.25">
      <c r="A121" t="s">
        <v>775</v>
      </c>
      <c r="B121" t="s">
        <v>776</v>
      </c>
      <c r="C121" t="s">
        <v>777</v>
      </c>
      <c r="D121" t="s">
        <v>538</v>
      </c>
      <c r="E121" t="s">
        <v>1925</v>
      </c>
      <c r="F121" s="1">
        <v>2458</v>
      </c>
      <c r="G121" s="1" t="s">
        <v>94</v>
      </c>
      <c r="H121" t="s">
        <v>778</v>
      </c>
      <c r="I121" t="s">
        <v>87</v>
      </c>
      <c r="J121" t="s">
        <v>87</v>
      </c>
      <c r="K121" t="s">
        <v>84</v>
      </c>
      <c r="L121" t="s">
        <v>84</v>
      </c>
      <c r="M121" t="s">
        <v>84</v>
      </c>
      <c r="N121" t="s">
        <v>84</v>
      </c>
      <c r="O121" t="s">
        <v>84</v>
      </c>
      <c r="Q121" t="s">
        <v>94</v>
      </c>
      <c r="S121" t="s">
        <v>779</v>
      </c>
      <c r="T121" t="s">
        <v>86</v>
      </c>
      <c r="U121" t="s">
        <v>87</v>
      </c>
      <c r="V121" t="s">
        <v>84</v>
      </c>
      <c r="W121" t="s">
        <v>84</v>
      </c>
      <c r="Y121" t="s">
        <v>87</v>
      </c>
      <c r="Z121" t="s">
        <v>84</v>
      </c>
      <c r="AA121" t="s">
        <v>84</v>
      </c>
      <c r="AC121" t="s">
        <v>84</v>
      </c>
      <c r="AD121" t="s">
        <v>84</v>
      </c>
      <c r="AE121" t="s">
        <v>84</v>
      </c>
      <c r="AF121" t="s">
        <v>84</v>
      </c>
      <c r="AG121" t="s">
        <v>84</v>
      </c>
      <c r="AH121" t="s">
        <v>780</v>
      </c>
      <c r="AI121" t="s">
        <v>84</v>
      </c>
      <c r="AJ121" t="s">
        <v>84</v>
      </c>
      <c r="AK121" t="s">
        <v>84</v>
      </c>
      <c r="AL121" t="s">
        <v>84</v>
      </c>
      <c r="AM121" t="s">
        <v>87</v>
      </c>
      <c r="AO121" t="s">
        <v>87</v>
      </c>
      <c r="AP121" t="s">
        <v>87</v>
      </c>
      <c r="AQ121" t="s">
        <v>84</v>
      </c>
      <c r="AS121" t="s">
        <v>84</v>
      </c>
      <c r="AT121" t="s">
        <v>87</v>
      </c>
      <c r="AV121" t="s">
        <v>781</v>
      </c>
      <c r="AW121" t="s">
        <v>89</v>
      </c>
      <c r="AX121" t="s">
        <v>84</v>
      </c>
      <c r="AY121" t="s">
        <v>87</v>
      </c>
      <c r="AZ121" t="s">
        <v>87</v>
      </c>
      <c r="BA121" t="s">
        <v>84</v>
      </c>
      <c r="BB121" t="s">
        <v>84</v>
      </c>
      <c r="BC121" t="s">
        <v>84</v>
      </c>
      <c r="BD121" t="s">
        <v>780</v>
      </c>
      <c r="BE121" t="s">
        <v>84</v>
      </c>
      <c r="BH121" t="s">
        <v>87</v>
      </c>
      <c r="BI121" t="s">
        <v>84</v>
      </c>
      <c r="BJ121" t="s">
        <v>84</v>
      </c>
      <c r="BL121" t="s">
        <v>87</v>
      </c>
      <c r="BM121" t="s">
        <v>84</v>
      </c>
      <c r="BN121" t="s">
        <v>84</v>
      </c>
      <c r="BP121" t="s">
        <v>84</v>
      </c>
      <c r="BQ121" t="s">
        <v>84</v>
      </c>
      <c r="BR121" t="s">
        <v>84</v>
      </c>
      <c r="BS121" t="s">
        <v>84</v>
      </c>
      <c r="BT121" t="s">
        <v>87</v>
      </c>
      <c r="BV121" t="s">
        <v>87</v>
      </c>
      <c r="BW121" t="s">
        <v>84</v>
      </c>
      <c r="BX121" t="s">
        <v>84</v>
      </c>
      <c r="BY121" t="s">
        <v>84</v>
      </c>
      <c r="BZ121" t="s">
        <v>84</v>
      </c>
      <c r="CB121" t="s">
        <v>94</v>
      </c>
      <c r="CC121" t="s">
        <v>782</v>
      </c>
      <c r="CD121" t="s">
        <v>84</v>
      </c>
    </row>
    <row r="122" spans="1:82" x14ac:dyDescent="0.25">
      <c r="A122" t="s">
        <v>142</v>
      </c>
      <c r="B122" t="s">
        <v>143</v>
      </c>
      <c r="C122" t="s">
        <v>144</v>
      </c>
      <c r="D122" t="s">
        <v>104</v>
      </c>
      <c r="E122" t="s">
        <v>1926</v>
      </c>
      <c r="F122" s="1">
        <v>2480</v>
      </c>
      <c r="G122" s="1" t="s">
        <v>84</v>
      </c>
      <c r="I122" t="s">
        <v>85</v>
      </c>
      <c r="J122" t="s">
        <v>85</v>
      </c>
      <c r="K122" t="s">
        <v>85</v>
      </c>
      <c r="L122" t="s">
        <v>85</v>
      </c>
      <c r="M122" t="s">
        <v>85</v>
      </c>
      <c r="N122" t="s">
        <v>85</v>
      </c>
      <c r="O122" t="s">
        <v>85</v>
      </c>
      <c r="Q122" t="s">
        <v>84</v>
      </c>
      <c r="T122" t="s">
        <v>86</v>
      </c>
      <c r="U122" t="s">
        <v>87</v>
      </c>
      <c r="V122" t="s">
        <v>84</v>
      </c>
      <c r="W122" t="s">
        <v>84</v>
      </c>
      <c r="Y122" t="s">
        <v>87</v>
      </c>
      <c r="Z122" t="s">
        <v>84</v>
      </c>
      <c r="AA122" t="s">
        <v>84</v>
      </c>
      <c r="AC122" t="s">
        <v>84</v>
      </c>
      <c r="AD122" t="s">
        <v>84</v>
      </c>
      <c r="AE122" t="s">
        <v>87</v>
      </c>
      <c r="AF122" t="s">
        <v>84</v>
      </c>
      <c r="AG122" t="s">
        <v>87</v>
      </c>
      <c r="AI122" t="s">
        <v>84</v>
      </c>
      <c r="AJ122" t="s">
        <v>84</v>
      </c>
      <c r="AK122" t="s">
        <v>84</v>
      </c>
      <c r="AL122" t="s">
        <v>84</v>
      </c>
      <c r="AM122" t="s">
        <v>87</v>
      </c>
      <c r="AO122" t="s">
        <v>87</v>
      </c>
      <c r="AP122" t="s">
        <v>87</v>
      </c>
      <c r="AQ122" t="s">
        <v>84</v>
      </c>
      <c r="AS122" t="s">
        <v>87</v>
      </c>
      <c r="AT122" t="s">
        <v>87</v>
      </c>
      <c r="AU122" t="s">
        <v>145</v>
      </c>
      <c r="AV122" t="s">
        <v>145</v>
      </c>
      <c r="AW122" t="s">
        <v>89</v>
      </c>
      <c r="AX122" t="s">
        <v>87</v>
      </c>
      <c r="AY122" t="s">
        <v>84</v>
      </c>
      <c r="AZ122" t="s">
        <v>84</v>
      </c>
      <c r="BA122" t="s">
        <v>84</v>
      </c>
      <c r="BB122" t="s">
        <v>84</v>
      </c>
      <c r="BC122" t="s">
        <v>84</v>
      </c>
      <c r="BD122" t="s">
        <v>146</v>
      </c>
      <c r="BE122" t="s">
        <v>84</v>
      </c>
      <c r="BH122" t="s">
        <v>87</v>
      </c>
      <c r="BI122" t="s">
        <v>84</v>
      </c>
      <c r="BJ122" t="s">
        <v>84</v>
      </c>
      <c r="BL122" t="s">
        <v>87</v>
      </c>
      <c r="BM122" t="s">
        <v>84</v>
      </c>
      <c r="BN122" t="s">
        <v>84</v>
      </c>
      <c r="BP122" t="s">
        <v>84</v>
      </c>
      <c r="BQ122" t="s">
        <v>84</v>
      </c>
      <c r="BR122" t="s">
        <v>84</v>
      </c>
      <c r="BS122" t="s">
        <v>84</v>
      </c>
      <c r="BT122" t="s">
        <v>87</v>
      </c>
      <c r="BV122" t="s">
        <v>87</v>
      </c>
      <c r="BW122" t="s">
        <v>84</v>
      </c>
      <c r="BX122" t="s">
        <v>84</v>
      </c>
      <c r="BY122" t="s">
        <v>84</v>
      </c>
      <c r="BZ122" t="s">
        <v>87</v>
      </c>
      <c r="CB122" t="s">
        <v>84</v>
      </c>
      <c r="CD122" t="s">
        <v>84</v>
      </c>
    </row>
    <row r="123" spans="1:82" x14ac:dyDescent="0.25">
      <c r="A123" t="s">
        <v>447</v>
      </c>
      <c r="B123" t="s">
        <v>448</v>
      </c>
      <c r="C123" t="s">
        <v>449</v>
      </c>
      <c r="D123" t="s">
        <v>299</v>
      </c>
      <c r="E123" t="s">
        <v>1999</v>
      </c>
      <c r="F123" s="1">
        <v>2560</v>
      </c>
      <c r="G123" s="1" t="s">
        <v>94</v>
      </c>
      <c r="H123" t="s">
        <v>450</v>
      </c>
      <c r="I123" t="s">
        <v>87</v>
      </c>
      <c r="J123" t="s">
        <v>84</v>
      </c>
      <c r="K123" t="s">
        <v>87</v>
      </c>
      <c r="L123" t="s">
        <v>87</v>
      </c>
      <c r="M123" t="s">
        <v>87</v>
      </c>
      <c r="N123" t="s">
        <v>84</v>
      </c>
      <c r="O123" t="s">
        <v>84</v>
      </c>
      <c r="P123" t="s">
        <v>451</v>
      </c>
      <c r="Q123" t="s">
        <v>84</v>
      </c>
      <c r="T123" t="s">
        <v>86</v>
      </c>
      <c r="U123" t="s">
        <v>87</v>
      </c>
      <c r="V123" t="s">
        <v>87</v>
      </c>
      <c r="W123" t="s">
        <v>87</v>
      </c>
      <c r="X123" t="s">
        <v>452</v>
      </c>
      <c r="Y123" t="s">
        <v>87</v>
      </c>
      <c r="Z123" t="s">
        <v>87</v>
      </c>
      <c r="AA123" t="s">
        <v>87</v>
      </c>
      <c r="AB123" t="s">
        <v>452</v>
      </c>
      <c r="AC123" t="s">
        <v>87</v>
      </c>
      <c r="AD123" t="s">
        <v>87</v>
      </c>
      <c r="AE123" t="s">
        <v>87</v>
      </c>
      <c r="AF123" t="s">
        <v>87</v>
      </c>
      <c r="AG123" t="s">
        <v>87</v>
      </c>
      <c r="AI123" t="s">
        <v>84</v>
      </c>
      <c r="AJ123" t="s">
        <v>84</v>
      </c>
      <c r="AK123" t="s">
        <v>84</v>
      </c>
      <c r="AL123" t="s">
        <v>84</v>
      </c>
      <c r="AM123" t="s">
        <v>87</v>
      </c>
      <c r="AO123" t="s">
        <v>87</v>
      </c>
      <c r="AP123" t="s">
        <v>87</v>
      </c>
      <c r="AQ123" t="s">
        <v>87</v>
      </c>
      <c r="AR123" t="s">
        <v>453</v>
      </c>
      <c r="AS123" t="s">
        <v>87</v>
      </c>
      <c r="AT123" t="s">
        <v>84</v>
      </c>
      <c r="AU123" t="s">
        <v>454</v>
      </c>
      <c r="AW123" t="s">
        <v>89</v>
      </c>
      <c r="AX123" t="s">
        <v>84</v>
      </c>
      <c r="AY123" t="s">
        <v>87</v>
      </c>
      <c r="AZ123" t="s">
        <v>87</v>
      </c>
      <c r="BA123" t="s">
        <v>84</v>
      </c>
      <c r="BB123" t="s">
        <v>84</v>
      </c>
      <c r="BC123" t="s">
        <v>84</v>
      </c>
      <c r="BD123" t="s">
        <v>455</v>
      </c>
      <c r="BE123" t="s">
        <v>84</v>
      </c>
      <c r="BH123" t="s">
        <v>87</v>
      </c>
      <c r="BI123" t="s">
        <v>84</v>
      </c>
      <c r="BJ123" t="s">
        <v>84</v>
      </c>
      <c r="BL123" t="s">
        <v>87</v>
      </c>
      <c r="BM123" t="s">
        <v>84</v>
      </c>
      <c r="BN123" t="s">
        <v>84</v>
      </c>
      <c r="BP123" t="s">
        <v>84</v>
      </c>
      <c r="BQ123" t="s">
        <v>84</v>
      </c>
      <c r="BR123" t="s">
        <v>84</v>
      </c>
      <c r="BS123" t="s">
        <v>84</v>
      </c>
      <c r="BT123" t="s">
        <v>87</v>
      </c>
      <c r="BV123" t="s">
        <v>87</v>
      </c>
      <c r="BW123" t="s">
        <v>84</v>
      </c>
      <c r="BX123" t="s">
        <v>84</v>
      </c>
      <c r="BY123" t="s">
        <v>84</v>
      </c>
      <c r="BZ123" t="s">
        <v>84</v>
      </c>
      <c r="CB123" t="s">
        <v>94</v>
      </c>
      <c r="CC123" t="s">
        <v>456</v>
      </c>
      <c r="CD123" t="s">
        <v>84</v>
      </c>
    </row>
    <row r="124" spans="1:82" x14ac:dyDescent="0.25">
      <c r="A124" t="s">
        <v>275</v>
      </c>
      <c r="B124" t="s">
        <v>276</v>
      </c>
      <c r="C124" t="s">
        <v>277</v>
      </c>
      <c r="D124" t="s">
        <v>278</v>
      </c>
      <c r="E124" t="s">
        <v>1994</v>
      </c>
      <c r="F124" s="1">
        <v>2600</v>
      </c>
      <c r="G124" s="1" t="s">
        <v>94</v>
      </c>
      <c r="H124" t="s">
        <v>95</v>
      </c>
      <c r="I124" t="s">
        <v>87</v>
      </c>
      <c r="J124" t="s">
        <v>84</v>
      </c>
      <c r="K124" t="s">
        <v>84</v>
      </c>
      <c r="L124" t="s">
        <v>84</v>
      </c>
      <c r="M124" t="s">
        <v>84</v>
      </c>
      <c r="N124" t="s">
        <v>84</v>
      </c>
      <c r="O124" t="s">
        <v>84</v>
      </c>
      <c r="Q124" t="s">
        <v>84</v>
      </c>
      <c r="T124" t="s">
        <v>86</v>
      </c>
      <c r="U124" t="s">
        <v>87</v>
      </c>
      <c r="V124" t="s">
        <v>87</v>
      </c>
      <c r="W124" t="s">
        <v>84</v>
      </c>
      <c r="Y124" t="s">
        <v>87</v>
      </c>
      <c r="Z124" t="s">
        <v>87</v>
      </c>
      <c r="AA124" t="s">
        <v>84</v>
      </c>
      <c r="AC124" t="s">
        <v>87</v>
      </c>
      <c r="AD124" t="s">
        <v>84</v>
      </c>
      <c r="AE124" t="s">
        <v>84</v>
      </c>
      <c r="AF124" t="s">
        <v>84</v>
      </c>
      <c r="AG124" t="s">
        <v>87</v>
      </c>
      <c r="AI124" t="s">
        <v>84</v>
      </c>
      <c r="AJ124" t="s">
        <v>84</v>
      </c>
      <c r="AK124" t="s">
        <v>84</v>
      </c>
      <c r="AL124" t="s">
        <v>84</v>
      </c>
      <c r="AM124" t="s">
        <v>87</v>
      </c>
      <c r="AO124" t="s">
        <v>87</v>
      </c>
      <c r="AP124" t="s">
        <v>87</v>
      </c>
      <c r="AQ124" t="s">
        <v>84</v>
      </c>
      <c r="AS124" t="s">
        <v>87</v>
      </c>
      <c r="AT124" t="s">
        <v>84</v>
      </c>
      <c r="AU124" t="s">
        <v>279</v>
      </c>
      <c r="AW124" t="s">
        <v>89</v>
      </c>
      <c r="AX124" t="s">
        <v>87</v>
      </c>
      <c r="AY124" t="s">
        <v>87</v>
      </c>
      <c r="AZ124" t="s">
        <v>87</v>
      </c>
      <c r="BA124" t="s">
        <v>84</v>
      </c>
      <c r="BB124" t="s">
        <v>84</v>
      </c>
      <c r="BC124" t="s">
        <v>84</v>
      </c>
      <c r="BD124" t="s">
        <v>280</v>
      </c>
      <c r="BE124" t="s">
        <v>84</v>
      </c>
      <c r="BH124" t="s">
        <v>87</v>
      </c>
      <c r="BI124" t="s">
        <v>84</v>
      </c>
      <c r="BJ124" t="s">
        <v>84</v>
      </c>
      <c r="BL124" t="s">
        <v>87</v>
      </c>
      <c r="BM124" t="s">
        <v>87</v>
      </c>
      <c r="BN124" t="s">
        <v>84</v>
      </c>
      <c r="BP124" t="s">
        <v>84</v>
      </c>
      <c r="BQ124" t="s">
        <v>84</v>
      </c>
      <c r="BR124" t="s">
        <v>84</v>
      </c>
      <c r="BS124" t="s">
        <v>84</v>
      </c>
      <c r="BT124" t="s">
        <v>87</v>
      </c>
      <c r="BV124" t="s">
        <v>87</v>
      </c>
      <c r="BW124" t="s">
        <v>84</v>
      </c>
      <c r="BX124" t="s">
        <v>84</v>
      </c>
      <c r="BY124" t="s">
        <v>84</v>
      </c>
      <c r="BZ124" t="s">
        <v>84</v>
      </c>
      <c r="CB124" t="s">
        <v>84</v>
      </c>
      <c r="CD124" t="s">
        <v>84</v>
      </c>
    </row>
    <row r="125" spans="1:82" x14ac:dyDescent="0.25">
      <c r="A125" t="s">
        <v>289</v>
      </c>
      <c r="B125" t="s">
        <v>290</v>
      </c>
      <c r="C125" t="s">
        <v>291</v>
      </c>
      <c r="D125" t="s">
        <v>228</v>
      </c>
      <c r="E125" t="s">
        <v>1996</v>
      </c>
      <c r="F125" s="1">
        <v>2603</v>
      </c>
      <c r="G125" s="1" t="s">
        <v>84</v>
      </c>
      <c r="I125" t="s">
        <v>85</v>
      </c>
      <c r="J125" t="s">
        <v>85</v>
      </c>
      <c r="K125" t="s">
        <v>85</v>
      </c>
      <c r="L125" t="s">
        <v>85</v>
      </c>
      <c r="M125" t="s">
        <v>85</v>
      </c>
      <c r="N125" t="s">
        <v>85</v>
      </c>
      <c r="O125" t="s">
        <v>85</v>
      </c>
      <c r="Q125" t="s">
        <v>84</v>
      </c>
      <c r="R125" t="s">
        <v>84</v>
      </c>
      <c r="T125" t="s">
        <v>86</v>
      </c>
      <c r="U125" t="s">
        <v>87</v>
      </c>
      <c r="V125" t="s">
        <v>84</v>
      </c>
      <c r="W125" t="s">
        <v>84</v>
      </c>
      <c r="Y125" t="s">
        <v>87</v>
      </c>
      <c r="Z125" t="s">
        <v>84</v>
      </c>
      <c r="AA125" t="s">
        <v>84</v>
      </c>
      <c r="AB125" t="s">
        <v>292</v>
      </c>
      <c r="AC125" t="s">
        <v>84</v>
      </c>
      <c r="AD125" t="s">
        <v>84</v>
      </c>
      <c r="AE125" t="s">
        <v>84</v>
      </c>
      <c r="AF125" t="s">
        <v>84</v>
      </c>
      <c r="AG125" t="s">
        <v>87</v>
      </c>
      <c r="AH125" t="s">
        <v>293</v>
      </c>
      <c r="AI125" t="s">
        <v>84</v>
      </c>
      <c r="AJ125" t="s">
        <v>84</v>
      </c>
      <c r="AK125" t="s">
        <v>84</v>
      </c>
      <c r="AL125" t="s">
        <v>84</v>
      </c>
      <c r="AM125" t="s">
        <v>87</v>
      </c>
      <c r="AO125" t="s">
        <v>87</v>
      </c>
      <c r="AP125" t="s">
        <v>87</v>
      </c>
      <c r="AQ125" t="s">
        <v>84</v>
      </c>
      <c r="AS125" t="s">
        <v>87</v>
      </c>
      <c r="AT125" t="s">
        <v>84</v>
      </c>
      <c r="AU125" t="s">
        <v>294</v>
      </c>
      <c r="AW125" t="s">
        <v>89</v>
      </c>
      <c r="AX125" t="s">
        <v>87</v>
      </c>
      <c r="AY125" t="s">
        <v>84</v>
      </c>
      <c r="AZ125" t="s">
        <v>84</v>
      </c>
      <c r="BA125" t="s">
        <v>84</v>
      </c>
      <c r="BB125" t="s">
        <v>84</v>
      </c>
      <c r="BC125" t="s">
        <v>87</v>
      </c>
      <c r="BE125" t="s">
        <v>84</v>
      </c>
      <c r="BH125" t="s">
        <v>87</v>
      </c>
      <c r="BI125" t="s">
        <v>84</v>
      </c>
      <c r="BJ125" t="s">
        <v>84</v>
      </c>
      <c r="BL125" t="s">
        <v>87</v>
      </c>
      <c r="BM125" t="s">
        <v>84</v>
      </c>
      <c r="BN125" t="s">
        <v>84</v>
      </c>
      <c r="BO125" t="s">
        <v>295</v>
      </c>
      <c r="BP125" t="s">
        <v>84</v>
      </c>
      <c r="BQ125" t="s">
        <v>84</v>
      </c>
      <c r="BR125" t="s">
        <v>87</v>
      </c>
      <c r="BS125" t="s">
        <v>87</v>
      </c>
      <c r="BT125" t="s">
        <v>84</v>
      </c>
      <c r="BV125" t="s">
        <v>87</v>
      </c>
      <c r="BW125" t="s">
        <v>84</v>
      </c>
      <c r="BX125" t="s">
        <v>84</v>
      </c>
      <c r="BY125" t="s">
        <v>84</v>
      </c>
      <c r="BZ125" t="s">
        <v>84</v>
      </c>
      <c r="CB125" t="s">
        <v>84</v>
      </c>
      <c r="CD125" t="s">
        <v>84</v>
      </c>
    </row>
    <row r="126" spans="1:82" x14ac:dyDescent="0.25">
      <c r="A126" t="s">
        <v>489</v>
      </c>
      <c r="B126" t="s">
        <v>490</v>
      </c>
      <c r="C126" t="s">
        <v>491</v>
      </c>
      <c r="D126" t="s">
        <v>374</v>
      </c>
      <c r="E126" t="s">
        <v>1927</v>
      </c>
      <c r="F126" s="1">
        <v>2700</v>
      </c>
      <c r="G126" s="1" t="s">
        <v>84</v>
      </c>
      <c r="I126" t="s">
        <v>85</v>
      </c>
      <c r="J126" t="s">
        <v>85</v>
      </c>
      <c r="K126" t="s">
        <v>85</v>
      </c>
      <c r="L126" t="s">
        <v>85</v>
      </c>
      <c r="M126" t="s">
        <v>85</v>
      </c>
      <c r="N126" t="s">
        <v>85</v>
      </c>
      <c r="O126" t="s">
        <v>85</v>
      </c>
      <c r="Q126" t="s">
        <v>84</v>
      </c>
      <c r="T126" t="s">
        <v>86</v>
      </c>
      <c r="U126" t="s">
        <v>87</v>
      </c>
      <c r="V126" t="s">
        <v>84</v>
      </c>
      <c r="W126" t="s">
        <v>84</v>
      </c>
      <c r="Y126" t="s">
        <v>87</v>
      </c>
      <c r="Z126" t="s">
        <v>84</v>
      </c>
      <c r="AA126" t="s">
        <v>87</v>
      </c>
      <c r="AC126" t="s">
        <v>84</v>
      </c>
      <c r="AD126" t="s">
        <v>84</v>
      </c>
      <c r="AE126" t="s">
        <v>84</v>
      </c>
      <c r="AF126" t="s">
        <v>84</v>
      </c>
      <c r="AG126" t="s">
        <v>87</v>
      </c>
      <c r="AI126" t="s">
        <v>84</v>
      </c>
      <c r="AJ126" t="s">
        <v>84</v>
      </c>
      <c r="AK126" t="s">
        <v>84</v>
      </c>
      <c r="AL126" t="s">
        <v>84</v>
      </c>
      <c r="AM126" t="s">
        <v>87</v>
      </c>
      <c r="AO126" t="s">
        <v>87</v>
      </c>
      <c r="AP126" t="s">
        <v>87</v>
      </c>
      <c r="AQ126" t="s">
        <v>84</v>
      </c>
      <c r="AS126" t="s">
        <v>87</v>
      </c>
      <c r="AT126" t="s">
        <v>84</v>
      </c>
      <c r="AU126" t="s">
        <v>279</v>
      </c>
      <c r="AW126" t="s">
        <v>89</v>
      </c>
      <c r="AX126" t="s">
        <v>87</v>
      </c>
      <c r="AY126" t="s">
        <v>87</v>
      </c>
      <c r="AZ126" t="s">
        <v>87</v>
      </c>
      <c r="BA126" t="s">
        <v>84</v>
      </c>
      <c r="BB126" t="s">
        <v>84</v>
      </c>
      <c r="BC126" t="s">
        <v>84</v>
      </c>
      <c r="BD126" t="s">
        <v>492</v>
      </c>
      <c r="BE126" t="s">
        <v>84</v>
      </c>
      <c r="BH126" t="s">
        <v>87</v>
      </c>
      <c r="BI126" t="s">
        <v>84</v>
      </c>
      <c r="BJ126" t="s">
        <v>84</v>
      </c>
      <c r="BL126" t="s">
        <v>87</v>
      </c>
      <c r="BM126" t="s">
        <v>84</v>
      </c>
      <c r="BN126" t="s">
        <v>84</v>
      </c>
      <c r="BP126" t="s">
        <v>87</v>
      </c>
      <c r="BQ126" t="s">
        <v>84</v>
      </c>
      <c r="BR126" t="s">
        <v>84</v>
      </c>
      <c r="BS126" t="s">
        <v>84</v>
      </c>
      <c r="BT126" t="s">
        <v>84</v>
      </c>
      <c r="BV126" t="s">
        <v>87</v>
      </c>
      <c r="BW126" t="s">
        <v>84</v>
      </c>
      <c r="BX126" t="s">
        <v>84</v>
      </c>
      <c r="BY126" t="s">
        <v>84</v>
      </c>
      <c r="BZ126" t="s">
        <v>87</v>
      </c>
      <c r="CB126" t="s">
        <v>84</v>
      </c>
      <c r="CD126" t="s">
        <v>84</v>
      </c>
    </row>
    <row r="127" spans="1:82" x14ac:dyDescent="0.25">
      <c r="A127" t="s">
        <v>1447</v>
      </c>
      <c r="B127" t="s">
        <v>1448</v>
      </c>
      <c r="C127" t="s">
        <v>1449</v>
      </c>
      <c r="D127" t="s">
        <v>991</v>
      </c>
      <c r="E127" t="s">
        <v>1995</v>
      </c>
      <c r="F127" s="1">
        <v>2700</v>
      </c>
      <c r="G127" s="1" t="s">
        <v>94</v>
      </c>
      <c r="H127" t="s">
        <v>95</v>
      </c>
      <c r="I127" t="s">
        <v>87</v>
      </c>
      <c r="J127" t="s">
        <v>84</v>
      </c>
      <c r="K127" t="s">
        <v>84</v>
      </c>
      <c r="L127" t="s">
        <v>84</v>
      </c>
      <c r="M127" t="s">
        <v>87</v>
      </c>
      <c r="N127" t="s">
        <v>84</v>
      </c>
      <c r="O127" t="s">
        <v>84</v>
      </c>
      <c r="Q127" t="s">
        <v>84</v>
      </c>
      <c r="T127" t="s">
        <v>96</v>
      </c>
      <c r="U127" t="s">
        <v>87</v>
      </c>
      <c r="V127" t="s">
        <v>87</v>
      </c>
      <c r="W127" t="s">
        <v>84</v>
      </c>
      <c r="Y127" t="s">
        <v>84</v>
      </c>
      <c r="Z127" t="s">
        <v>84</v>
      </c>
      <c r="AA127" t="s">
        <v>84</v>
      </c>
      <c r="AB127" t="s">
        <v>957</v>
      </c>
      <c r="AC127" t="s">
        <v>87</v>
      </c>
      <c r="AD127" t="s">
        <v>84</v>
      </c>
      <c r="AE127" t="s">
        <v>84</v>
      </c>
      <c r="AF127" t="s">
        <v>84</v>
      </c>
      <c r="AG127" t="s">
        <v>87</v>
      </c>
      <c r="AI127" t="s">
        <v>84</v>
      </c>
      <c r="AJ127" t="s">
        <v>84</v>
      </c>
      <c r="AK127" t="s">
        <v>84</v>
      </c>
      <c r="AL127" t="s">
        <v>84</v>
      </c>
      <c r="AM127" t="s">
        <v>87</v>
      </c>
      <c r="AO127" t="s">
        <v>87</v>
      </c>
      <c r="AP127" t="s">
        <v>87</v>
      </c>
      <c r="AQ127" t="s">
        <v>84</v>
      </c>
      <c r="AS127" t="s">
        <v>87</v>
      </c>
      <c r="AT127" t="s">
        <v>84</v>
      </c>
      <c r="AU127" t="s">
        <v>1450</v>
      </c>
      <c r="AW127" t="s">
        <v>89</v>
      </c>
      <c r="AX127" t="s">
        <v>87</v>
      </c>
      <c r="AY127" t="s">
        <v>87</v>
      </c>
      <c r="AZ127" t="s">
        <v>84</v>
      </c>
      <c r="BA127" t="s">
        <v>84</v>
      </c>
      <c r="BB127" t="s">
        <v>87</v>
      </c>
      <c r="BC127" t="s">
        <v>84</v>
      </c>
      <c r="BE127" t="s">
        <v>84</v>
      </c>
      <c r="BH127" t="s">
        <v>87</v>
      </c>
      <c r="BI127" t="s">
        <v>84</v>
      </c>
      <c r="BJ127" t="s">
        <v>84</v>
      </c>
      <c r="BL127" t="s">
        <v>87</v>
      </c>
      <c r="BM127" t="s">
        <v>84</v>
      </c>
      <c r="BN127" t="s">
        <v>84</v>
      </c>
      <c r="BP127" t="s">
        <v>84</v>
      </c>
      <c r="BQ127" t="s">
        <v>84</v>
      </c>
      <c r="BR127" t="s">
        <v>84</v>
      </c>
      <c r="BS127" t="s">
        <v>87</v>
      </c>
      <c r="BT127" t="s">
        <v>84</v>
      </c>
      <c r="BV127" t="s">
        <v>87</v>
      </c>
      <c r="BW127" t="s">
        <v>84</v>
      </c>
      <c r="BX127" t="s">
        <v>84</v>
      </c>
      <c r="BY127" t="s">
        <v>84</v>
      </c>
      <c r="BZ127" t="s">
        <v>87</v>
      </c>
      <c r="CB127" t="s">
        <v>84</v>
      </c>
      <c r="CD127" t="s">
        <v>84</v>
      </c>
    </row>
    <row r="128" spans="1:82" x14ac:dyDescent="0.25">
      <c r="A128" t="s">
        <v>862</v>
      </c>
      <c r="B128" t="s">
        <v>863</v>
      </c>
      <c r="C128" t="s">
        <v>864</v>
      </c>
      <c r="D128" t="s">
        <v>222</v>
      </c>
      <c r="E128" t="s">
        <v>222</v>
      </c>
      <c r="F128" s="1">
        <v>2900</v>
      </c>
      <c r="G128" s="1" t="s">
        <v>84</v>
      </c>
      <c r="I128" t="s">
        <v>85</v>
      </c>
      <c r="J128" t="s">
        <v>85</v>
      </c>
      <c r="K128" t="s">
        <v>85</v>
      </c>
      <c r="L128" t="s">
        <v>85</v>
      </c>
      <c r="M128" t="s">
        <v>85</v>
      </c>
      <c r="N128" t="s">
        <v>85</v>
      </c>
      <c r="O128" t="s">
        <v>85</v>
      </c>
      <c r="Q128" t="s">
        <v>84</v>
      </c>
      <c r="T128" t="s">
        <v>96</v>
      </c>
      <c r="U128" t="s">
        <v>87</v>
      </c>
      <c r="V128" t="s">
        <v>87</v>
      </c>
      <c r="W128" t="s">
        <v>87</v>
      </c>
      <c r="X128" t="s">
        <v>865</v>
      </c>
      <c r="Y128" t="s">
        <v>87</v>
      </c>
      <c r="Z128" t="s">
        <v>87</v>
      </c>
      <c r="AA128" t="s">
        <v>87</v>
      </c>
      <c r="AB128" t="s">
        <v>866</v>
      </c>
      <c r="AC128" t="s">
        <v>87</v>
      </c>
      <c r="AD128" t="s">
        <v>84</v>
      </c>
      <c r="AE128" t="s">
        <v>87</v>
      </c>
      <c r="AF128" t="s">
        <v>84</v>
      </c>
      <c r="AG128" t="s">
        <v>87</v>
      </c>
      <c r="AI128" t="s">
        <v>87</v>
      </c>
      <c r="AJ128" t="s">
        <v>84</v>
      </c>
      <c r="AK128" t="s">
        <v>84</v>
      </c>
      <c r="AL128" t="s">
        <v>84</v>
      </c>
      <c r="AM128" t="s">
        <v>84</v>
      </c>
      <c r="AO128" t="s">
        <v>87</v>
      </c>
      <c r="AP128" t="s">
        <v>87</v>
      </c>
      <c r="AQ128" t="s">
        <v>84</v>
      </c>
      <c r="AR128" t="s">
        <v>866</v>
      </c>
      <c r="AS128" t="s">
        <v>87</v>
      </c>
      <c r="AT128" t="s">
        <v>84</v>
      </c>
      <c r="AU128" t="s">
        <v>867</v>
      </c>
      <c r="AW128" t="s">
        <v>89</v>
      </c>
      <c r="AX128" t="s">
        <v>87</v>
      </c>
      <c r="AY128" t="s">
        <v>87</v>
      </c>
      <c r="AZ128" t="s">
        <v>87</v>
      </c>
      <c r="BA128" t="s">
        <v>84</v>
      </c>
      <c r="BB128" t="s">
        <v>87</v>
      </c>
      <c r="BC128" t="s">
        <v>84</v>
      </c>
      <c r="BE128" t="s">
        <v>84</v>
      </c>
      <c r="BH128" t="s">
        <v>87</v>
      </c>
      <c r="BI128" t="s">
        <v>84</v>
      </c>
      <c r="BJ128" t="s">
        <v>84</v>
      </c>
      <c r="BL128" t="s">
        <v>87</v>
      </c>
      <c r="BM128" t="s">
        <v>87</v>
      </c>
      <c r="BN128" t="s">
        <v>84</v>
      </c>
      <c r="BP128" t="s">
        <v>87</v>
      </c>
      <c r="BQ128" t="s">
        <v>84</v>
      </c>
      <c r="BR128" t="s">
        <v>84</v>
      </c>
      <c r="BS128" t="s">
        <v>87</v>
      </c>
      <c r="BT128" t="s">
        <v>84</v>
      </c>
      <c r="BV128" t="s">
        <v>87</v>
      </c>
      <c r="BW128" t="s">
        <v>84</v>
      </c>
      <c r="BX128" t="s">
        <v>87</v>
      </c>
      <c r="BY128" t="s">
        <v>84</v>
      </c>
      <c r="BZ128" t="s">
        <v>84</v>
      </c>
      <c r="CB128" t="s">
        <v>84</v>
      </c>
      <c r="CD128" t="s">
        <v>84</v>
      </c>
    </row>
    <row r="129" spans="1:83" x14ac:dyDescent="0.25">
      <c r="A129" t="s">
        <v>980</v>
      </c>
      <c r="B129" t="s">
        <v>981</v>
      </c>
      <c r="C129" t="s">
        <v>982</v>
      </c>
      <c r="D129" t="s">
        <v>743</v>
      </c>
      <c r="E129" t="s">
        <v>1995</v>
      </c>
      <c r="F129" s="1">
        <v>3404</v>
      </c>
      <c r="G129" s="1" t="s">
        <v>84</v>
      </c>
      <c r="I129" t="s">
        <v>85</v>
      </c>
      <c r="J129" t="s">
        <v>85</v>
      </c>
      <c r="K129" t="s">
        <v>85</v>
      </c>
      <c r="L129" t="s">
        <v>85</v>
      </c>
      <c r="M129" t="s">
        <v>85</v>
      </c>
      <c r="N129" t="s">
        <v>85</v>
      </c>
      <c r="O129" t="s">
        <v>85</v>
      </c>
      <c r="Q129" t="s">
        <v>84</v>
      </c>
      <c r="R129" t="s">
        <v>84</v>
      </c>
      <c r="T129" t="s">
        <v>86</v>
      </c>
      <c r="U129" t="s">
        <v>87</v>
      </c>
      <c r="V129" t="s">
        <v>84</v>
      </c>
      <c r="W129" t="s">
        <v>84</v>
      </c>
      <c r="Y129" t="s">
        <v>87</v>
      </c>
      <c r="Z129" t="s">
        <v>84</v>
      </c>
      <c r="AA129" t="s">
        <v>84</v>
      </c>
      <c r="AC129" t="s">
        <v>84</v>
      </c>
      <c r="AD129" t="s">
        <v>84</v>
      </c>
      <c r="AE129" t="s">
        <v>84</v>
      </c>
      <c r="AF129" t="s">
        <v>84</v>
      </c>
      <c r="AG129" t="s">
        <v>84</v>
      </c>
      <c r="AH129" t="s">
        <v>983</v>
      </c>
      <c r="AI129" t="s">
        <v>87</v>
      </c>
      <c r="AJ129" t="s">
        <v>84</v>
      </c>
      <c r="AK129" t="s">
        <v>84</v>
      </c>
      <c r="AL129" t="s">
        <v>84</v>
      </c>
      <c r="AM129" t="s">
        <v>84</v>
      </c>
      <c r="AO129" t="s">
        <v>87</v>
      </c>
      <c r="AP129" t="s">
        <v>87</v>
      </c>
      <c r="AQ129" t="s">
        <v>87</v>
      </c>
      <c r="AS129" t="s">
        <v>87</v>
      </c>
      <c r="AT129" t="s">
        <v>84</v>
      </c>
      <c r="AU129" t="s">
        <v>266</v>
      </c>
      <c r="AW129" t="s">
        <v>89</v>
      </c>
      <c r="AX129" t="s">
        <v>87</v>
      </c>
      <c r="AY129" t="s">
        <v>84</v>
      </c>
      <c r="AZ129" t="s">
        <v>84</v>
      </c>
      <c r="BA129" t="s">
        <v>84</v>
      </c>
      <c r="BB129" t="s">
        <v>84</v>
      </c>
      <c r="BC129" t="s">
        <v>87</v>
      </c>
      <c r="BE129" t="s">
        <v>84</v>
      </c>
      <c r="BH129" t="s">
        <v>87</v>
      </c>
      <c r="BI129" t="s">
        <v>84</v>
      </c>
      <c r="BJ129" t="s">
        <v>84</v>
      </c>
      <c r="BL129" t="s">
        <v>87</v>
      </c>
      <c r="BM129" t="s">
        <v>84</v>
      </c>
      <c r="BN129" t="s">
        <v>84</v>
      </c>
      <c r="BP129" t="s">
        <v>87</v>
      </c>
      <c r="BQ129" t="s">
        <v>84</v>
      </c>
      <c r="BR129" t="s">
        <v>84</v>
      </c>
      <c r="BS129" t="s">
        <v>84</v>
      </c>
      <c r="BT129" t="s">
        <v>84</v>
      </c>
      <c r="BV129" t="s">
        <v>84</v>
      </c>
      <c r="BW129" t="s">
        <v>84</v>
      </c>
      <c r="BX129" t="s">
        <v>84</v>
      </c>
      <c r="BY129" t="s">
        <v>84</v>
      </c>
      <c r="BZ129" t="s">
        <v>87</v>
      </c>
      <c r="CB129" t="s">
        <v>84</v>
      </c>
      <c r="CD129" t="s">
        <v>84</v>
      </c>
    </row>
    <row r="130" spans="1:83" x14ac:dyDescent="0.25">
      <c r="A130" t="s">
        <v>604</v>
      </c>
      <c r="B130" t="s">
        <v>605</v>
      </c>
      <c r="C130" t="s">
        <v>606</v>
      </c>
      <c r="D130" t="s">
        <v>278</v>
      </c>
      <c r="E130" t="s">
        <v>1994</v>
      </c>
      <c r="F130" s="1">
        <v>3600</v>
      </c>
      <c r="G130" s="1" t="s">
        <v>94</v>
      </c>
      <c r="H130" t="s">
        <v>199</v>
      </c>
      <c r="I130" t="s">
        <v>87</v>
      </c>
      <c r="J130" t="s">
        <v>87</v>
      </c>
      <c r="K130" t="s">
        <v>87</v>
      </c>
      <c r="L130" t="s">
        <v>84</v>
      </c>
      <c r="M130" t="s">
        <v>87</v>
      </c>
      <c r="N130" t="s">
        <v>87</v>
      </c>
      <c r="O130" t="s">
        <v>84</v>
      </c>
      <c r="Q130" t="s">
        <v>94</v>
      </c>
      <c r="S130" t="s">
        <v>607</v>
      </c>
      <c r="T130" t="s">
        <v>86</v>
      </c>
      <c r="U130" t="s">
        <v>87</v>
      </c>
      <c r="V130" t="s">
        <v>84</v>
      </c>
      <c r="W130" t="s">
        <v>84</v>
      </c>
      <c r="Y130" t="s">
        <v>87</v>
      </c>
      <c r="Z130" t="s">
        <v>84</v>
      </c>
      <c r="AA130" t="s">
        <v>84</v>
      </c>
      <c r="AC130" t="s">
        <v>87</v>
      </c>
      <c r="AD130" t="s">
        <v>84</v>
      </c>
      <c r="AE130" t="s">
        <v>84</v>
      </c>
      <c r="AF130" t="s">
        <v>84</v>
      </c>
      <c r="AG130" t="s">
        <v>87</v>
      </c>
      <c r="AI130" t="s">
        <v>84</v>
      </c>
      <c r="AJ130" t="s">
        <v>84</v>
      </c>
      <c r="AK130" t="s">
        <v>84</v>
      </c>
      <c r="AL130" t="s">
        <v>87</v>
      </c>
      <c r="AM130" t="s">
        <v>84</v>
      </c>
      <c r="AN130" t="s">
        <v>608</v>
      </c>
      <c r="AO130" t="s">
        <v>87</v>
      </c>
      <c r="AP130" t="s">
        <v>87</v>
      </c>
      <c r="AQ130" t="s">
        <v>84</v>
      </c>
      <c r="AS130" t="s">
        <v>87</v>
      </c>
      <c r="AT130" t="s">
        <v>84</v>
      </c>
      <c r="AU130" t="s">
        <v>609</v>
      </c>
      <c r="AW130" t="s">
        <v>89</v>
      </c>
      <c r="AX130" t="s">
        <v>87</v>
      </c>
      <c r="AY130" t="s">
        <v>84</v>
      </c>
      <c r="AZ130" t="s">
        <v>84</v>
      </c>
      <c r="BA130" t="s">
        <v>84</v>
      </c>
      <c r="BB130" t="s">
        <v>84</v>
      </c>
      <c r="BC130" t="s">
        <v>84</v>
      </c>
      <c r="BD130" t="s">
        <v>610</v>
      </c>
      <c r="BE130" t="s">
        <v>84</v>
      </c>
      <c r="BH130" t="s">
        <v>87</v>
      </c>
      <c r="BI130" t="s">
        <v>84</v>
      </c>
      <c r="BJ130" t="s">
        <v>84</v>
      </c>
      <c r="BL130" t="s">
        <v>87</v>
      </c>
      <c r="BM130" t="s">
        <v>87</v>
      </c>
      <c r="BN130" t="s">
        <v>84</v>
      </c>
      <c r="BP130" t="s">
        <v>84</v>
      </c>
      <c r="BQ130" t="s">
        <v>84</v>
      </c>
      <c r="BR130" t="s">
        <v>87</v>
      </c>
      <c r="BS130" t="s">
        <v>87</v>
      </c>
      <c r="BT130" t="s">
        <v>84</v>
      </c>
      <c r="BV130" t="s">
        <v>87</v>
      </c>
      <c r="BW130" t="s">
        <v>84</v>
      </c>
      <c r="BX130" t="s">
        <v>84</v>
      </c>
      <c r="BY130" t="s">
        <v>84</v>
      </c>
      <c r="BZ130" t="s">
        <v>87</v>
      </c>
      <c r="CA130" t="s">
        <v>165</v>
      </c>
      <c r="CB130" t="s">
        <v>84</v>
      </c>
      <c r="CD130" t="s">
        <v>84</v>
      </c>
    </row>
    <row r="131" spans="1:83" x14ac:dyDescent="0.25">
      <c r="A131" t="s">
        <v>685</v>
      </c>
      <c r="B131" t="s">
        <v>686</v>
      </c>
      <c r="C131" t="s">
        <v>687</v>
      </c>
      <c r="D131" t="s">
        <v>658</v>
      </c>
      <c r="E131" t="s">
        <v>1925</v>
      </c>
      <c r="F131" s="1">
        <v>3700</v>
      </c>
      <c r="G131" s="1" t="s">
        <v>94</v>
      </c>
      <c r="H131" t="s">
        <v>688</v>
      </c>
      <c r="I131" t="s">
        <v>87</v>
      </c>
      <c r="J131" t="s">
        <v>84</v>
      </c>
      <c r="K131" t="s">
        <v>87</v>
      </c>
      <c r="L131" t="s">
        <v>84</v>
      </c>
      <c r="M131" t="s">
        <v>87</v>
      </c>
      <c r="N131" t="s">
        <v>84</v>
      </c>
      <c r="O131" t="s">
        <v>84</v>
      </c>
      <c r="Q131" t="s">
        <v>94</v>
      </c>
      <c r="S131" t="s">
        <v>689</v>
      </c>
      <c r="T131" t="s">
        <v>96</v>
      </c>
      <c r="U131" t="s">
        <v>87</v>
      </c>
      <c r="V131" t="s">
        <v>84</v>
      </c>
      <c r="W131" t="s">
        <v>84</v>
      </c>
      <c r="Y131" t="s">
        <v>87</v>
      </c>
      <c r="Z131" t="s">
        <v>87</v>
      </c>
      <c r="AA131" t="s">
        <v>84</v>
      </c>
      <c r="AC131" t="s">
        <v>87</v>
      </c>
      <c r="AD131" t="s">
        <v>84</v>
      </c>
      <c r="AE131" t="s">
        <v>84</v>
      </c>
      <c r="AF131" t="s">
        <v>84</v>
      </c>
      <c r="AG131" t="s">
        <v>87</v>
      </c>
      <c r="AI131" t="s">
        <v>84</v>
      </c>
      <c r="AJ131" t="s">
        <v>84</v>
      </c>
      <c r="AK131" t="s">
        <v>84</v>
      </c>
      <c r="AL131" t="s">
        <v>87</v>
      </c>
      <c r="AM131" t="s">
        <v>84</v>
      </c>
      <c r="AO131" t="s">
        <v>87</v>
      </c>
      <c r="AP131" t="s">
        <v>87</v>
      </c>
      <c r="AQ131" t="s">
        <v>84</v>
      </c>
      <c r="AS131" t="s">
        <v>87</v>
      </c>
      <c r="AT131" t="s">
        <v>84</v>
      </c>
      <c r="AU131" t="s">
        <v>689</v>
      </c>
      <c r="AW131" t="s">
        <v>89</v>
      </c>
      <c r="AX131" t="s">
        <v>84</v>
      </c>
      <c r="AY131" t="s">
        <v>87</v>
      </c>
      <c r="AZ131" t="s">
        <v>84</v>
      </c>
      <c r="BA131" t="s">
        <v>84</v>
      </c>
      <c r="BB131" t="s">
        <v>84</v>
      </c>
      <c r="BC131" t="s">
        <v>84</v>
      </c>
      <c r="BD131" t="s">
        <v>690</v>
      </c>
      <c r="BE131" t="s">
        <v>84</v>
      </c>
      <c r="BH131" t="s">
        <v>87</v>
      </c>
      <c r="BI131" t="s">
        <v>84</v>
      </c>
      <c r="BJ131" t="s">
        <v>84</v>
      </c>
      <c r="BL131" t="s">
        <v>87</v>
      </c>
      <c r="BM131" t="s">
        <v>84</v>
      </c>
      <c r="BN131" t="s">
        <v>84</v>
      </c>
      <c r="BP131" t="s">
        <v>84</v>
      </c>
      <c r="BQ131" t="s">
        <v>84</v>
      </c>
      <c r="BR131" t="s">
        <v>84</v>
      </c>
      <c r="BS131" t="s">
        <v>87</v>
      </c>
      <c r="BT131" t="s">
        <v>84</v>
      </c>
      <c r="BV131" t="s">
        <v>87</v>
      </c>
      <c r="BW131" t="s">
        <v>84</v>
      </c>
      <c r="BX131" t="s">
        <v>84</v>
      </c>
      <c r="BY131" t="s">
        <v>84</v>
      </c>
      <c r="BZ131" t="s">
        <v>84</v>
      </c>
      <c r="CB131" t="s">
        <v>84</v>
      </c>
      <c r="CD131" t="s">
        <v>84</v>
      </c>
    </row>
    <row r="132" spans="1:83" x14ac:dyDescent="0.25">
      <c r="A132" t="s">
        <v>1529</v>
      </c>
      <c r="B132" t="s">
        <v>1530</v>
      </c>
      <c r="C132" t="s">
        <v>1531</v>
      </c>
      <c r="D132" t="s">
        <v>104</v>
      </c>
      <c r="E132" t="s">
        <v>1926</v>
      </c>
      <c r="F132" s="1">
        <v>3966</v>
      </c>
      <c r="G132" s="1" t="s">
        <v>94</v>
      </c>
      <c r="H132" t="s">
        <v>199</v>
      </c>
      <c r="I132" t="s">
        <v>84</v>
      </c>
      <c r="J132" t="s">
        <v>84</v>
      </c>
      <c r="K132" t="s">
        <v>84</v>
      </c>
      <c r="L132" t="s">
        <v>84</v>
      </c>
      <c r="M132" t="s">
        <v>84</v>
      </c>
      <c r="N132" t="s">
        <v>84</v>
      </c>
      <c r="O132" t="s">
        <v>87</v>
      </c>
      <c r="Q132" t="s">
        <v>94</v>
      </c>
      <c r="S132" t="s">
        <v>1532</v>
      </c>
      <c r="T132" t="s">
        <v>96</v>
      </c>
      <c r="U132" t="s">
        <v>87</v>
      </c>
      <c r="V132" t="s">
        <v>87</v>
      </c>
      <c r="W132" t="s">
        <v>84</v>
      </c>
      <c r="Y132" t="s">
        <v>87</v>
      </c>
      <c r="Z132" t="s">
        <v>87</v>
      </c>
      <c r="AA132" t="s">
        <v>84</v>
      </c>
      <c r="AB132" t="s">
        <v>344</v>
      </c>
      <c r="AC132" t="s">
        <v>87</v>
      </c>
      <c r="AD132" t="s">
        <v>87</v>
      </c>
      <c r="AE132" t="s">
        <v>87</v>
      </c>
      <c r="AF132" t="s">
        <v>87</v>
      </c>
      <c r="AG132" t="s">
        <v>87</v>
      </c>
      <c r="AI132" t="s">
        <v>84</v>
      </c>
      <c r="AJ132" t="s">
        <v>84</v>
      </c>
      <c r="AK132" t="s">
        <v>84</v>
      </c>
      <c r="AL132" t="s">
        <v>84</v>
      </c>
      <c r="AM132" t="s">
        <v>87</v>
      </c>
      <c r="AO132" t="s">
        <v>87</v>
      </c>
      <c r="AP132" t="s">
        <v>87</v>
      </c>
      <c r="AQ132" t="s">
        <v>84</v>
      </c>
      <c r="AS132" t="s">
        <v>87</v>
      </c>
      <c r="AT132" t="s">
        <v>87</v>
      </c>
      <c r="AU132" t="s">
        <v>1533</v>
      </c>
      <c r="AV132" t="s">
        <v>1534</v>
      </c>
      <c r="AW132" t="s">
        <v>89</v>
      </c>
      <c r="AX132" t="s">
        <v>87</v>
      </c>
      <c r="AY132" t="s">
        <v>87</v>
      </c>
      <c r="AZ132" t="s">
        <v>87</v>
      </c>
      <c r="BA132" t="s">
        <v>84</v>
      </c>
      <c r="BB132" t="s">
        <v>84</v>
      </c>
      <c r="BC132" t="s">
        <v>84</v>
      </c>
      <c r="BD132" t="s">
        <v>1535</v>
      </c>
      <c r="BE132" t="s">
        <v>84</v>
      </c>
      <c r="BH132" t="s">
        <v>87</v>
      </c>
      <c r="BI132" t="s">
        <v>84</v>
      </c>
      <c r="BJ132" t="s">
        <v>84</v>
      </c>
      <c r="BK132" t="s">
        <v>1536</v>
      </c>
      <c r="BL132" t="s">
        <v>87</v>
      </c>
      <c r="BM132" t="s">
        <v>84</v>
      </c>
      <c r="BN132" t="s">
        <v>84</v>
      </c>
      <c r="BP132" t="s">
        <v>84</v>
      </c>
      <c r="BQ132" t="s">
        <v>84</v>
      </c>
      <c r="BR132" t="s">
        <v>84</v>
      </c>
      <c r="BS132" t="s">
        <v>84</v>
      </c>
      <c r="BT132" t="s">
        <v>87</v>
      </c>
      <c r="BV132" t="s">
        <v>84</v>
      </c>
      <c r="BW132" t="s">
        <v>84</v>
      </c>
      <c r="BX132" t="s">
        <v>84</v>
      </c>
      <c r="BY132" t="s">
        <v>84</v>
      </c>
      <c r="BZ132" t="s">
        <v>87</v>
      </c>
      <c r="CB132" t="s">
        <v>94</v>
      </c>
      <c r="CC132" t="s">
        <v>1537</v>
      </c>
      <c r="CD132" t="s">
        <v>94</v>
      </c>
      <c r="CE132" t="s">
        <v>1537</v>
      </c>
    </row>
    <row r="133" spans="1:83" x14ac:dyDescent="0.25">
      <c r="A133" t="s">
        <v>789</v>
      </c>
      <c r="B133" t="s">
        <v>790</v>
      </c>
      <c r="C133" t="s">
        <v>791</v>
      </c>
      <c r="D133" t="s">
        <v>734</v>
      </c>
      <c r="E133" t="s">
        <v>734</v>
      </c>
      <c r="F133" s="1">
        <v>3980</v>
      </c>
      <c r="G133" s="1" t="s">
        <v>84</v>
      </c>
      <c r="I133" t="s">
        <v>85</v>
      </c>
      <c r="J133" t="s">
        <v>85</v>
      </c>
      <c r="K133" t="s">
        <v>85</v>
      </c>
      <c r="L133" t="s">
        <v>85</v>
      </c>
      <c r="M133" t="s">
        <v>85</v>
      </c>
      <c r="N133" t="s">
        <v>85</v>
      </c>
      <c r="O133" t="s">
        <v>85</v>
      </c>
      <c r="Q133" t="s">
        <v>84</v>
      </c>
      <c r="T133" t="s">
        <v>96</v>
      </c>
      <c r="U133" t="s">
        <v>87</v>
      </c>
      <c r="V133" t="s">
        <v>87</v>
      </c>
      <c r="W133" t="s">
        <v>87</v>
      </c>
      <c r="Y133" t="s">
        <v>87</v>
      </c>
      <c r="Z133" t="s">
        <v>87</v>
      </c>
      <c r="AA133" t="s">
        <v>87</v>
      </c>
      <c r="AC133" t="s">
        <v>87</v>
      </c>
      <c r="AD133" t="s">
        <v>84</v>
      </c>
      <c r="AE133" t="s">
        <v>84</v>
      </c>
      <c r="AF133" t="s">
        <v>84</v>
      </c>
      <c r="AG133" t="s">
        <v>84</v>
      </c>
      <c r="AH133" t="s">
        <v>792</v>
      </c>
      <c r="AI133" t="s">
        <v>84</v>
      </c>
      <c r="AJ133" t="s">
        <v>84</v>
      </c>
      <c r="AK133" t="s">
        <v>84</v>
      </c>
      <c r="AL133" t="s">
        <v>84</v>
      </c>
      <c r="AM133" t="s">
        <v>87</v>
      </c>
      <c r="AO133" t="s">
        <v>87</v>
      </c>
      <c r="AP133" t="s">
        <v>87</v>
      </c>
      <c r="AQ133" t="s">
        <v>84</v>
      </c>
      <c r="AS133" t="s">
        <v>87</v>
      </c>
      <c r="AT133" t="s">
        <v>84</v>
      </c>
      <c r="AU133" t="s">
        <v>793</v>
      </c>
      <c r="AW133" t="s">
        <v>89</v>
      </c>
      <c r="AX133" t="s">
        <v>87</v>
      </c>
      <c r="AY133" t="s">
        <v>87</v>
      </c>
      <c r="AZ133" t="s">
        <v>87</v>
      </c>
      <c r="BA133" t="s">
        <v>84</v>
      </c>
      <c r="BB133" t="s">
        <v>84</v>
      </c>
      <c r="BC133" t="s">
        <v>87</v>
      </c>
      <c r="BE133" t="s">
        <v>84</v>
      </c>
      <c r="BH133" t="s">
        <v>87</v>
      </c>
      <c r="BI133" t="s">
        <v>84</v>
      </c>
      <c r="BJ133" t="s">
        <v>84</v>
      </c>
      <c r="BL133" t="s">
        <v>87</v>
      </c>
      <c r="BM133" t="s">
        <v>84</v>
      </c>
      <c r="BN133" t="s">
        <v>84</v>
      </c>
      <c r="BP133" t="s">
        <v>84</v>
      </c>
      <c r="BQ133" t="s">
        <v>84</v>
      </c>
      <c r="BR133" t="s">
        <v>84</v>
      </c>
      <c r="BS133" t="s">
        <v>84</v>
      </c>
      <c r="BT133" t="s">
        <v>87</v>
      </c>
      <c r="BV133" t="s">
        <v>87</v>
      </c>
      <c r="BW133" t="s">
        <v>84</v>
      </c>
      <c r="BX133" t="s">
        <v>84</v>
      </c>
      <c r="BY133" t="s">
        <v>84</v>
      </c>
      <c r="BZ133" t="s">
        <v>84</v>
      </c>
      <c r="CB133" t="s">
        <v>84</v>
      </c>
      <c r="CD133" t="s">
        <v>84</v>
      </c>
    </row>
    <row r="134" spans="1:83" x14ac:dyDescent="0.25">
      <c r="A134" t="s">
        <v>1025</v>
      </c>
      <c r="B134" t="s">
        <v>1026</v>
      </c>
      <c r="C134" t="s">
        <v>1027</v>
      </c>
      <c r="D134" t="s">
        <v>1028</v>
      </c>
      <c r="E134" t="s">
        <v>1995</v>
      </c>
      <c r="F134" s="1">
        <v>4000</v>
      </c>
      <c r="G134" s="1" t="s">
        <v>94</v>
      </c>
      <c r="H134" t="s">
        <v>199</v>
      </c>
      <c r="I134" t="s">
        <v>87</v>
      </c>
      <c r="J134" t="s">
        <v>84</v>
      </c>
      <c r="K134" t="s">
        <v>84</v>
      </c>
      <c r="L134" t="s">
        <v>84</v>
      </c>
      <c r="M134" t="s">
        <v>84</v>
      </c>
      <c r="N134" t="s">
        <v>84</v>
      </c>
      <c r="O134" t="s">
        <v>84</v>
      </c>
      <c r="Q134" t="s">
        <v>84</v>
      </c>
      <c r="R134" t="s">
        <v>84</v>
      </c>
      <c r="T134" t="s">
        <v>96</v>
      </c>
      <c r="U134" t="s">
        <v>87</v>
      </c>
      <c r="V134" t="s">
        <v>84</v>
      </c>
      <c r="W134" t="s">
        <v>84</v>
      </c>
      <c r="Y134" t="s">
        <v>87</v>
      </c>
      <c r="Z134" t="s">
        <v>84</v>
      </c>
      <c r="AA134" t="s">
        <v>84</v>
      </c>
      <c r="AC134" t="s">
        <v>87</v>
      </c>
      <c r="AD134" t="s">
        <v>87</v>
      </c>
      <c r="AE134" t="s">
        <v>87</v>
      </c>
      <c r="AF134" t="s">
        <v>84</v>
      </c>
      <c r="AG134" t="s">
        <v>87</v>
      </c>
      <c r="AI134" t="s">
        <v>84</v>
      </c>
      <c r="AJ134" t="s">
        <v>84</v>
      </c>
      <c r="AK134" t="s">
        <v>84</v>
      </c>
      <c r="AL134" t="s">
        <v>87</v>
      </c>
      <c r="AM134" t="s">
        <v>84</v>
      </c>
      <c r="AO134" t="s">
        <v>87</v>
      </c>
      <c r="AP134" t="s">
        <v>87</v>
      </c>
      <c r="AQ134" t="s">
        <v>87</v>
      </c>
      <c r="AS134" t="s">
        <v>87</v>
      </c>
      <c r="AT134" t="s">
        <v>84</v>
      </c>
      <c r="AU134" t="s">
        <v>194</v>
      </c>
      <c r="AW134" t="s">
        <v>89</v>
      </c>
      <c r="AX134" t="s">
        <v>87</v>
      </c>
      <c r="AY134" t="s">
        <v>87</v>
      </c>
      <c r="AZ134" t="s">
        <v>87</v>
      </c>
      <c r="BA134" t="s">
        <v>84</v>
      </c>
      <c r="BB134" t="s">
        <v>87</v>
      </c>
      <c r="BC134" t="s">
        <v>84</v>
      </c>
      <c r="BE134" t="s">
        <v>84</v>
      </c>
      <c r="BH134" t="s">
        <v>87</v>
      </c>
      <c r="BI134" t="s">
        <v>84</v>
      </c>
      <c r="BJ134" t="s">
        <v>84</v>
      </c>
      <c r="BL134" t="s">
        <v>87</v>
      </c>
      <c r="BM134" t="s">
        <v>84</v>
      </c>
      <c r="BN134" t="s">
        <v>84</v>
      </c>
      <c r="BP134" t="s">
        <v>84</v>
      </c>
      <c r="BQ134" t="s">
        <v>84</v>
      </c>
      <c r="BR134" t="s">
        <v>84</v>
      </c>
      <c r="BS134" t="s">
        <v>87</v>
      </c>
      <c r="BT134" t="s">
        <v>84</v>
      </c>
      <c r="BV134" t="s">
        <v>87</v>
      </c>
      <c r="BW134" t="s">
        <v>87</v>
      </c>
      <c r="BX134" t="s">
        <v>87</v>
      </c>
      <c r="BY134" t="s">
        <v>84</v>
      </c>
      <c r="BZ134" t="s">
        <v>87</v>
      </c>
      <c r="CB134" t="s">
        <v>84</v>
      </c>
      <c r="CD134" t="s">
        <v>94</v>
      </c>
      <c r="CE134" t="s">
        <v>1029</v>
      </c>
    </row>
    <row r="135" spans="1:83" x14ac:dyDescent="0.25">
      <c r="A135" t="s">
        <v>1111</v>
      </c>
      <c r="B135" t="s">
        <v>1112</v>
      </c>
      <c r="C135" t="s">
        <v>1113</v>
      </c>
      <c r="D135" t="s">
        <v>120</v>
      </c>
      <c r="E135" t="s">
        <v>1925</v>
      </c>
      <c r="F135" s="1">
        <v>4086</v>
      </c>
      <c r="G135" s="1" t="s">
        <v>94</v>
      </c>
      <c r="H135" t="s">
        <v>409</v>
      </c>
      <c r="I135" t="s">
        <v>87</v>
      </c>
      <c r="J135" t="s">
        <v>87</v>
      </c>
      <c r="K135" t="s">
        <v>87</v>
      </c>
      <c r="L135" t="s">
        <v>87</v>
      </c>
      <c r="M135" t="s">
        <v>87</v>
      </c>
      <c r="N135" t="s">
        <v>87</v>
      </c>
      <c r="O135" t="s">
        <v>87</v>
      </c>
      <c r="Q135" t="s">
        <v>84</v>
      </c>
      <c r="T135" t="s">
        <v>96</v>
      </c>
      <c r="U135" t="s">
        <v>87</v>
      </c>
      <c r="V135" t="s">
        <v>87</v>
      </c>
      <c r="W135" t="s">
        <v>84</v>
      </c>
      <c r="Y135" t="s">
        <v>87</v>
      </c>
      <c r="Z135" t="s">
        <v>87</v>
      </c>
      <c r="AA135" t="s">
        <v>84</v>
      </c>
      <c r="AB135" t="s">
        <v>1114</v>
      </c>
      <c r="AC135" t="s">
        <v>87</v>
      </c>
      <c r="AD135" t="s">
        <v>84</v>
      </c>
      <c r="AE135" t="s">
        <v>84</v>
      </c>
      <c r="AF135" t="s">
        <v>84</v>
      </c>
      <c r="AG135" t="s">
        <v>87</v>
      </c>
      <c r="AI135" t="s">
        <v>84</v>
      </c>
      <c r="AJ135" t="s">
        <v>84</v>
      </c>
      <c r="AK135" t="s">
        <v>84</v>
      </c>
      <c r="AL135" t="s">
        <v>84</v>
      </c>
      <c r="AM135" t="s">
        <v>87</v>
      </c>
      <c r="AO135" t="s">
        <v>87</v>
      </c>
      <c r="AP135" t="s">
        <v>87</v>
      </c>
      <c r="AQ135" t="s">
        <v>84</v>
      </c>
      <c r="AS135" t="s">
        <v>87</v>
      </c>
      <c r="AT135" t="s">
        <v>84</v>
      </c>
      <c r="AU135" t="s">
        <v>1115</v>
      </c>
      <c r="AW135" t="s">
        <v>89</v>
      </c>
      <c r="AX135" t="s">
        <v>84</v>
      </c>
      <c r="AY135" t="s">
        <v>87</v>
      </c>
      <c r="AZ135" t="s">
        <v>87</v>
      </c>
      <c r="BA135" t="s">
        <v>84</v>
      </c>
      <c r="BB135" t="s">
        <v>84</v>
      </c>
      <c r="BC135" t="s">
        <v>84</v>
      </c>
      <c r="BD135" t="s">
        <v>1116</v>
      </c>
      <c r="BE135" t="s">
        <v>84</v>
      </c>
      <c r="BH135" t="s">
        <v>87</v>
      </c>
      <c r="BI135" t="s">
        <v>84</v>
      </c>
      <c r="BJ135" t="s">
        <v>84</v>
      </c>
      <c r="BL135" t="s">
        <v>87</v>
      </c>
      <c r="BM135" t="s">
        <v>84</v>
      </c>
      <c r="BN135" t="s">
        <v>84</v>
      </c>
      <c r="BP135" t="s">
        <v>84</v>
      </c>
      <c r="BQ135" t="s">
        <v>84</v>
      </c>
      <c r="BR135" t="s">
        <v>84</v>
      </c>
      <c r="BS135" t="s">
        <v>84</v>
      </c>
      <c r="BT135" t="s">
        <v>87</v>
      </c>
      <c r="BV135" t="s">
        <v>87</v>
      </c>
      <c r="BW135" t="s">
        <v>84</v>
      </c>
      <c r="BX135" t="s">
        <v>84</v>
      </c>
      <c r="BY135" t="s">
        <v>84</v>
      </c>
      <c r="BZ135" t="s">
        <v>84</v>
      </c>
      <c r="CB135" t="s">
        <v>84</v>
      </c>
      <c r="CD135" t="s">
        <v>84</v>
      </c>
    </row>
    <row r="136" spans="1:83" x14ac:dyDescent="0.25">
      <c r="A136" t="s">
        <v>1172</v>
      </c>
      <c r="B136" t="s">
        <v>1173</v>
      </c>
      <c r="C136" t="s">
        <v>1174</v>
      </c>
      <c r="D136" t="s">
        <v>987</v>
      </c>
      <c r="E136" t="s">
        <v>1924</v>
      </c>
      <c r="F136" s="1">
        <v>4298</v>
      </c>
      <c r="G136" s="1" t="s">
        <v>84</v>
      </c>
      <c r="I136" t="s">
        <v>85</v>
      </c>
      <c r="J136" t="s">
        <v>85</v>
      </c>
      <c r="K136" t="s">
        <v>85</v>
      </c>
      <c r="L136" t="s">
        <v>85</v>
      </c>
      <c r="M136" t="s">
        <v>85</v>
      </c>
      <c r="N136" t="s">
        <v>85</v>
      </c>
      <c r="O136" t="s">
        <v>85</v>
      </c>
      <c r="Q136" t="s">
        <v>84</v>
      </c>
      <c r="T136" t="s">
        <v>86</v>
      </c>
      <c r="U136" t="s">
        <v>87</v>
      </c>
      <c r="V136" t="s">
        <v>84</v>
      </c>
      <c r="W136" t="s">
        <v>84</v>
      </c>
      <c r="Y136" t="s">
        <v>87</v>
      </c>
      <c r="Z136" t="s">
        <v>84</v>
      </c>
      <c r="AA136" t="s">
        <v>84</v>
      </c>
      <c r="AB136" t="s">
        <v>1170</v>
      </c>
      <c r="AC136" t="s">
        <v>87</v>
      </c>
      <c r="AD136" t="s">
        <v>87</v>
      </c>
      <c r="AE136" t="s">
        <v>87</v>
      </c>
      <c r="AF136" t="s">
        <v>87</v>
      </c>
      <c r="AG136" t="s">
        <v>84</v>
      </c>
      <c r="AI136" t="s">
        <v>84</v>
      </c>
      <c r="AJ136" t="s">
        <v>84</v>
      </c>
      <c r="AK136" t="s">
        <v>84</v>
      </c>
      <c r="AL136" t="s">
        <v>84</v>
      </c>
      <c r="AM136" t="s">
        <v>87</v>
      </c>
      <c r="AO136" t="s">
        <v>87</v>
      </c>
      <c r="AP136" t="s">
        <v>87</v>
      </c>
      <c r="AQ136" t="s">
        <v>84</v>
      </c>
      <c r="AS136" t="s">
        <v>87</v>
      </c>
      <c r="AT136" t="s">
        <v>84</v>
      </c>
      <c r="AU136" t="s">
        <v>1175</v>
      </c>
      <c r="AW136" t="s">
        <v>89</v>
      </c>
      <c r="AX136" t="s">
        <v>87</v>
      </c>
      <c r="AY136" t="s">
        <v>87</v>
      </c>
      <c r="AZ136" t="s">
        <v>84</v>
      </c>
      <c r="BA136" t="s">
        <v>84</v>
      </c>
      <c r="BB136" t="s">
        <v>84</v>
      </c>
      <c r="BC136" t="s">
        <v>84</v>
      </c>
      <c r="BD136" t="s">
        <v>1176</v>
      </c>
      <c r="BE136" t="s">
        <v>84</v>
      </c>
      <c r="BH136" t="s">
        <v>87</v>
      </c>
      <c r="BI136" t="s">
        <v>84</v>
      </c>
      <c r="BJ136" t="s">
        <v>84</v>
      </c>
      <c r="BL136" t="s">
        <v>87</v>
      </c>
      <c r="BM136" t="s">
        <v>84</v>
      </c>
      <c r="BN136" t="s">
        <v>84</v>
      </c>
      <c r="BP136" t="s">
        <v>84</v>
      </c>
      <c r="BQ136" t="s">
        <v>84</v>
      </c>
      <c r="BR136" t="s">
        <v>84</v>
      </c>
      <c r="BS136" t="s">
        <v>84</v>
      </c>
      <c r="BT136" t="s">
        <v>87</v>
      </c>
      <c r="BV136" t="s">
        <v>87</v>
      </c>
      <c r="BW136" t="s">
        <v>84</v>
      </c>
      <c r="BX136" t="s">
        <v>84</v>
      </c>
      <c r="BY136" t="s">
        <v>84</v>
      </c>
      <c r="BZ136" t="s">
        <v>84</v>
      </c>
      <c r="CB136" t="s">
        <v>84</v>
      </c>
      <c r="CD136" t="s">
        <v>84</v>
      </c>
    </row>
    <row r="137" spans="1:83" x14ac:dyDescent="0.25">
      <c r="A137" t="s">
        <v>406</v>
      </c>
      <c r="B137" t="s">
        <v>393</v>
      </c>
      <c r="C137" t="s">
        <v>407</v>
      </c>
      <c r="D137" t="s">
        <v>408</v>
      </c>
      <c r="E137" t="s">
        <v>1994</v>
      </c>
      <c r="F137" s="1">
        <v>4600</v>
      </c>
      <c r="G137" s="1" t="s">
        <v>94</v>
      </c>
      <c r="H137" t="s">
        <v>409</v>
      </c>
      <c r="I137" t="s">
        <v>84</v>
      </c>
      <c r="J137" t="s">
        <v>84</v>
      </c>
      <c r="K137" t="s">
        <v>84</v>
      </c>
      <c r="L137" t="s">
        <v>84</v>
      </c>
      <c r="M137" t="s">
        <v>84</v>
      </c>
      <c r="N137" t="s">
        <v>84</v>
      </c>
      <c r="O137" t="s">
        <v>87</v>
      </c>
      <c r="Q137" t="s">
        <v>84</v>
      </c>
      <c r="R137" t="s">
        <v>84</v>
      </c>
      <c r="T137" t="s">
        <v>86</v>
      </c>
      <c r="U137" t="s">
        <v>87</v>
      </c>
      <c r="V137" t="s">
        <v>87</v>
      </c>
      <c r="W137" t="s">
        <v>84</v>
      </c>
      <c r="Y137" t="s">
        <v>87</v>
      </c>
      <c r="Z137" t="s">
        <v>87</v>
      </c>
      <c r="AA137" t="s">
        <v>87</v>
      </c>
      <c r="AC137" t="s">
        <v>87</v>
      </c>
      <c r="AD137" t="s">
        <v>84</v>
      </c>
      <c r="AE137" t="s">
        <v>84</v>
      </c>
      <c r="AF137" t="s">
        <v>84</v>
      </c>
      <c r="AG137" t="s">
        <v>87</v>
      </c>
      <c r="AI137" t="s">
        <v>84</v>
      </c>
      <c r="AJ137" t="s">
        <v>84</v>
      </c>
      <c r="AK137" t="s">
        <v>84</v>
      </c>
      <c r="AL137" t="s">
        <v>84</v>
      </c>
      <c r="AM137" t="s">
        <v>87</v>
      </c>
      <c r="AO137" t="s">
        <v>87</v>
      </c>
      <c r="AP137" t="s">
        <v>87</v>
      </c>
      <c r="AQ137" t="s">
        <v>84</v>
      </c>
      <c r="AS137" t="s">
        <v>87</v>
      </c>
      <c r="AT137" t="s">
        <v>84</v>
      </c>
      <c r="AU137" t="s">
        <v>410</v>
      </c>
      <c r="AW137" t="s">
        <v>89</v>
      </c>
      <c r="AX137" t="s">
        <v>84</v>
      </c>
      <c r="AY137" t="s">
        <v>84</v>
      </c>
      <c r="AZ137" t="s">
        <v>84</v>
      </c>
      <c r="BA137" t="s">
        <v>87</v>
      </c>
      <c r="BB137" t="s">
        <v>84</v>
      </c>
      <c r="BC137" t="s">
        <v>87</v>
      </c>
      <c r="BE137" t="s">
        <v>84</v>
      </c>
      <c r="BH137" t="s">
        <v>87</v>
      </c>
      <c r="BI137" t="s">
        <v>84</v>
      </c>
      <c r="BJ137" t="s">
        <v>84</v>
      </c>
      <c r="BL137" t="s">
        <v>87</v>
      </c>
      <c r="BM137" t="s">
        <v>84</v>
      </c>
      <c r="BN137" t="s">
        <v>84</v>
      </c>
      <c r="BP137" t="s">
        <v>84</v>
      </c>
      <c r="BQ137" t="s">
        <v>84</v>
      </c>
      <c r="BR137" t="s">
        <v>84</v>
      </c>
      <c r="BS137" t="s">
        <v>84</v>
      </c>
      <c r="BT137" t="s">
        <v>87</v>
      </c>
      <c r="BV137" t="s">
        <v>87</v>
      </c>
      <c r="BW137" t="s">
        <v>84</v>
      </c>
      <c r="BX137" t="s">
        <v>84</v>
      </c>
      <c r="BY137" t="s">
        <v>84</v>
      </c>
      <c r="BZ137" t="s">
        <v>87</v>
      </c>
      <c r="CB137" t="s">
        <v>84</v>
      </c>
      <c r="CD137" t="s">
        <v>84</v>
      </c>
    </row>
    <row r="138" spans="1:83" x14ac:dyDescent="0.25">
      <c r="A138" t="s">
        <v>212</v>
      </c>
      <c r="B138" t="s">
        <v>213</v>
      </c>
      <c r="C138" t="s">
        <v>214</v>
      </c>
      <c r="D138" t="s">
        <v>215</v>
      </c>
      <c r="E138" t="s">
        <v>1995</v>
      </c>
      <c r="F138" s="10">
        <v>4683</v>
      </c>
      <c r="G138" s="1" t="s">
        <v>84</v>
      </c>
      <c r="I138" t="s">
        <v>85</v>
      </c>
      <c r="J138" t="s">
        <v>85</v>
      </c>
      <c r="K138" t="s">
        <v>85</v>
      </c>
      <c r="L138" t="s">
        <v>85</v>
      </c>
      <c r="M138" t="s">
        <v>85</v>
      </c>
      <c r="N138" t="s">
        <v>85</v>
      </c>
      <c r="O138" t="s">
        <v>85</v>
      </c>
      <c r="Q138" t="s">
        <v>84</v>
      </c>
      <c r="T138" t="s">
        <v>96</v>
      </c>
      <c r="U138" t="s">
        <v>87</v>
      </c>
      <c r="V138" t="s">
        <v>87</v>
      </c>
      <c r="W138" t="s">
        <v>84</v>
      </c>
      <c r="Y138" t="s">
        <v>87</v>
      </c>
      <c r="Z138" t="s">
        <v>87</v>
      </c>
      <c r="AA138" t="s">
        <v>84</v>
      </c>
      <c r="AC138" t="s">
        <v>84</v>
      </c>
      <c r="AD138" t="s">
        <v>84</v>
      </c>
      <c r="AE138" t="s">
        <v>84</v>
      </c>
      <c r="AF138" t="s">
        <v>84</v>
      </c>
      <c r="AG138" t="s">
        <v>84</v>
      </c>
      <c r="AH138" t="s">
        <v>216</v>
      </c>
      <c r="AI138" t="s">
        <v>84</v>
      </c>
      <c r="AJ138" t="s">
        <v>84</v>
      </c>
      <c r="AK138" t="s">
        <v>84</v>
      </c>
      <c r="AL138" t="s">
        <v>84</v>
      </c>
      <c r="AM138" t="s">
        <v>87</v>
      </c>
      <c r="AO138" t="s">
        <v>87</v>
      </c>
      <c r="AP138" t="s">
        <v>87</v>
      </c>
      <c r="AQ138" t="s">
        <v>87</v>
      </c>
      <c r="AS138" t="s">
        <v>87</v>
      </c>
      <c r="AT138" t="s">
        <v>84</v>
      </c>
      <c r="AU138" t="s">
        <v>217</v>
      </c>
      <c r="AW138" t="s">
        <v>89</v>
      </c>
      <c r="AX138" t="s">
        <v>87</v>
      </c>
      <c r="AY138" t="s">
        <v>84</v>
      </c>
      <c r="AZ138" t="s">
        <v>84</v>
      </c>
      <c r="BA138" t="s">
        <v>84</v>
      </c>
      <c r="BB138" t="s">
        <v>84</v>
      </c>
      <c r="BC138" t="s">
        <v>84</v>
      </c>
      <c r="BD138" t="s">
        <v>218</v>
      </c>
      <c r="BE138" t="s">
        <v>84</v>
      </c>
      <c r="BH138" t="s">
        <v>87</v>
      </c>
      <c r="BI138" t="s">
        <v>84</v>
      </c>
      <c r="BJ138" t="s">
        <v>84</v>
      </c>
      <c r="BL138" t="s">
        <v>87</v>
      </c>
      <c r="BM138" t="s">
        <v>84</v>
      </c>
      <c r="BN138" t="s">
        <v>84</v>
      </c>
      <c r="BO138" t="s">
        <v>219</v>
      </c>
      <c r="BP138" t="s">
        <v>84</v>
      </c>
      <c r="BQ138" t="s">
        <v>84</v>
      </c>
      <c r="BR138" t="s">
        <v>84</v>
      </c>
      <c r="BS138" t="s">
        <v>87</v>
      </c>
      <c r="BT138" t="s">
        <v>84</v>
      </c>
      <c r="BV138" t="s">
        <v>87</v>
      </c>
      <c r="BW138" t="s">
        <v>84</v>
      </c>
      <c r="BX138" t="s">
        <v>84</v>
      </c>
      <c r="BY138" t="s">
        <v>84</v>
      </c>
      <c r="BZ138" t="s">
        <v>84</v>
      </c>
      <c r="CB138" t="s">
        <v>84</v>
      </c>
      <c r="CD138" t="s">
        <v>94</v>
      </c>
      <c r="CE138" t="s">
        <v>220</v>
      </c>
    </row>
    <row r="139" spans="1:83" x14ac:dyDescent="0.25">
      <c r="A139" t="s">
        <v>1247</v>
      </c>
      <c r="B139" t="s">
        <v>1248</v>
      </c>
      <c r="C139" t="s">
        <v>1249</v>
      </c>
      <c r="D139" t="s">
        <v>1054</v>
      </c>
      <c r="E139" t="s">
        <v>1996</v>
      </c>
      <c r="F139" s="1">
        <v>4946</v>
      </c>
      <c r="G139" s="1" t="s">
        <v>94</v>
      </c>
      <c r="H139" t="s">
        <v>199</v>
      </c>
      <c r="I139" t="s">
        <v>84</v>
      </c>
      <c r="J139" t="s">
        <v>84</v>
      </c>
      <c r="K139" t="s">
        <v>84</v>
      </c>
      <c r="L139" t="s">
        <v>84</v>
      </c>
      <c r="M139" t="s">
        <v>84</v>
      </c>
      <c r="N139" t="s">
        <v>84</v>
      </c>
      <c r="O139" t="s">
        <v>87</v>
      </c>
      <c r="Q139" t="s">
        <v>94</v>
      </c>
      <c r="S139" t="s">
        <v>1250</v>
      </c>
      <c r="T139" t="s">
        <v>96</v>
      </c>
      <c r="U139" t="s">
        <v>87</v>
      </c>
      <c r="V139" t="s">
        <v>87</v>
      </c>
      <c r="W139" t="s">
        <v>87</v>
      </c>
      <c r="Y139" t="s">
        <v>87</v>
      </c>
      <c r="Z139" t="s">
        <v>87</v>
      </c>
      <c r="AA139" t="s">
        <v>87</v>
      </c>
      <c r="AB139" t="s">
        <v>1251</v>
      </c>
      <c r="AC139" t="s">
        <v>87</v>
      </c>
      <c r="AD139" t="s">
        <v>84</v>
      </c>
      <c r="AE139" t="s">
        <v>84</v>
      </c>
      <c r="AF139" t="s">
        <v>84</v>
      </c>
      <c r="AG139" t="s">
        <v>84</v>
      </c>
      <c r="AI139" t="s">
        <v>84</v>
      </c>
      <c r="AJ139" t="s">
        <v>84</v>
      </c>
      <c r="AK139" t="s">
        <v>84</v>
      </c>
      <c r="AL139" t="s">
        <v>84</v>
      </c>
      <c r="AM139" t="s">
        <v>87</v>
      </c>
      <c r="AO139" t="s">
        <v>87</v>
      </c>
      <c r="AP139" t="s">
        <v>87</v>
      </c>
      <c r="AQ139" t="s">
        <v>84</v>
      </c>
      <c r="AR139" t="s">
        <v>1252</v>
      </c>
      <c r="AS139" t="s">
        <v>87</v>
      </c>
      <c r="AT139" t="s">
        <v>84</v>
      </c>
      <c r="AU139" t="s">
        <v>1253</v>
      </c>
      <c r="AW139" t="s">
        <v>89</v>
      </c>
      <c r="AX139" t="s">
        <v>87</v>
      </c>
      <c r="AY139" t="s">
        <v>87</v>
      </c>
      <c r="AZ139" t="s">
        <v>84</v>
      </c>
      <c r="BA139" t="s">
        <v>84</v>
      </c>
      <c r="BB139" t="s">
        <v>84</v>
      </c>
      <c r="BC139" t="s">
        <v>84</v>
      </c>
      <c r="BD139" t="s">
        <v>1254</v>
      </c>
      <c r="BE139" t="s">
        <v>84</v>
      </c>
      <c r="BH139" t="s">
        <v>87</v>
      </c>
      <c r="BI139" t="s">
        <v>84</v>
      </c>
      <c r="BJ139" t="s">
        <v>84</v>
      </c>
      <c r="BL139" t="s">
        <v>87</v>
      </c>
      <c r="BM139" t="s">
        <v>84</v>
      </c>
      <c r="BN139" t="s">
        <v>84</v>
      </c>
      <c r="BP139" t="s">
        <v>84</v>
      </c>
      <c r="BQ139" t="s">
        <v>84</v>
      </c>
      <c r="BR139" t="s">
        <v>84</v>
      </c>
      <c r="BS139" t="s">
        <v>84</v>
      </c>
      <c r="BT139" t="s">
        <v>87</v>
      </c>
      <c r="BV139" t="s">
        <v>87</v>
      </c>
      <c r="BW139" t="s">
        <v>84</v>
      </c>
      <c r="BX139" t="s">
        <v>84</v>
      </c>
      <c r="BY139" t="s">
        <v>84</v>
      </c>
      <c r="BZ139" t="s">
        <v>84</v>
      </c>
      <c r="CB139" t="s">
        <v>94</v>
      </c>
      <c r="CC139" t="s">
        <v>1255</v>
      </c>
      <c r="CD139" t="s">
        <v>84</v>
      </c>
    </row>
    <row r="140" spans="1:83" x14ac:dyDescent="0.25">
      <c r="A140" t="s">
        <v>1820</v>
      </c>
      <c r="B140" t="s">
        <v>1821</v>
      </c>
      <c r="C140" t="s">
        <v>1822</v>
      </c>
      <c r="D140" t="s">
        <v>245</v>
      </c>
      <c r="E140" t="s">
        <v>1995</v>
      </c>
      <c r="F140" s="1">
        <v>4948</v>
      </c>
      <c r="G140" s="1" t="s">
        <v>94</v>
      </c>
      <c r="H140" t="s">
        <v>1823</v>
      </c>
      <c r="I140" t="s">
        <v>84</v>
      </c>
      <c r="J140" t="s">
        <v>84</v>
      </c>
      <c r="K140" t="s">
        <v>84</v>
      </c>
      <c r="L140" t="s">
        <v>84</v>
      </c>
      <c r="M140" t="s">
        <v>84</v>
      </c>
      <c r="N140" t="s">
        <v>84</v>
      </c>
      <c r="O140" t="s">
        <v>87</v>
      </c>
      <c r="Q140" t="s">
        <v>94</v>
      </c>
      <c r="S140" t="s">
        <v>1824</v>
      </c>
      <c r="T140" t="s">
        <v>96</v>
      </c>
      <c r="U140" t="s">
        <v>87</v>
      </c>
      <c r="V140" t="s">
        <v>84</v>
      </c>
      <c r="W140" t="s">
        <v>84</v>
      </c>
      <c r="Y140" t="s">
        <v>87</v>
      </c>
      <c r="Z140" t="s">
        <v>87</v>
      </c>
      <c r="AA140" t="s">
        <v>87</v>
      </c>
      <c r="AC140" t="s">
        <v>87</v>
      </c>
      <c r="AD140" t="s">
        <v>84</v>
      </c>
      <c r="AE140" t="s">
        <v>87</v>
      </c>
      <c r="AF140" t="s">
        <v>84</v>
      </c>
      <c r="AG140" t="s">
        <v>87</v>
      </c>
      <c r="AI140" t="s">
        <v>84</v>
      </c>
      <c r="AJ140" t="s">
        <v>84</v>
      </c>
      <c r="AK140" t="s">
        <v>84</v>
      </c>
      <c r="AL140" t="s">
        <v>84</v>
      </c>
      <c r="AM140" t="s">
        <v>87</v>
      </c>
      <c r="AO140" t="s">
        <v>87</v>
      </c>
      <c r="AP140" t="s">
        <v>87</v>
      </c>
      <c r="AQ140" t="s">
        <v>87</v>
      </c>
      <c r="AS140" t="s">
        <v>87</v>
      </c>
      <c r="AT140" t="s">
        <v>84</v>
      </c>
      <c r="AU140" t="s">
        <v>1825</v>
      </c>
      <c r="AW140" t="s">
        <v>89</v>
      </c>
      <c r="AX140" t="s">
        <v>84</v>
      </c>
      <c r="AY140" t="s">
        <v>87</v>
      </c>
      <c r="AZ140" t="s">
        <v>84</v>
      </c>
      <c r="BA140" t="s">
        <v>84</v>
      </c>
      <c r="BB140" t="s">
        <v>87</v>
      </c>
      <c r="BC140" t="s">
        <v>84</v>
      </c>
      <c r="BE140" t="s">
        <v>84</v>
      </c>
      <c r="BH140" t="s">
        <v>87</v>
      </c>
      <c r="BI140" t="s">
        <v>84</v>
      </c>
      <c r="BJ140" t="s">
        <v>84</v>
      </c>
      <c r="BL140" t="s">
        <v>87</v>
      </c>
      <c r="BM140" t="s">
        <v>84</v>
      </c>
      <c r="BN140" t="s">
        <v>84</v>
      </c>
      <c r="BP140" t="s">
        <v>84</v>
      </c>
      <c r="BQ140" t="s">
        <v>84</v>
      </c>
      <c r="BR140" t="s">
        <v>84</v>
      </c>
      <c r="BS140" t="s">
        <v>84</v>
      </c>
      <c r="BT140" t="s">
        <v>87</v>
      </c>
      <c r="BV140" t="s">
        <v>87</v>
      </c>
      <c r="BW140" t="s">
        <v>84</v>
      </c>
      <c r="BX140" t="s">
        <v>84</v>
      </c>
      <c r="BY140" t="s">
        <v>84</v>
      </c>
      <c r="BZ140" t="s">
        <v>87</v>
      </c>
      <c r="CB140" t="s">
        <v>84</v>
      </c>
      <c r="CD140" t="s">
        <v>84</v>
      </c>
    </row>
    <row r="141" spans="1:83" x14ac:dyDescent="0.25">
      <c r="A141" t="s">
        <v>441</v>
      </c>
      <c r="B141" t="s">
        <v>442</v>
      </c>
      <c r="C141" t="s">
        <v>443</v>
      </c>
      <c r="D141" t="s">
        <v>104</v>
      </c>
      <c r="E141" t="s">
        <v>1926</v>
      </c>
      <c r="F141" s="1">
        <v>5200</v>
      </c>
      <c r="G141" s="1" t="s">
        <v>94</v>
      </c>
      <c r="H141" t="s">
        <v>199</v>
      </c>
      <c r="I141" t="s">
        <v>84</v>
      </c>
      <c r="J141" t="s">
        <v>84</v>
      </c>
      <c r="K141" t="s">
        <v>84</v>
      </c>
      <c r="L141" t="s">
        <v>84</v>
      </c>
      <c r="M141" t="s">
        <v>84</v>
      </c>
      <c r="N141" t="s">
        <v>84</v>
      </c>
      <c r="O141" t="s">
        <v>87</v>
      </c>
      <c r="Q141" t="s">
        <v>94</v>
      </c>
      <c r="S141" t="s">
        <v>444</v>
      </c>
      <c r="T141" t="s">
        <v>96</v>
      </c>
      <c r="U141" t="s">
        <v>87</v>
      </c>
      <c r="V141" t="s">
        <v>87</v>
      </c>
      <c r="W141" t="s">
        <v>84</v>
      </c>
      <c r="Y141" t="s">
        <v>87</v>
      </c>
      <c r="Z141" t="s">
        <v>87</v>
      </c>
      <c r="AA141" t="s">
        <v>84</v>
      </c>
      <c r="AC141" t="s">
        <v>87</v>
      </c>
      <c r="AD141" t="s">
        <v>84</v>
      </c>
      <c r="AE141" t="s">
        <v>87</v>
      </c>
      <c r="AF141" t="s">
        <v>84</v>
      </c>
      <c r="AG141" t="s">
        <v>87</v>
      </c>
      <c r="AH141" t="s">
        <v>445</v>
      </c>
      <c r="AI141" t="s">
        <v>87</v>
      </c>
      <c r="AJ141" t="s">
        <v>84</v>
      </c>
      <c r="AK141" t="s">
        <v>84</v>
      </c>
      <c r="AL141" t="s">
        <v>87</v>
      </c>
      <c r="AM141" t="s">
        <v>84</v>
      </c>
      <c r="AO141" t="s">
        <v>87</v>
      </c>
      <c r="AP141" t="s">
        <v>87</v>
      </c>
      <c r="AQ141" t="s">
        <v>84</v>
      </c>
      <c r="AS141" t="s">
        <v>87</v>
      </c>
      <c r="AT141" t="s">
        <v>87</v>
      </c>
      <c r="AU141" t="s">
        <v>444</v>
      </c>
      <c r="AW141" t="s">
        <v>89</v>
      </c>
      <c r="AX141" t="s">
        <v>87</v>
      </c>
      <c r="AY141" t="s">
        <v>84</v>
      </c>
      <c r="AZ141" t="s">
        <v>84</v>
      </c>
      <c r="BA141" t="s">
        <v>84</v>
      </c>
      <c r="BB141" t="s">
        <v>84</v>
      </c>
      <c r="BC141" t="s">
        <v>84</v>
      </c>
      <c r="BD141" t="s">
        <v>446</v>
      </c>
      <c r="BE141" t="s">
        <v>84</v>
      </c>
      <c r="BH141" t="s">
        <v>87</v>
      </c>
      <c r="BI141" t="s">
        <v>84</v>
      </c>
      <c r="BJ141" t="s">
        <v>84</v>
      </c>
      <c r="BL141" t="s">
        <v>87</v>
      </c>
      <c r="BM141" t="s">
        <v>87</v>
      </c>
      <c r="BN141" t="s">
        <v>84</v>
      </c>
      <c r="BP141" t="s">
        <v>87</v>
      </c>
      <c r="BQ141" t="s">
        <v>84</v>
      </c>
      <c r="BR141" t="s">
        <v>84</v>
      </c>
      <c r="BS141" t="s">
        <v>84</v>
      </c>
      <c r="BT141" t="s">
        <v>84</v>
      </c>
      <c r="BV141" t="s">
        <v>87</v>
      </c>
      <c r="BW141" t="s">
        <v>84</v>
      </c>
      <c r="BX141" t="s">
        <v>84</v>
      </c>
      <c r="BY141" t="s">
        <v>84</v>
      </c>
      <c r="BZ141" t="s">
        <v>84</v>
      </c>
      <c r="CB141" t="s">
        <v>84</v>
      </c>
      <c r="CD141" t="s">
        <v>84</v>
      </c>
    </row>
    <row r="142" spans="1:83" x14ac:dyDescent="0.25">
      <c r="A142" t="s">
        <v>1103</v>
      </c>
      <c r="B142" t="s">
        <v>1104</v>
      </c>
      <c r="C142" t="s">
        <v>1105</v>
      </c>
      <c r="D142" t="s">
        <v>120</v>
      </c>
      <c r="E142" t="s">
        <v>1925</v>
      </c>
      <c r="F142" s="1">
        <v>5339</v>
      </c>
      <c r="G142" s="1" t="s">
        <v>94</v>
      </c>
      <c r="H142" t="s">
        <v>95</v>
      </c>
      <c r="I142" t="s">
        <v>84</v>
      </c>
      <c r="J142" t="s">
        <v>84</v>
      </c>
      <c r="K142" t="s">
        <v>84</v>
      </c>
      <c r="L142" t="s">
        <v>84</v>
      </c>
      <c r="M142" t="s">
        <v>84</v>
      </c>
      <c r="N142" t="s">
        <v>84</v>
      </c>
      <c r="O142" t="s">
        <v>87</v>
      </c>
      <c r="Q142" t="s">
        <v>94</v>
      </c>
      <c r="S142" t="s">
        <v>1106</v>
      </c>
      <c r="T142" t="s">
        <v>96</v>
      </c>
      <c r="U142" t="s">
        <v>87</v>
      </c>
      <c r="V142" t="s">
        <v>87</v>
      </c>
      <c r="W142" t="s">
        <v>84</v>
      </c>
      <c r="Y142" t="s">
        <v>87</v>
      </c>
      <c r="Z142" t="s">
        <v>87</v>
      </c>
      <c r="AA142" t="s">
        <v>84</v>
      </c>
      <c r="AC142" t="s">
        <v>84</v>
      </c>
      <c r="AD142" t="s">
        <v>84</v>
      </c>
      <c r="AE142" t="s">
        <v>84</v>
      </c>
      <c r="AF142" t="s">
        <v>84</v>
      </c>
      <c r="AG142" t="s">
        <v>84</v>
      </c>
      <c r="AH142" t="s">
        <v>1107</v>
      </c>
      <c r="AI142" t="s">
        <v>87</v>
      </c>
      <c r="AJ142" t="s">
        <v>84</v>
      </c>
      <c r="AK142" t="s">
        <v>84</v>
      </c>
      <c r="AL142" t="s">
        <v>84</v>
      </c>
      <c r="AM142" t="s">
        <v>84</v>
      </c>
      <c r="AO142" t="s">
        <v>87</v>
      </c>
      <c r="AP142" t="s">
        <v>87</v>
      </c>
      <c r="AQ142" t="s">
        <v>84</v>
      </c>
      <c r="AS142" t="s">
        <v>87</v>
      </c>
      <c r="AT142" t="s">
        <v>84</v>
      </c>
      <c r="AU142" t="s">
        <v>1108</v>
      </c>
      <c r="AW142" t="s">
        <v>89</v>
      </c>
      <c r="AX142" t="s">
        <v>87</v>
      </c>
      <c r="AY142" t="s">
        <v>84</v>
      </c>
      <c r="AZ142" t="s">
        <v>84</v>
      </c>
      <c r="BA142" t="s">
        <v>84</v>
      </c>
      <c r="BB142" t="s">
        <v>84</v>
      </c>
      <c r="BC142" t="s">
        <v>84</v>
      </c>
      <c r="BD142" t="s">
        <v>1109</v>
      </c>
      <c r="BE142" t="s">
        <v>84</v>
      </c>
      <c r="BH142" t="s">
        <v>87</v>
      </c>
      <c r="BI142" t="s">
        <v>84</v>
      </c>
      <c r="BJ142" t="s">
        <v>84</v>
      </c>
      <c r="BL142" t="s">
        <v>87</v>
      </c>
      <c r="BM142" t="s">
        <v>87</v>
      </c>
      <c r="BN142" t="s">
        <v>84</v>
      </c>
      <c r="BP142" t="s">
        <v>87</v>
      </c>
      <c r="BQ142" t="s">
        <v>84</v>
      </c>
      <c r="BR142" t="s">
        <v>84</v>
      </c>
      <c r="BS142" t="s">
        <v>84</v>
      </c>
      <c r="BT142" t="s">
        <v>84</v>
      </c>
      <c r="BV142" t="s">
        <v>87</v>
      </c>
      <c r="BW142" t="s">
        <v>87</v>
      </c>
      <c r="BX142" t="s">
        <v>84</v>
      </c>
      <c r="BY142" t="s">
        <v>84</v>
      </c>
      <c r="BZ142" t="s">
        <v>87</v>
      </c>
      <c r="CB142" t="s">
        <v>84</v>
      </c>
      <c r="CD142" t="s">
        <v>94</v>
      </c>
      <c r="CE142" t="s">
        <v>1110</v>
      </c>
    </row>
    <row r="143" spans="1:83" x14ac:dyDescent="0.25">
      <c r="A143" t="s">
        <v>655</v>
      </c>
      <c r="B143" t="s">
        <v>656</v>
      </c>
      <c r="C143" t="s">
        <v>657</v>
      </c>
      <c r="D143" t="s">
        <v>658</v>
      </c>
      <c r="E143" t="s">
        <v>1925</v>
      </c>
      <c r="F143" s="1">
        <v>5542</v>
      </c>
      <c r="G143" s="1" t="s">
        <v>94</v>
      </c>
      <c r="H143" t="s">
        <v>95</v>
      </c>
      <c r="I143" t="s">
        <v>87</v>
      </c>
      <c r="J143" t="s">
        <v>84</v>
      </c>
      <c r="K143" t="s">
        <v>84</v>
      </c>
      <c r="L143" t="s">
        <v>84</v>
      </c>
      <c r="M143" t="s">
        <v>87</v>
      </c>
      <c r="N143" t="s">
        <v>84</v>
      </c>
      <c r="O143" t="s">
        <v>84</v>
      </c>
      <c r="Q143" t="s">
        <v>84</v>
      </c>
      <c r="R143" t="s">
        <v>84</v>
      </c>
      <c r="T143" t="s">
        <v>86</v>
      </c>
      <c r="U143" t="s">
        <v>87</v>
      </c>
      <c r="V143" t="s">
        <v>87</v>
      </c>
      <c r="W143" t="s">
        <v>87</v>
      </c>
      <c r="Y143" t="s">
        <v>87</v>
      </c>
      <c r="Z143" t="s">
        <v>87</v>
      </c>
      <c r="AA143" t="s">
        <v>87</v>
      </c>
      <c r="AC143" t="s">
        <v>87</v>
      </c>
      <c r="AD143" t="s">
        <v>84</v>
      </c>
      <c r="AE143" t="s">
        <v>84</v>
      </c>
      <c r="AF143" t="s">
        <v>84</v>
      </c>
      <c r="AG143" t="s">
        <v>84</v>
      </c>
      <c r="AI143" t="s">
        <v>84</v>
      </c>
      <c r="AJ143" t="s">
        <v>84</v>
      </c>
      <c r="AK143" t="s">
        <v>87</v>
      </c>
      <c r="AL143" t="s">
        <v>84</v>
      </c>
      <c r="AM143" t="s">
        <v>84</v>
      </c>
      <c r="AO143" t="s">
        <v>87</v>
      </c>
      <c r="AP143" t="s">
        <v>87</v>
      </c>
      <c r="AQ143" t="s">
        <v>87</v>
      </c>
      <c r="AS143" t="s">
        <v>84</v>
      </c>
      <c r="AT143" t="s">
        <v>87</v>
      </c>
      <c r="AV143" t="s">
        <v>659</v>
      </c>
      <c r="AW143" t="s">
        <v>89</v>
      </c>
      <c r="AX143" t="s">
        <v>87</v>
      </c>
      <c r="AY143" t="s">
        <v>87</v>
      </c>
      <c r="AZ143" t="s">
        <v>84</v>
      </c>
      <c r="BA143" t="s">
        <v>84</v>
      </c>
      <c r="BB143" t="s">
        <v>84</v>
      </c>
      <c r="BC143" t="s">
        <v>87</v>
      </c>
      <c r="BE143" t="s">
        <v>84</v>
      </c>
      <c r="BH143" t="s">
        <v>87</v>
      </c>
      <c r="BI143" t="s">
        <v>84</v>
      </c>
      <c r="BJ143" t="s">
        <v>84</v>
      </c>
      <c r="BL143" t="s">
        <v>84</v>
      </c>
      <c r="BM143" t="s">
        <v>87</v>
      </c>
      <c r="BN143" t="s">
        <v>84</v>
      </c>
      <c r="BP143" t="s">
        <v>84</v>
      </c>
      <c r="BQ143" t="s">
        <v>84</v>
      </c>
      <c r="BR143" t="s">
        <v>84</v>
      </c>
      <c r="BS143" t="s">
        <v>84</v>
      </c>
      <c r="BT143" t="s">
        <v>87</v>
      </c>
      <c r="BV143" t="s">
        <v>87</v>
      </c>
      <c r="BW143" t="s">
        <v>84</v>
      </c>
      <c r="BX143" t="s">
        <v>84</v>
      </c>
      <c r="BY143" t="s">
        <v>84</v>
      </c>
      <c r="BZ143" t="s">
        <v>84</v>
      </c>
      <c r="CB143" t="s">
        <v>84</v>
      </c>
      <c r="CD143" t="s">
        <v>84</v>
      </c>
    </row>
    <row r="144" spans="1:83" x14ac:dyDescent="0.25">
      <c r="A144" t="s">
        <v>1240</v>
      </c>
      <c r="B144" t="s">
        <v>1241</v>
      </c>
      <c r="C144" t="s">
        <v>198</v>
      </c>
      <c r="D144" t="s">
        <v>198</v>
      </c>
      <c r="E144" t="s">
        <v>1995</v>
      </c>
      <c r="F144" s="1">
        <v>5555</v>
      </c>
      <c r="G144" s="1" t="s">
        <v>94</v>
      </c>
      <c r="H144" t="s">
        <v>1242</v>
      </c>
      <c r="I144" t="s">
        <v>87</v>
      </c>
      <c r="J144" t="s">
        <v>84</v>
      </c>
      <c r="K144" t="s">
        <v>84</v>
      </c>
      <c r="L144" t="s">
        <v>84</v>
      </c>
      <c r="M144" t="s">
        <v>87</v>
      </c>
      <c r="N144" t="s">
        <v>84</v>
      </c>
      <c r="O144" t="s">
        <v>84</v>
      </c>
      <c r="Q144" t="s">
        <v>94</v>
      </c>
      <c r="S144" t="s">
        <v>1243</v>
      </c>
      <c r="T144" t="s">
        <v>86</v>
      </c>
      <c r="U144" t="s">
        <v>87</v>
      </c>
      <c r="V144" t="s">
        <v>87</v>
      </c>
      <c r="W144" t="s">
        <v>84</v>
      </c>
      <c r="Y144" t="s">
        <v>84</v>
      </c>
      <c r="Z144" t="s">
        <v>87</v>
      </c>
      <c r="AA144" t="s">
        <v>84</v>
      </c>
      <c r="AC144" t="s">
        <v>87</v>
      </c>
      <c r="AD144" t="s">
        <v>84</v>
      </c>
      <c r="AE144" t="s">
        <v>84</v>
      </c>
      <c r="AF144" t="s">
        <v>84</v>
      </c>
      <c r="AG144" t="s">
        <v>87</v>
      </c>
      <c r="AI144" t="s">
        <v>87</v>
      </c>
      <c r="AJ144" t="s">
        <v>84</v>
      </c>
      <c r="AK144" t="s">
        <v>84</v>
      </c>
      <c r="AL144" t="s">
        <v>84</v>
      </c>
      <c r="AM144" t="s">
        <v>84</v>
      </c>
      <c r="AO144" t="s">
        <v>87</v>
      </c>
      <c r="AP144" t="s">
        <v>87</v>
      </c>
      <c r="AQ144" t="s">
        <v>87</v>
      </c>
      <c r="AS144" t="s">
        <v>87</v>
      </c>
      <c r="AT144" t="s">
        <v>84</v>
      </c>
      <c r="AU144" t="s">
        <v>1244</v>
      </c>
      <c r="AW144" t="s">
        <v>560</v>
      </c>
      <c r="AX144" t="s">
        <v>87</v>
      </c>
      <c r="AY144" t="s">
        <v>87</v>
      </c>
      <c r="AZ144" t="s">
        <v>87</v>
      </c>
      <c r="BA144" t="s">
        <v>84</v>
      </c>
      <c r="BB144" t="s">
        <v>84</v>
      </c>
      <c r="BC144" t="s">
        <v>87</v>
      </c>
      <c r="BE144" t="s">
        <v>84</v>
      </c>
      <c r="BH144" t="s">
        <v>87</v>
      </c>
      <c r="BI144" t="s">
        <v>84</v>
      </c>
      <c r="BJ144" t="s">
        <v>84</v>
      </c>
      <c r="BL144" t="s">
        <v>87</v>
      </c>
      <c r="BM144" t="s">
        <v>87</v>
      </c>
      <c r="BN144" t="s">
        <v>84</v>
      </c>
      <c r="BP144" t="s">
        <v>87</v>
      </c>
      <c r="BQ144" t="s">
        <v>87</v>
      </c>
      <c r="BR144" t="s">
        <v>84</v>
      </c>
      <c r="BS144" t="s">
        <v>84</v>
      </c>
      <c r="BT144" t="s">
        <v>84</v>
      </c>
      <c r="BV144" t="s">
        <v>87</v>
      </c>
      <c r="BW144" t="s">
        <v>84</v>
      </c>
      <c r="BX144" t="s">
        <v>84</v>
      </c>
      <c r="BY144" t="s">
        <v>84</v>
      </c>
      <c r="BZ144" t="s">
        <v>87</v>
      </c>
      <c r="CB144" t="s">
        <v>94</v>
      </c>
      <c r="CC144" t="s">
        <v>1245</v>
      </c>
      <c r="CD144" t="s">
        <v>94</v>
      </c>
      <c r="CE144" t="s">
        <v>1246</v>
      </c>
    </row>
    <row r="145" spans="1:83" x14ac:dyDescent="0.25">
      <c r="A145" t="s">
        <v>968</v>
      </c>
      <c r="B145" t="s">
        <v>969</v>
      </c>
      <c r="C145" t="s">
        <v>970</v>
      </c>
      <c r="D145" t="s">
        <v>204</v>
      </c>
      <c r="E145" t="s">
        <v>1926</v>
      </c>
      <c r="F145" s="1">
        <v>5641</v>
      </c>
      <c r="G145" s="1" t="s">
        <v>84</v>
      </c>
      <c r="I145" t="s">
        <v>85</v>
      </c>
      <c r="J145" t="s">
        <v>85</v>
      </c>
      <c r="K145" t="s">
        <v>85</v>
      </c>
      <c r="L145" t="s">
        <v>85</v>
      </c>
      <c r="M145" t="s">
        <v>85</v>
      </c>
      <c r="N145" t="s">
        <v>85</v>
      </c>
      <c r="O145" t="s">
        <v>85</v>
      </c>
      <c r="Q145" t="s">
        <v>84</v>
      </c>
      <c r="T145" t="s">
        <v>96</v>
      </c>
      <c r="U145" t="s">
        <v>87</v>
      </c>
      <c r="V145" t="s">
        <v>87</v>
      </c>
      <c r="W145" t="s">
        <v>84</v>
      </c>
      <c r="Y145" t="s">
        <v>84</v>
      </c>
      <c r="Z145" t="s">
        <v>84</v>
      </c>
      <c r="AA145" t="s">
        <v>84</v>
      </c>
      <c r="AB145" t="s">
        <v>971</v>
      </c>
      <c r="AC145" t="s">
        <v>87</v>
      </c>
      <c r="AD145" t="s">
        <v>84</v>
      </c>
      <c r="AE145" t="s">
        <v>84</v>
      </c>
      <c r="AF145" t="s">
        <v>84</v>
      </c>
      <c r="AG145" t="s">
        <v>87</v>
      </c>
      <c r="AI145" t="s">
        <v>84</v>
      </c>
      <c r="AJ145" t="s">
        <v>84</v>
      </c>
      <c r="AK145" t="s">
        <v>84</v>
      </c>
      <c r="AL145" t="s">
        <v>87</v>
      </c>
      <c r="AM145" t="s">
        <v>84</v>
      </c>
      <c r="AO145" t="s">
        <v>87</v>
      </c>
      <c r="AP145" t="s">
        <v>87</v>
      </c>
      <c r="AQ145" t="s">
        <v>84</v>
      </c>
      <c r="AS145" t="s">
        <v>87</v>
      </c>
      <c r="AT145" t="s">
        <v>84</v>
      </c>
      <c r="AU145" t="s">
        <v>972</v>
      </c>
      <c r="AW145" t="s">
        <v>89</v>
      </c>
      <c r="AX145" t="s">
        <v>84</v>
      </c>
      <c r="AY145" t="s">
        <v>84</v>
      </c>
      <c r="AZ145" t="s">
        <v>87</v>
      </c>
      <c r="BA145" t="s">
        <v>84</v>
      </c>
      <c r="BB145" t="s">
        <v>84</v>
      </c>
      <c r="BC145" t="s">
        <v>84</v>
      </c>
      <c r="BD145" t="s">
        <v>973</v>
      </c>
      <c r="BE145" t="s">
        <v>84</v>
      </c>
      <c r="BH145" t="s">
        <v>87</v>
      </c>
      <c r="BI145" t="s">
        <v>84</v>
      </c>
      <c r="BJ145" t="s">
        <v>84</v>
      </c>
      <c r="BL145" t="s">
        <v>87</v>
      </c>
      <c r="BM145" t="s">
        <v>84</v>
      </c>
      <c r="BN145" t="s">
        <v>84</v>
      </c>
      <c r="BP145" t="s">
        <v>84</v>
      </c>
      <c r="BQ145" t="s">
        <v>84</v>
      </c>
      <c r="BR145" t="s">
        <v>84</v>
      </c>
      <c r="BS145" t="s">
        <v>87</v>
      </c>
      <c r="BT145" t="s">
        <v>84</v>
      </c>
      <c r="BV145" t="s">
        <v>87</v>
      </c>
      <c r="BW145" t="s">
        <v>84</v>
      </c>
      <c r="BX145" t="s">
        <v>84</v>
      </c>
      <c r="BY145" t="s">
        <v>84</v>
      </c>
      <c r="BZ145" t="s">
        <v>87</v>
      </c>
      <c r="CB145" t="s">
        <v>84</v>
      </c>
      <c r="CD145" t="s">
        <v>84</v>
      </c>
    </row>
    <row r="146" spans="1:83" x14ac:dyDescent="0.25">
      <c r="A146" t="s">
        <v>1826</v>
      </c>
      <c r="B146" t="s">
        <v>1827</v>
      </c>
      <c r="C146" t="s">
        <v>1828</v>
      </c>
      <c r="D146" t="s">
        <v>264</v>
      </c>
      <c r="E146" t="s">
        <v>1925</v>
      </c>
      <c r="F146" s="10">
        <v>5652</v>
      </c>
      <c r="G146" s="1" t="s">
        <v>94</v>
      </c>
      <c r="H146" t="s">
        <v>199</v>
      </c>
      <c r="I146" t="s">
        <v>87</v>
      </c>
      <c r="J146" t="s">
        <v>84</v>
      </c>
      <c r="K146" t="s">
        <v>84</v>
      </c>
      <c r="L146" t="s">
        <v>87</v>
      </c>
      <c r="M146" t="s">
        <v>87</v>
      </c>
      <c r="N146" t="s">
        <v>87</v>
      </c>
      <c r="O146" t="s">
        <v>87</v>
      </c>
      <c r="Q146" t="s">
        <v>84</v>
      </c>
      <c r="T146" t="s">
        <v>96</v>
      </c>
      <c r="U146" t="s">
        <v>87</v>
      </c>
      <c r="V146" t="s">
        <v>87</v>
      </c>
      <c r="W146" t="s">
        <v>87</v>
      </c>
      <c r="Y146" t="s">
        <v>87</v>
      </c>
      <c r="Z146" t="s">
        <v>87</v>
      </c>
      <c r="AA146" t="s">
        <v>87</v>
      </c>
      <c r="AC146" t="s">
        <v>87</v>
      </c>
      <c r="AD146" t="s">
        <v>84</v>
      </c>
      <c r="AE146" t="s">
        <v>84</v>
      </c>
      <c r="AF146" t="s">
        <v>84</v>
      </c>
      <c r="AG146" t="s">
        <v>87</v>
      </c>
      <c r="AI146" t="s">
        <v>84</v>
      </c>
      <c r="AJ146" t="s">
        <v>84</v>
      </c>
      <c r="AK146" t="s">
        <v>84</v>
      </c>
      <c r="AL146" t="s">
        <v>87</v>
      </c>
      <c r="AM146" t="s">
        <v>84</v>
      </c>
      <c r="AO146" t="s">
        <v>87</v>
      </c>
      <c r="AP146" t="s">
        <v>87</v>
      </c>
      <c r="AQ146" t="s">
        <v>87</v>
      </c>
      <c r="AS146" t="s">
        <v>87</v>
      </c>
      <c r="AT146" t="s">
        <v>84</v>
      </c>
      <c r="AU146" t="s">
        <v>1829</v>
      </c>
      <c r="AW146" t="s">
        <v>89</v>
      </c>
      <c r="AX146" t="s">
        <v>87</v>
      </c>
      <c r="AY146" t="s">
        <v>87</v>
      </c>
      <c r="AZ146" t="s">
        <v>84</v>
      </c>
      <c r="BA146" t="s">
        <v>84</v>
      </c>
      <c r="BB146" t="s">
        <v>84</v>
      </c>
      <c r="BC146" t="s">
        <v>87</v>
      </c>
      <c r="BE146" t="s">
        <v>84</v>
      </c>
      <c r="BH146" t="s">
        <v>87</v>
      </c>
      <c r="BI146" t="s">
        <v>84</v>
      </c>
      <c r="BJ146" t="s">
        <v>84</v>
      </c>
      <c r="BL146" t="s">
        <v>87</v>
      </c>
      <c r="BM146" t="s">
        <v>87</v>
      </c>
      <c r="BN146" t="s">
        <v>84</v>
      </c>
      <c r="BP146" t="s">
        <v>84</v>
      </c>
      <c r="BQ146" t="s">
        <v>84</v>
      </c>
      <c r="BR146" t="s">
        <v>84</v>
      </c>
      <c r="BS146" t="s">
        <v>87</v>
      </c>
      <c r="BT146" t="s">
        <v>84</v>
      </c>
      <c r="BV146" t="s">
        <v>84</v>
      </c>
      <c r="BW146" t="s">
        <v>84</v>
      </c>
      <c r="BX146" t="s">
        <v>84</v>
      </c>
      <c r="BY146" t="s">
        <v>84</v>
      </c>
      <c r="BZ146" t="s">
        <v>84</v>
      </c>
      <c r="CA146" t="s">
        <v>166</v>
      </c>
      <c r="CB146" t="s">
        <v>94</v>
      </c>
      <c r="CC146" t="s">
        <v>1830</v>
      </c>
      <c r="CD146" t="s">
        <v>94</v>
      </c>
      <c r="CE146" t="s">
        <v>166</v>
      </c>
    </row>
    <row r="147" spans="1:83" x14ac:dyDescent="0.25">
      <c r="A147" t="s">
        <v>803</v>
      </c>
      <c r="B147" t="s">
        <v>804</v>
      </c>
      <c r="C147" t="s">
        <v>805</v>
      </c>
      <c r="D147" t="s">
        <v>120</v>
      </c>
      <c r="E147" t="s">
        <v>1925</v>
      </c>
      <c r="F147" s="1">
        <v>5700</v>
      </c>
      <c r="G147" s="1" t="s">
        <v>94</v>
      </c>
      <c r="H147" t="s">
        <v>806</v>
      </c>
      <c r="I147" t="s">
        <v>87</v>
      </c>
      <c r="J147" t="s">
        <v>84</v>
      </c>
      <c r="K147" t="s">
        <v>84</v>
      </c>
      <c r="L147" t="s">
        <v>84</v>
      </c>
      <c r="M147" t="s">
        <v>87</v>
      </c>
      <c r="N147" t="s">
        <v>84</v>
      </c>
      <c r="O147" t="s">
        <v>84</v>
      </c>
      <c r="Q147" t="s">
        <v>94</v>
      </c>
      <c r="S147" t="s">
        <v>807</v>
      </c>
      <c r="T147" t="s">
        <v>96</v>
      </c>
      <c r="U147" t="s">
        <v>87</v>
      </c>
      <c r="V147" t="s">
        <v>87</v>
      </c>
      <c r="W147" t="s">
        <v>84</v>
      </c>
      <c r="Y147" t="s">
        <v>87</v>
      </c>
      <c r="Z147" t="s">
        <v>87</v>
      </c>
      <c r="AA147" t="s">
        <v>84</v>
      </c>
      <c r="AC147" t="s">
        <v>87</v>
      </c>
      <c r="AD147" t="s">
        <v>84</v>
      </c>
      <c r="AE147" t="s">
        <v>87</v>
      </c>
      <c r="AF147" t="s">
        <v>84</v>
      </c>
      <c r="AG147" t="s">
        <v>87</v>
      </c>
      <c r="AI147" t="s">
        <v>84</v>
      </c>
      <c r="AJ147" t="s">
        <v>84</v>
      </c>
      <c r="AK147" t="s">
        <v>84</v>
      </c>
      <c r="AL147" t="s">
        <v>84</v>
      </c>
      <c r="AM147" t="s">
        <v>87</v>
      </c>
      <c r="AO147" t="s">
        <v>87</v>
      </c>
      <c r="AP147" t="s">
        <v>87</v>
      </c>
      <c r="AQ147" t="s">
        <v>84</v>
      </c>
      <c r="AS147" t="s">
        <v>84</v>
      </c>
      <c r="AT147" t="s">
        <v>87</v>
      </c>
      <c r="AV147" t="s">
        <v>808</v>
      </c>
      <c r="AW147" t="s">
        <v>89</v>
      </c>
      <c r="AX147" t="s">
        <v>87</v>
      </c>
      <c r="AY147" t="s">
        <v>87</v>
      </c>
      <c r="AZ147" t="s">
        <v>87</v>
      </c>
      <c r="BA147" t="s">
        <v>84</v>
      </c>
      <c r="BB147" t="s">
        <v>84</v>
      </c>
      <c r="BC147" t="s">
        <v>87</v>
      </c>
      <c r="BE147" t="s">
        <v>84</v>
      </c>
      <c r="BH147" t="s">
        <v>87</v>
      </c>
      <c r="BI147" t="s">
        <v>84</v>
      </c>
      <c r="BJ147" t="s">
        <v>84</v>
      </c>
      <c r="BL147" t="s">
        <v>87</v>
      </c>
      <c r="BM147" t="s">
        <v>87</v>
      </c>
      <c r="BN147" t="s">
        <v>84</v>
      </c>
      <c r="BP147" t="s">
        <v>84</v>
      </c>
      <c r="BQ147" t="s">
        <v>84</v>
      </c>
      <c r="BR147" t="s">
        <v>84</v>
      </c>
      <c r="BS147" t="s">
        <v>84</v>
      </c>
      <c r="BT147" t="s">
        <v>87</v>
      </c>
      <c r="BV147" t="s">
        <v>87</v>
      </c>
      <c r="BW147" t="s">
        <v>84</v>
      </c>
      <c r="BX147" t="s">
        <v>87</v>
      </c>
      <c r="BY147" t="s">
        <v>84</v>
      </c>
      <c r="BZ147" t="s">
        <v>84</v>
      </c>
      <c r="CB147" t="s">
        <v>84</v>
      </c>
      <c r="CD147" t="s">
        <v>84</v>
      </c>
    </row>
    <row r="148" spans="1:83" x14ac:dyDescent="0.25">
      <c r="A148" t="s">
        <v>1272</v>
      </c>
      <c r="B148" t="s">
        <v>1273</v>
      </c>
      <c r="C148" t="s">
        <v>1274</v>
      </c>
      <c r="D148" t="s">
        <v>104</v>
      </c>
      <c r="E148" t="s">
        <v>1926</v>
      </c>
      <c r="F148" s="1">
        <v>5715</v>
      </c>
      <c r="G148" s="1" t="s">
        <v>94</v>
      </c>
      <c r="H148" t="s">
        <v>1275</v>
      </c>
      <c r="I148" t="s">
        <v>87</v>
      </c>
      <c r="J148" t="s">
        <v>87</v>
      </c>
      <c r="K148" t="s">
        <v>87</v>
      </c>
      <c r="L148" t="s">
        <v>87</v>
      </c>
      <c r="M148" t="s">
        <v>87</v>
      </c>
      <c r="N148" t="s">
        <v>87</v>
      </c>
      <c r="O148" t="s">
        <v>87</v>
      </c>
      <c r="P148" t="s">
        <v>1276</v>
      </c>
      <c r="Q148" t="s">
        <v>84</v>
      </c>
      <c r="T148" t="s">
        <v>96</v>
      </c>
      <c r="U148" t="s">
        <v>87</v>
      </c>
      <c r="V148" t="s">
        <v>87</v>
      </c>
      <c r="W148" t="s">
        <v>84</v>
      </c>
      <c r="X148" t="s">
        <v>1277</v>
      </c>
      <c r="Y148" t="s">
        <v>87</v>
      </c>
      <c r="Z148" t="s">
        <v>87</v>
      </c>
      <c r="AA148" t="s">
        <v>84</v>
      </c>
      <c r="AB148" t="s">
        <v>1277</v>
      </c>
      <c r="AC148" t="s">
        <v>87</v>
      </c>
      <c r="AD148" t="s">
        <v>84</v>
      </c>
      <c r="AE148" t="s">
        <v>84</v>
      </c>
      <c r="AF148" t="s">
        <v>84</v>
      </c>
      <c r="AG148" t="s">
        <v>87</v>
      </c>
      <c r="AH148" t="s">
        <v>1278</v>
      </c>
      <c r="AI148" t="s">
        <v>87</v>
      </c>
      <c r="AJ148" t="s">
        <v>84</v>
      </c>
      <c r="AK148" t="s">
        <v>84</v>
      </c>
      <c r="AL148" t="s">
        <v>87</v>
      </c>
      <c r="AM148" t="s">
        <v>84</v>
      </c>
      <c r="AN148" t="s">
        <v>1279</v>
      </c>
      <c r="AO148" t="s">
        <v>87</v>
      </c>
      <c r="AP148" t="s">
        <v>87</v>
      </c>
      <c r="AQ148" t="s">
        <v>87</v>
      </c>
      <c r="AS148" t="s">
        <v>87</v>
      </c>
      <c r="AT148" t="s">
        <v>87</v>
      </c>
      <c r="AU148" t="s">
        <v>1280</v>
      </c>
      <c r="AV148" t="s">
        <v>1280</v>
      </c>
      <c r="AW148" t="s">
        <v>89</v>
      </c>
      <c r="AX148" t="s">
        <v>87</v>
      </c>
      <c r="AY148" t="s">
        <v>87</v>
      </c>
      <c r="AZ148" t="s">
        <v>87</v>
      </c>
      <c r="BA148" t="s">
        <v>84</v>
      </c>
      <c r="BB148" t="s">
        <v>84</v>
      </c>
      <c r="BC148" t="s">
        <v>84</v>
      </c>
      <c r="BD148" t="s">
        <v>1281</v>
      </c>
      <c r="BE148" t="s">
        <v>84</v>
      </c>
      <c r="BH148" t="s">
        <v>87</v>
      </c>
      <c r="BI148" t="s">
        <v>84</v>
      </c>
      <c r="BJ148" t="s">
        <v>84</v>
      </c>
      <c r="BL148" t="s">
        <v>87</v>
      </c>
      <c r="BM148" t="s">
        <v>87</v>
      </c>
      <c r="BN148" t="s">
        <v>87</v>
      </c>
      <c r="BP148" t="s">
        <v>87</v>
      </c>
      <c r="BQ148" t="s">
        <v>84</v>
      </c>
      <c r="BR148" t="s">
        <v>84</v>
      </c>
      <c r="BS148" t="s">
        <v>87</v>
      </c>
      <c r="BT148" t="s">
        <v>84</v>
      </c>
      <c r="BU148" t="s">
        <v>1282</v>
      </c>
      <c r="BV148" t="s">
        <v>87</v>
      </c>
      <c r="BW148" t="s">
        <v>84</v>
      </c>
      <c r="BX148" t="s">
        <v>84</v>
      </c>
      <c r="BY148" t="s">
        <v>84</v>
      </c>
      <c r="BZ148" t="s">
        <v>84</v>
      </c>
      <c r="CA148" t="s">
        <v>390</v>
      </c>
      <c r="CB148" t="s">
        <v>94</v>
      </c>
      <c r="CC148" t="s">
        <v>1283</v>
      </c>
      <c r="CD148" t="s">
        <v>84</v>
      </c>
    </row>
    <row r="149" spans="1:83" x14ac:dyDescent="0.25">
      <c r="A149" t="s">
        <v>1411</v>
      </c>
      <c r="B149" t="s">
        <v>1412</v>
      </c>
      <c r="C149" t="s">
        <v>1413</v>
      </c>
      <c r="D149" t="s">
        <v>204</v>
      </c>
      <c r="E149" t="s">
        <v>1926</v>
      </c>
      <c r="F149" s="1">
        <v>5840</v>
      </c>
      <c r="G149" s="1" t="s">
        <v>94</v>
      </c>
      <c r="H149" t="s">
        <v>199</v>
      </c>
      <c r="I149" t="s">
        <v>87</v>
      </c>
      <c r="J149" t="s">
        <v>84</v>
      </c>
      <c r="K149" t="s">
        <v>84</v>
      </c>
      <c r="L149" t="s">
        <v>84</v>
      </c>
      <c r="M149" t="s">
        <v>87</v>
      </c>
      <c r="N149" t="s">
        <v>84</v>
      </c>
      <c r="O149" t="s">
        <v>84</v>
      </c>
      <c r="Q149" t="s">
        <v>84</v>
      </c>
      <c r="T149" t="s">
        <v>86</v>
      </c>
      <c r="U149" t="s">
        <v>87</v>
      </c>
      <c r="V149" t="s">
        <v>87</v>
      </c>
      <c r="W149" t="s">
        <v>84</v>
      </c>
      <c r="Y149" t="s">
        <v>87</v>
      </c>
      <c r="Z149" t="s">
        <v>87</v>
      </c>
      <c r="AA149" t="s">
        <v>84</v>
      </c>
      <c r="AC149" t="s">
        <v>87</v>
      </c>
      <c r="AD149" t="s">
        <v>84</v>
      </c>
      <c r="AE149" t="s">
        <v>87</v>
      </c>
      <c r="AF149" t="s">
        <v>84</v>
      </c>
      <c r="AG149" t="s">
        <v>87</v>
      </c>
      <c r="AI149" t="s">
        <v>84</v>
      </c>
      <c r="AJ149" t="s">
        <v>84</v>
      </c>
      <c r="AK149" t="s">
        <v>84</v>
      </c>
      <c r="AL149" t="s">
        <v>84</v>
      </c>
      <c r="AM149" t="s">
        <v>87</v>
      </c>
      <c r="AO149" t="s">
        <v>87</v>
      </c>
      <c r="AP149" t="s">
        <v>87</v>
      </c>
      <c r="AQ149" t="s">
        <v>84</v>
      </c>
      <c r="AS149" t="s">
        <v>87</v>
      </c>
      <c r="AT149" t="s">
        <v>87</v>
      </c>
      <c r="AU149" t="s">
        <v>1414</v>
      </c>
      <c r="AW149" t="s">
        <v>89</v>
      </c>
      <c r="AX149" t="s">
        <v>87</v>
      </c>
      <c r="AY149" t="s">
        <v>84</v>
      </c>
      <c r="AZ149" t="s">
        <v>84</v>
      </c>
      <c r="BA149" t="s">
        <v>84</v>
      </c>
      <c r="BB149" t="s">
        <v>84</v>
      </c>
      <c r="BC149" t="s">
        <v>87</v>
      </c>
      <c r="BE149" t="s">
        <v>84</v>
      </c>
      <c r="BH149" t="s">
        <v>87</v>
      </c>
      <c r="BI149" t="s">
        <v>84</v>
      </c>
      <c r="BJ149" t="s">
        <v>84</v>
      </c>
      <c r="BL149" t="s">
        <v>87</v>
      </c>
      <c r="BM149" t="s">
        <v>84</v>
      </c>
      <c r="BN149" t="s">
        <v>84</v>
      </c>
      <c r="BP149" t="s">
        <v>84</v>
      </c>
      <c r="BQ149" t="s">
        <v>84</v>
      </c>
      <c r="BR149" t="s">
        <v>84</v>
      </c>
      <c r="BS149" t="s">
        <v>87</v>
      </c>
      <c r="BT149" t="s">
        <v>84</v>
      </c>
      <c r="BV149" t="s">
        <v>87</v>
      </c>
      <c r="BW149" t="s">
        <v>84</v>
      </c>
      <c r="BX149" t="s">
        <v>84</v>
      </c>
      <c r="BY149" t="s">
        <v>84</v>
      </c>
      <c r="BZ149" t="s">
        <v>87</v>
      </c>
      <c r="CB149" t="s">
        <v>84</v>
      </c>
      <c r="CD149" t="s">
        <v>84</v>
      </c>
    </row>
    <row r="150" spans="1:83" x14ac:dyDescent="0.25">
      <c r="A150" t="s">
        <v>1228</v>
      </c>
      <c r="B150" t="s">
        <v>1229</v>
      </c>
      <c r="C150" t="s">
        <v>1230</v>
      </c>
      <c r="D150" t="s">
        <v>374</v>
      </c>
      <c r="E150" t="s">
        <v>1927</v>
      </c>
      <c r="F150" s="1">
        <v>5847</v>
      </c>
      <c r="G150" s="1" t="s">
        <v>94</v>
      </c>
      <c r="H150" t="s">
        <v>1231</v>
      </c>
      <c r="I150" t="s">
        <v>87</v>
      </c>
      <c r="J150" t="s">
        <v>84</v>
      </c>
      <c r="K150" t="s">
        <v>84</v>
      </c>
      <c r="L150" t="s">
        <v>84</v>
      </c>
      <c r="M150" t="s">
        <v>87</v>
      </c>
      <c r="N150" t="s">
        <v>84</v>
      </c>
      <c r="O150" t="s">
        <v>84</v>
      </c>
      <c r="Q150" t="s">
        <v>84</v>
      </c>
      <c r="T150" t="s">
        <v>86</v>
      </c>
      <c r="U150" t="s">
        <v>87</v>
      </c>
      <c r="V150" t="s">
        <v>87</v>
      </c>
      <c r="W150" t="s">
        <v>87</v>
      </c>
      <c r="Y150" t="s">
        <v>87</v>
      </c>
      <c r="Z150" t="s">
        <v>87</v>
      </c>
      <c r="AA150" t="s">
        <v>87</v>
      </c>
      <c r="AB150" t="s">
        <v>97</v>
      </c>
      <c r="AC150" t="s">
        <v>87</v>
      </c>
      <c r="AD150" t="s">
        <v>87</v>
      </c>
      <c r="AE150" t="s">
        <v>84</v>
      </c>
      <c r="AF150" t="s">
        <v>84</v>
      </c>
      <c r="AG150" t="s">
        <v>87</v>
      </c>
      <c r="AI150" t="s">
        <v>84</v>
      </c>
      <c r="AJ150" t="s">
        <v>84</v>
      </c>
      <c r="AK150" t="s">
        <v>84</v>
      </c>
      <c r="AL150" t="s">
        <v>84</v>
      </c>
      <c r="AM150" t="s">
        <v>87</v>
      </c>
      <c r="AO150" t="s">
        <v>87</v>
      </c>
      <c r="AP150" t="s">
        <v>87</v>
      </c>
      <c r="AQ150" t="s">
        <v>87</v>
      </c>
      <c r="AS150" t="s">
        <v>87</v>
      </c>
      <c r="AT150" t="s">
        <v>84</v>
      </c>
      <c r="AU150" t="s">
        <v>1232</v>
      </c>
      <c r="AW150" t="s">
        <v>89</v>
      </c>
      <c r="AX150" t="s">
        <v>87</v>
      </c>
      <c r="AY150" t="s">
        <v>87</v>
      </c>
      <c r="AZ150" t="s">
        <v>87</v>
      </c>
      <c r="BA150" t="s">
        <v>84</v>
      </c>
      <c r="BB150" t="s">
        <v>87</v>
      </c>
      <c r="BC150" t="s">
        <v>84</v>
      </c>
      <c r="BE150" t="s">
        <v>84</v>
      </c>
      <c r="BH150" t="s">
        <v>87</v>
      </c>
      <c r="BI150" t="s">
        <v>84</v>
      </c>
      <c r="BJ150" t="s">
        <v>84</v>
      </c>
      <c r="BL150" t="s">
        <v>87</v>
      </c>
      <c r="BM150" t="s">
        <v>84</v>
      </c>
      <c r="BN150" t="s">
        <v>84</v>
      </c>
      <c r="BP150" t="s">
        <v>84</v>
      </c>
      <c r="BQ150" t="s">
        <v>84</v>
      </c>
      <c r="BR150" t="s">
        <v>84</v>
      </c>
      <c r="BS150" t="s">
        <v>84</v>
      </c>
      <c r="BT150" t="s">
        <v>87</v>
      </c>
      <c r="BV150" t="s">
        <v>87</v>
      </c>
      <c r="BW150" t="s">
        <v>87</v>
      </c>
      <c r="BX150" t="s">
        <v>84</v>
      </c>
      <c r="BY150" t="s">
        <v>84</v>
      </c>
      <c r="BZ150" t="s">
        <v>87</v>
      </c>
      <c r="CB150" t="s">
        <v>84</v>
      </c>
      <c r="CD150" t="s">
        <v>84</v>
      </c>
    </row>
    <row r="151" spans="1:83" x14ac:dyDescent="0.25">
      <c r="A151" t="s">
        <v>1504</v>
      </c>
      <c r="B151" t="s">
        <v>1505</v>
      </c>
      <c r="C151" t="s">
        <v>1506</v>
      </c>
      <c r="D151" t="s">
        <v>104</v>
      </c>
      <c r="E151" t="s">
        <v>1926</v>
      </c>
      <c r="F151" s="1">
        <v>6000</v>
      </c>
      <c r="G151" s="1" t="s">
        <v>94</v>
      </c>
      <c r="H151" t="s">
        <v>199</v>
      </c>
      <c r="I151" t="s">
        <v>87</v>
      </c>
      <c r="J151" t="s">
        <v>84</v>
      </c>
      <c r="K151" t="s">
        <v>84</v>
      </c>
      <c r="L151" t="s">
        <v>84</v>
      </c>
      <c r="M151" t="s">
        <v>87</v>
      </c>
      <c r="N151" t="s">
        <v>84</v>
      </c>
      <c r="O151" t="s">
        <v>84</v>
      </c>
      <c r="Q151" t="s">
        <v>84</v>
      </c>
      <c r="T151" t="s">
        <v>96</v>
      </c>
      <c r="U151" t="s">
        <v>87</v>
      </c>
      <c r="V151" t="s">
        <v>87</v>
      </c>
      <c r="W151" t="s">
        <v>84</v>
      </c>
      <c r="Y151" t="s">
        <v>84</v>
      </c>
      <c r="Z151" t="s">
        <v>84</v>
      </c>
      <c r="AA151" t="s">
        <v>84</v>
      </c>
      <c r="AB151" t="s">
        <v>1507</v>
      </c>
      <c r="AC151" t="s">
        <v>87</v>
      </c>
      <c r="AD151" t="s">
        <v>84</v>
      </c>
      <c r="AE151" t="s">
        <v>84</v>
      </c>
      <c r="AF151" t="s">
        <v>84</v>
      </c>
      <c r="AG151" t="s">
        <v>87</v>
      </c>
      <c r="AI151" t="s">
        <v>87</v>
      </c>
      <c r="AJ151" t="s">
        <v>84</v>
      </c>
      <c r="AK151" t="s">
        <v>84</v>
      </c>
      <c r="AL151" t="s">
        <v>84</v>
      </c>
      <c r="AM151" t="s">
        <v>84</v>
      </c>
      <c r="AO151" t="s">
        <v>84</v>
      </c>
      <c r="AP151" t="s">
        <v>87</v>
      </c>
      <c r="AQ151" t="s">
        <v>84</v>
      </c>
      <c r="AS151" t="s">
        <v>87</v>
      </c>
      <c r="AT151" t="s">
        <v>84</v>
      </c>
      <c r="AU151" t="s">
        <v>1508</v>
      </c>
      <c r="AW151" t="s">
        <v>89</v>
      </c>
      <c r="AX151" t="s">
        <v>87</v>
      </c>
      <c r="AY151" t="s">
        <v>87</v>
      </c>
      <c r="AZ151" t="s">
        <v>87</v>
      </c>
      <c r="BA151" t="s">
        <v>87</v>
      </c>
      <c r="BB151" t="s">
        <v>84</v>
      </c>
      <c r="BC151" t="s">
        <v>84</v>
      </c>
      <c r="BD151" t="s">
        <v>780</v>
      </c>
      <c r="BE151" t="s">
        <v>84</v>
      </c>
      <c r="BH151" t="s">
        <v>87</v>
      </c>
      <c r="BI151" t="s">
        <v>84</v>
      </c>
      <c r="BJ151" t="s">
        <v>84</v>
      </c>
      <c r="BL151" t="s">
        <v>87</v>
      </c>
      <c r="BM151" t="s">
        <v>84</v>
      </c>
      <c r="BN151" t="s">
        <v>84</v>
      </c>
      <c r="BP151" t="s">
        <v>87</v>
      </c>
      <c r="BQ151" t="s">
        <v>84</v>
      </c>
      <c r="BR151" t="s">
        <v>84</v>
      </c>
      <c r="BS151" t="s">
        <v>84</v>
      </c>
      <c r="BT151" t="s">
        <v>84</v>
      </c>
      <c r="BV151" t="s">
        <v>87</v>
      </c>
      <c r="BW151" t="s">
        <v>84</v>
      </c>
      <c r="BX151" t="s">
        <v>84</v>
      </c>
      <c r="BY151" t="s">
        <v>84</v>
      </c>
      <c r="BZ151" t="s">
        <v>84</v>
      </c>
      <c r="CB151" t="s">
        <v>84</v>
      </c>
      <c r="CD151" t="s">
        <v>84</v>
      </c>
    </row>
    <row r="152" spans="1:83" x14ac:dyDescent="0.25">
      <c r="A152" t="s">
        <v>1198</v>
      </c>
      <c r="B152" t="s">
        <v>1199</v>
      </c>
      <c r="C152" t="s">
        <v>1200</v>
      </c>
      <c r="D152" t="s">
        <v>414</v>
      </c>
      <c r="E152" t="s">
        <v>1928</v>
      </c>
      <c r="F152" s="1">
        <v>6350</v>
      </c>
      <c r="G152" s="1" t="s">
        <v>94</v>
      </c>
      <c r="H152" t="s">
        <v>95</v>
      </c>
      <c r="I152" t="s">
        <v>87</v>
      </c>
      <c r="J152" t="s">
        <v>84</v>
      </c>
      <c r="K152" t="s">
        <v>87</v>
      </c>
      <c r="L152" t="s">
        <v>87</v>
      </c>
      <c r="M152" t="s">
        <v>87</v>
      </c>
      <c r="N152" t="s">
        <v>87</v>
      </c>
      <c r="O152" t="s">
        <v>84</v>
      </c>
      <c r="Q152" t="s">
        <v>84</v>
      </c>
      <c r="T152" t="s">
        <v>96</v>
      </c>
      <c r="U152" t="s">
        <v>87</v>
      </c>
      <c r="V152" t="s">
        <v>87</v>
      </c>
      <c r="W152" t="s">
        <v>84</v>
      </c>
      <c r="Y152" t="s">
        <v>87</v>
      </c>
      <c r="Z152" t="s">
        <v>87</v>
      </c>
      <c r="AA152" t="s">
        <v>84</v>
      </c>
      <c r="AC152" t="s">
        <v>84</v>
      </c>
      <c r="AD152" t="s">
        <v>84</v>
      </c>
      <c r="AE152" t="s">
        <v>84</v>
      </c>
      <c r="AF152" t="s">
        <v>84</v>
      </c>
      <c r="AG152" t="s">
        <v>84</v>
      </c>
      <c r="AH152" t="s">
        <v>1201</v>
      </c>
      <c r="AI152" t="s">
        <v>87</v>
      </c>
      <c r="AJ152" t="s">
        <v>84</v>
      </c>
      <c r="AK152" t="s">
        <v>84</v>
      </c>
      <c r="AL152" t="s">
        <v>84</v>
      </c>
      <c r="AM152" t="s">
        <v>84</v>
      </c>
      <c r="AO152" t="s">
        <v>87</v>
      </c>
      <c r="AP152" t="s">
        <v>87</v>
      </c>
      <c r="AQ152" t="s">
        <v>87</v>
      </c>
      <c r="AS152" t="s">
        <v>87</v>
      </c>
      <c r="AT152" t="s">
        <v>84</v>
      </c>
      <c r="AU152" t="s">
        <v>1202</v>
      </c>
      <c r="AW152" t="s">
        <v>89</v>
      </c>
      <c r="AX152" t="s">
        <v>87</v>
      </c>
      <c r="AY152" t="s">
        <v>87</v>
      </c>
      <c r="AZ152" t="s">
        <v>87</v>
      </c>
      <c r="BA152" t="s">
        <v>84</v>
      </c>
      <c r="BB152" t="s">
        <v>87</v>
      </c>
      <c r="BC152" t="s">
        <v>84</v>
      </c>
      <c r="BE152" t="s">
        <v>84</v>
      </c>
      <c r="BH152" t="s">
        <v>87</v>
      </c>
      <c r="BI152" t="s">
        <v>84</v>
      </c>
      <c r="BJ152" t="s">
        <v>84</v>
      </c>
      <c r="BL152" t="s">
        <v>87</v>
      </c>
      <c r="BM152" t="s">
        <v>84</v>
      </c>
      <c r="BN152" t="s">
        <v>84</v>
      </c>
      <c r="BP152" t="s">
        <v>87</v>
      </c>
      <c r="BQ152" t="s">
        <v>84</v>
      </c>
      <c r="BR152" t="s">
        <v>84</v>
      </c>
      <c r="BS152" t="s">
        <v>84</v>
      </c>
      <c r="BT152" t="s">
        <v>84</v>
      </c>
      <c r="BV152" t="s">
        <v>84</v>
      </c>
      <c r="BW152" t="s">
        <v>84</v>
      </c>
      <c r="BX152" t="s">
        <v>84</v>
      </c>
      <c r="BY152" t="s">
        <v>87</v>
      </c>
      <c r="BZ152" t="s">
        <v>84</v>
      </c>
      <c r="CB152" t="s">
        <v>84</v>
      </c>
      <c r="CD152" t="s">
        <v>84</v>
      </c>
    </row>
    <row r="153" spans="1:83" x14ac:dyDescent="0.25">
      <c r="A153" t="s">
        <v>587</v>
      </c>
      <c r="B153" t="s">
        <v>940</v>
      </c>
      <c r="C153" t="s">
        <v>941</v>
      </c>
      <c r="D153" t="s">
        <v>204</v>
      </c>
      <c r="E153" t="s">
        <v>1926</v>
      </c>
      <c r="F153" s="1">
        <v>6500</v>
      </c>
      <c r="G153" s="1" t="s">
        <v>94</v>
      </c>
      <c r="H153" t="s">
        <v>199</v>
      </c>
      <c r="I153" t="s">
        <v>87</v>
      </c>
      <c r="J153" t="s">
        <v>87</v>
      </c>
      <c r="K153" t="s">
        <v>87</v>
      </c>
      <c r="L153" t="s">
        <v>87</v>
      </c>
      <c r="M153" t="s">
        <v>87</v>
      </c>
      <c r="N153" t="s">
        <v>87</v>
      </c>
      <c r="O153" t="s">
        <v>87</v>
      </c>
      <c r="Q153" t="s">
        <v>84</v>
      </c>
      <c r="R153" t="s">
        <v>84</v>
      </c>
      <c r="T153" t="s">
        <v>96</v>
      </c>
      <c r="U153" t="s">
        <v>87</v>
      </c>
      <c r="V153" t="s">
        <v>87</v>
      </c>
      <c r="W153" t="s">
        <v>84</v>
      </c>
      <c r="Y153" t="s">
        <v>87</v>
      </c>
      <c r="Z153" t="s">
        <v>87</v>
      </c>
      <c r="AA153" t="s">
        <v>84</v>
      </c>
      <c r="AB153" t="s">
        <v>942</v>
      </c>
      <c r="AC153" t="s">
        <v>87</v>
      </c>
      <c r="AD153" t="s">
        <v>84</v>
      </c>
      <c r="AE153" t="s">
        <v>84</v>
      </c>
      <c r="AF153" t="s">
        <v>84</v>
      </c>
      <c r="AG153" t="s">
        <v>87</v>
      </c>
      <c r="AI153" t="s">
        <v>84</v>
      </c>
      <c r="AJ153" t="s">
        <v>84</v>
      </c>
      <c r="AK153" t="s">
        <v>84</v>
      </c>
      <c r="AL153" t="s">
        <v>84</v>
      </c>
      <c r="AM153" t="s">
        <v>87</v>
      </c>
      <c r="AO153" t="s">
        <v>87</v>
      </c>
      <c r="AP153" t="s">
        <v>87</v>
      </c>
      <c r="AQ153" t="s">
        <v>87</v>
      </c>
      <c r="AS153" t="s">
        <v>87</v>
      </c>
      <c r="AT153" t="s">
        <v>87</v>
      </c>
      <c r="AU153" t="s">
        <v>943</v>
      </c>
      <c r="AV153" t="s">
        <v>943</v>
      </c>
      <c r="AW153" t="s">
        <v>89</v>
      </c>
      <c r="AX153" t="s">
        <v>87</v>
      </c>
      <c r="AY153" t="s">
        <v>87</v>
      </c>
      <c r="AZ153" t="s">
        <v>87</v>
      </c>
      <c r="BA153" t="s">
        <v>84</v>
      </c>
      <c r="BB153" t="s">
        <v>84</v>
      </c>
      <c r="BC153" t="s">
        <v>84</v>
      </c>
      <c r="BD153" t="s">
        <v>944</v>
      </c>
      <c r="BE153" t="s">
        <v>84</v>
      </c>
      <c r="BF153" t="s">
        <v>84</v>
      </c>
      <c r="BH153" t="s">
        <v>87</v>
      </c>
      <c r="BI153" t="s">
        <v>84</v>
      </c>
      <c r="BJ153" t="s">
        <v>84</v>
      </c>
      <c r="BL153" t="s">
        <v>87</v>
      </c>
      <c r="BM153" t="s">
        <v>87</v>
      </c>
      <c r="BN153" t="s">
        <v>84</v>
      </c>
      <c r="BP153" t="s">
        <v>84</v>
      </c>
      <c r="BQ153" t="s">
        <v>84</v>
      </c>
      <c r="BR153" t="s">
        <v>84</v>
      </c>
      <c r="BS153" t="s">
        <v>84</v>
      </c>
      <c r="BT153" t="s">
        <v>87</v>
      </c>
      <c r="BV153" t="s">
        <v>87</v>
      </c>
      <c r="BW153" t="s">
        <v>84</v>
      </c>
      <c r="BX153" t="s">
        <v>84</v>
      </c>
      <c r="BY153" t="s">
        <v>84</v>
      </c>
      <c r="BZ153" t="s">
        <v>84</v>
      </c>
      <c r="CB153" t="s">
        <v>84</v>
      </c>
      <c r="CD153" t="s">
        <v>84</v>
      </c>
    </row>
    <row r="154" spans="1:83" x14ac:dyDescent="0.25">
      <c r="A154" t="s">
        <v>1030</v>
      </c>
      <c r="B154" t="s">
        <v>1031</v>
      </c>
      <c r="C154" t="s">
        <v>1032</v>
      </c>
      <c r="D154" t="s">
        <v>299</v>
      </c>
      <c r="E154" t="s">
        <v>1999</v>
      </c>
      <c r="F154" s="1">
        <v>6666</v>
      </c>
      <c r="G154" s="1" t="s">
        <v>94</v>
      </c>
      <c r="H154" t="s">
        <v>95</v>
      </c>
      <c r="I154" t="s">
        <v>87</v>
      </c>
      <c r="J154" t="s">
        <v>84</v>
      </c>
      <c r="K154" t="s">
        <v>87</v>
      </c>
      <c r="L154" t="s">
        <v>87</v>
      </c>
      <c r="M154" t="s">
        <v>87</v>
      </c>
      <c r="N154" t="s">
        <v>87</v>
      </c>
      <c r="O154" t="s">
        <v>84</v>
      </c>
      <c r="Q154" t="s">
        <v>84</v>
      </c>
      <c r="T154" t="s">
        <v>96</v>
      </c>
      <c r="U154" t="s">
        <v>87</v>
      </c>
      <c r="V154" t="s">
        <v>84</v>
      </c>
      <c r="W154" t="s">
        <v>84</v>
      </c>
      <c r="Y154" t="s">
        <v>84</v>
      </c>
      <c r="Z154" t="s">
        <v>84</v>
      </c>
      <c r="AA154" t="s">
        <v>84</v>
      </c>
      <c r="AB154" t="s">
        <v>1033</v>
      </c>
      <c r="AC154" t="s">
        <v>87</v>
      </c>
      <c r="AD154" t="s">
        <v>84</v>
      </c>
      <c r="AE154" t="s">
        <v>84</v>
      </c>
      <c r="AF154" t="s">
        <v>84</v>
      </c>
      <c r="AG154" t="s">
        <v>87</v>
      </c>
      <c r="AI154" t="s">
        <v>84</v>
      </c>
      <c r="AJ154" t="s">
        <v>84</v>
      </c>
      <c r="AK154" t="s">
        <v>84</v>
      </c>
      <c r="AL154" t="s">
        <v>84</v>
      </c>
      <c r="AM154" t="s">
        <v>87</v>
      </c>
      <c r="AO154" t="s">
        <v>87</v>
      </c>
      <c r="AP154" t="s">
        <v>87</v>
      </c>
      <c r="AQ154" t="s">
        <v>84</v>
      </c>
      <c r="AS154" t="s">
        <v>87</v>
      </c>
      <c r="AT154" t="s">
        <v>84</v>
      </c>
      <c r="AU154" t="s">
        <v>1034</v>
      </c>
      <c r="AW154" t="s">
        <v>89</v>
      </c>
      <c r="AX154" t="s">
        <v>87</v>
      </c>
      <c r="AY154" t="s">
        <v>87</v>
      </c>
      <c r="AZ154" t="s">
        <v>87</v>
      </c>
      <c r="BA154" t="s">
        <v>84</v>
      </c>
      <c r="BB154" t="s">
        <v>84</v>
      </c>
      <c r="BC154" t="s">
        <v>84</v>
      </c>
      <c r="BD154" t="s">
        <v>266</v>
      </c>
      <c r="BE154" t="s">
        <v>84</v>
      </c>
      <c r="BH154" t="s">
        <v>87</v>
      </c>
      <c r="BI154" t="s">
        <v>84</v>
      </c>
      <c r="BJ154" t="s">
        <v>84</v>
      </c>
      <c r="BL154" t="s">
        <v>87</v>
      </c>
      <c r="BM154" t="s">
        <v>87</v>
      </c>
      <c r="BN154" t="s">
        <v>84</v>
      </c>
      <c r="BP154" t="s">
        <v>84</v>
      </c>
      <c r="BQ154" t="s">
        <v>84</v>
      </c>
      <c r="BR154" t="s">
        <v>84</v>
      </c>
      <c r="BS154" t="s">
        <v>84</v>
      </c>
      <c r="BT154" t="s">
        <v>87</v>
      </c>
      <c r="BV154" t="s">
        <v>87</v>
      </c>
      <c r="BW154" t="s">
        <v>84</v>
      </c>
      <c r="BX154" t="s">
        <v>84</v>
      </c>
      <c r="BY154" t="s">
        <v>84</v>
      </c>
      <c r="BZ154" t="s">
        <v>87</v>
      </c>
      <c r="CB154" t="s">
        <v>94</v>
      </c>
      <c r="CC154" t="s">
        <v>1035</v>
      </c>
      <c r="CD154" t="s">
        <v>84</v>
      </c>
    </row>
    <row r="155" spans="1:83" x14ac:dyDescent="0.25">
      <c r="A155" t="s">
        <v>830</v>
      </c>
      <c r="B155" t="s">
        <v>831</v>
      </c>
      <c r="C155" t="s">
        <v>832</v>
      </c>
      <c r="D155" t="s">
        <v>727</v>
      </c>
      <c r="E155" t="s">
        <v>1995</v>
      </c>
      <c r="F155" s="10">
        <v>6995</v>
      </c>
      <c r="G155" s="1" t="s">
        <v>84</v>
      </c>
      <c r="I155" t="s">
        <v>85</v>
      </c>
      <c r="J155" t="s">
        <v>85</v>
      </c>
      <c r="K155" t="s">
        <v>85</v>
      </c>
      <c r="L155" t="s">
        <v>85</v>
      </c>
      <c r="M155" t="s">
        <v>85</v>
      </c>
      <c r="N155" t="s">
        <v>85</v>
      </c>
      <c r="O155" t="s">
        <v>85</v>
      </c>
      <c r="Q155" t="s">
        <v>84</v>
      </c>
      <c r="T155" t="s">
        <v>86</v>
      </c>
      <c r="U155" t="s">
        <v>87</v>
      </c>
      <c r="V155" t="s">
        <v>87</v>
      </c>
      <c r="W155" t="s">
        <v>84</v>
      </c>
      <c r="Y155" t="s">
        <v>87</v>
      </c>
      <c r="Z155" t="s">
        <v>87</v>
      </c>
      <c r="AA155" t="s">
        <v>84</v>
      </c>
      <c r="AC155" t="s">
        <v>87</v>
      </c>
      <c r="AD155" t="s">
        <v>84</v>
      </c>
      <c r="AE155" t="s">
        <v>84</v>
      </c>
      <c r="AF155" t="s">
        <v>84</v>
      </c>
      <c r="AG155" t="s">
        <v>87</v>
      </c>
      <c r="AI155" t="s">
        <v>84</v>
      </c>
      <c r="AJ155" t="s">
        <v>84</v>
      </c>
      <c r="AK155" t="s">
        <v>84</v>
      </c>
      <c r="AL155" t="s">
        <v>84</v>
      </c>
      <c r="AM155" t="s">
        <v>87</v>
      </c>
      <c r="AO155" t="s">
        <v>87</v>
      </c>
      <c r="AP155" t="s">
        <v>87</v>
      </c>
      <c r="AQ155" t="s">
        <v>84</v>
      </c>
      <c r="AS155" t="s">
        <v>87</v>
      </c>
      <c r="AT155" t="s">
        <v>84</v>
      </c>
      <c r="AU155" t="s">
        <v>833</v>
      </c>
      <c r="AW155" t="s">
        <v>89</v>
      </c>
      <c r="AX155" t="s">
        <v>87</v>
      </c>
      <c r="AY155" t="s">
        <v>87</v>
      </c>
      <c r="AZ155" t="s">
        <v>84</v>
      </c>
      <c r="BA155" t="s">
        <v>84</v>
      </c>
      <c r="BB155" t="s">
        <v>84</v>
      </c>
      <c r="BC155" t="s">
        <v>84</v>
      </c>
      <c r="BD155" t="s">
        <v>834</v>
      </c>
      <c r="BE155" t="s">
        <v>84</v>
      </c>
      <c r="BH155" t="s">
        <v>87</v>
      </c>
      <c r="BI155" t="s">
        <v>84</v>
      </c>
      <c r="BJ155" t="s">
        <v>84</v>
      </c>
      <c r="BL155" t="s">
        <v>87</v>
      </c>
      <c r="BM155" t="s">
        <v>87</v>
      </c>
      <c r="BN155" t="s">
        <v>84</v>
      </c>
      <c r="BP155" t="s">
        <v>84</v>
      </c>
      <c r="BQ155" t="s">
        <v>84</v>
      </c>
      <c r="BR155" t="s">
        <v>84</v>
      </c>
      <c r="BS155" t="s">
        <v>87</v>
      </c>
      <c r="BT155" t="s">
        <v>84</v>
      </c>
      <c r="BV155" t="s">
        <v>87</v>
      </c>
      <c r="BW155" t="s">
        <v>84</v>
      </c>
      <c r="BX155" t="s">
        <v>84</v>
      </c>
      <c r="BY155" t="s">
        <v>84</v>
      </c>
      <c r="BZ155" t="s">
        <v>87</v>
      </c>
      <c r="CB155" t="s">
        <v>84</v>
      </c>
      <c r="CD155" t="s">
        <v>84</v>
      </c>
    </row>
    <row r="156" spans="1:83" x14ac:dyDescent="0.25">
      <c r="A156" t="s">
        <v>267</v>
      </c>
      <c r="B156" t="s">
        <v>268</v>
      </c>
      <c r="C156" t="s">
        <v>269</v>
      </c>
      <c r="D156" t="s">
        <v>104</v>
      </c>
      <c r="E156" t="s">
        <v>1926</v>
      </c>
      <c r="F156" s="1">
        <v>7500</v>
      </c>
      <c r="G156" s="1" t="s">
        <v>94</v>
      </c>
      <c r="H156" t="s">
        <v>95</v>
      </c>
      <c r="I156" t="s">
        <v>87</v>
      </c>
      <c r="J156" t="s">
        <v>84</v>
      </c>
      <c r="K156" t="s">
        <v>84</v>
      </c>
      <c r="L156" t="s">
        <v>84</v>
      </c>
      <c r="M156" t="s">
        <v>84</v>
      </c>
      <c r="N156" t="s">
        <v>84</v>
      </c>
      <c r="O156" t="s">
        <v>84</v>
      </c>
      <c r="Q156" t="s">
        <v>84</v>
      </c>
      <c r="T156" t="s">
        <v>96</v>
      </c>
      <c r="U156" t="s">
        <v>87</v>
      </c>
      <c r="V156" t="s">
        <v>87</v>
      </c>
      <c r="W156" t="s">
        <v>84</v>
      </c>
      <c r="Y156" t="s">
        <v>87</v>
      </c>
      <c r="Z156" t="s">
        <v>84</v>
      </c>
      <c r="AA156" t="s">
        <v>84</v>
      </c>
      <c r="AC156" t="s">
        <v>87</v>
      </c>
      <c r="AD156" t="s">
        <v>84</v>
      </c>
      <c r="AE156" t="s">
        <v>87</v>
      </c>
      <c r="AF156" t="s">
        <v>84</v>
      </c>
      <c r="AG156" t="s">
        <v>87</v>
      </c>
      <c r="AH156" t="s">
        <v>270</v>
      </c>
      <c r="AI156" t="s">
        <v>84</v>
      </c>
      <c r="AJ156" t="s">
        <v>84</v>
      </c>
      <c r="AK156" t="s">
        <v>84</v>
      </c>
      <c r="AL156" t="s">
        <v>87</v>
      </c>
      <c r="AM156" t="s">
        <v>84</v>
      </c>
      <c r="AO156" t="s">
        <v>87</v>
      </c>
      <c r="AP156" t="s">
        <v>87</v>
      </c>
      <c r="AQ156" t="s">
        <v>84</v>
      </c>
      <c r="AS156" t="s">
        <v>87</v>
      </c>
      <c r="AT156" t="s">
        <v>87</v>
      </c>
      <c r="AU156" t="s">
        <v>271</v>
      </c>
      <c r="AV156" t="s">
        <v>272</v>
      </c>
      <c r="AW156" t="s">
        <v>89</v>
      </c>
      <c r="AX156" t="s">
        <v>87</v>
      </c>
      <c r="AY156" t="s">
        <v>87</v>
      </c>
      <c r="AZ156" t="s">
        <v>87</v>
      </c>
      <c r="BA156" t="s">
        <v>84</v>
      </c>
      <c r="BB156" t="s">
        <v>84</v>
      </c>
      <c r="BC156" t="s">
        <v>84</v>
      </c>
      <c r="BD156" t="s">
        <v>273</v>
      </c>
      <c r="BE156" t="s">
        <v>84</v>
      </c>
      <c r="BH156" t="s">
        <v>87</v>
      </c>
      <c r="BI156" t="s">
        <v>84</v>
      </c>
      <c r="BJ156" t="s">
        <v>84</v>
      </c>
      <c r="BL156" t="s">
        <v>87</v>
      </c>
      <c r="BM156" t="s">
        <v>87</v>
      </c>
      <c r="BN156" t="s">
        <v>87</v>
      </c>
      <c r="BO156" t="s">
        <v>274</v>
      </c>
      <c r="BP156" t="s">
        <v>84</v>
      </c>
      <c r="BQ156" t="s">
        <v>84</v>
      </c>
      <c r="BR156" t="s">
        <v>84</v>
      </c>
      <c r="BS156" t="s">
        <v>87</v>
      </c>
      <c r="BT156" t="s">
        <v>84</v>
      </c>
      <c r="BV156" t="s">
        <v>87</v>
      </c>
      <c r="BW156" t="s">
        <v>84</v>
      </c>
      <c r="BX156" t="s">
        <v>84</v>
      </c>
      <c r="BY156" t="s">
        <v>84</v>
      </c>
      <c r="BZ156" t="s">
        <v>84</v>
      </c>
      <c r="CB156" t="s">
        <v>84</v>
      </c>
      <c r="CD156" t="s">
        <v>84</v>
      </c>
    </row>
    <row r="157" spans="1:83" x14ac:dyDescent="0.25">
      <c r="A157" t="s">
        <v>1058</v>
      </c>
      <c r="B157" t="s">
        <v>1059</v>
      </c>
      <c r="C157" t="s">
        <v>1060</v>
      </c>
      <c r="D157" t="s">
        <v>245</v>
      </c>
      <c r="E157" t="s">
        <v>1995</v>
      </c>
      <c r="F157" s="1">
        <v>7545</v>
      </c>
      <c r="G157" s="1" t="s">
        <v>94</v>
      </c>
      <c r="H157" t="s">
        <v>1061</v>
      </c>
      <c r="I157" t="s">
        <v>87</v>
      </c>
      <c r="J157" t="s">
        <v>84</v>
      </c>
      <c r="K157" t="s">
        <v>84</v>
      </c>
      <c r="L157" t="s">
        <v>84</v>
      </c>
      <c r="M157" t="s">
        <v>84</v>
      </c>
      <c r="N157" t="s">
        <v>84</v>
      </c>
      <c r="O157" t="s">
        <v>84</v>
      </c>
      <c r="Q157" t="s">
        <v>94</v>
      </c>
      <c r="S157" t="s">
        <v>1062</v>
      </c>
      <c r="T157" t="s">
        <v>86</v>
      </c>
      <c r="U157" t="s">
        <v>87</v>
      </c>
      <c r="V157" t="s">
        <v>84</v>
      </c>
      <c r="W157" t="s">
        <v>84</v>
      </c>
      <c r="Y157" t="s">
        <v>84</v>
      </c>
      <c r="Z157" t="s">
        <v>84</v>
      </c>
      <c r="AA157" t="s">
        <v>84</v>
      </c>
      <c r="AB157" t="s">
        <v>1063</v>
      </c>
      <c r="AC157" t="s">
        <v>87</v>
      </c>
      <c r="AD157" t="s">
        <v>84</v>
      </c>
      <c r="AE157" t="s">
        <v>84</v>
      </c>
      <c r="AF157" t="s">
        <v>84</v>
      </c>
      <c r="AG157" t="s">
        <v>87</v>
      </c>
      <c r="AH157" t="s">
        <v>1064</v>
      </c>
      <c r="AI157" t="s">
        <v>87</v>
      </c>
      <c r="AJ157" t="s">
        <v>84</v>
      </c>
      <c r="AK157" t="s">
        <v>84</v>
      </c>
      <c r="AL157" t="s">
        <v>84</v>
      </c>
      <c r="AM157" t="s">
        <v>84</v>
      </c>
      <c r="AO157" t="s">
        <v>87</v>
      </c>
      <c r="AP157" t="s">
        <v>87</v>
      </c>
      <c r="AQ157" t="s">
        <v>84</v>
      </c>
      <c r="AS157" t="s">
        <v>87</v>
      </c>
      <c r="AT157" t="s">
        <v>87</v>
      </c>
      <c r="AU157" t="s">
        <v>1065</v>
      </c>
      <c r="AV157" t="s">
        <v>1065</v>
      </c>
      <c r="AW157" t="s">
        <v>89</v>
      </c>
      <c r="AX157" t="s">
        <v>84</v>
      </c>
      <c r="AY157" t="s">
        <v>87</v>
      </c>
      <c r="AZ157" t="s">
        <v>84</v>
      </c>
      <c r="BA157" t="s">
        <v>84</v>
      </c>
      <c r="BB157" t="s">
        <v>84</v>
      </c>
      <c r="BC157" t="s">
        <v>84</v>
      </c>
      <c r="BD157" t="s">
        <v>280</v>
      </c>
      <c r="BE157" t="s">
        <v>84</v>
      </c>
      <c r="BH157" t="s">
        <v>87</v>
      </c>
      <c r="BI157" t="s">
        <v>84</v>
      </c>
      <c r="BJ157" t="s">
        <v>84</v>
      </c>
      <c r="BL157" t="s">
        <v>87</v>
      </c>
      <c r="BM157" t="s">
        <v>84</v>
      </c>
      <c r="BN157" t="s">
        <v>84</v>
      </c>
      <c r="BP157" t="s">
        <v>87</v>
      </c>
      <c r="BQ157" t="s">
        <v>84</v>
      </c>
      <c r="BR157" t="s">
        <v>84</v>
      </c>
      <c r="BS157" t="s">
        <v>84</v>
      </c>
      <c r="BT157" t="s">
        <v>84</v>
      </c>
      <c r="BV157" t="s">
        <v>87</v>
      </c>
      <c r="BW157" t="s">
        <v>84</v>
      </c>
      <c r="BX157" t="s">
        <v>84</v>
      </c>
      <c r="BY157" t="s">
        <v>84</v>
      </c>
      <c r="BZ157" t="s">
        <v>84</v>
      </c>
      <c r="CB157" t="s">
        <v>94</v>
      </c>
      <c r="CC157" t="s">
        <v>1066</v>
      </c>
      <c r="CD157" t="s">
        <v>84</v>
      </c>
    </row>
    <row r="158" spans="1:83" x14ac:dyDescent="0.25">
      <c r="A158" t="s">
        <v>236</v>
      </c>
      <c r="B158" t="s">
        <v>237</v>
      </c>
      <c r="C158" t="s">
        <v>238</v>
      </c>
      <c r="D158" t="s">
        <v>156</v>
      </c>
      <c r="E158" t="s">
        <v>1928</v>
      </c>
      <c r="F158" s="1">
        <v>7586</v>
      </c>
      <c r="G158" s="1" t="s">
        <v>94</v>
      </c>
      <c r="H158" t="s">
        <v>157</v>
      </c>
      <c r="I158" t="s">
        <v>87</v>
      </c>
      <c r="J158" t="s">
        <v>84</v>
      </c>
      <c r="K158" t="s">
        <v>84</v>
      </c>
      <c r="L158" t="s">
        <v>87</v>
      </c>
      <c r="M158" t="s">
        <v>87</v>
      </c>
      <c r="N158" t="s">
        <v>84</v>
      </c>
      <c r="O158" t="s">
        <v>84</v>
      </c>
      <c r="Q158" t="s">
        <v>84</v>
      </c>
      <c r="T158" t="s">
        <v>96</v>
      </c>
      <c r="U158" t="s">
        <v>87</v>
      </c>
      <c r="V158" t="s">
        <v>84</v>
      </c>
      <c r="W158" t="s">
        <v>84</v>
      </c>
      <c r="Y158" t="s">
        <v>87</v>
      </c>
      <c r="Z158" t="s">
        <v>84</v>
      </c>
      <c r="AA158" t="s">
        <v>84</v>
      </c>
      <c r="AC158" t="s">
        <v>84</v>
      </c>
      <c r="AD158" t="s">
        <v>84</v>
      </c>
      <c r="AE158" t="s">
        <v>84</v>
      </c>
      <c r="AF158" t="s">
        <v>84</v>
      </c>
      <c r="AG158" t="s">
        <v>87</v>
      </c>
      <c r="AH158" t="s">
        <v>239</v>
      </c>
      <c r="AI158" t="s">
        <v>84</v>
      </c>
      <c r="AJ158" t="s">
        <v>84</v>
      </c>
      <c r="AK158" t="s">
        <v>84</v>
      </c>
      <c r="AL158" t="s">
        <v>84</v>
      </c>
      <c r="AM158" t="s">
        <v>87</v>
      </c>
      <c r="AO158" t="s">
        <v>87</v>
      </c>
      <c r="AP158" t="s">
        <v>87</v>
      </c>
      <c r="AQ158" t="s">
        <v>84</v>
      </c>
      <c r="AS158" t="s">
        <v>87</v>
      </c>
      <c r="AT158" t="s">
        <v>84</v>
      </c>
      <c r="AU158" t="s">
        <v>240</v>
      </c>
      <c r="AW158" t="s">
        <v>89</v>
      </c>
      <c r="AX158" t="s">
        <v>87</v>
      </c>
      <c r="AY158" t="s">
        <v>87</v>
      </c>
      <c r="AZ158" t="s">
        <v>87</v>
      </c>
      <c r="BA158" t="s">
        <v>84</v>
      </c>
      <c r="BB158" t="s">
        <v>84</v>
      </c>
      <c r="BC158" t="s">
        <v>84</v>
      </c>
      <c r="BD158" t="s">
        <v>241</v>
      </c>
      <c r="BE158" t="s">
        <v>84</v>
      </c>
      <c r="BH158" t="s">
        <v>87</v>
      </c>
      <c r="BI158" t="s">
        <v>84</v>
      </c>
      <c r="BJ158" t="s">
        <v>84</v>
      </c>
      <c r="BL158" t="s">
        <v>87</v>
      </c>
      <c r="BM158" t="s">
        <v>84</v>
      </c>
      <c r="BN158" t="s">
        <v>84</v>
      </c>
      <c r="BP158" t="s">
        <v>84</v>
      </c>
      <c r="BQ158" t="s">
        <v>84</v>
      </c>
      <c r="BR158" t="s">
        <v>84</v>
      </c>
      <c r="BS158" t="s">
        <v>84</v>
      </c>
      <c r="BT158" t="s">
        <v>87</v>
      </c>
      <c r="BV158" t="s">
        <v>87</v>
      </c>
      <c r="BW158" t="s">
        <v>84</v>
      </c>
      <c r="BX158" t="s">
        <v>84</v>
      </c>
      <c r="BY158" t="s">
        <v>84</v>
      </c>
      <c r="BZ158" t="s">
        <v>87</v>
      </c>
      <c r="CB158" t="s">
        <v>84</v>
      </c>
      <c r="CD158" t="s">
        <v>84</v>
      </c>
    </row>
    <row r="159" spans="1:83" x14ac:dyDescent="0.25">
      <c r="A159" t="s">
        <v>1546</v>
      </c>
      <c r="B159" t="s">
        <v>1547</v>
      </c>
      <c r="C159" t="s">
        <v>1548</v>
      </c>
      <c r="D159" t="s">
        <v>998</v>
      </c>
      <c r="E159" t="s">
        <v>1997</v>
      </c>
      <c r="F159" s="1">
        <v>7779</v>
      </c>
      <c r="G159" s="1" t="s">
        <v>84</v>
      </c>
      <c r="I159" t="s">
        <v>85</v>
      </c>
      <c r="J159" t="s">
        <v>85</v>
      </c>
      <c r="K159" t="s">
        <v>85</v>
      </c>
      <c r="L159" t="s">
        <v>85</v>
      </c>
      <c r="M159" t="s">
        <v>85</v>
      </c>
      <c r="N159" t="s">
        <v>85</v>
      </c>
      <c r="O159" t="s">
        <v>85</v>
      </c>
      <c r="Q159" t="s">
        <v>84</v>
      </c>
      <c r="T159" t="s">
        <v>96</v>
      </c>
      <c r="U159" t="s">
        <v>87</v>
      </c>
      <c r="V159" t="s">
        <v>84</v>
      </c>
      <c r="W159" t="s">
        <v>84</v>
      </c>
      <c r="Y159" t="s">
        <v>84</v>
      </c>
      <c r="Z159" t="s">
        <v>84</v>
      </c>
      <c r="AA159" t="s">
        <v>84</v>
      </c>
      <c r="AB159" t="s">
        <v>1549</v>
      </c>
      <c r="AC159" t="s">
        <v>84</v>
      </c>
      <c r="AD159" t="s">
        <v>84</v>
      </c>
      <c r="AE159" t="s">
        <v>84</v>
      </c>
      <c r="AF159" t="s">
        <v>84</v>
      </c>
      <c r="AG159" t="s">
        <v>84</v>
      </c>
      <c r="AH159" t="s">
        <v>1550</v>
      </c>
      <c r="AI159" t="s">
        <v>84</v>
      </c>
      <c r="AJ159" t="s">
        <v>84</v>
      </c>
      <c r="AK159" t="s">
        <v>84</v>
      </c>
      <c r="AL159" t="s">
        <v>84</v>
      </c>
      <c r="AM159" t="s">
        <v>84</v>
      </c>
      <c r="AN159" t="s">
        <v>1551</v>
      </c>
      <c r="AO159" t="s">
        <v>87</v>
      </c>
      <c r="AP159" t="s">
        <v>87</v>
      </c>
      <c r="AQ159" t="s">
        <v>84</v>
      </c>
      <c r="AS159" t="s">
        <v>87</v>
      </c>
      <c r="AT159" t="s">
        <v>84</v>
      </c>
      <c r="AU159" t="s">
        <v>1552</v>
      </c>
      <c r="AW159" t="s">
        <v>89</v>
      </c>
      <c r="AX159" t="s">
        <v>87</v>
      </c>
      <c r="AY159" t="s">
        <v>84</v>
      </c>
      <c r="AZ159" t="s">
        <v>84</v>
      </c>
      <c r="BA159" t="s">
        <v>84</v>
      </c>
      <c r="BB159" t="s">
        <v>84</v>
      </c>
      <c r="BC159" t="s">
        <v>84</v>
      </c>
      <c r="BD159" t="s">
        <v>224</v>
      </c>
      <c r="BE159" t="s">
        <v>84</v>
      </c>
      <c r="BF159" t="s">
        <v>84</v>
      </c>
      <c r="BH159" t="s">
        <v>87</v>
      </c>
      <c r="BI159" t="s">
        <v>84</v>
      </c>
      <c r="BJ159" t="s">
        <v>84</v>
      </c>
      <c r="BL159" t="s">
        <v>87</v>
      </c>
      <c r="BM159" t="s">
        <v>84</v>
      </c>
      <c r="BN159" t="s">
        <v>84</v>
      </c>
      <c r="BP159" t="s">
        <v>84</v>
      </c>
      <c r="BQ159" t="s">
        <v>84</v>
      </c>
      <c r="BR159" t="s">
        <v>84</v>
      </c>
      <c r="BS159" t="s">
        <v>84</v>
      </c>
      <c r="BT159" t="s">
        <v>87</v>
      </c>
      <c r="BV159" t="s">
        <v>84</v>
      </c>
      <c r="BW159" t="s">
        <v>84</v>
      </c>
      <c r="BX159" t="s">
        <v>84</v>
      </c>
      <c r="BY159" t="s">
        <v>84</v>
      </c>
      <c r="BZ159" t="s">
        <v>84</v>
      </c>
      <c r="CA159" t="s">
        <v>224</v>
      </c>
      <c r="CB159" t="s">
        <v>94</v>
      </c>
      <c r="CC159" t="s">
        <v>1553</v>
      </c>
      <c r="CD159" t="s">
        <v>84</v>
      </c>
    </row>
    <row r="160" spans="1:83" x14ac:dyDescent="0.25">
      <c r="A160" t="s">
        <v>571</v>
      </c>
      <c r="B160" t="s">
        <v>572</v>
      </c>
      <c r="C160" t="s">
        <v>573</v>
      </c>
      <c r="D160" t="s">
        <v>131</v>
      </c>
      <c r="E160" t="s">
        <v>131</v>
      </c>
      <c r="F160" s="1">
        <v>8000</v>
      </c>
      <c r="G160" s="1" t="s">
        <v>94</v>
      </c>
      <c r="H160" t="s">
        <v>574</v>
      </c>
      <c r="I160" t="s">
        <v>87</v>
      </c>
      <c r="J160" t="s">
        <v>84</v>
      </c>
      <c r="K160" t="s">
        <v>84</v>
      </c>
      <c r="L160" t="s">
        <v>84</v>
      </c>
      <c r="M160" t="s">
        <v>87</v>
      </c>
      <c r="N160" t="s">
        <v>84</v>
      </c>
      <c r="O160" t="s">
        <v>84</v>
      </c>
      <c r="Q160" t="s">
        <v>84</v>
      </c>
      <c r="T160" t="s">
        <v>86</v>
      </c>
      <c r="U160" t="s">
        <v>87</v>
      </c>
      <c r="V160" t="s">
        <v>87</v>
      </c>
      <c r="W160" t="s">
        <v>84</v>
      </c>
      <c r="Y160" t="s">
        <v>87</v>
      </c>
      <c r="Z160" t="s">
        <v>87</v>
      </c>
      <c r="AA160" t="s">
        <v>84</v>
      </c>
      <c r="AC160" t="s">
        <v>87</v>
      </c>
      <c r="AD160" t="s">
        <v>84</v>
      </c>
      <c r="AE160" t="s">
        <v>84</v>
      </c>
      <c r="AF160" t="s">
        <v>84</v>
      </c>
      <c r="AG160" t="s">
        <v>84</v>
      </c>
      <c r="AI160" t="s">
        <v>84</v>
      </c>
      <c r="AJ160" t="s">
        <v>84</v>
      </c>
      <c r="AK160" t="s">
        <v>84</v>
      </c>
      <c r="AL160" t="s">
        <v>84</v>
      </c>
      <c r="AM160" t="s">
        <v>87</v>
      </c>
      <c r="AO160" t="s">
        <v>87</v>
      </c>
      <c r="AP160" t="s">
        <v>87</v>
      </c>
      <c r="AQ160" t="s">
        <v>84</v>
      </c>
      <c r="AS160" t="s">
        <v>87</v>
      </c>
      <c r="AT160" t="s">
        <v>84</v>
      </c>
      <c r="AU160" t="s">
        <v>575</v>
      </c>
      <c r="AW160" t="s">
        <v>89</v>
      </c>
      <c r="AX160" t="s">
        <v>84</v>
      </c>
      <c r="AY160" t="s">
        <v>84</v>
      </c>
      <c r="AZ160" t="s">
        <v>84</v>
      </c>
      <c r="BA160" t="s">
        <v>87</v>
      </c>
      <c r="BB160" t="s">
        <v>84</v>
      </c>
      <c r="BC160" t="s">
        <v>84</v>
      </c>
      <c r="BD160" t="s">
        <v>576</v>
      </c>
      <c r="BE160" t="s">
        <v>84</v>
      </c>
      <c r="BH160" t="s">
        <v>87</v>
      </c>
      <c r="BI160" t="s">
        <v>84</v>
      </c>
      <c r="BJ160" t="s">
        <v>84</v>
      </c>
      <c r="BL160" t="s">
        <v>87</v>
      </c>
      <c r="BM160" t="s">
        <v>84</v>
      </c>
      <c r="BN160" t="s">
        <v>84</v>
      </c>
      <c r="BP160" t="s">
        <v>87</v>
      </c>
      <c r="BQ160" t="s">
        <v>84</v>
      </c>
      <c r="BR160" t="s">
        <v>84</v>
      </c>
      <c r="BS160" t="s">
        <v>84</v>
      </c>
      <c r="BT160" t="s">
        <v>84</v>
      </c>
      <c r="BV160" t="s">
        <v>87</v>
      </c>
      <c r="BW160" t="s">
        <v>84</v>
      </c>
      <c r="BX160" t="s">
        <v>84</v>
      </c>
      <c r="BY160" t="s">
        <v>84</v>
      </c>
      <c r="BZ160" t="s">
        <v>84</v>
      </c>
      <c r="CB160" t="s">
        <v>84</v>
      </c>
      <c r="CD160" t="s">
        <v>84</v>
      </c>
    </row>
    <row r="161" spans="1:83" x14ac:dyDescent="0.25">
      <c r="A161" t="s">
        <v>1291</v>
      </c>
      <c r="B161" t="s">
        <v>1292</v>
      </c>
      <c r="C161" t="s">
        <v>1293</v>
      </c>
      <c r="D161" t="s">
        <v>425</v>
      </c>
      <c r="E161" t="s">
        <v>1927</v>
      </c>
      <c r="F161" s="1">
        <v>9773</v>
      </c>
      <c r="G161" s="1" t="s">
        <v>84</v>
      </c>
      <c r="I161" t="s">
        <v>85</v>
      </c>
      <c r="J161" t="s">
        <v>85</v>
      </c>
      <c r="K161" t="s">
        <v>85</v>
      </c>
      <c r="L161" t="s">
        <v>85</v>
      </c>
      <c r="M161" t="s">
        <v>85</v>
      </c>
      <c r="N161" t="s">
        <v>85</v>
      </c>
      <c r="O161" t="s">
        <v>85</v>
      </c>
      <c r="Q161" t="s">
        <v>84</v>
      </c>
      <c r="T161" t="s">
        <v>96</v>
      </c>
      <c r="U161" t="s">
        <v>87</v>
      </c>
      <c r="V161" t="s">
        <v>84</v>
      </c>
      <c r="W161" t="s">
        <v>84</v>
      </c>
      <c r="Y161" t="s">
        <v>87</v>
      </c>
      <c r="Z161" t="s">
        <v>84</v>
      </c>
      <c r="AA161" t="s">
        <v>84</v>
      </c>
      <c r="AB161" t="s">
        <v>1159</v>
      </c>
      <c r="AC161" t="s">
        <v>87</v>
      </c>
      <c r="AD161" t="s">
        <v>84</v>
      </c>
      <c r="AE161" t="s">
        <v>87</v>
      </c>
      <c r="AF161" t="s">
        <v>84</v>
      </c>
      <c r="AG161" t="s">
        <v>87</v>
      </c>
      <c r="AH161" t="s">
        <v>1294</v>
      </c>
      <c r="AI161" t="s">
        <v>84</v>
      </c>
      <c r="AJ161" t="s">
        <v>84</v>
      </c>
      <c r="AK161" t="s">
        <v>84</v>
      </c>
      <c r="AL161" t="s">
        <v>84</v>
      </c>
      <c r="AM161" t="s">
        <v>87</v>
      </c>
      <c r="AO161" t="s">
        <v>87</v>
      </c>
      <c r="AP161" t="s">
        <v>87</v>
      </c>
      <c r="AQ161" t="s">
        <v>84</v>
      </c>
      <c r="AR161" t="s">
        <v>1295</v>
      </c>
      <c r="AS161" t="s">
        <v>87</v>
      </c>
      <c r="AT161" t="s">
        <v>84</v>
      </c>
      <c r="AU161" t="s">
        <v>1296</v>
      </c>
      <c r="AW161" t="s">
        <v>89</v>
      </c>
      <c r="AX161" t="s">
        <v>87</v>
      </c>
      <c r="AY161" t="s">
        <v>87</v>
      </c>
      <c r="AZ161" t="s">
        <v>84</v>
      </c>
      <c r="BA161" t="s">
        <v>84</v>
      </c>
      <c r="BB161" t="s">
        <v>84</v>
      </c>
      <c r="BC161" t="s">
        <v>84</v>
      </c>
      <c r="BD161" t="s">
        <v>224</v>
      </c>
      <c r="BE161" t="s">
        <v>84</v>
      </c>
      <c r="BH161" t="s">
        <v>87</v>
      </c>
      <c r="BI161" t="s">
        <v>84</v>
      </c>
      <c r="BJ161" t="s">
        <v>84</v>
      </c>
      <c r="BL161" t="s">
        <v>87</v>
      </c>
      <c r="BM161" t="s">
        <v>87</v>
      </c>
      <c r="BN161" t="s">
        <v>84</v>
      </c>
      <c r="BP161" t="s">
        <v>84</v>
      </c>
      <c r="BQ161" t="s">
        <v>84</v>
      </c>
      <c r="BR161" t="s">
        <v>84</v>
      </c>
      <c r="BS161" t="s">
        <v>84</v>
      </c>
      <c r="BT161" t="s">
        <v>87</v>
      </c>
      <c r="BV161" t="s">
        <v>87</v>
      </c>
      <c r="BW161" t="s">
        <v>84</v>
      </c>
      <c r="BX161" t="s">
        <v>84</v>
      </c>
      <c r="BY161" t="s">
        <v>84</v>
      </c>
      <c r="BZ161" t="s">
        <v>87</v>
      </c>
      <c r="CB161" t="s">
        <v>94</v>
      </c>
      <c r="CC161" t="s">
        <v>1297</v>
      </c>
      <c r="CD161" t="s">
        <v>84</v>
      </c>
    </row>
    <row r="162" spans="1:83" x14ac:dyDescent="0.25">
      <c r="A162" t="s">
        <v>668</v>
      </c>
      <c r="B162" t="s">
        <v>669</v>
      </c>
      <c r="C162" t="s">
        <v>670</v>
      </c>
      <c r="D162" t="s">
        <v>425</v>
      </c>
      <c r="E162" t="s">
        <v>1927</v>
      </c>
      <c r="F162" s="1">
        <v>9800</v>
      </c>
      <c r="G162" s="1" t="s">
        <v>94</v>
      </c>
      <c r="H162" t="s">
        <v>671</v>
      </c>
      <c r="I162" t="s">
        <v>87</v>
      </c>
      <c r="J162" t="s">
        <v>84</v>
      </c>
      <c r="K162" t="s">
        <v>84</v>
      </c>
      <c r="L162" t="s">
        <v>84</v>
      </c>
      <c r="M162" t="s">
        <v>84</v>
      </c>
      <c r="N162" t="s">
        <v>84</v>
      </c>
      <c r="O162" t="s">
        <v>84</v>
      </c>
      <c r="Q162" t="s">
        <v>84</v>
      </c>
      <c r="T162" t="s">
        <v>86</v>
      </c>
      <c r="U162" t="s">
        <v>87</v>
      </c>
      <c r="V162" t="s">
        <v>87</v>
      </c>
      <c r="W162" t="s">
        <v>84</v>
      </c>
      <c r="Y162" t="s">
        <v>87</v>
      </c>
      <c r="Z162" t="s">
        <v>84</v>
      </c>
      <c r="AA162" t="s">
        <v>84</v>
      </c>
      <c r="AC162" t="s">
        <v>87</v>
      </c>
      <c r="AD162" t="s">
        <v>84</v>
      </c>
      <c r="AE162" t="s">
        <v>87</v>
      </c>
      <c r="AF162" t="s">
        <v>84</v>
      </c>
      <c r="AG162" t="s">
        <v>87</v>
      </c>
      <c r="AI162" t="s">
        <v>84</v>
      </c>
      <c r="AJ162" t="s">
        <v>84</v>
      </c>
      <c r="AK162" t="s">
        <v>84</v>
      </c>
      <c r="AL162" t="s">
        <v>84</v>
      </c>
      <c r="AM162" t="s">
        <v>87</v>
      </c>
      <c r="AO162" t="s">
        <v>87</v>
      </c>
      <c r="AP162" t="s">
        <v>87</v>
      </c>
      <c r="AQ162" t="s">
        <v>84</v>
      </c>
      <c r="AS162" t="s">
        <v>87</v>
      </c>
      <c r="AT162" t="s">
        <v>84</v>
      </c>
      <c r="AU162" t="s">
        <v>672</v>
      </c>
      <c r="AW162" t="s">
        <v>89</v>
      </c>
      <c r="AX162" t="s">
        <v>87</v>
      </c>
      <c r="AY162" t="s">
        <v>87</v>
      </c>
      <c r="AZ162" t="s">
        <v>84</v>
      </c>
      <c r="BA162" t="s">
        <v>84</v>
      </c>
      <c r="BB162" t="s">
        <v>84</v>
      </c>
      <c r="BC162" t="s">
        <v>87</v>
      </c>
      <c r="BE162" t="s">
        <v>84</v>
      </c>
      <c r="BF162" t="s">
        <v>87</v>
      </c>
      <c r="BH162" t="s">
        <v>87</v>
      </c>
      <c r="BI162" t="s">
        <v>84</v>
      </c>
      <c r="BJ162" t="s">
        <v>84</v>
      </c>
      <c r="BL162" t="s">
        <v>87</v>
      </c>
      <c r="BM162" t="s">
        <v>84</v>
      </c>
      <c r="BN162" t="s">
        <v>84</v>
      </c>
      <c r="BP162" t="s">
        <v>84</v>
      </c>
      <c r="BQ162" t="s">
        <v>84</v>
      </c>
      <c r="BR162" t="s">
        <v>84</v>
      </c>
      <c r="BS162" t="s">
        <v>84</v>
      </c>
      <c r="BT162" t="s">
        <v>87</v>
      </c>
      <c r="BV162" t="s">
        <v>87</v>
      </c>
      <c r="BW162" t="s">
        <v>84</v>
      </c>
      <c r="BX162" t="s">
        <v>87</v>
      </c>
      <c r="BY162" t="s">
        <v>84</v>
      </c>
      <c r="BZ162" t="s">
        <v>87</v>
      </c>
      <c r="CB162" t="s">
        <v>84</v>
      </c>
      <c r="CD162" t="s">
        <v>84</v>
      </c>
    </row>
    <row r="163" spans="1:83" x14ac:dyDescent="0.25">
      <c r="A163" t="s">
        <v>1566</v>
      </c>
      <c r="B163" t="s">
        <v>1567</v>
      </c>
      <c r="C163" t="s">
        <v>1568</v>
      </c>
      <c r="D163" t="s">
        <v>658</v>
      </c>
      <c r="E163" t="s">
        <v>1925</v>
      </c>
      <c r="F163" s="1">
        <v>10593</v>
      </c>
      <c r="G163" s="1" t="s">
        <v>94</v>
      </c>
      <c r="H163" t="s">
        <v>1569</v>
      </c>
      <c r="I163" t="s">
        <v>87</v>
      </c>
      <c r="J163" t="s">
        <v>84</v>
      </c>
      <c r="K163" t="s">
        <v>84</v>
      </c>
      <c r="L163" t="s">
        <v>84</v>
      </c>
      <c r="M163" t="s">
        <v>87</v>
      </c>
      <c r="N163" t="s">
        <v>84</v>
      </c>
      <c r="O163" t="s">
        <v>84</v>
      </c>
      <c r="Q163" t="s">
        <v>94</v>
      </c>
      <c r="S163" t="s">
        <v>1570</v>
      </c>
      <c r="T163" t="s">
        <v>96</v>
      </c>
      <c r="U163" t="s">
        <v>87</v>
      </c>
      <c r="V163" t="s">
        <v>87</v>
      </c>
      <c r="W163" t="s">
        <v>84</v>
      </c>
      <c r="X163" t="s">
        <v>1571</v>
      </c>
      <c r="Y163" t="s">
        <v>87</v>
      </c>
      <c r="Z163" t="s">
        <v>87</v>
      </c>
      <c r="AA163" t="s">
        <v>84</v>
      </c>
      <c r="AB163" t="s">
        <v>942</v>
      </c>
      <c r="AC163" t="s">
        <v>84</v>
      </c>
      <c r="AD163" t="s">
        <v>84</v>
      </c>
      <c r="AE163" t="s">
        <v>84</v>
      </c>
      <c r="AF163" t="s">
        <v>84</v>
      </c>
      <c r="AG163" t="s">
        <v>87</v>
      </c>
      <c r="AI163" t="s">
        <v>84</v>
      </c>
      <c r="AJ163" t="s">
        <v>84</v>
      </c>
      <c r="AK163" t="s">
        <v>84</v>
      </c>
      <c r="AL163" t="s">
        <v>84</v>
      </c>
      <c r="AM163" t="s">
        <v>87</v>
      </c>
      <c r="AO163" t="s">
        <v>87</v>
      </c>
      <c r="AP163" t="s">
        <v>87</v>
      </c>
      <c r="AQ163" t="s">
        <v>84</v>
      </c>
      <c r="AS163" t="s">
        <v>87</v>
      </c>
      <c r="AT163" t="s">
        <v>84</v>
      </c>
      <c r="AU163" t="s">
        <v>1572</v>
      </c>
      <c r="AW163" t="s">
        <v>89</v>
      </c>
      <c r="AX163" t="s">
        <v>87</v>
      </c>
      <c r="AY163" t="s">
        <v>87</v>
      </c>
      <c r="AZ163" t="s">
        <v>84</v>
      </c>
      <c r="BA163" t="s">
        <v>84</v>
      </c>
      <c r="BB163" t="s">
        <v>84</v>
      </c>
      <c r="BC163" t="s">
        <v>84</v>
      </c>
      <c r="BD163" t="s">
        <v>1573</v>
      </c>
      <c r="BE163" t="s">
        <v>84</v>
      </c>
      <c r="BH163" t="s">
        <v>87</v>
      </c>
      <c r="BI163" t="s">
        <v>84</v>
      </c>
      <c r="BJ163" t="s">
        <v>84</v>
      </c>
      <c r="BL163" t="s">
        <v>87</v>
      </c>
      <c r="BM163" t="s">
        <v>87</v>
      </c>
      <c r="BN163" t="s">
        <v>84</v>
      </c>
      <c r="BP163" t="s">
        <v>84</v>
      </c>
      <c r="BQ163" t="s">
        <v>84</v>
      </c>
      <c r="BR163" t="s">
        <v>87</v>
      </c>
      <c r="BS163" t="s">
        <v>84</v>
      </c>
      <c r="BT163" t="s">
        <v>84</v>
      </c>
      <c r="BU163" t="s">
        <v>1574</v>
      </c>
      <c r="BV163" t="s">
        <v>84</v>
      </c>
      <c r="BW163" t="s">
        <v>84</v>
      </c>
      <c r="BX163" t="s">
        <v>84</v>
      </c>
      <c r="BY163" t="s">
        <v>84</v>
      </c>
      <c r="BZ163" t="s">
        <v>84</v>
      </c>
      <c r="CA163" t="s">
        <v>1575</v>
      </c>
      <c r="CB163" t="s">
        <v>94</v>
      </c>
      <c r="CC163" t="s">
        <v>1576</v>
      </c>
      <c r="CD163" t="s">
        <v>84</v>
      </c>
    </row>
    <row r="164" spans="1:83" x14ac:dyDescent="0.25">
      <c r="A164" t="s">
        <v>1427</v>
      </c>
      <c r="B164" t="s">
        <v>1428</v>
      </c>
      <c r="C164" t="s">
        <v>1429</v>
      </c>
      <c r="D164" t="s">
        <v>1430</v>
      </c>
      <c r="E164" t="s">
        <v>1924</v>
      </c>
      <c r="F164" s="1">
        <v>10700</v>
      </c>
      <c r="G164" s="1" t="s">
        <v>94</v>
      </c>
      <c r="H164" t="s">
        <v>1431</v>
      </c>
      <c r="I164" t="s">
        <v>84</v>
      </c>
      <c r="J164" t="s">
        <v>84</v>
      </c>
      <c r="K164" t="s">
        <v>84</v>
      </c>
      <c r="L164" t="s">
        <v>84</v>
      </c>
      <c r="M164" t="s">
        <v>84</v>
      </c>
      <c r="N164" t="s">
        <v>84</v>
      </c>
      <c r="O164" t="s">
        <v>87</v>
      </c>
      <c r="Q164" t="s">
        <v>94</v>
      </c>
      <c r="S164" t="s">
        <v>1432</v>
      </c>
      <c r="T164" t="s">
        <v>86</v>
      </c>
      <c r="U164" t="s">
        <v>87</v>
      </c>
      <c r="V164" t="s">
        <v>87</v>
      </c>
      <c r="W164" t="s">
        <v>84</v>
      </c>
      <c r="Y164" t="s">
        <v>87</v>
      </c>
      <c r="Z164" t="s">
        <v>87</v>
      </c>
      <c r="AA164" t="s">
        <v>84</v>
      </c>
      <c r="AB164" t="s">
        <v>1433</v>
      </c>
      <c r="AC164" t="s">
        <v>87</v>
      </c>
      <c r="AD164" t="s">
        <v>84</v>
      </c>
      <c r="AE164" t="s">
        <v>84</v>
      </c>
      <c r="AF164" t="s">
        <v>84</v>
      </c>
      <c r="AG164" t="s">
        <v>84</v>
      </c>
      <c r="AH164" t="s">
        <v>270</v>
      </c>
      <c r="AI164" t="s">
        <v>87</v>
      </c>
      <c r="AJ164" t="s">
        <v>84</v>
      </c>
      <c r="AK164" t="s">
        <v>84</v>
      </c>
      <c r="AL164" t="s">
        <v>84</v>
      </c>
      <c r="AM164" t="s">
        <v>84</v>
      </c>
      <c r="AO164" t="s">
        <v>87</v>
      </c>
      <c r="AP164" t="s">
        <v>87</v>
      </c>
      <c r="AQ164" t="s">
        <v>84</v>
      </c>
      <c r="AR164" t="s">
        <v>1433</v>
      </c>
      <c r="AS164" t="s">
        <v>87</v>
      </c>
      <c r="AT164" t="s">
        <v>87</v>
      </c>
      <c r="AU164" t="s">
        <v>1434</v>
      </c>
      <c r="AV164" t="s">
        <v>1434</v>
      </c>
      <c r="AW164" t="s">
        <v>89</v>
      </c>
      <c r="AX164" t="s">
        <v>87</v>
      </c>
      <c r="AY164" t="s">
        <v>87</v>
      </c>
      <c r="AZ164" t="s">
        <v>87</v>
      </c>
      <c r="BA164" t="s">
        <v>84</v>
      </c>
      <c r="BB164" t="s">
        <v>84</v>
      </c>
      <c r="BC164" t="s">
        <v>84</v>
      </c>
      <c r="BD164" t="s">
        <v>1435</v>
      </c>
      <c r="BE164" t="s">
        <v>84</v>
      </c>
      <c r="BH164" t="s">
        <v>87</v>
      </c>
      <c r="BI164" t="s">
        <v>84</v>
      </c>
      <c r="BJ164" t="s">
        <v>84</v>
      </c>
      <c r="BL164" t="s">
        <v>87</v>
      </c>
      <c r="BM164" t="s">
        <v>87</v>
      </c>
      <c r="BN164" t="s">
        <v>84</v>
      </c>
      <c r="BP164" t="s">
        <v>87</v>
      </c>
      <c r="BQ164" t="s">
        <v>84</v>
      </c>
      <c r="BR164" t="s">
        <v>84</v>
      </c>
      <c r="BS164" t="s">
        <v>84</v>
      </c>
      <c r="BT164" t="s">
        <v>84</v>
      </c>
      <c r="BV164" t="s">
        <v>87</v>
      </c>
      <c r="BW164" t="s">
        <v>84</v>
      </c>
      <c r="BX164" t="s">
        <v>84</v>
      </c>
      <c r="BY164" t="s">
        <v>84</v>
      </c>
      <c r="BZ164" t="s">
        <v>84</v>
      </c>
      <c r="CB164" t="s">
        <v>94</v>
      </c>
      <c r="CC164" t="s">
        <v>1436</v>
      </c>
      <c r="CD164" t="s">
        <v>84</v>
      </c>
    </row>
    <row r="165" spans="1:83" x14ac:dyDescent="0.25">
      <c r="A165" t="s">
        <v>312</v>
      </c>
      <c r="B165" t="s">
        <v>313</v>
      </c>
      <c r="C165" t="s">
        <v>314</v>
      </c>
      <c r="D165" t="s">
        <v>222</v>
      </c>
      <c r="E165" t="s">
        <v>222</v>
      </c>
      <c r="F165" s="1">
        <v>10752</v>
      </c>
      <c r="G165" s="1" t="s">
        <v>94</v>
      </c>
      <c r="H165" t="s">
        <v>315</v>
      </c>
      <c r="I165" t="s">
        <v>84</v>
      </c>
      <c r="J165" t="s">
        <v>84</v>
      </c>
      <c r="K165" t="s">
        <v>84</v>
      </c>
      <c r="L165" t="s">
        <v>84</v>
      </c>
      <c r="M165" t="s">
        <v>84</v>
      </c>
      <c r="N165" t="s">
        <v>84</v>
      </c>
      <c r="O165" t="s">
        <v>87</v>
      </c>
      <c r="Q165" t="s">
        <v>84</v>
      </c>
      <c r="T165" t="s">
        <v>86</v>
      </c>
      <c r="U165" t="s">
        <v>87</v>
      </c>
      <c r="V165" t="s">
        <v>87</v>
      </c>
      <c r="W165" t="s">
        <v>87</v>
      </c>
      <c r="Y165" t="s">
        <v>87</v>
      </c>
      <c r="Z165" t="s">
        <v>87</v>
      </c>
      <c r="AA165" t="s">
        <v>87</v>
      </c>
      <c r="AC165" t="s">
        <v>87</v>
      </c>
      <c r="AD165" t="s">
        <v>87</v>
      </c>
      <c r="AE165" t="s">
        <v>87</v>
      </c>
      <c r="AF165" t="s">
        <v>87</v>
      </c>
      <c r="AG165" t="s">
        <v>87</v>
      </c>
      <c r="AI165" t="s">
        <v>84</v>
      </c>
      <c r="AJ165" t="s">
        <v>84</v>
      </c>
      <c r="AK165" t="s">
        <v>84</v>
      </c>
      <c r="AL165" t="s">
        <v>87</v>
      </c>
      <c r="AM165" t="s">
        <v>84</v>
      </c>
      <c r="AO165" t="s">
        <v>87</v>
      </c>
      <c r="AP165" t="s">
        <v>87</v>
      </c>
      <c r="AQ165" t="s">
        <v>84</v>
      </c>
      <c r="AS165" t="s">
        <v>84</v>
      </c>
      <c r="AT165" t="s">
        <v>87</v>
      </c>
      <c r="AW165" t="s">
        <v>89</v>
      </c>
      <c r="AX165" t="s">
        <v>87</v>
      </c>
      <c r="AY165" t="s">
        <v>87</v>
      </c>
      <c r="AZ165" t="s">
        <v>84</v>
      </c>
      <c r="BA165" t="s">
        <v>84</v>
      </c>
      <c r="BB165" t="s">
        <v>84</v>
      </c>
      <c r="BC165" t="s">
        <v>87</v>
      </c>
      <c r="BE165" t="s">
        <v>84</v>
      </c>
      <c r="BF165" t="s">
        <v>84</v>
      </c>
      <c r="BH165" t="s">
        <v>87</v>
      </c>
      <c r="BI165" t="s">
        <v>84</v>
      </c>
      <c r="BJ165" t="s">
        <v>84</v>
      </c>
      <c r="BL165" t="s">
        <v>87</v>
      </c>
      <c r="BM165" t="s">
        <v>84</v>
      </c>
      <c r="BN165" t="s">
        <v>84</v>
      </c>
      <c r="BP165" t="s">
        <v>84</v>
      </c>
      <c r="BQ165" t="s">
        <v>84</v>
      </c>
      <c r="BR165" t="s">
        <v>84</v>
      </c>
      <c r="BS165" t="s">
        <v>84</v>
      </c>
      <c r="BT165" t="s">
        <v>87</v>
      </c>
      <c r="BV165" t="s">
        <v>87</v>
      </c>
      <c r="BW165" t="s">
        <v>87</v>
      </c>
      <c r="BX165" t="s">
        <v>84</v>
      </c>
      <c r="BY165" t="s">
        <v>84</v>
      </c>
      <c r="BZ165" t="s">
        <v>87</v>
      </c>
      <c r="CB165" t="s">
        <v>84</v>
      </c>
      <c r="CD165" t="s">
        <v>84</v>
      </c>
    </row>
    <row r="166" spans="1:83" x14ac:dyDescent="0.25">
      <c r="A166" t="s">
        <v>740</v>
      </c>
      <c r="B166" t="s">
        <v>741</v>
      </c>
      <c r="C166" t="s">
        <v>742</v>
      </c>
      <c r="D166" t="s">
        <v>743</v>
      </c>
      <c r="E166" t="s">
        <v>1995</v>
      </c>
      <c r="F166" s="1">
        <v>10774</v>
      </c>
      <c r="G166" s="1" t="s">
        <v>94</v>
      </c>
      <c r="H166" t="s">
        <v>744</v>
      </c>
      <c r="I166" t="s">
        <v>87</v>
      </c>
      <c r="J166" t="s">
        <v>84</v>
      </c>
      <c r="K166" t="s">
        <v>84</v>
      </c>
      <c r="L166" t="s">
        <v>84</v>
      </c>
      <c r="M166" t="s">
        <v>84</v>
      </c>
      <c r="N166" t="s">
        <v>84</v>
      </c>
      <c r="O166" t="s">
        <v>84</v>
      </c>
      <c r="Q166" t="s">
        <v>94</v>
      </c>
      <c r="S166" t="s">
        <v>745</v>
      </c>
      <c r="T166" t="s">
        <v>96</v>
      </c>
      <c r="U166" t="s">
        <v>87</v>
      </c>
      <c r="V166" t="s">
        <v>87</v>
      </c>
      <c r="W166" t="s">
        <v>84</v>
      </c>
      <c r="Y166" t="s">
        <v>87</v>
      </c>
      <c r="Z166" t="s">
        <v>87</v>
      </c>
      <c r="AA166" t="s">
        <v>84</v>
      </c>
      <c r="AB166" t="s">
        <v>746</v>
      </c>
      <c r="AC166" t="s">
        <v>87</v>
      </c>
      <c r="AD166" t="s">
        <v>84</v>
      </c>
      <c r="AE166" t="s">
        <v>87</v>
      </c>
      <c r="AF166" t="s">
        <v>87</v>
      </c>
      <c r="AG166" t="s">
        <v>87</v>
      </c>
      <c r="AI166" t="s">
        <v>87</v>
      </c>
      <c r="AJ166" t="s">
        <v>84</v>
      </c>
      <c r="AK166" t="s">
        <v>84</v>
      </c>
      <c r="AL166" t="s">
        <v>84</v>
      </c>
      <c r="AM166" t="s">
        <v>84</v>
      </c>
      <c r="AO166" t="s">
        <v>87</v>
      </c>
      <c r="AP166" t="s">
        <v>87</v>
      </c>
      <c r="AQ166" t="s">
        <v>84</v>
      </c>
      <c r="AR166" t="s">
        <v>747</v>
      </c>
      <c r="AS166" t="s">
        <v>87</v>
      </c>
      <c r="AT166" t="s">
        <v>87</v>
      </c>
      <c r="AU166" t="s">
        <v>748</v>
      </c>
      <c r="AV166" t="s">
        <v>748</v>
      </c>
      <c r="AW166" t="s">
        <v>89</v>
      </c>
      <c r="AX166" t="s">
        <v>87</v>
      </c>
      <c r="AY166" t="s">
        <v>87</v>
      </c>
      <c r="AZ166" t="s">
        <v>87</v>
      </c>
      <c r="BA166" t="s">
        <v>84</v>
      </c>
      <c r="BB166" t="s">
        <v>84</v>
      </c>
      <c r="BC166" t="s">
        <v>84</v>
      </c>
      <c r="BD166" t="s">
        <v>749</v>
      </c>
      <c r="BE166" t="s">
        <v>84</v>
      </c>
      <c r="BH166" t="s">
        <v>87</v>
      </c>
      <c r="BI166" t="s">
        <v>84</v>
      </c>
      <c r="BJ166" t="s">
        <v>84</v>
      </c>
      <c r="BL166" t="s">
        <v>87</v>
      </c>
      <c r="BM166" t="s">
        <v>87</v>
      </c>
      <c r="BN166" t="s">
        <v>84</v>
      </c>
      <c r="BO166" t="s">
        <v>750</v>
      </c>
      <c r="BP166" t="s">
        <v>84</v>
      </c>
      <c r="BQ166" t="s">
        <v>84</v>
      </c>
      <c r="BR166" t="s">
        <v>84</v>
      </c>
      <c r="BS166" t="s">
        <v>87</v>
      </c>
      <c r="BT166" t="s">
        <v>84</v>
      </c>
      <c r="BU166" t="s">
        <v>750</v>
      </c>
      <c r="BV166" t="s">
        <v>87</v>
      </c>
      <c r="BW166" t="s">
        <v>84</v>
      </c>
      <c r="BX166" t="s">
        <v>84</v>
      </c>
      <c r="BY166" t="s">
        <v>84</v>
      </c>
      <c r="BZ166" t="s">
        <v>84</v>
      </c>
      <c r="CB166" t="s">
        <v>84</v>
      </c>
      <c r="CD166" t="s">
        <v>84</v>
      </c>
    </row>
    <row r="167" spans="1:83" x14ac:dyDescent="0.25">
      <c r="A167" t="s">
        <v>1538</v>
      </c>
      <c r="B167" t="s">
        <v>1539</v>
      </c>
      <c r="C167" t="s">
        <v>1540</v>
      </c>
      <c r="D167" t="s">
        <v>715</v>
      </c>
      <c r="E167" t="s">
        <v>715</v>
      </c>
      <c r="F167" s="1">
        <v>11233</v>
      </c>
      <c r="G167" s="1" t="s">
        <v>84</v>
      </c>
      <c r="I167" t="s">
        <v>85</v>
      </c>
      <c r="J167" t="s">
        <v>85</v>
      </c>
      <c r="K167" t="s">
        <v>85</v>
      </c>
      <c r="L167" t="s">
        <v>85</v>
      </c>
      <c r="M167" t="s">
        <v>85</v>
      </c>
      <c r="N167" t="s">
        <v>85</v>
      </c>
      <c r="O167" t="s">
        <v>85</v>
      </c>
      <c r="Q167" t="s">
        <v>84</v>
      </c>
      <c r="T167" t="s">
        <v>96</v>
      </c>
      <c r="U167" t="s">
        <v>87</v>
      </c>
      <c r="V167" t="s">
        <v>87</v>
      </c>
      <c r="W167" t="s">
        <v>84</v>
      </c>
      <c r="X167" t="s">
        <v>1159</v>
      </c>
      <c r="Y167" t="s">
        <v>87</v>
      </c>
      <c r="Z167" t="s">
        <v>87</v>
      </c>
      <c r="AA167" t="s">
        <v>84</v>
      </c>
      <c r="AB167" t="s">
        <v>1159</v>
      </c>
      <c r="AC167" t="s">
        <v>87</v>
      </c>
      <c r="AD167" t="s">
        <v>84</v>
      </c>
      <c r="AE167" t="s">
        <v>87</v>
      </c>
      <c r="AF167" t="s">
        <v>84</v>
      </c>
      <c r="AG167" t="s">
        <v>84</v>
      </c>
      <c r="AH167" t="s">
        <v>1541</v>
      </c>
      <c r="AI167" t="s">
        <v>84</v>
      </c>
      <c r="AJ167" t="s">
        <v>84</v>
      </c>
      <c r="AK167" t="s">
        <v>84</v>
      </c>
      <c r="AL167" t="s">
        <v>84</v>
      </c>
      <c r="AM167" t="s">
        <v>87</v>
      </c>
      <c r="AO167" t="s">
        <v>87</v>
      </c>
      <c r="AP167" t="s">
        <v>87</v>
      </c>
      <c r="AQ167" t="s">
        <v>84</v>
      </c>
      <c r="AS167" t="s">
        <v>87</v>
      </c>
      <c r="AT167" t="s">
        <v>87</v>
      </c>
      <c r="AU167" t="s">
        <v>1542</v>
      </c>
      <c r="AV167" t="s">
        <v>1543</v>
      </c>
      <c r="AW167" t="s">
        <v>89</v>
      </c>
      <c r="AX167" t="s">
        <v>87</v>
      </c>
      <c r="AY167" t="s">
        <v>87</v>
      </c>
      <c r="AZ167" t="s">
        <v>87</v>
      </c>
      <c r="BA167" t="s">
        <v>84</v>
      </c>
      <c r="BB167" t="s">
        <v>84</v>
      </c>
      <c r="BC167" t="s">
        <v>84</v>
      </c>
      <c r="BD167" t="s">
        <v>1544</v>
      </c>
      <c r="BE167" t="s">
        <v>84</v>
      </c>
      <c r="BH167" t="s">
        <v>87</v>
      </c>
      <c r="BI167" t="s">
        <v>84</v>
      </c>
      <c r="BJ167" t="s">
        <v>84</v>
      </c>
      <c r="BL167" t="s">
        <v>87</v>
      </c>
      <c r="BM167" t="s">
        <v>84</v>
      </c>
      <c r="BN167" t="s">
        <v>84</v>
      </c>
      <c r="BP167" t="s">
        <v>84</v>
      </c>
      <c r="BQ167" t="s">
        <v>84</v>
      </c>
      <c r="BR167" t="s">
        <v>84</v>
      </c>
      <c r="BS167" t="s">
        <v>84</v>
      </c>
      <c r="BT167" t="s">
        <v>87</v>
      </c>
      <c r="BV167" t="s">
        <v>87</v>
      </c>
      <c r="BW167" t="s">
        <v>84</v>
      </c>
      <c r="BX167" t="s">
        <v>84</v>
      </c>
      <c r="BY167" t="s">
        <v>84</v>
      </c>
      <c r="BZ167" t="s">
        <v>84</v>
      </c>
      <c r="CB167" t="s">
        <v>84</v>
      </c>
      <c r="CD167" t="s">
        <v>94</v>
      </c>
      <c r="CE167" t="s">
        <v>1545</v>
      </c>
    </row>
    <row r="168" spans="1:83" x14ac:dyDescent="0.25">
      <c r="A168" t="s">
        <v>1750</v>
      </c>
      <c r="B168" t="s">
        <v>1751</v>
      </c>
      <c r="C168" t="s">
        <v>1752</v>
      </c>
      <c r="D168" t="s">
        <v>264</v>
      </c>
      <c r="E168" t="s">
        <v>1925</v>
      </c>
      <c r="F168" s="1">
        <v>11597</v>
      </c>
      <c r="G168" s="1" t="s">
        <v>94</v>
      </c>
      <c r="H168" t="s">
        <v>199</v>
      </c>
      <c r="I168" t="s">
        <v>87</v>
      </c>
      <c r="J168" t="s">
        <v>87</v>
      </c>
      <c r="K168" t="s">
        <v>84</v>
      </c>
      <c r="L168" t="s">
        <v>84</v>
      </c>
      <c r="M168" t="s">
        <v>87</v>
      </c>
      <c r="N168" t="s">
        <v>84</v>
      </c>
      <c r="O168" t="s">
        <v>84</v>
      </c>
      <c r="Q168" t="s">
        <v>94</v>
      </c>
      <c r="S168" t="s">
        <v>1753</v>
      </c>
      <c r="T168" t="s">
        <v>96</v>
      </c>
      <c r="U168" t="s">
        <v>87</v>
      </c>
      <c r="V168" t="s">
        <v>87</v>
      </c>
      <c r="W168" t="s">
        <v>84</v>
      </c>
      <c r="Y168" t="s">
        <v>87</v>
      </c>
      <c r="Z168" t="s">
        <v>87</v>
      </c>
      <c r="AA168" t="s">
        <v>84</v>
      </c>
      <c r="AC168" t="s">
        <v>87</v>
      </c>
      <c r="AD168" t="s">
        <v>84</v>
      </c>
      <c r="AE168" t="s">
        <v>87</v>
      </c>
      <c r="AF168" t="s">
        <v>84</v>
      </c>
      <c r="AG168" t="s">
        <v>84</v>
      </c>
      <c r="AI168" t="s">
        <v>84</v>
      </c>
      <c r="AJ168" t="s">
        <v>84</v>
      </c>
      <c r="AK168" t="s">
        <v>84</v>
      </c>
      <c r="AL168" t="s">
        <v>87</v>
      </c>
      <c r="AM168" t="s">
        <v>84</v>
      </c>
      <c r="AO168" t="s">
        <v>87</v>
      </c>
      <c r="AP168" t="s">
        <v>87</v>
      </c>
      <c r="AQ168" t="s">
        <v>84</v>
      </c>
      <c r="AS168" t="s">
        <v>87</v>
      </c>
      <c r="AT168" t="s">
        <v>87</v>
      </c>
      <c r="AU168" t="s">
        <v>1265</v>
      </c>
      <c r="AV168" t="s">
        <v>1754</v>
      </c>
      <c r="AW168" t="s">
        <v>89</v>
      </c>
      <c r="AX168" t="s">
        <v>87</v>
      </c>
      <c r="AY168" t="s">
        <v>84</v>
      </c>
      <c r="AZ168" t="s">
        <v>84</v>
      </c>
      <c r="BA168" t="s">
        <v>84</v>
      </c>
      <c r="BB168" t="s">
        <v>87</v>
      </c>
      <c r="BC168" t="s">
        <v>84</v>
      </c>
      <c r="BE168" t="s">
        <v>84</v>
      </c>
      <c r="BH168" t="s">
        <v>87</v>
      </c>
      <c r="BI168" t="s">
        <v>84</v>
      </c>
      <c r="BJ168" t="s">
        <v>84</v>
      </c>
      <c r="BL168" t="s">
        <v>87</v>
      </c>
      <c r="BM168" t="s">
        <v>87</v>
      </c>
      <c r="BN168" t="s">
        <v>84</v>
      </c>
      <c r="BP168" t="s">
        <v>84</v>
      </c>
      <c r="BQ168" t="s">
        <v>84</v>
      </c>
      <c r="BR168" t="s">
        <v>84</v>
      </c>
      <c r="BS168" t="s">
        <v>87</v>
      </c>
      <c r="BT168" t="s">
        <v>84</v>
      </c>
      <c r="BV168" t="s">
        <v>87</v>
      </c>
      <c r="BW168" t="s">
        <v>84</v>
      </c>
      <c r="BX168" t="s">
        <v>87</v>
      </c>
      <c r="BY168" t="s">
        <v>84</v>
      </c>
      <c r="BZ168" t="s">
        <v>84</v>
      </c>
      <c r="CB168" t="s">
        <v>84</v>
      </c>
      <c r="CD168" t="s">
        <v>84</v>
      </c>
    </row>
    <row r="169" spans="1:83" x14ac:dyDescent="0.25">
      <c r="A169" t="s">
        <v>1831</v>
      </c>
      <c r="B169" t="s">
        <v>1832</v>
      </c>
      <c r="C169" t="s">
        <v>1833</v>
      </c>
      <c r="D169" t="s">
        <v>131</v>
      </c>
      <c r="E169" t="s">
        <v>131</v>
      </c>
      <c r="F169" s="1">
        <v>12000</v>
      </c>
      <c r="G169" s="1" t="s">
        <v>84</v>
      </c>
      <c r="I169" t="s">
        <v>85</v>
      </c>
      <c r="J169" t="s">
        <v>85</v>
      </c>
      <c r="K169" t="s">
        <v>85</v>
      </c>
      <c r="L169" t="s">
        <v>85</v>
      </c>
      <c r="M169" t="s">
        <v>85</v>
      </c>
      <c r="N169" t="s">
        <v>85</v>
      </c>
      <c r="O169" t="s">
        <v>85</v>
      </c>
      <c r="Q169" t="s">
        <v>94</v>
      </c>
      <c r="S169" t="s">
        <v>1834</v>
      </c>
      <c r="T169" t="s">
        <v>96</v>
      </c>
      <c r="U169" t="s">
        <v>87</v>
      </c>
      <c r="V169" t="s">
        <v>87</v>
      </c>
      <c r="W169" t="s">
        <v>84</v>
      </c>
      <c r="Y169" t="s">
        <v>87</v>
      </c>
      <c r="Z169" t="s">
        <v>87</v>
      </c>
      <c r="AA169" t="s">
        <v>84</v>
      </c>
      <c r="AC169" t="s">
        <v>84</v>
      </c>
      <c r="AD169" t="s">
        <v>87</v>
      </c>
      <c r="AE169" t="s">
        <v>84</v>
      </c>
      <c r="AF169" t="s">
        <v>84</v>
      </c>
      <c r="AG169" t="s">
        <v>87</v>
      </c>
      <c r="AI169" t="s">
        <v>84</v>
      </c>
      <c r="AJ169" t="s">
        <v>84</v>
      </c>
      <c r="AK169" t="s">
        <v>84</v>
      </c>
      <c r="AL169" t="s">
        <v>84</v>
      </c>
      <c r="AM169" t="s">
        <v>87</v>
      </c>
      <c r="AO169" t="s">
        <v>84</v>
      </c>
      <c r="AP169" t="s">
        <v>87</v>
      </c>
      <c r="AQ169" t="s">
        <v>84</v>
      </c>
      <c r="AS169" t="s">
        <v>87</v>
      </c>
      <c r="AT169" t="s">
        <v>84</v>
      </c>
      <c r="AU169" t="s">
        <v>1834</v>
      </c>
      <c r="AW169" t="s">
        <v>89</v>
      </c>
      <c r="AX169" t="s">
        <v>87</v>
      </c>
      <c r="AY169" t="s">
        <v>87</v>
      </c>
      <c r="AZ169" t="s">
        <v>87</v>
      </c>
      <c r="BA169" t="s">
        <v>84</v>
      </c>
      <c r="BB169" t="s">
        <v>84</v>
      </c>
      <c r="BC169" t="s">
        <v>84</v>
      </c>
      <c r="BD169" t="s">
        <v>1835</v>
      </c>
      <c r="BE169" t="s">
        <v>84</v>
      </c>
      <c r="BF169" t="s">
        <v>84</v>
      </c>
      <c r="BH169" t="s">
        <v>87</v>
      </c>
      <c r="BI169" t="s">
        <v>84</v>
      </c>
      <c r="BJ169" t="s">
        <v>84</v>
      </c>
      <c r="BL169" t="s">
        <v>87</v>
      </c>
      <c r="BM169" t="s">
        <v>84</v>
      </c>
      <c r="BN169" t="s">
        <v>84</v>
      </c>
      <c r="BP169" t="s">
        <v>84</v>
      </c>
      <c r="BQ169" t="s">
        <v>84</v>
      </c>
      <c r="BR169" t="s">
        <v>84</v>
      </c>
      <c r="BS169" t="s">
        <v>84</v>
      </c>
      <c r="BT169" t="s">
        <v>87</v>
      </c>
      <c r="BV169" t="s">
        <v>87</v>
      </c>
      <c r="BW169" t="s">
        <v>87</v>
      </c>
      <c r="BX169" t="s">
        <v>84</v>
      </c>
      <c r="BY169" t="s">
        <v>84</v>
      </c>
      <c r="BZ169" t="s">
        <v>87</v>
      </c>
      <c r="CB169" t="s">
        <v>84</v>
      </c>
      <c r="CD169" t="s">
        <v>84</v>
      </c>
    </row>
    <row r="170" spans="1:83" x14ac:dyDescent="0.25">
      <c r="A170" t="s">
        <v>995</v>
      </c>
      <c r="B170" t="s">
        <v>996</v>
      </c>
      <c r="C170" t="s">
        <v>997</v>
      </c>
      <c r="D170" t="s">
        <v>998</v>
      </c>
      <c r="E170" t="s">
        <v>1997</v>
      </c>
      <c r="F170" s="1">
        <v>12300</v>
      </c>
      <c r="G170" s="1" t="s">
        <v>94</v>
      </c>
      <c r="H170" t="s">
        <v>999</v>
      </c>
      <c r="I170" t="s">
        <v>87</v>
      </c>
      <c r="J170" t="s">
        <v>87</v>
      </c>
      <c r="K170" t="s">
        <v>87</v>
      </c>
      <c r="L170" t="s">
        <v>87</v>
      </c>
      <c r="M170" t="s">
        <v>87</v>
      </c>
      <c r="N170" t="s">
        <v>87</v>
      </c>
      <c r="O170" t="s">
        <v>87</v>
      </c>
      <c r="Q170" t="s">
        <v>94</v>
      </c>
      <c r="S170" t="s">
        <v>1000</v>
      </c>
      <c r="T170" t="s">
        <v>96</v>
      </c>
      <c r="U170" t="s">
        <v>87</v>
      </c>
      <c r="V170" t="s">
        <v>87</v>
      </c>
      <c r="W170" t="s">
        <v>84</v>
      </c>
      <c r="Y170" t="s">
        <v>87</v>
      </c>
      <c r="Z170" t="s">
        <v>87</v>
      </c>
      <c r="AA170" t="s">
        <v>84</v>
      </c>
      <c r="AC170" t="s">
        <v>87</v>
      </c>
      <c r="AD170" t="s">
        <v>84</v>
      </c>
      <c r="AE170" t="s">
        <v>84</v>
      </c>
      <c r="AF170" t="s">
        <v>84</v>
      </c>
      <c r="AG170" t="s">
        <v>84</v>
      </c>
      <c r="AI170" t="s">
        <v>84</v>
      </c>
      <c r="AJ170" t="s">
        <v>84</v>
      </c>
      <c r="AK170" t="s">
        <v>84</v>
      </c>
      <c r="AL170" t="s">
        <v>84</v>
      </c>
      <c r="AM170" t="s">
        <v>87</v>
      </c>
      <c r="AO170" t="s">
        <v>87</v>
      </c>
      <c r="AP170" t="s">
        <v>87</v>
      </c>
      <c r="AQ170" t="s">
        <v>84</v>
      </c>
      <c r="AS170" t="s">
        <v>87</v>
      </c>
      <c r="AT170" t="s">
        <v>87</v>
      </c>
      <c r="AU170" t="s">
        <v>1001</v>
      </c>
      <c r="AV170" t="s">
        <v>1002</v>
      </c>
      <c r="AW170" t="s">
        <v>89</v>
      </c>
      <c r="AX170" t="s">
        <v>87</v>
      </c>
      <c r="AY170" t="s">
        <v>87</v>
      </c>
      <c r="AZ170" t="s">
        <v>87</v>
      </c>
      <c r="BA170" t="s">
        <v>84</v>
      </c>
      <c r="BB170" t="s">
        <v>84</v>
      </c>
      <c r="BC170" t="s">
        <v>84</v>
      </c>
      <c r="BD170" t="s">
        <v>1003</v>
      </c>
      <c r="BE170" t="s">
        <v>84</v>
      </c>
      <c r="BH170" t="s">
        <v>87</v>
      </c>
      <c r="BI170" t="s">
        <v>84</v>
      </c>
      <c r="BJ170" t="s">
        <v>84</v>
      </c>
      <c r="BL170" t="s">
        <v>87</v>
      </c>
      <c r="BM170" t="s">
        <v>84</v>
      </c>
      <c r="BN170" t="s">
        <v>84</v>
      </c>
      <c r="BO170" t="s">
        <v>295</v>
      </c>
      <c r="BP170" t="s">
        <v>84</v>
      </c>
      <c r="BQ170" t="s">
        <v>84</v>
      </c>
      <c r="BR170" t="s">
        <v>87</v>
      </c>
      <c r="BS170" t="s">
        <v>84</v>
      </c>
      <c r="BT170" t="s">
        <v>84</v>
      </c>
      <c r="BV170" t="s">
        <v>87</v>
      </c>
      <c r="BW170" t="s">
        <v>84</v>
      </c>
      <c r="BX170" t="s">
        <v>84</v>
      </c>
      <c r="BY170" t="s">
        <v>84</v>
      </c>
      <c r="BZ170" t="s">
        <v>84</v>
      </c>
      <c r="CA170" t="s">
        <v>293</v>
      </c>
      <c r="CB170" t="s">
        <v>94</v>
      </c>
      <c r="CC170" t="s">
        <v>1004</v>
      </c>
      <c r="CD170" t="s">
        <v>84</v>
      </c>
    </row>
    <row r="171" spans="1:83" x14ac:dyDescent="0.25">
      <c r="A171" t="s">
        <v>1755</v>
      </c>
      <c r="B171" t="s">
        <v>1756</v>
      </c>
      <c r="C171" t="s">
        <v>1757</v>
      </c>
      <c r="D171" t="s">
        <v>198</v>
      </c>
      <c r="E171" t="s">
        <v>1995</v>
      </c>
      <c r="F171" s="1">
        <v>12402</v>
      </c>
      <c r="G171" s="1" t="s">
        <v>94</v>
      </c>
      <c r="H171" t="s">
        <v>1758</v>
      </c>
      <c r="I171" t="s">
        <v>87</v>
      </c>
      <c r="J171" t="s">
        <v>84</v>
      </c>
      <c r="K171" t="s">
        <v>84</v>
      </c>
      <c r="L171" t="s">
        <v>84</v>
      </c>
      <c r="M171" t="s">
        <v>84</v>
      </c>
      <c r="N171" t="s">
        <v>84</v>
      </c>
      <c r="O171" t="s">
        <v>84</v>
      </c>
      <c r="Q171" t="s">
        <v>94</v>
      </c>
      <c r="S171" t="s">
        <v>1759</v>
      </c>
      <c r="T171" t="s">
        <v>96</v>
      </c>
      <c r="U171" t="s">
        <v>87</v>
      </c>
      <c r="V171" t="s">
        <v>87</v>
      </c>
      <c r="W171" t="s">
        <v>84</v>
      </c>
      <c r="Y171" t="s">
        <v>87</v>
      </c>
      <c r="Z171" t="s">
        <v>87</v>
      </c>
      <c r="AA171" t="s">
        <v>87</v>
      </c>
      <c r="AC171" t="s">
        <v>84</v>
      </c>
      <c r="AD171" t="s">
        <v>84</v>
      </c>
      <c r="AE171" t="s">
        <v>84</v>
      </c>
      <c r="AF171" t="s">
        <v>84</v>
      </c>
      <c r="AG171" t="s">
        <v>84</v>
      </c>
      <c r="AH171" t="s">
        <v>362</v>
      </c>
      <c r="AI171" t="s">
        <v>84</v>
      </c>
      <c r="AJ171" t="s">
        <v>84</v>
      </c>
      <c r="AK171" t="s">
        <v>84</v>
      </c>
      <c r="AL171" t="s">
        <v>84</v>
      </c>
      <c r="AM171" t="s">
        <v>84</v>
      </c>
      <c r="AN171" t="s">
        <v>362</v>
      </c>
      <c r="AO171" t="s">
        <v>87</v>
      </c>
      <c r="AP171" t="s">
        <v>87</v>
      </c>
      <c r="AQ171" t="s">
        <v>84</v>
      </c>
      <c r="AS171" t="s">
        <v>87</v>
      </c>
      <c r="AT171" t="s">
        <v>84</v>
      </c>
      <c r="AU171" t="s">
        <v>362</v>
      </c>
      <c r="AW171" t="s">
        <v>89</v>
      </c>
      <c r="AX171" t="s">
        <v>87</v>
      </c>
      <c r="AY171" t="s">
        <v>87</v>
      </c>
      <c r="AZ171" t="s">
        <v>87</v>
      </c>
      <c r="BA171" t="s">
        <v>84</v>
      </c>
      <c r="BB171" t="s">
        <v>84</v>
      </c>
      <c r="BC171" t="s">
        <v>84</v>
      </c>
      <c r="BD171" t="s">
        <v>1760</v>
      </c>
      <c r="BE171" t="s">
        <v>84</v>
      </c>
      <c r="BF171" t="s">
        <v>84</v>
      </c>
      <c r="BH171" t="s">
        <v>87</v>
      </c>
      <c r="BI171" t="s">
        <v>84</v>
      </c>
      <c r="BJ171" t="s">
        <v>84</v>
      </c>
      <c r="BL171" t="s">
        <v>87</v>
      </c>
      <c r="BM171" t="s">
        <v>84</v>
      </c>
      <c r="BN171" t="s">
        <v>84</v>
      </c>
      <c r="BP171" t="s">
        <v>84</v>
      </c>
      <c r="BQ171" t="s">
        <v>84</v>
      </c>
      <c r="BR171" t="s">
        <v>84</v>
      </c>
      <c r="BS171" t="s">
        <v>84</v>
      </c>
      <c r="BT171" t="s">
        <v>87</v>
      </c>
      <c r="BV171" t="s">
        <v>84</v>
      </c>
      <c r="BW171" t="s">
        <v>84</v>
      </c>
      <c r="BX171" t="s">
        <v>84</v>
      </c>
      <c r="BY171" t="s">
        <v>84</v>
      </c>
      <c r="BZ171" t="s">
        <v>84</v>
      </c>
      <c r="CA171" t="s">
        <v>362</v>
      </c>
      <c r="CB171" t="s">
        <v>84</v>
      </c>
      <c r="CD171" t="s">
        <v>84</v>
      </c>
    </row>
    <row r="172" spans="1:83" x14ac:dyDescent="0.25">
      <c r="A172" t="s">
        <v>1560</v>
      </c>
      <c r="B172" t="s">
        <v>1561</v>
      </c>
      <c r="C172" t="s">
        <v>1562</v>
      </c>
      <c r="D172" t="s">
        <v>299</v>
      </c>
      <c r="E172" t="s">
        <v>1999</v>
      </c>
      <c r="F172" s="1">
        <v>13233</v>
      </c>
      <c r="G172" s="1" t="s">
        <v>94</v>
      </c>
      <c r="H172" t="s">
        <v>1563</v>
      </c>
      <c r="I172" t="s">
        <v>87</v>
      </c>
      <c r="J172" t="s">
        <v>87</v>
      </c>
      <c r="K172" t="s">
        <v>84</v>
      </c>
      <c r="L172" t="s">
        <v>84</v>
      </c>
      <c r="M172" t="s">
        <v>87</v>
      </c>
      <c r="N172" t="s">
        <v>84</v>
      </c>
      <c r="O172" t="s">
        <v>84</v>
      </c>
      <c r="Q172" t="s">
        <v>84</v>
      </c>
      <c r="T172" t="s">
        <v>86</v>
      </c>
      <c r="U172" t="s">
        <v>87</v>
      </c>
      <c r="V172" t="s">
        <v>84</v>
      </c>
      <c r="W172" t="s">
        <v>84</v>
      </c>
      <c r="Y172" t="s">
        <v>87</v>
      </c>
      <c r="Z172" t="s">
        <v>87</v>
      </c>
      <c r="AA172" t="s">
        <v>87</v>
      </c>
      <c r="AC172" t="s">
        <v>87</v>
      </c>
      <c r="AD172" t="s">
        <v>84</v>
      </c>
      <c r="AE172" t="s">
        <v>84</v>
      </c>
      <c r="AF172" t="s">
        <v>84</v>
      </c>
      <c r="AG172" t="s">
        <v>87</v>
      </c>
      <c r="AI172" t="s">
        <v>87</v>
      </c>
      <c r="AJ172" t="s">
        <v>84</v>
      </c>
      <c r="AK172" t="s">
        <v>84</v>
      </c>
      <c r="AL172" t="s">
        <v>84</v>
      </c>
      <c r="AM172" t="s">
        <v>84</v>
      </c>
      <c r="AO172" t="s">
        <v>87</v>
      </c>
      <c r="AP172" t="s">
        <v>87</v>
      </c>
      <c r="AQ172" t="s">
        <v>84</v>
      </c>
      <c r="AS172" t="s">
        <v>87</v>
      </c>
      <c r="AT172" t="s">
        <v>84</v>
      </c>
      <c r="AU172" t="s">
        <v>1564</v>
      </c>
      <c r="AW172" t="s">
        <v>89</v>
      </c>
      <c r="AX172" t="s">
        <v>87</v>
      </c>
      <c r="AY172" t="s">
        <v>84</v>
      </c>
      <c r="AZ172" t="s">
        <v>84</v>
      </c>
      <c r="BA172" t="s">
        <v>84</v>
      </c>
      <c r="BB172" t="s">
        <v>84</v>
      </c>
      <c r="BC172" t="s">
        <v>84</v>
      </c>
      <c r="BD172" t="s">
        <v>1565</v>
      </c>
      <c r="BE172" t="s">
        <v>84</v>
      </c>
      <c r="BH172" t="s">
        <v>87</v>
      </c>
      <c r="BI172" t="s">
        <v>84</v>
      </c>
      <c r="BJ172" t="s">
        <v>84</v>
      </c>
      <c r="BL172" t="s">
        <v>87</v>
      </c>
      <c r="BM172" t="s">
        <v>87</v>
      </c>
      <c r="BN172" t="s">
        <v>84</v>
      </c>
      <c r="BP172" t="s">
        <v>84</v>
      </c>
      <c r="BQ172" t="s">
        <v>84</v>
      </c>
      <c r="BR172" t="s">
        <v>84</v>
      </c>
      <c r="BS172" t="s">
        <v>87</v>
      </c>
      <c r="BT172" t="s">
        <v>84</v>
      </c>
      <c r="BV172" t="s">
        <v>87</v>
      </c>
      <c r="BW172" t="s">
        <v>84</v>
      </c>
      <c r="BX172" t="s">
        <v>84</v>
      </c>
      <c r="BY172" t="s">
        <v>84</v>
      </c>
      <c r="BZ172" t="s">
        <v>84</v>
      </c>
      <c r="CB172" t="s">
        <v>84</v>
      </c>
      <c r="CD172" t="s">
        <v>84</v>
      </c>
    </row>
    <row r="173" spans="1:83" x14ac:dyDescent="0.25">
      <c r="A173" t="s">
        <v>954</v>
      </c>
      <c r="B173" t="s">
        <v>955</v>
      </c>
      <c r="C173" t="s">
        <v>956</v>
      </c>
      <c r="D173" t="s">
        <v>198</v>
      </c>
      <c r="E173" t="s">
        <v>1995</v>
      </c>
      <c r="F173" s="1">
        <v>14100</v>
      </c>
      <c r="G173" s="1" t="s">
        <v>94</v>
      </c>
      <c r="H173" t="s">
        <v>95</v>
      </c>
      <c r="I173" t="s">
        <v>87</v>
      </c>
      <c r="J173" t="s">
        <v>84</v>
      </c>
      <c r="K173" t="s">
        <v>87</v>
      </c>
      <c r="L173" t="s">
        <v>87</v>
      </c>
      <c r="M173" t="s">
        <v>87</v>
      </c>
      <c r="N173" t="s">
        <v>84</v>
      </c>
      <c r="O173" t="s">
        <v>84</v>
      </c>
      <c r="Q173" t="s">
        <v>84</v>
      </c>
      <c r="T173" t="s">
        <v>96</v>
      </c>
      <c r="U173" t="s">
        <v>87</v>
      </c>
      <c r="V173" t="s">
        <v>87</v>
      </c>
      <c r="W173" t="s">
        <v>87</v>
      </c>
      <c r="Y173" t="s">
        <v>87</v>
      </c>
      <c r="Z173" t="s">
        <v>87</v>
      </c>
      <c r="AA173" t="s">
        <v>84</v>
      </c>
      <c r="AB173" t="s">
        <v>957</v>
      </c>
      <c r="AC173" t="s">
        <v>87</v>
      </c>
      <c r="AD173" t="s">
        <v>84</v>
      </c>
      <c r="AE173" t="s">
        <v>87</v>
      </c>
      <c r="AF173" t="s">
        <v>84</v>
      </c>
      <c r="AG173" t="s">
        <v>87</v>
      </c>
      <c r="AI173" t="s">
        <v>87</v>
      </c>
      <c r="AJ173" t="s">
        <v>84</v>
      </c>
      <c r="AK173" t="s">
        <v>84</v>
      </c>
      <c r="AL173" t="s">
        <v>84</v>
      </c>
      <c r="AM173" t="s">
        <v>84</v>
      </c>
      <c r="AO173" t="s">
        <v>87</v>
      </c>
      <c r="AP173" t="s">
        <v>87</v>
      </c>
      <c r="AQ173" t="s">
        <v>84</v>
      </c>
      <c r="AS173" t="s">
        <v>87</v>
      </c>
      <c r="AT173" t="s">
        <v>84</v>
      </c>
      <c r="AU173" t="s">
        <v>958</v>
      </c>
      <c r="AW173" t="s">
        <v>89</v>
      </c>
      <c r="AX173" t="s">
        <v>87</v>
      </c>
      <c r="AY173" t="s">
        <v>87</v>
      </c>
      <c r="AZ173" t="s">
        <v>84</v>
      </c>
      <c r="BA173" t="s">
        <v>84</v>
      </c>
      <c r="BB173" t="s">
        <v>84</v>
      </c>
      <c r="BC173" t="s">
        <v>84</v>
      </c>
      <c r="BD173" t="s">
        <v>311</v>
      </c>
      <c r="BE173" t="s">
        <v>84</v>
      </c>
      <c r="BH173" t="s">
        <v>87</v>
      </c>
      <c r="BI173" t="s">
        <v>84</v>
      </c>
      <c r="BJ173" t="s">
        <v>84</v>
      </c>
      <c r="BL173" t="s">
        <v>87</v>
      </c>
      <c r="BM173" t="s">
        <v>84</v>
      </c>
      <c r="BN173" t="s">
        <v>84</v>
      </c>
      <c r="BP173" t="s">
        <v>87</v>
      </c>
      <c r="BQ173" t="s">
        <v>84</v>
      </c>
      <c r="BR173" t="s">
        <v>84</v>
      </c>
      <c r="BS173" t="s">
        <v>84</v>
      </c>
      <c r="BT173" t="s">
        <v>84</v>
      </c>
      <c r="BV173" t="s">
        <v>87</v>
      </c>
      <c r="BW173" t="s">
        <v>84</v>
      </c>
      <c r="BX173" t="s">
        <v>84</v>
      </c>
      <c r="BY173" t="s">
        <v>84</v>
      </c>
      <c r="BZ173" t="s">
        <v>84</v>
      </c>
      <c r="CB173" t="s">
        <v>84</v>
      </c>
      <c r="CD173" t="s">
        <v>84</v>
      </c>
    </row>
    <row r="174" spans="1:83" x14ac:dyDescent="0.25">
      <c r="A174" t="s">
        <v>617</v>
      </c>
      <c r="B174" t="s">
        <v>618</v>
      </c>
      <c r="C174" t="s">
        <v>619</v>
      </c>
      <c r="D174" t="s">
        <v>120</v>
      </c>
      <c r="E174" t="s">
        <v>1925</v>
      </c>
      <c r="F174" s="1">
        <v>14494</v>
      </c>
      <c r="G174" s="1" t="s">
        <v>94</v>
      </c>
      <c r="H174" t="s">
        <v>620</v>
      </c>
      <c r="I174" t="s">
        <v>84</v>
      </c>
      <c r="J174" t="s">
        <v>84</v>
      </c>
      <c r="K174" t="s">
        <v>84</v>
      </c>
      <c r="L174" t="s">
        <v>84</v>
      </c>
      <c r="M174" t="s">
        <v>84</v>
      </c>
      <c r="N174" t="s">
        <v>84</v>
      </c>
      <c r="O174" t="s">
        <v>87</v>
      </c>
      <c r="Q174" t="s">
        <v>94</v>
      </c>
      <c r="S174" t="s">
        <v>621</v>
      </c>
      <c r="T174" t="s">
        <v>86</v>
      </c>
      <c r="U174" t="s">
        <v>87</v>
      </c>
      <c r="V174" t="s">
        <v>87</v>
      </c>
      <c r="W174" t="s">
        <v>84</v>
      </c>
      <c r="X174" t="s">
        <v>622</v>
      </c>
      <c r="Y174" t="s">
        <v>87</v>
      </c>
      <c r="Z174" t="s">
        <v>87</v>
      </c>
      <c r="AA174" t="s">
        <v>84</v>
      </c>
      <c r="AC174" t="s">
        <v>87</v>
      </c>
      <c r="AD174" t="s">
        <v>84</v>
      </c>
      <c r="AE174" t="s">
        <v>87</v>
      </c>
      <c r="AF174" t="s">
        <v>84</v>
      </c>
      <c r="AG174" t="s">
        <v>87</v>
      </c>
      <c r="AI174" t="s">
        <v>87</v>
      </c>
      <c r="AJ174" t="s">
        <v>84</v>
      </c>
      <c r="AK174" t="s">
        <v>84</v>
      </c>
      <c r="AL174" t="s">
        <v>84</v>
      </c>
      <c r="AM174" t="s">
        <v>84</v>
      </c>
      <c r="AO174" t="s">
        <v>87</v>
      </c>
      <c r="AP174" t="s">
        <v>87</v>
      </c>
      <c r="AQ174" t="s">
        <v>87</v>
      </c>
      <c r="AS174" t="s">
        <v>87</v>
      </c>
      <c r="AT174" t="s">
        <v>87</v>
      </c>
      <c r="AU174" t="s">
        <v>302</v>
      </c>
      <c r="AV174" t="s">
        <v>623</v>
      </c>
      <c r="AW174" t="s">
        <v>89</v>
      </c>
      <c r="AX174" t="s">
        <v>87</v>
      </c>
      <c r="AY174" t="s">
        <v>87</v>
      </c>
      <c r="AZ174" t="s">
        <v>84</v>
      </c>
      <c r="BA174" t="s">
        <v>84</v>
      </c>
      <c r="BB174" t="s">
        <v>84</v>
      </c>
      <c r="BC174" t="s">
        <v>84</v>
      </c>
      <c r="BD174" t="s">
        <v>624</v>
      </c>
      <c r="BE174" t="s">
        <v>84</v>
      </c>
      <c r="BH174" t="s">
        <v>87</v>
      </c>
      <c r="BI174" t="s">
        <v>84</v>
      </c>
      <c r="BJ174" t="s">
        <v>84</v>
      </c>
      <c r="BL174" t="s">
        <v>87</v>
      </c>
      <c r="BM174" t="s">
        <v>84</v>
      </c>
      <c r="BN174" t="s">
        <v>84</v>
      </c>
      <c r="BP174" t="s">
        <v>87</v>
      </c>
      <c r="BQ174" t="s">
        <v>84</v>
      </c>
      <c r="BR174" t="s">
        <v>84</v>
      </c>
      <c r="BS174" t="s">
        <v>84</v>
      </c>
      <c r="BT174" t="s">
        <v>84</v>
      </c>
      <c r="BV174" t="s">
        <v>87</v>
      </c>
      <c r="BW174" t="s">
        <v>84</v>
      </c>
      <c r="BX174" t="s">
        <v>84</v>
      </c>
      <c r="BY174" t="s">
        <v>84</v>
      </c>
      <c r="BZ174" t="s">
        <v>87</v>
      </c>
      <c r="CB174" t="s">
        <v>84</v>
      </c>
      <c r="CD174" t="s">
        <v>84</v>
      </c>
    </row>
    <row r="175" spans="1:83" x14ac:dyDescent="0.25">
      <c r="A175" t="s">
        <v>195</v>
      </c>
      <c r="B175" t="s">
        <v>196</v>
      </c>
      <c r="C175" t="s">
        <v>197</v>
      </c>
      <c r="D175" t="s">
        <v>198</v>
      </c>
      <c r="E175" t="s">
        <v>1995</v>
      </c>
      <c r="F175" s="1">
        <v>14556</v>
      </c>
      <c r="G175" s="1" t="s">
        <v>94</v>
      </c>
      <c r="H175" t="s">
        <v>199</v>
      </c>
      <c r="I175" t="s">
        <v>87</v>
      </c>
      <c r="J175" t="s">
        <v>84</v>
      </c>
      <c r="K175" t="s">
        <v>84</v>
      </c>
      <c r="L175" t="s">
        <v>84</v>
      </c>
      <c r="M175" t="s">
        <v>84</v>
      </c>
      <c r="N175" t="s">
        <v>84</v>
      </c>
      <c r="O175" t="s">
        <v>84</v>
      </c>
      <c r="Q175" t="s">
        <v>84</v>
      </c>
      <c r="T175" t="s">
        <v>86</v>
      </c>
      <c r="U175" t="s">
        <v>87</v>
      </c>
      <c r="V175" t="s">
        <v>84</v>
      </c>
      <c r="W175" t="s">
        <v>84</v>
      </c>
      <c r="Y175" t="s">
        <v>87</v>
      </c>
      <c r="Z175" t="s">
        <v>87</v>
      </c>
      <c r="AA175" t="s">
        <v>84</v>
      </c>
      <c r="AC175" t="s">
        <v>84</v>
      </c>
      <c r="AD175" t="s">
        <v>84</v>
      </c>
      <c r="AE175" t="s">
        <v>84</v>
      </c>
      <c r="AF175" t="s">
        <v>87</v>
      </c>
      <c r="AG175" t="s">
        <v>87</v>
      </c>
      <c r="AI175" t="s">
        <v>87</v>
      </c>
      <c r="AJ175" t="s">
        <v>84</v>
      </c>
      <c r="AK175" t="s">
        <v>84</v>
      </c>
      <c r="AL175" t="s">
        <v>84</v>
      </c>
      <c r="AM175" t="s">
        <v>84</v>
      </c>
      <c r="AO175" t="s">
        <v>87</v>
      </c>
      <c r="AP175" t="s">
        <v>87</v>
      </c>
      <c r="AQ175" t="s">
        <v>84</v>
      </c>
      <c r="AS175" t="s">
        <v>84</v>
      </c>
      <c r="AT175" t="s">
        <v>87</v>
      </c>
      <c r="AW175" t="s">
        <v>89</v>
      </c>
      <c r="AX175" t="s">
        <v>87</v>
      </c>
      <c r="AY175" t="s">
        <v>87</v>
      </c>
      <c r="AZ175" t="s">
        <v>87</v>
      </c>
      <c r="BA175" t="s">
        <v>84</v>
      </c>
      <c r="BB175" t="s">
        <v>84</v>
      </c>
      <c r="BC175" t="s">
        <v>84</v>
      </c>
      <c r="BD175" t="s">
        <v>200</v>
      </c>
      <c r="BE175" t="s">
        <v>84</v>
      </c>
      <c r="BH175" t="s">
        <v>87</v>
      </c>
      <c r="BI175" t="s">
        <v>84</v>
      </c>
      <c r="BJ175" t="s">
        <v>84</v>
      </c>
      <c r="BL175" t="s">
        <v>87</v>
      </c>
      <c r="BM175" t="s">
        <v>87</v>
      </c>
      <c r="BN175" t="s">
        <v>84</v>
      </c>
      <c r="BP175" t="s">
        <v>87</v>
      </c>
      <c r="BQ175" t="s">
        <v>84</v>
      </c>
      <c r="BR175" t="s">
        <v>84</v>
      </c>
      <c r="BS175" t="s">
        <v>84</v>
      </c>
      <c r="BT175" t="s">
        <v>84</v>
      </c>
      <c r="BV175" t="s">
        <v>87</v>
      </c>
      <c r="BW175" t="s">
        <v>84</v>
      </c>
      <c r="BX175" t="s">
        <v>84</v>
      </c>
      <c r="BY175" t="s">
        <v>84</v>
      </c>
      <c r="BZ175" t="s">
        <v>84</v>
      </c>
      <c r="CB175" t="s">
        <v>84</v>
      </c>
      <c r="CD175" t="s">
        <v>84</v>
      </c>
    </row>
    <row r="176" spans="1:83" x14ac:dyDescent="0.25">
      <c r="A176" t="s">
        <v>1262</v>
      </c>
      <c r="B176" t="s">
        <v>1263</v>
      </c>
      <c r="C176" t="s">
        <v>1264</v>
      </c>
      <c r="D176" t="s">
        <v>104</v>
      </c>
      <c r="E176" t="s">
        <v>1926</v>
      </c>
      <c r="F176" s="1">
        <v>14700</v>
      </c>
      <c r="G176" s="1" t="s">
        <v>94</v>
      </c>
      <c r="H176" t="s">
        <v>688</v>
      </c>
      <c r="I176" t="s">
        <v>87</v>
      </c>
      <c r="J176" t="s">
        <v>84</v>
      </c>
      <c r="K176" t="s">
        <v>84</v>
      </c>
      <c r="L176" t="s">
        <v>84</v>
      </c>
      <c r="M176" t="s">
        <v>84</v>
      </c>
      <c r="N176" t="s">
        <v>84</v>
      </c>
      <c r="O176" t="s">
        <v>84</v>
      </c>
      <c r="Q176" t="s">
        <v>84</v>
      </c>
      <c r="R176" t="s">
        <v>84</v>
      </c>
      <c r="T176" t="s">
        <v>96</v>
      </c>
      <c r="U176" t="s">
        <v>87</v>
      </c>
      <c r="V176" t="s">
        <v>87</v>
      </c>
      <c r="W176" t="s">
        <v>84</v>
      </c>
      <c r="Y176" t="s">
        <v>87</v>
      </c>
      <c r="Z176" t="s">
        <v>87</v>
      </c>
      <c r="AA176" t="s">
        <v>84</v>
      </c>
      <c r="AC176" t="s">
        <v>87</v>
      </c>
      <c r="AD176" t="s">
        <v>84</v>
      </c>
      <c r="AE176" t="s">
        <v>87</v>
      </c>
      <c r="AF176" t="s">
        <v>87</v>
      </c>
      <c r="AG176" t="s">
        <v>87</v>
      </c>
      <c r="AI176" t="s">
        <v>84</v>
      </c>
      <c r="AJ176" t="s">
        <v>84</v>
      </c>
      <c r="AK176" t="s">
        <v>84</v>
      </c>
      <c r="AL176" t="s">
        <v>84</v>
      </c>
      <c r="AM176" t="s">
        <v>87</v>
      </c>
      <c r="AO176" t="s">
        <v>87</v>
      </c>
      <c r="AP176" t="s">
        <v>87</v>
      </c>
      <c r="AQ176" t="s">
        <v>84</v>
      </c>
      <c r="AS176" t="s">
        <v>87</v>
      </c>
      <c r="AT176" t="s">
        <v>84</v>
      </c>
      <c r="AU176" t="s">
        <v>1265</v>
      </c>
      <c r="AW176" t="s">
        <v>89</v>
      </c>
      <c r="AX176" t="s">
        <v>87</v>
      </c>
      <c r="AY176" t="s">
        <v>87</v>
      </c>
      <c r="AZ176" t="s">
        <v>87</v>
      </c>
      <c r="BA176" t="s">
        <v>84</v>
      </c>
      <c r="BB176" t="s">
        <v>84</v>
      </c>
      <c r="BC176" t="s">
        <v>84</v>
      </c>
      <c r="BD176" t="s">
        <v>1266</v>
      </c>
      <c r="BE176" t="s">
        <v>84</v>
      </c>
      <c r="BH176" t="s">
        <v>87</v>
      </c>
      <c r="BI176" t="s">
        <v>84</v>
      </c>
      <c r="BJ176" t="s">
        <v>84</v>
      </c>
      <c r="BL176" t="s">
        <v>87</v>
      </c>
      <c r="BM176" t="s">
        <v>84</v>
      </c>
      <c r="BN176" t="s">
        <v>84</v>
      </c>
      <c r="BP176" t="s">
        <v>84</v>
      </c>
      <c r="BQ176" t="s">
        <v>84</v>
      </c>
      <c r="BR176" t="s">
        <v>84</v>
      </c>
      <c r="BS176" t="s">
        <v>84</v>
      </c>
      <c r="BT176" t="s">
        <v>87</v>
      </c>
      <c r="BV176" t="s">
        <v>87</v>
      </c>
      <c r="BW176" t="s">
        <v>84</v>
      </c>
      <c r="BX176" t="s">
        <v>84</v>
      </c>
      <c r="BY176" t="s">
        <v>84</v>
      </c>
      <c r="BZ176" t="s">
        <v>84</v>
      </c>
      <c r="CB176" t="s">
        <v>84</v>
      </c>
      <c r="CD176" t="s">
        <v>84</v>
      </c>
    </row>
    <row r="177" spans="1:83" x14ac:dyDescent="0.25">
      <c r="A177" t="s">
        <v>1464</v>
      </c>
      <c r="B177" t="s">
        <v>1465</v>
      </c>
      <c r="C177" t="s">
        <v>1466</v>
      </c>
      <c r="D177" t="s">
        <v>408</v>
      </c>
      <c r="E177" t="s">
        <v>1994</v>
      </c>
      <c r="F177" s="1">
        <v>17000</v>
      </c>
      <c r="G177" s="1" t="s">
        <v>94</v>
      </c>
      <c r="H177" t="s">
        <v>1467</v>
      </c>
      <c r="I177" t="s">
        <v>87</v>
      </c>
      <c r="J177" t="s">
        <v>84</v>
      </c>
      <c r="K177" t="s">
        <v>84</v>
      </c>
      <c r="L177" t="s">
        <v>84</v>
      </c>
      <c r="M177" t="s">
        <v>84</v>
      </c>
      <c r="N177" t="s">
        <v>84</v>
      </c>
      <c r="O177" t="s">
        <v>84</v>
      </c>
      <c r="Q177" t="s">
        <v>84</v>
      </c>
      <c r="T177" t="s">
        <v>96</v>
      </c>
      <c r="U177" t="s">
        <v>87</v>
      </c>
      <c r="V177" t="s">
        <v>87</v>
      </c>
      <c r="W177" t="s">
        <v>84</v>
      </c>
      <c r="Y177" t="s">
        <v>87</v>
      </c>
      <c r="Z177" t="s">
        <v>87</v>
      </c>
      <c r="AA177" t="s">
        <v>84</v>
      </c>
      <c r="AB177" t="s">
        <v>1468</v>
      </c>
      <c r="AC177" t="s">
        <v>87</v>
      </c>
      <c r="AD177" t="s">
        <v>84</v>
      </c>
      <c r="AE177" t="s">
        <v>84</v>
      </c>
      <c r="AF177" t="s">
        <v>84</v>
      </c>
      <c r="AG177" t="s">
        <v>87</v>
      </c>
      <c r="AI177" t="s">
        <v>84</v>
      </c>
      <c r="AJ177" t="s">
        <v>84</v>
      </c>
      <c r="AK177" t="s">
        <v>84</v>
      </c>
      <c r="AL177" t="s">
        <v>84</v>
      </c>
      <c r="AM177" t="s">
        <v>87</v>
      </c>
      <c r="AO177" t="s">
        <v>87</v>
      </c>
      <c r="AP177" t="s">
        <v>87</v>
      </c>
      <c r="AQ177" t="s">
        <v>84</v>
      </c>
      <c r="AR177" t="s">
        <v>1469</v>
      </c>
      <c r="AS177" t="s">
        <v>87</v>
      </c>
      <c r="AT177" t="s">
        <v>84</v>
      </c>
      <c r="AU177" t="s">
        <v>1470</v>
      </c>
      <c r="AW177" t="s">
        <v>89</v>
      </c>
      <c r="AX177" t="s">
        <v>84</v>
      </c>
      <c r="AY177" t="s">
        <v>87</v>
      </c>
      <c r="AZ177" t="s">
        <v>84</v>
      </c>
      <c r="BA177" t="s">
        <v>84</v>
      </c>
      <c r="BB177" t="s">
        <v>87</v>
      </c>
      <c r="BC177" t="s">
        <v>84</v>
      </c>
      <c r="BE177" t="s">
        <v>84</v>
      </c>
      <c r="BH177" t="s">
        <v>87</v>
      </c>
      <c r="BI177" t="s">
        <v>84</v>
      </c>
      <c r="BJ177" t="s">
        <v>84</v>
      </c>
      <c r="BL177" t="s">
        <v>87</v>
      </c>
      <c r="BM177" t="s">
        <v>84</v>
      </c>
      <c r="BN177" t="s">
        <v>84</v>
      </c>
      <c r="BP177" t="s">
        <v>84</v>
      </c>
      <c r="BQ177" t="s">
        <v>84</v>
      </c>
      <c r="BR177" t="s">
        <v>84</v>
      </c>
      <c r="BS177" t="s">
        <v>84</v>
      </c>
      <c r="BT177" t="s">
        <v>87</v>
      </c>
      <c r="BV177" t="s">
        <v>87</v>
      </c>
      <c r="BW177" t="s">
        <v>84</v>
      </c>
      <c r="BX177" t="s">
        <v>84</v>
      </c>
      <c r="BY177" t="s">
        <v>84</v>
      </c>
      <c r="BZ177" t="s">
        <v>87</v>
      </c>
      <c r="CB177" t="s">
        <v>84</v>
      </c>
      <c r="CD177" t="s">
        <v>84</v>
      </c>
    </row>
    <row r="178" spans="1:83" x14ac:dyDescent="0.25">
      <c r="A178" t="s">
        <v>1177</v>
      </c>
      <c r="B178" t="s">
        <v>1178</v>
      </c>
      <c r="C178" t="s">
        <v>1179</v>
      </c>
      <c r="D178" t="s">
        <v>104</v>
      </c>
      <c r="E178" t="s">
        <v>1926</v>
      </c>
      <c r="F178" s="1">
        <v>20658</v>
      </c>
      <c r="G178" s="1" t="s">
        <v>84</v>
      </c>
      <c r="I178" t="s">
        <v>85</v>
      </c>
      <c r="J178" t="s">
        <v>85</v>
      </c>
      <c r="K178" t="s">
        <v>85</v>
      </c>
      <c r="L178" t="s">
        <v>85</v>
      </c>
      <c r="M178" t="s">
        <v>85</v>
      </c>
      <c r="N178" t="s">
        <v>85</v>
      </c>
      <c r="O178" t="s">
        <v>85</v>
      </c>
      <c r="Q178" t="s">
        <v>84</v>
      </c>
      <c r="T178" t="s">
        <v>96</v>
      </c>
      <c r="U178" t="s">
        <v>87</v>
      </c>
      <c r="V178" t="s">
        <v>87</v>
      </c>
      <c r="W178" t="s">
        <v>84</v>
      </c>
      <c r="X178" t="s">
        <v>1180</v>
      </c>
      <c r="Y178" t="s">
        <v>87</v>
      </c>
      <c r="Z178" t="s">
        <v>87</v>
      </c>
      <c r="AA178" t="s">
        <v>84</v>
      </c>
      <c r="AB178" t="s">
        <v>1181</v>
      </c>
      <c r="AC178" t="s">
        <v>87</v>
      </c>
      <c r="AD178" t="s">
        <v>84</v>
      </c>
      <c r="AE178" t="s">
        <v>87</v>
      </c>
      <c r="AF178" t="s">
        <v>84</v>
      </c>
      <c r="AG178" t="s">
        <v>87</v>
      </c>
      <c r="AI178" t="s">
        <v>84</v>
      </c>
      <c r="AJ178" t="s">
        <v>84</v>
      </c>
      <c r="AK178" t="s">
        <v>84</v>
      </c>
      <c r="AL178" t="s">
        <v>87</v>
      </c>
      <c r="AM178" t="s">
        <v>84</v>
      </c>
      <c r="AO178" t="s">
        <v>87</v>
      </c>
      <c r="AP178" t="s">
        <v>87</v>
      </c>
      <c r="AQ178" t="s">
        <v>84</v>
      </c>
      <c r="AS178" t="s">
        <v>87</v>
      </c>
      <c r="AT178" t="s">
        <v>84</v>
      </c>
      <c r="AU178" t="s">
        <v>1182</v>
      </c>
      <c r="AW178" t="s">
        <v>89</v>
      </c>
      <c r="AX178" t="s">
        <v>87</v>
      </c>
      <c r="AY178" t="s">
        <v>84</v>
      </c>
      <c r="AZ178" t="s">
        <v>84</v>
      </c>
      <c r="BA178" t="s">
        <v>84</v>
      </c>
      <c r="BB178" t="s">
        <v>84</v>
      </c>
      <c r="BC178" t="s">
        <v>84</v>
      </c>
      <c r="BD178" t="s">
        <v>1183</v>
      </c>
      <c r="BE178" t="s">
        <v>84</v>
      </c>
      <c r="BF178" t="s">
        <v>84</v>
      </c>
      <c r="BH178" t="s">
        <v>87</v>
      </c>
      <c r="BI178" t="s">
        <v>84</v>
      </c>
      <c r="BJ178" t="s">
        <v>84</v>
      </c>
      <c r="BL178" t="s">
        <v>87</v>
      </c>
      <c r="BM178" t="s">
        <v>84</v>
      </c>
      <c r="BN178" t="s">
        <v>84</v>
      </c>
      <c r="BP178" t="s">
        <v>84</v>
      </c>
      <c r="BQ178" t="s">
        <v>84</v>
      </c>
      <c r="BR178" t="s">
        <v>84</v>
      </c>
      <c r="BS178" t="s">
        <v>87</v>
      </c>
      <c r="BT178" t="s">
        <v>84</v>
      </c>
      <c r="BV178" t="s">
        <v>87</v>
      </c>
      <c r="BW178" t="s">
        <v>84</v>
      </c>
      <c r="BX178" t="s">
        <v>84</v>
      </c>
      <c r="BY178" t="s">
        <v>84</v>
      </c>
      <c r="BZ178" t="s">
        <v>84</v>
      </c>
      <c r="CB178" t="s">
        <v>84</v>
      </c>
      <c r="CD178" t="s">
        <v>84</v>
      </c>
    </row>
    <row r="179" spans="1:83" x14ac:dyDescent="0.25">
      <c r="A179" t="s">
        <v>1509</v>
      </c>
      <c r="B179" t="s">
        <v>1510</v>
      </c>
      <c r="C179" t="s">
        <v>1511</v>
      </c>
      <c r="D179" t="s">
        <v>137</v>
      </c>
      <c r="E179" t="s">
        <v>1926</v>
      </c>
      <c r="F179" s="1">
        <v>21700</v>
      </c>
      <c r="G179" s="1" t="s">
        <v>94</v>
      </c>
      <c r="H179" t="s">
        <v>1512</v>
      </c>
      <c r="I179" t="s">
        <v>87</v>
      </c>
      <c r="J179" t="s">
        <v>84</v>
      </c>
      <c r="K179" t="s">
        <v>84</v>
      </c>
      <c r="L179" t="s">
        <v>84</v>
      </c>
      <c r="M179" t="s">
        <v>87</v>
      </c>
      <c r="N179" t="s">
        <v>84</v>
      </c>
      <c r="O179" t="s">
        <v>84</v>
      </c>
      <c r="Q179" t="s">
        <v>94</v>
      </c>
      <c r="S179" t="s">
        <v>1513</v>
      </c>
      <c r="T179" t="s">
        <v>96</v>
      </c>
      <c r="U179" t="s">
        <v>87</v>
      </c>
      <c r="V179" t="s">
        <v>84</v>
      </c>
      <c r="W179" t="s">
        <v>84</v>
      </c>
      <c r="Y179" t="s">
        <v>84</v>
      </c>
      <c r="Z179" t="s">
        <v>84</v>
      </c>
      <c r="AA179" t="s">
        <v>84</v>
      </c>
      <c r="AB179" t="s">
        <v>957</v>
      </c>
      <c r="AC179" t="s">
        <v>87</v>
      </c>
      <c r="AD179" t="s">
        <v>84</v>
      </c>
      <c r="AE179" t="s">
        <v>87</v>
      </c>
      <c r="AF179" t="s">
        <v>84</v>
      </c>
      <c r="AG179" t="s">
        <v>84</v>
      </c>
      <c r="AI179" t="s">
        <v>84</v>
      </c>
      <c r="AJ179" t="s">
        <v>84</v>
      </c>
      <c r="AK179" t="s">
        <v>84</v>
      </c>
      <c r="AL179" t="s">
        <v>87</v>
      </c>
      <c r="AM179" t="s">
        <v>84</v>
      </c>
      <c r="AO179" t="s">
        <v>87</v>
      </c>
      <c r="AP179" t="s">
        <v>87</v>
      </c>
      <c r="AQ179" t="s">
        <v>84</v>
      </c>
      <c r="AS179" t="s">
        <v>87</v>
      </c>
      <c r="AT179" t="s">
        <v>84</v>
      </c>
      <c r="AU179" t="s">
        <v>1514</v>
      </c>
      <c r="AW179" t="s">
        <v>89</v>
      </c>
      <c r="AX179" t="s">
        <v>87</v>
      </c>
      <c r="AY179" t="s">
        <v>87</v>
      </c>
      <c r="AZ179" t="s">
        <v>87</v>
      </c>
      <c r="BA179" t="s">
        <v>84</v>
      </c>
      <c r="BB179" t="s">
        <v>84</v>
      </c>
      <c r="BC179" t="s">
        <v>84</v>
      </c>
      <c r="BD179" t="s">
        <v>224</v>
      </c>
      <c r="BE179" t="s">
        <v>84</v>
      </c>
      <c r="BH179" t="s">
        <v>87</v>
      </c>
      <c r="BI179" t="s">
        <v>84</v>
      </c>
      <c r="BJ179" t="s">
        <v>84</v>
      </c>
      <c r="BL179" t="s">
        <v>84</v>
      </c>
      <c r="BM179" t="s">
        <v>87</v>
      </c>
      <c r="BN179" t="s">
        <v>84</v>
      </c>
      <c r="BO179" t="s">
        <v>1515</v>
      </c>
      <c r="BP179" t="s">
        <v>87</v>
      </c>
      <c r="BQ179" t="s">
        <v>84</v>
      </c>
      <c r="BR179" t="s">
        <v>84</v>
      </c>
      <c r="BS179" t="s">
        <v>87</v>
      </c>
      <c r="BT179" t="s">
        <v>84</v>
      </c>
      <c r="BV179" t="s">
        <v>87</v>
      </c>
      <c r="BW179" t="s">
        <v>84</v>
      </c>
      <c r="BX179" t="s">
        <v>87</v>
      </c>
      <c r="BY179" t="s">
        <v>84</v>
      </c>
      <c r="BZ179" t="s">
        <v>84</v>
      </c>
      <c r="CB179" t="s">
        <v>84</v>
      </c>
      <c r="CD179" t="s">
        <v>84</v>
      </c>
    </row>
    <row r="180" spans="1:83" x14ac:dyDescent="0.25">
      <c r="A180" t="s">
        <v>1371</v>
      </c>
      <c r="B180" t="s">
        <v>1372</v>
      </c>
      <c r="C180" t="s">
        <v>1373</v>
      </c>
      <c r="D180" t="s">
        <v>743</v>
      </c>
      <c r="E180" t="s">
        <v>1995</v>
      </c>
      <c r="F180" s="1">
        <v>22300</v>
      </c>
      <c r="G180" s="1" t="s">
        <v>94</v>
      </c>
      <c r="H180" t="s">
        <v>1374</v>
      </c>
      <c r="I180" t="s">
        <v>87</v>
      </c>
      <c r="J180" t="s">
        <v>84</v>
      </c>
      <c r="K180" t="s">
        <v>84</v>
      </c>
      <c r="L180" t="s">
        <v>84</v>
      </c>
      <c r="M180" t="s">
        <v>84</v>
      </c>
      <c r="N180" t="s">
        <v>84</v>
      </c>
      <c r="O180" t="s">
        <v>84</v>
      </c>
      <c r="Q180" t="s">
        <v>94</v>
      </c>
      <c r="S180" t="s">
        <v>1375</v>
      </c>
      <c r="T180" t="s">
        <v>86</v>
      </c>
      <c r="U180" t="s">
        <v>87</v>
      </c>
      <c r="V180" t="s">
        <v>87</v>
      </c>
      <c r="W180" t="s">
        <v>84</v>
      </c>
      <c r="Y180" t="s">
        <v>87</v>
      </c>
      <c r="Z180" t="s">
        <v>87</v>
      </c>
      <c r="AA180" t="s">
        <v>84</v>
      </c>
      <c r="AC180" t="s">
        <v>87</v>
      </c>
      <c r="AD180" t="s">
        <v>84</v>
      </c>
      <c r="AE180" t="s">
        <v>84</v>
      </c>
      <c r="AF180" t="s">
        <v>84</v>
      </c>
      <c r="AG180" t="s">
        <v>87</v>
      </c>
      <c r="AI180" t="s">
        <v>84</v>
      </c>
      <c r="AJ180" t="s">
        <v>87</v>
      </c>
      <c r="AK180" t="s">
        <v>84</v>
      </c>
      <c r="AL180" t="s">
        <v>84</v>
      </c>
      <c r="AM180" t="s">
        <v>84</v>
      </c>
      <c r="AO180" t="s">
        <v>87</v>
      </c>
      <c r="AP180" t="s">
        <v>87</v>
      </c>
      <c r="AQ180" t="s">
        <v>87</v>
      </c>
      <c r="AS180" t="s">
        <v>87</v>
      </c>
      <c r="AT180" t="s">
        <v>87</v>
      </c>
      <c r="AU180" t="s">
        <v>1376</v>
      </c>
      <c r="AV180" t="s">
        <v>1377</v>
      </c>
      <c r="AW180" t="s">
        <v>560</v>
      </c>
      <c r="AX180" t="s">
        <v>87</v>
      </c>
      <c r="AY180" t="s">
        <v>87</v>
      </c>
      <c r="AZ180" t="s">
        <v>87</v>
      </c>
      <c r="BA180" t="s">
        <v>84</v>
      </c>
      <c r="BB180" t="s">
        <v>84</v>
      </c>
      <c r="BC180" t="s">
        <v>84</v>
      </c>
      <c r="BD180" t="s">
        <v>224</v>
      </c>
      <c r="BE180" t="s">
        <v>84</v>
      </c>
      <c r="BH180" t="s">
        <v>87</v>
      </c>
      <c r="BI180" t="s">
        <v>84</v>
      </c>
      <c r="BJ180" t="s">
        <v>84</v>
      </c>
      <c r="BL180" t="s">
        <v>84</v>
      </c>
      <c r="BM180" t="s">
        <v>87</v>
      </c>
      <c r="BN180" t="s">
        <v>84</v>
      </c>
      <c r="BP180" t="s">
        <v>84</v>
      </c>
      <c r="BQ180" t="s">
        <v>87</v>
      </c>
      <c r="BR180" t="s">
        <v>84</v>
      </c>
      <c r="BS180" t="s">
        <v>84</v>
      </c>
      <c r="BT180" t="s">
        <v>84</v>
      </c>
      <c r="BV180" t="s">
        <v>84</v>
      </c>
      <c r="BW180" t="s">
        <v>84</v>
      </c>
      <c r="BX180" t="s">
        <v>84</v>
      </c>
      <c r="BY180" t="s">
        <v>84</v>
      </c>
      <c r="BZ180" t="s">
        <v>87</v>
      </c>
      <c r="CB180" t="s">
        <v>84</v>
      </c>
      <c r="CD180" t="s">
        <v>84</v>
      </c>
    </row>
    <row r="181" spans="1:83" x14ac:dyDescent="0.25">
      <c r="A181" t="s">
        <v>751</v>
      </c>
      <c r="B181" t="s">
        <v>752</v>
      </c>
      <c r="C181" t="s">
        <v>753</v>
      </c>
      <c r="D181" t="s">
        <v>253</v>
      </c>
      <c r="E181" t="s">
        <v>1995</v>
      </c>
      <c r="F181" s="10">
        <v>22418</v>
      </c>
      <c r="G181" s="1" t="s">
        <v>84</v>
      </c>
      <c r="I181" t="s">
        <v>85</v>
      </c>
      <c r="J181" t="s">
        <v>85</v>
      </c>
      <c r="K181" t="s">
        <v>85</v>
      </c>
      <c r="L181" t="s">
        <v>85</v>
      </c>
      <c r="M181" t="s">
        <v>85</v>
      </c>
      <c r="N181" t="s">
        <v>85</v>
      </c>
      <c r="O181" t="s">
        <v>85</v>
      </c>
      <c r="Q181" t="s">
        <v>94</v>
      </c>
      <c r="S181" t="s">
        <v>754</v>
      </c>
      <c r="T181" t="s">
        <v>86</v>
      </c>
      <c r="U181" t="s">
        <v>87</v>
      </c>
      <c r="V181" t="s">
        <v>87</v>
      </c>
      <c r="W181" t="s">
        <v>84</v>
      </c>
      <c r="X181" t="s">
        <v>755</v>
      </c>
      <c r="Y181" t="s">
        <v>87</v>
      </c>
      <c r="Z181" t="s">
        <v>87</v>
      </c>
      <c r="AA181" t="s">
        <v>84</v>
      </c>
      <c r="AB181" t="s">
        <v>756</v>
      </c>
      <c r="AC181" t="s">
        <v>84</v>
      </c>
      <c r="AD181" t="s">
        <v>84</v>
      </c>
      <c r="AE181" t="s">
        <v>84</v>
      </c>
      <c r="AF181" t="s">
        <v>84</v>
      </c>
      <c r="AG181" t="s">
        <v>84</v>
      </c>
      <c r="AH181" t="s">
        <v>270</v>
      </c>
      <c r="AI181" t="s">
        <v>84</v>
      </c>
      <c r="AJ181" t="s">
        <v>84</v>
      </c>
      <c r="AK181" t="s">
        <v>84</v>
      </c>
      <c r="AL181" t="s">
        <v>87</v>
      </c>
      <c r="AM181" t="s">
        <v>84</v>
      </c>
      <c r="AO181" t="s">
        <v>87</v>
      </c>
      <c r="AP181" t="s">
        <v>87</v>
      </c>
      <c r="AQ181" t="s">
        <v>84</v>
      </c>
      <c r="AS181" t="s">
        <v>87</v>
      </c>
      <c r="AT181" t="s">
        <v>84</v>
      </c>
      <c r="AU181" t="s">
        <v>757</v>
      </c>
      <c r="AW181" t="s">
        <v>89</v>
      </c>
      <c r="AX181" t="s">
        <v>87</v>
      </c>
      <c r="AY181" t="s">
        <v>87</v>
      </c>
      <c r="AZ181" t="s">
        <v>84</v>
      </c>
      <c r="BA181" t="s">
        <v>84</v>
      </c>
      <c r="BB181" t="s">
        <v>84</v>
      </c>
      <c r="BC181" t="s">
        <v>84</v>
      </c>
      <c r="BD181" t="s">
        <v>266</v>
      </c>
      <c r="BE181" t="s">
        <v>84</v>
      </c>
      <c r="BH181" t="s">
        <v>87</v>
      </c>
      <c r="BI181" t="s">
        <v>84</v>
      </c>
      <c r="BJ181" t="s">
        <v>84</v>
      </c>
      <c r="BL181" t="s">
        <v>87</v>
      </c>
      <c r="BM181" t="s">
        <v>84</v>
      </c>
      <c r="BN181" t="s">
        <v>84</v>
      </c>
      <c r="BO181" t="s">
        <v>758</v>
      </c>
      <c r="BP181" t="s">
        <v>84</v>
      </c>
      <c r="BQ181" t="s">
        <v>84</v>
      </c>
      <c r="BR181" t="s">
        <v>84</v>
      </c>
      <c r="BS181" t="s">
        <v>87</v>
      </c>
      <c r="BT181" t="s">
        <v>84</v>
      </c>
      <c r="BV181" t="s">
        <v>87</v>
      </c>
      <c r="BW181" t="s">
        <v>84</v>
      </c>
      <c r="BX181" t="s">
        <v>84</v>
      </c>
      <c r="BY181" t="s">
        <v>84</v>
      </c>
      <c r="BZ181" t="s">
        <v>84</v>
      </c>
      <c r="CB181" t="s">
        <v>84</v>
      </c>
      <c r="CD181" t="s">
        <v>84</v>
      </c>
    </row>
    <row r="182" spans="1:83" x14ac:dyDescent="0.25">
      <c r="A182" t="s">
        <v>1815</v>
      </c>
      <c r="B182" t="s">
        <v>1816</v>
      </c>
      <c r="C182" t="s">
        <v>1817</v>
      </c>
      <c r="D182" t="s">
        <v>727</v>
      </c>
      <c r="E182" t="s">
        <v>1995</v>
      </c>
      <c r="F182" s="1">
        <v>23500</v>
      </c>
      <c r="G182" s="1" t="s">
        <v>84</v>
      </c>
      <c r="I182" t="s">
        <v>85</v>
      </c>
      <c r="J182" t="s">
        <v>85</v>
      </c>
      <c r="K182" t="s">
        <v>85</v>
      </c>
      <c r="L182" t="s">
        <v>85</v>
      </c>
      <c r="M182" t="s">
        <v>85</v>
      </c>
      <c r="N182" t="s">
        <v>85</v>
      </c>
      <c r="O182" t="s">
        <v>85</v>
      </c>
      <c r="Q182" t="s">
        <v>84</v>
      </c>
      <c r="T182" t="s">
        <v>96</v>
      </c>
      <c r="U182" t="s">
        <v>84</v>
      </c>
      <c r="V182" t="s">
        <v>84</v>
      </c>
      <c r="W182" t="s">
        <v>84</v>
      </c>
      <c r="X182" t="s">
        <v>1818</v>
      </c>
      <c r="Y182" t="s">
        <v>84</v>
      </c>
      <c r="Z182" t="s">
        <v>84</v>
      </c>
      <c r="AA182" t="s">
        <v>84</v>
      </c>
      <c r="AB182" t="s">
        <v>1818</v>
      </c>
      <c r="AC182" t="s">
        <v>87</v>
      </c>
      <c r="AD182" t="s">
        <v>84</v>
      </c>
      <c r="AE182" t="s">
        <v>84</v>
      </c>
      <c r="AF182" t="s">
        <v>84</v>
      </c>
      <c r="AG182" t="s">
        <v>84</v>
      </c>
      <c r="AI182" t="s">
        <v>84</v>
      </c>
      <c r="AJ182" t="s">
        <v>84</v>
      </c>
      <c r="AK182" t="s">
        <v>84</v>
      </c>
      <c r="AL182" t="s">
        <v>84</v>
      </c>
      <c r="AM182" t="s">
        <v>87</v>
      </c>
      <c r="AO182" t="s">
        <v>84</v>
      </c>
      <c r="AP182" t="s">
        <v>84</v>
      </c>
      <c r="AQ182" t="s">
        <v>84</v>
      </c>
      <c r="AR182" t="s">
        <v>1818</v>
      </c>
      <c r="AS182" t="s">
        <v>87</v>
      </c>
      <c r="AT182" t="s">
        <v>84</v>
      </c>
      <c r="AU182" t="s">
        <v>1819</v>
      </c>
      <c r="AW182" t="s">
        <v>89</v>
      </c>
      <c r="AX182" t="s">
        <v>84</v>
      </c>
      <c r="AY182" t="s">
        <v>87</v>
      </c>
      <c r="AZ182" t="s">
        <v>84</v>
      </c>
      <c r="BA182" t="s">
        <v>84</v>
      </c>
      <c r="BB182" t="s">
        <v>84</v>
      </c>
      <c r="BC182" t="s">
        <v>87</v>
      </c>
      <c r="BE182" t="s">
        <v>84</v>
      </c>
      <c r="BH182" t="s">
        <v>87</v>
      </c>
      <c r="BI182" t="s">
        <v>84</v>
      </c>
      <c r="BJ182" t="s">
        <v>84</v>
      </c>
      <c r="BL182" t="s">
        <v>87</v>
      </c>
      <c r="BM182" t="s">
        <v>84</v>
      </c>
      <c r="BN182" t="s">
        <v>84</v>
      </c>
      <c r="BP182" t="s">
        <v>84</v>
      </c>
      <c r="BQ182" t="s">
        <v>84</v>
      </c>
      <c r="BR182" t="s">
        <v>84</v>
      </c>
      <c r="BS182" t="s">
        <v>84</v>
      </c>
      <c r="BT182" t="s">
        <v>87</v>
      </c>
      <c r="BV182" t="s">
        <v>87</v>
      </c>
      <c r="BW182" t="s">
        <v>84</v>
      </c>
      <c r="BX182" t="s">
        <v>84</v>
      </c>
      <c r="BY182" t="s">
        <v>84</v>
      </c>
      <c r="BZ182" t="s">
        <v>84</v>
      </c>
      <c r="CB182" t="s">
        <v>84</v>
      </c>
      <c r="CD182" t="s">
        <v>84</v>
      </c>
    </row>
    <row r="183" spans="1:83" x14ac:dyDescent="0.25">
      <c r="A183" t="s">
        <v>549</v>
      </c>
      <c r="B183" t="s">
        <v>550</v>
      </c>
      <c r="C183" t="s">
        <v>520</v>
      </c>
      <c r="D183" t="s">
        <v>137</v>
      </c>
      <c r="E183" t="s">
        <v>1926</v>
      </c>
      <c r="F183" s="1">
        <v>24000</v>
      </c>
      <c r="G183" s="1" t="s">
        <v>94</v>
      </c>
      <c r="H183" t="s">
        <v>199</v>
      </c>
      <c r="I183" t="s">
        <v>87</v>
      </c>
      <c r="J183" t="s">
        <v>84</v>
      </c>
      <c r="K183" t="s">
        <v>84</v>
      </c>
      <c r="L183" t="s">
        <v>84</v>
      </c>
      <c r="M183" t="s">
        <v>87</v>
      </c>
      <c r="N183" t="s">
        <v>84</v>
      </c>
      <c r="O183" t="s">
        <v>84</v>
      </c>
      <c r="Q183" t="s">
        <v>84</v>
      </c>
      <c r="T183" t="s">
        <v>96</v>
      </c>
      <c r="U183" t="s">
        <v>87</v>
      </c>
      <c r="V183" t="s">
        <v>87</v>
      </c>
      <c r="W183" t="s">
        <v>84</v>
      </c>
      <c r="Y183" t="s">
        <v>87</v>
      </c>
      <c r="Z183" t="s">
        <v>87</v>
      </c>
      <c r="AA183" t="s">
        <v>84</v>
      </c>
      <c r="AC183" t="s">
        <v>87</v>
      </c>
      <c r="AD183" t="s">
        <v>87</v>
      </c>
      <c r="AE183" t="s">
        <v>87</v>
      </c>
      <c r="AF183" t="s">
        <v>84</v>
      </c>
      <c r="AG183" t="s">
        <v>87</v>
      </c>
      <c r="AI183" t="s">
        <v>87</v>
      </c>
      <c r="AJ183" t="s">
        <v>84</v>
      </c>
      <c r="AK183" t="s">
        <v>84</v>
      </c>
      <c r="AL183" t="s">
        <v>84</v>
      </c>
      <c r="AM183" t="s">
        <v>84</v>
      </c>
      <c r="AO183" t="s">
        <v>87</v>
      </c>
      <c r="AP183" t="s">
        <v>87</v>
      </c>
      <c r="AQ183" t="s">
        <v>87</v>
      </c>
      <c r="AS183" t="s">
        <v>87</v>
      </c>
      <c r="AT183" t="s">
        <v>87</v>
      </c>
      <c r="AU183" t="s">
        <v>551</v>
      </c>
      <c r="AW183" t="s">
        <v>89</v>
      </c>
      <c r="AX183" t="s">
        <v>84</v>
      </c>
      <c r="AY183" t="s">
        <v>87</v>
      </c>
      <c r="AZ183" t="s">
        <v>84</v>
      </c>
      <c r="BA183" t="s">
        <v>84</v>
      </c>
      <c r="BB183" t="s">
        <v>84</v>
      </c>
      <c r="BC183" t="s">
        <v>87</v>
      </c>
      <c r="BE183" t="s">
        <v>84</v>
      </c>
      <c r="BH183" t="s">
        <v>87</v>
      </c>
      <c r="BI183" t="s">
        <v>84</v>
      </c>
      <c r="BJ183" t="s">
        <v>84</v>
      </c>
      <c r="BL183" t="s">
        <v>87</v>
      </c>
      <c r="BM183" t="s">
        <v>84</v>
      </c>
      <c r="BN183" t="s">
        <v>84</v>
      </c>
      <c r="BP183" t="s">
        <v>87</v>
      </c>
      <c r="BQ183" t="s">
        <v>84</v>
      </c>
      <c r="BR183" t="s">
        <v>84</v>
      </c>
      <c r="BS183" t="s">
        <v>84</v>
      </c>
      <c r="BT183" t="s">
        <v>84</v>
      </c>
      <c r="BV183" t="s">
        <v>87</v>
      </c>
      <c r="BW183" t="s">
        <v>84</v>
      </c>
      <c r="BX183" t="s">
        <v>84</v>
      </c>
      <c r="BY183" t="s">
        <v>84</v>
      </c>
      <c r="BZ183" t="s">
        <v>84</v>
      </c>
      <c r="CB183" t="s">
        <v>84</v>
      </c>
      <c r="CD183" t="s">
        <v>84</v>
      </c>
    </row>
    <row r="184" spans="1:83" x14ac:dyDescent="0.25">
      <c r="A184" t="s">
        <v>1666</v>
      </c>
      <c r="B184" t="s">
        <v>1667</v>
      </c>
      <c r="C184" t="s">
        <v>1668</v>
      </c>
      <c r="D184" t="s">
        <v>104</v>
      </c>
      <c r="E184" t="s">
        <v>1926</v>
      </c>
      <c r="F184" s="1">
        <v>24031</v>
      </c>
      <c r="G184" s="1" t="s">
        <v>94</v>
      </c>
      <c r="H184" t="s">
        <v>1563</v>
      </c>
      <c r="I184" t="s">
        <v>87</v>
      </c>
      <c r="J184" t="s">
        <v>87</v>
      </c>
      <c r="K184" t="s">
        <v>84</v>
      </c>
      <c r="L184" t="s">
        <v>84</v>
      </c>
      <c r="M184" t="s">
        <v>84</v>
      </c>
      <c r="N184" t="s">
        <v>84</v>
      </c>
      <c r="O184" t="s">
        <v>84</v>
      </c>
      <c r="P184" t="s">
        <v>1669</v>
      </c>
      <c r="Q184" t="s">
        <v>94</v>
      </c>
      <c r="S184" t="s">
        <v>1670</v>
      </c>
      <c r="T184" t="s">
        <v>96</v>
      </c>
      <c r="U184" t="s">
        <v>87</v>
      </c>
      <c r="V184" t="s">
        <v>87</v>
      </c>
      <c r="W184" t="s">
        <v>84</v>
      </c>
      <c r="Y184" t="s">
        <v>84</v>
      </c>
      <c r="Z184" t="s">
        <v>84</v>
      </c>
      <c r="AA184" t="s">
        <v>84</v>
      </c>
      <c r="AB184" t="s">
        <v>1671</v>
      </c>
      <c r="AC184" t="s">
        <v>87</v>
      </c>
      <c r="AD184" t="s">
        <v>84</v>
      </c>
      <c r="AE184" t="s">
        <v>84</v>
      </c>
      <c r="AF184" t="s">
        <v>87</v>
      </c>
      <c r="AG184" t="s">
        <v>84</v>
      </c>
      <c r="AI184" t="s">
        <v>84</v>
      </c>
      <c r="AJ184" t="s">
        <v>84</v>
      </c>
      <c r="AK184" t="s">
        <v>84</v>
      </c>
      <c r="AL184" t="s">
        <v>84</v>
      </c>
      <c r="AM184" t="s">
        <v>84</v>
      </c>
      <c r="AN184" t="s">
        <v>1672</v>
      </c>
      <c r="AO184" t="s">
        <v>87</v>
      </c>
      <c r="AP184" t="s">
        <v>87</v>
      </c>
      <c r="AQ184" t="s">
        <v>84</v>
      </c>
      <c r="AS184" t="s">
        <v>87</v>
      </c>
      <c r="AT184" t="s">
        <v>84</v>
      </c>
      <c r="AU184" t="s">
        <v>362</v>
      </c>
      <c r="AW184" t="s">
        <v>89</v>
      </c>
      <c r="AX184" t="s">
        <v>87</v>
      </c>
      <c r="AY184" t="s">
        <v>87</v>
      </c>
      <c r="AZ184" t="s">
        <v>87</v>
      </c>
      <c r="BA184" t="s">
        <v>84</v>
      </c>
      <c r="BB184" t="s">
        <v>84</v>
      </c>
      <c r="BC184" t="s">
        <v>84</v>
      </c>
      <c r="BD184" t="s">
        <v>1673</v>
      </c>
      <c r="BE184" t="s">
        <v>84</v>
      </c>
      <c r="BH184" t="s">
        <v>87</v>
      </c>
      <c r="BI184" t="s">
        <v>84</v>
      </c>
      <c r="BJ184" t="s">
        <v>84</v>
      </c>
      <c r="BL184" t="s">
        <v>87</v>
      </c>
      <c r="BM184" t="s">
        <v>84</v>
      </c>
      <c r="BN184" t="s">
        <v>84</v>
      </c>
      <c r="BO184" t="s">
        <v>295</v>
      </c>
      <c r="BP184" t="s">
        <v>84</v>
      </c>
      <c r="BQ184" t="s">
        <v>84</v>
      </c>
      <c r="BR184" t="s">
        <v>84</v>
      </c>
      <c r="BS184" t="s">
        <v>84</v>
      </c>
      <c r="BT184" t="s">
        <v>84</v>
      </c>
      <c r="BU184" t="s">
        <v>1672</v>
      </c>
      <c r="BV184" t="s">
        <v>87</v>
      </c>
      <c r="BW184" t="s">
        <v>84</v>
      </c>
      <c r="BX184" t="s">
        <v>84</v>
      </c>
      <c r="BY184" t="s">
        <v>84</v>
      </c>
      <c r="BZ184" t="s">
        <v>84</v>
      </c>
      <c r="CB184" t="s">
        <v>84</v>
      </c>
      <c r="CD184" t="s">
        <v>94</v>
      </c>
      <c r="CE184" t="s">
        <v>1674</v>
      </c>
    </row>
    <row r="185" spans="1:83" x14ac:dyDescent="0.25">
      <c r="A185" t="s">
        <v>335</v>
      </c>
      <c r="B185" t="s">
        <v>1147</v>
      </c>
      <c r="C185" t="s">
        <v>1148</v>
      </c>
      <c r="D185" t="s">
        <v>104</v>
      </c>
      <c r="E185" t="s">
        <v>1926</v>
      </c>
      <c r="F185" s="10">
        <v>24491</v>
      </c>
      <c r="G185" s="1" t="s">
        <v>94</v>
      </c>
      <c r="H185" t="s">
        <v>1149</v>
      </c>
      <c r="I185" t="s">
        <v>84</v>
      </c>
      <c r="J185" t="s">
        <v>84</v>
      </c>
      <c r="K185" t="s">
        <v>84</v>
      </c>
      <c r="L185" t="s">
        <v>87</v>
      </c>
      <c r="M185" t="s">
        <v>84</v>
      </c>
      <c r="N185" t="s">
        <v>84</v>
      </c>
      <c r="O185" t="s">
        <v>84</v>
      </c>
      <c r="Q185" t="s">
        <v>84</v>
      </c>
      <c r="T185" t="s">
        <v>96</v>
      </c>
      <c r="U185" t="s">
        <v>87</v>
      </c>
      <c r="V185" t="s">
        <v>87</v>
      </c>
      <c r="W185" t="s">
        <v>87</v>
      </c>
      <c r="Y185" t="s">
        <v>84</v>
      </c>
      <c r="Z185" t="s">
        <v>84</v>
      </c>
      <c r="AA185" t="s">
        <v>84</v>
      </c>
      <c r="AB185" t="s">
        <v>1150</v>
      </c>
      <c r="AC185" t="s">
        <v>87</v>
      </c>
      <c r="AD185" t="s">
        <v>84</v>
      </c>
      <c r="AE185" t="s">
        <v>87</v>
      </c>
      <c r="AF185" t="s">
        <v>84</v>
      </c>
      <c r="AG185" t="s">
        <v>87</v>
      </c>
      <c r="AH185" t="s">
        <v>1151</v>
      </c>
      <c r="AI185" t="s">
        <v>84</v>
      </c>
      <c r="AJ185" t="s">
        <v>84</v>
      </c>
      <c r="AK185" t="s">
        <v>84</v>
      </c>
      <c r="AL185" t="s">
        <v>87</v>
      </c>
      <c r="AM185" t="s">
        <v>84</v>
      </c>
      <c r="AO185" t="s">
        <v>87</v>
      </c>
      <c r="AP185" t="s">
        <v>87</v>
      </c>
      <c r="AQ185" t="s">
        <v>84</v>
      </c>
      <c r="AS185" t="s">
        <v>87</v>
      </c>
      <c r="AT185" t="s">
        <v>84</v>
      </c>
      <c r="AU185" t="s">
        <v>1152</v>
      </c>
      <c r="AW185" t="s">
        <v>89</v>
      </c>
      <c r="AX185" t="s">
        <v>87</v>
      </c>
      <c r="AY185" t="s">
        <v>87</v>
      </c>
      <c r="AZ185" t="s">
        <v>87</v>
      </c>
      <c r="BA185" t="s">
        <v>84</v>
      </c>
      <c r="BB185" t="s">
        <v>84</v>
      </c>
      <c r="BC185" t="s">
        <v>84</v>
      </c>
      <c r="BD185" t="s">
        <v>1153</v>
      </c>
      <c r="BE185" t="s">
        <v>84</v>
      </c>
      <c r="BH185" t="s">
        <v>87</v>
      </c>
      <c r="BI185" t="s">
        <v>84</v>
      </c>
      <c r="BJ185" t="s">
        <v>84</v>
      </c>
      <c r="BL185" t="s">
        <v>87</v>
      </c>
      <c r="BM185" t="s">
        <v>84</v>
      </c>
      <c r="BN185" t="s">
        <v>84</v>
      </c>
      <c r="BO185" t="s">
        <v>1154</v>
      </c>
      <c r="BP185" t="s">
        <v>84</v>
      </c>
      <c r="BQ185" t="s">
        <v>84</v>
      </c>
      <c r="BR185" t="s">
        <v>84</v>
      </c>
      <c r="BS185" t="s">
        <v>87</v>
      </c>
      <c r="BT185" t="s">
        <v>84</v>
      </c>
      <c r="BV185" t="s">
        <v>87</v>
      </c>
      <c r="BW185" t="s">
        <v>84</v>
      </c>
      <c r="BX185" t="s">
        <v>84</v>
      </c>
      <c r="BY185" t="s">
        <v>84</v>
      </c>
      <c r="BZ185" t="s">
        <v>84</v>
      </c>
      <c r="CB185" t="s">
        <v>84</v>
      </c>
      <c r="CD185" t="s">
        <v>84</v>
      </c>
    </row>
    <row r="186" spans="1:83" x14ac:dyDescent="0.25">
      <c r="A186" t="s">
        <v>1098</v>
      </c>
      <c r="B186" t="s">
        <v>1099</v>
      </c>
      <c r="C186" t="s">
        <v>1100</v>
      </c>
      <c r="D186" t="s">
        <v>715</v>
      </c>
      <c r="E186" t="s">
        <v>715</v>
      </c>
      <c r="F186" s="1">
        <v>25851</v>
      </c>
      <c r="G186" s="1" t="s">
        <v>84</v>
      </c>
      <c r="I186" t="s">
        <v>85</v>
      </c>
      <c r="J186" t="s">
        <v>85</v>
      </c>
      <c r="K186" t="s">
        <v>85</v>
      </c>
      <c r="L186" t="s">
        <v>85</v>
      </c>
      <c r="M186" t="s">
        <v>85</v>
      </c>
      <c r="N186" t="s">
        <v>85</v>
      </c>
      <c r="O186" t="s">
        <v>85</v>
      </c>
      <c r="Q186" t="s">
        <v>84</v>
      </c>
      <c r="T186" t="s">
        <v>96</v>
      </c>
      <c r="U186" t="s">
        <v>87</v>
      </c>
      <c r="V186" t="s">
        <v>84</v>
      </c>
      <c r="W186" t="s">
        <v>84</v>
      </c>
      <c r="X186" t="s">
        <v>1101</v>
      </c>
      <c r="Y186" t="s">
        <v>87</v>
      </c>
      <c r="Z186" t="s">
        <v>87</v>
      </c>
      <c r="AA186" t="s">
        <v>84</v>
      </c>
      <c r="AC186" t="s">
        <v>87</v>
      </c>
      <c r="AD186" t="s">
        <v>84</v>
      </c>
      <c r="AE186" t="s">
        <v>87</v>
      </c>
      <c r="AF186" t="s">
        <v>84</v>
      </c>
      <c r="AG186" t="s">
        <v>87</v>
      </c>
      <c r="AI186" t="s">
        <v>84</v>
      </c>
      <c r="AJ186" t="s">
        <v>84</v>
      </c>
      <c r="AK186" t="s">
        <v>84</v>
      </c>
      <c r="AL186" t="s">
        <v>84</v>
      </c>
      <c r="AM186" t="s">
        <v>87</v>
      </c>
      <c r="AO186" t="s">
        <v>87</v>
      </c>
      <c r="AP186" t="s">
        <v>87</v>
      </c>
      <c r="AQ186" t="s">
        <v>84</v>
      </c>
      <c r="AS186" t="s">
        <v>87</v>
      </c>
      <c r="AT186" t="s">
        <v>84</v>
      </c>
      <c r="AU186" t="s">
        <v>1102</v>
      </c>
      <c r="AW186" t="s">
        <v>89</v>
      </c>
      <c r="AX186" t="s">
        <v>84</v>
      </c>
      <c r="AY186" t="s">
        <v>87</v>
      </c>
      <c r="AZ186" t="s">
        <v>84</v>
      </c>
      <c r="BA186" t="s">
        <v>84</v>
      </c>
      <c r="BB186" t="s">
        <v>84</v>
      </c>
      <c r="BC186" t="s">
        <v>87</v>
      </c>
      <c r="BE186" t="s">
        <v>84</v>
      </c>
      <c r="BH186" t="s">
        <v>87</v>
      </c>
      <c r="BI186" t="s">
        <v>84</v>
      </c>
      <c r="BJ186" t="s">
        <v>84</v>
      </c>
      <c r="BL186" t="s">
        <v>87</v>
      </c>
      <c r="BM186" t="s">
        <v>84</v>
      </c>
      <c r="BN186" t="s">
        <v>84</v>
      </c>
      <c r="BP186" t="s">
        <v>84</v>
      </c>
      <c r="BQ186" t="s">
        <v>84</v>
      </c>
      <c r="BR186" t="s">
        <v>84</v>
      </c>
      <c r="BS186" t="s">
        <v>84</v>
      </c>
      <c r="BT186" t="s">
        <v>87</v>
      </c>
      <c r="BV186" t="s">
        <v>87</v>
      </c>
      <c r="BW186" t="s">
        <v>84</v>
      </c>
      <c r="BX186" t="s">
        <v>84</v>
      </c>
      <c r="BY186" t="s">
        <v>84</v>
      </c>
      <c r="BZ186" t="s">
        <v>84</v>
      </c>
      <c r="CB186" t="s">
        <v>84</v>
      </c>
      <c r="CD186" t="s">
        <v>84</v>
      </c>
    </row>
    <row r="187" spans="1:83" x14ac:dyDescent="0.25">
      <c r="A187" t="s">
        <v>481</v>
      </c>
      <c r="B187" t="s">
        <v>482</v>
      </c>
      <c r="C187" t="s">
        <v>483</v>
      </c>
      <c r="D187" t="s">
        <v>104</v>
      </c>
      <c r="E187" t="s">
        <v>1926</v>
      </c>
      <c r="F187" s="1">
        <v>29000</v>
      </c>
      <c r="G187" s="1" t="s">
        <v>94</v>
      </c>
      <c r="H187" t="s">
        <v>484</v>
      </c>
      <c r="I187" t="s">
        <v>87</v>
      </c>
      <c r="J187" t="s">
        <v>84</v>
      </c>
      <c r="K187" t="s">
        <v>84</v>
      </c>
      <c r="L187" t="s">
        <v>84</v>
      </c>
      <c r="M187" t="s">
        <v>87</v>
      </c>
      <c r="N187" t="s">
        <v>84</v>
      </c>
      <c r="O187" t="s">
        <v>84</v>
      </c>
      <c r="Q187" t="s">
        <v>94</v>
      </c>
      <c r="S187" t="s">
        <v>485</v>
      </c>
      <c r="T187" t="s">
        <v>96</v>
      </c>
      <c r="U187" t="s">
        <v>87</v>
      </c>
      <c r="V187" t="s">
        <v>87</v>
      </c>
      <c r="W187" t="s">
        <v>84</v>
      </c>
      <c r="Y187" t="s">
        <v>87</v>
      </c>
      <c r="Z187" t="s">
        <v>87</v>
      </c>
      <c r="AA187" t="s">
        <v>84</v>
      </c>
      <c r="AB187" t="s">
        <v>486</v>
      </c>
      <c r="AC187" t="s">
        <v>87</v>
      </c>
      <c r="AD187" t="s">
        <v>84</v>
      </c>
      <c r="AE187" t="s">
        <v>87</v>
      </c>
      <c r="AF187" t="s">
        <v>87</v>
      </c>
      <c r="AG187" t="s">
        <v>87</v>
      </c>
      <c r="AI187" t="s">
        <v>87</v>
      </c>
      <c r="AJ187" t="s">
        <v>84</v>
      </c>
      <c r="AK187" t="s">
        <v>84</v>
      </c>
      <c r="AL187" t="s">
        <v>84</v>
      </c>
      <c r="AM187" t="s">
        <v>84</v>
      </c>
      <c r="AO187" t="s">
        <v>87</v>
      </c>
      <c r="AP187" t="s">
        <v>87</v>
      </c>
      <c r="AQ187" t="s">
        <v>84</v>
      </c>
      <c r="AS187" t="s">
        <v>87</v>
      </c>
      <c r="AT187" t="s">
        <v>84</v>
      </c>
      <c r="AU187" t="s">
        <v>487</v>
      </c>
      <c r="AW187" t="s">
        <v>89</v>
      </c>
      <c r="AX187" t="s">
        <v>87</v>
      </c>
      <c r="AY187" t="s">
        <v>87</v>
      </c>
      <c r="AZ187" t="s">
        <v>84</v>
      </c>
      <c r="BA187" t="s">
        <v>84</v>
      </c>
      <c r="BB187" t="s">
        <v>84</v>
      </c>
      <c r="BC187" t="s">
        <v>84</v>
      </c>
      <c r="BD187" t="s">
        <v>488</v>
      </c>
      <c r="BE187" t="s">
        <v>84</v>
      </c>
      <c r="BH187" t="s">
        <v>87</v>
      </c>
      <c r="BI187" t="s">
        <v>84</v>
      </c>
      <c r="BJ187" t="s">
        <v>84</v>
      </c>
      <c r="BL187" t="s">
        <v>87</v>
      </c>
      <c r="BM187" t="s">
        <v>87</v>
      </c>
      <c r="BN187" t="s">
        <v>84</v>
      </c>
      <c r="BO187" t="s">
        <v>166</v>
      </c>
      <c r="BP187" t="s">
        <v>87</v>
      </c>
      <c r="BQ187" t="s">
        <v>84</v>
      </c>
      <c r="BR187" t="s">
        <v>84</v>
      </c>
      <c r="BS187" t="s">
        <v>84</v>
      </c>
      <c r="BT187" t="s">
        <v>84</v>
      </c>
      <c r="BV187" t="s">
        <v>87</v>
      </c>
      <c r="BW187" t="s">
        <v>84</v>
      </c>
      <c r="BX187" t="s">
        <v>84</v>
      </c>
      <c r="BY187" t="s">
        <v>87</v>
      </c>
      <c r="BZ187" t="s">
        <v>87</v>
      </c>
      <c r="CB187" t="s">
        <v>84</v>
      </c>
      <c r="CD187" t="s">
        <v>84</v>
      </c>
    </row>
    <row r="188" spans="1:83" x14ac:dyDescent="0.25">
      <c r="A188" t="s">
        <v>959</v>
      </c>
      <c r="B188" t="s">
        <v>960</v>
      </c>
      <c r="C188" t="s">
        <v>961</v>
      </c>
      <c r="D188" t="s">
        <v>319</v>
      </c>
      <c r="E188" t="s">
        <v>1994</v>
      </c>
      <c r="F188" s="1">
        <v>31000</v>
      </c>
      <c r="G188" s="1" t="s">
        <v>94</v>
      </c>
      <c r="H188" t="s">
        <v>962</v>
      </c>
      <c r="I188" t="s">
        <v>87</v>
      </c>
      <c r="J188" t="s">
        <v>84</v>
      </c>
      <c r="K188" t="s">
        <v>87</v>
      </c>
      <c r="L188" t="s">
        <v>84</v>
      </c>
      <c r="M188" t="s">
        <v>87</v>
      </c>
      <c r="N188" t="s">
        <v>84</v>
      </c>
      <c r="O188" t="s">
        <v>84</v>
      </c>
      <c r="Q188" t="s">
        <v>84</v>
      </c>
      <c r="R188" t="s">
        <v>84</v>
      </c>
      <c r="T188" t="s">
        <v>96</v>
      </c>
      <c r="U188" t="s">
        <v>87</v>
      </c>
      <c r="V188" t="s">
        <v>87</v>
      </c>
      <c r="W188" t="s">
        <v>84</v>
      </c>
      <c r="Y188" t="s">
        <v>87</v>
      </c>
      <c r="Z188" t="s">
        <v>87</v>
      </c>
      <c r="AA188" t="s">
        <v>84</v>
      </c>
      <c r="AC188" t="s">
        <v>87</v>
      </c>
      <c r="AD188" t="s">
        <v>84</v>
      </c>
      <c r="AE188" t="s">
        <v>84</v>
      </c>
      <c r="AF188" t="s">
        <v>84</v>
      </c>
      <c r="AG188" t="s">
        <v>87</v>
      </c>
      <c r="AH188" t="s">
        <v>963</v>
      </c>
      <c r="AI188" t="s">
        <v>84</v>
      </c>
      <c r="AJ188" t="s">
        <v>84</v>
      </c>
      <c r="AK188" t="s">
        <v>84</v>
      </c>
      <c r="AL188" t="s">
        <v>84</v>
      </c>
      <c r="AM188" t="s">
        <v>87</v>
      </c>
      <c r="AO188" t="s">
        <v>87</v>
      </c>
      <c r="AP188" t="s">
        <v>87</v>
      </c>
      <c r="AQ188" t="s">
        <v>84</v>
      </c>
      <c r="AS188" t="s">
        <v>87</v>
      </c>
      <c r="AT188" t="s">
        <v>87</v>
      </c>
      <c r="AU188" t="s">
        <v>964</v>
      </c>
      <c r="AV188" t="s">
        <v>965</v>
      </c>
      <c r="AW188" t="s">
        <v>89</v>
      </c>
      <c r="AX188" t="s">
        <v>87</v>
      </c>
      <c r="AY188" t="s">
        <v>87</v>
      </c>
      <c r="AZ188" t="s">
        <v>84</v>
      </c>
      <c r="BA188" t="s">
        <v>84</v>
      </c>
      <c r="BB188" t="s">
        <v>84</v>
      </c>
      <c r="BC188" t="s">
        <v>84</v>
      </c>
      <c r="BD188" t="s">
        <v>966</v>
      </c>
      <c r="BE188" t="s">
        <v>84</v>
      </c>
      <c r="BH188" t="s">
        <v>87</v>
      </c>
      <c r="BI188" t="s">
        <v>84</v>
      </c>
      <c r="BJ188" t="s">
        <v>84</v>
      </c>
      <c r="BK188" t="s">
        <v>967</v>
      </c>
      <c r="BL188" t="s">
        <v>87</v>
      </c>
      <c r="BM188" t="s">
        <v>87</v>
      </c>
      <c r="BN188" t="s">
        <v>87</v>
      </c>
      <c r="BP188" t="s">
        <v>84</v>
      </c>
      <c r="BQ188" t="s">
        <v>84</v>
      </c>
      <c r="BR188" t="s">
        <v>84</v>
      </c>
      <c r="BS188" t="s">
        <v>84</v>
      </c>
      <c r="BT188" t="s">
        <v>87</v>
      </c>
      <c r="BV188" t="s">
        <v>87</v>
      </c>
      <c r="BW188" t="s">
        <v>84</v>
      </c>
      <c r="BX188" t="s">
        <v>84</v>
      </c>
      <c r="BY188" t="s">
        <v>84</v>
      </c>
      <c r="BZ188" t="s">
        <v>84</v>
      </c>
      <c r="CB188" t="s">
        <v>84</v>
      </c>
      <c r="CD188" t="s">
        <v>84</v>
      </c>
    </row>
    <row r="189" spans="1:83" x14ac:dyDescent="0.25">
      <c r="A189" t="s">
        <v>175</v>
      </c>
      <c r="B189" t="s">
        <v>176</v>
      </c>
      <c r="C189" t="s">
        <v>177</v>
      </c>
      <c r="D189" t="s">
        <v>156</v>
      </c>
      <c r="E189" t="s">
        <v>1928</v>
      </c>
      <c r="F189" s="1">
        <v>31333</v>
      </c>
      <c r="G189" s="1" t="s">
        <v>94</v>
      </c>
      <c r="H189" t="s">
        <v>178</v>
      </c>
      <c r="I189" t="s">
        <v>87</v>
      </c>
      <c r="J189" t="s">
        <v>87</v>
      </c>
      <c r="K189" t="s">
        <v>84</v>
      </c>
      <c r="L189" t="s">
        <v>84</v>
      </c>
      <c r="M189" t="s">
        <v>87</v>
      </c>
      <c r="N189" t="s">
        <v>84</v>
      </c>
      <c r="O189" t="s">
        <v>84</v>
      </c>
      <c r="Q189" t="s">
        <v>94</v>
      </c>
      <c r="S189" t="s">
        <v>179</v>
      </c>
      <c r="T189" t="s">
        <v>96</v>
      </c>
      <c r="U189" t="s">
        <v>87</v>
      </c>
      <c r="V189" t="s">
        <v>87</v>
      </c>
      <c r="W189" t="s">
        <v>84</v>
      </c>
      <c r="Y189" t="s">
        <v>87</v>
      </c>
      <c r="Z189" t="s">
        <v>87</v>
      </c>
      <c r="AA189" t="s">
        <v>84</v>
      </c>
      <c r="AB189" t="s">
        <v>180</v>
      </c>
      <c r="AC189" t="s">
        <v>87</v>
      </c>
      <c r="AD189" t="s">
        <v>84</v>
      </c>
      <c r="AE189" t="s">
        <v>87</v>
      </c>
      <c r="AF189" t="s">
        <v>84</v>
      </c>
      <c r="AG189" t="s">
        <v>84</v>
      </c>
      <c r="AI189" t="s">
        <v>84</v>
      </c>
      <c r="AJ189" t="s">
        <v>84</v>
      </c>
      <c r="AK189" t="s">
        <v>84</v>
      </c>
      <c r="AL189" t="s">
        <v>84</v>
      </c>
      <c r="AM189" t="s">
        <v>87</v>
      </c>
      <c r="AO189" t="s">
        <v>87</v>
      </c>
      <c r="AP189" t="s">
        <v>87</v>
      </c>
      <c r="AQ189" t="s">
        <v>84</v>
      </c>
      <c r="AS189" t="s">
        <v>84</v>
      </c>
      <c r="AT189" t="s">
        <v>87</v>
      </c>
      <c r="AW189" t="s">
        <v>89</v>
      </c>
      <c r="AX189" t="s">
        <v>87</v>
      </c>
      <c r="AY189" t="s">
        <v>87</v>
      </c>
      <c r="AZ189" t="s">
        <v>84</v>
      </c>
      <c r="BA189" t="s">
        <v>84</v>
      </c>
      <c r="BB189" t="s">
        <v>84</v>
      </c>
      <c r="BC189" t="s">
        <v>84</v>
      </c>
      <c r="BD189" t="s">
        <v>181</v>
      </c>
      <c r="BE189" t="s">
        <v>84</v>
      </c>
      <c r="BH189" t="s">
        <v>87</v>
      </c>
      <c r="BI189" t="s">
        <v>84</v>
      </c>
      <c r="BJ189" t="s">
        <v>84</v>
      </c>
      <c r="BL189" t="s">
        <v>87</v>
      </c>
      <c r="BM189" t="s">
        <v>87</v>
      </c>
      <c r="BN189" t="s">
        <v>84</v>
      </c>
      <c r="BP189" t="s">
        <v>84</v>
      </c>
      <c r="BQ189" t="s">
        <v>84</v>
      </c>
      <c r="BR189" t="s">
        <v>84</v>
      </c>
      <c r="BS189" t="s">
        <v>84</v>
      </c>
      <c r="BT189" t="s">
        <v>87</v>
      </c>
      <c r="BV189" t="s">
        <v>87</v>
      </c>
      <c r="BW189" t="s">
        <v>84</v>
      </c>
      <c r="BX189" t="s">
        <v>87</v>
      </c>
      <c r="BY189" t="s">
        <v>84</v>
      </c>
      <c r="BZ189" t="s">
        <v>84</v>
      </c>
      <c r="CB189" t="s">
        <v>84</v>
      </c>
      <c r="CD189" t="s">
        <v>84</v>
      </c>
    </row>
    <row r="190" spans="1:83" x14ac:dyDescent="0.25">
      <c r="A190" t="s">
        <v>1708</v>
      </c>
      <c r="B190" t="s">
        <v>1709</v>
      </c>
      <c r="C190" t="s">
        <v>1710</v>
      </c>
      <c r="D190" t="s">
        <v>83</v>
      </c>
      <c r="E190" t="s">
        <v>83</v>
      </c>
      <c r="F190" s="1">
        <v>32225</v>
      </c>
      <c r="G190" s="1" t="s">
        <v>94</v>
      </c>
      <c r="H190" t="s">
        <v>1120</v>
      </c>
      <c r="I190" t="s">
        <v>87</v>
      </c>
      <c r="J190" t="s">
        <v>84</v>
      </c>
      <c r="K190" t="s">
        <v>84</v>
      </c>
      <c r="L190" t="s">
        <v>84</v>
      </c>
      <c r="M190" t="s">
        <v>87</v>
      </c>
      <c r="N190" t="s">
        <v>84</v>
      </c>
      <c r="O190" t="s">
        <v>84</v>
      </c>
      <c r="Q190" t="s">
        <v>84</v>
      </c>
      <c r="T190" t="s">
        <v>96</v>
      </c>
      <c r="U190" t="s">
        <v>87</v>
      </c>
      <c r="V190" t="s">
        <v>87</v>
      </c>
      <c r="W190" t="s">
        <v>84</v>
      </c>
      <c r="Y190" t="s">
        <v>87</v>
      </c>
      <c r="Z190" t="s">
        <v>87</v>
      </c>
      <c r="AA190" t="s">
        <v>84</v>
      </c>
      <c r="AC190" t="s">
        <v>87</v>
      </c>
      <c r="AD190" t="s">
        <v>84</v>
      </c>
      <c r="AE190" t="s">
        <v>87</v>
      </c>
      <c r="AF190" t="s">
        <v>87</v>
      </c>
      <c r="AG190" t="s">
        <v>87</v>
      </c>
      <c r="AI190" t="s">
        <v>87</v>
      </c>
      <c r="AJ190" t="s">
        <v>84</v>
      </c>
      <c r="AK190" t="s">
        <v>84</v>
      </c>
      <c r="AL190" t="s">
        <v>84</v>
      </c>
      <c r="AM190" t="s">
        <v>84</v>
      </c>
      <c r="AO190" t="s">
        <v>87</v>
      </c>
      <c r="AP190" t="s">
        <v>87</v>
      </c>
      <c r="AQ190" t="s">
        <v>84</v>
      </c>
      <c r="AS190" t="s">
        <v>87</v>
      </c>
      <c r="AT190" t="s">
        <v>84</v>
      </c>
      <c r="AU190" t="s">
        <v>1711</v>
      </c>
      <c r="AW190" t="s">
        <v>89</v>
      </c>
      <c r="AX190" t="s">
        <v>87</v>
      </c>
      <c r="AY190" t="s">
        <v>87</v>
      </c>
      <c r="AZ190" t="s">
        <v>87</v>
      </c>
      <c r="BA190" t="s">
        <v>84</v>
      </c>
      <c r="BB190" t="s">
        <v>84</v>
      </c>
      <c r="BC190" t="s">
        <v>84</v>
      </c>
      <c r="BD190" t="s">
        <v>1712</v>
      </c>
      <c r="BE190" t="s">
        <v>84</v>
      </c>
      <c r="BH190" t="s">
        <v>87</v>
      </c>
      <c r="BI190" t="s">
        <v>84</v>
      </c>
      <c r="BJ190" t="s">
        <v>84</v>
      </c>
      <c r="BL190" t="s">
        <v>87</v>
      </c>
      <c r="BM190" t="s">
        <v>87</v>
      </c>
      <c r="BN190" t="s">
        <v>84</v>
      </c>
      <c r="BP190" t="s">
        <v>87</v>
      </c>
      <c r="BQ190" t="s">
        <v>84</v>
      </c>
      <c r="BR190" t="s">
        <v>84</v>
      </c>
      <c r="BS190" t="s">
        <v>84</v>
      </c>
      <c r="BT190" t="s">
        <v>84</v>
      </c>
      <c r="BV190" t="s">
        <v>87</v>
      </c>
      <c r="BW190" t="s">
        <v>87</v>
      </c>
      <c r="BX190" t="s">
        <v>87</v>
      </c>
      <c r="BY190" t="s">
        <v>87</v>
      </c>
      <c r="BZ190" t="s">
        <v>87</v>
      </c>
      <c r="CB190" t="s">
        <v>94</v>
      </c>
      <c r="CC190" t="s">
        <v>1713</v>
      </c>
      <c r="CD190" t="s">
        <v>84</v>
      </c>
    </row>
    <row r="191" spans="1:83" x14ac:dyDescent="0.25">
      <c r="A191" t="s">
        <v>1613</v>
      </c>
      <c r="B191" t="s">
        <v>1614</v>
      </c>
      <c r="C191" t="s">
        <v>1615</v>
      </c>
      <c r="D191" t="s">
        <v>222</v>
      </c>
      <c r="E191" t="s">
        <v>222</v>
      </c>
      <c r="F191" s="1">
        <v>35000</v>
      </c>
      <c r="G191" s="1" t="s">
        <v>84</v>
      </c>
      <c r="I191" t="s">
        <v>85</v>
      </c>
      <c r="J191" t="s">
        <v>85</v>
      </c>
      <c r="K191" t="s">
        <v>85</v>
      </c>
      <c r="L191" t="s">
        <v>85</v>
      </c>
      <c r="M191" t="s">
        <v>85</v>
      </c>
      <c r="N191" t="s">
        <v>85</v>
      </c>
      <c r="O191" t="s">
        <v>85</v>
      </c>
      <c r="Q191" t="s">
        <v>94</v>
      </c>
      <c r="S191" t="s">
        <v>1616</v>
      </c>
      <c r="T191" t="s">
        <v>96</v>
      </c>
      <c r="U191" t="s">
        <v>87</v>
      </c>
      <c r="V191" t="s">
        <v>87</v>
      </c>
      <c r="W191" t="s">
        <v>87</v>
      </c>
      <c r="Y191" t="s">
        <v>87</v>
      </c>
      <c r="Z191" t="s">
        <v>87</v>
      </c>
      <c r="AA191" t="s">
        <v>84</v>
      </c>
      <c r="AC191" t="s">
        <v>87</v>
      </c>
      <c r="AD191" t="s">
        <v>84</v>
      </c>
      <c r="AE191" t="s">
        <v>84</v>
      </c>
      <c r="AF191" t="s">
        <v>84</v>
      </c>
      <c r="AG191" t="s">
        <v>84</v>
      </c>
      <c r="AI191" t="s">
        <v>84</v>
      </c>
      <c r="AJ191" t="s">
        <v>84</v>
      </c>
      <c r="AK191" t="s">
        <v>87</v>
      </c>
      <c r="AL191" t="s">
        <v>87</v>
      </c>
      <c r="AM191" t="s">
        <v>84</v>
      </c>
      <c r="AO191" t="s">
        <v>87</v>
      </c>
      <c r="AP191" t="s">
        <v>87</v>
      </c>
      <c r="AQ191" t="s">
        <v>84</v>
      </c>
      <c r="AS191" t="s">
        <v>87</v>
      </c>
      <c r="AT191" t="s">
        <v>87</v>
      </c>
      <c r="AU191" t="s">
        <v>1617</v>
      </c>
      <c r="AV191" t="s">
        <v>1617</v>
      </c>
      <c r="AW191" t="s">
        <v>89</v>
      </c>
      <c r="AX191" t="s">
        <v>87</v>
      </c>
      <c r="AY191" t="s">
        <v>87</v>
      </c>
      <c r="AZ191" t="s">
        <v>87</v>
      </c>
      <c r="BA191" t="s">
        <v>84</v>
      </c>
      <c r="BB191" t="s">
        <v>87</v>
      </c>
      <c r="BC191" t="s">
        <v>87</v>
      </c>
      <c r="BE191" t="s">
        <v>84</v>
      </c>
      <c r="BH191" t="s">
        <v>87</v>
      </c>
      <c r="BI191" t="s">
        <v>84</v>
      </c>
      <c r="BJ191" t="s">
        <v>84</v>
      </c>
      <c r="BL191" t="s">
        <v>87</v>
      </c>
      <c r="BM191" t="s">
        <v>87</v>
      </c>
      <c r="BN191" t="s">
        <v>84</v>
      </c>
      <c r="BP191" t="s">
        <v>84</v>
      </c>
      <c r="BQ191" t="s">
        <v>84</v>
      </c>
      <c r="BR191" t="s">
        <v>84</v>
      </c>
      <c r="BS191" t="s">
        <v>84</v>
      </c>
      <c r="BT191" t="s">
        <v>87</v>
      </c>
      <c r="BV191" t="s">
        <v>87</v>
      </c>
      <c r="BW191" t="s">
        <v>84</v>
      </c>
      <c r="BX191" t="s">
        <v>84</v>
      </c>
      <c r="BY191" t="s">
        <v>84</v>
      </c>
      <c r="BZ191" t="s">
        <v>84</v>
      </c>
      <c r="CB191" t="s">
        <v>84</v>
      </c>
      <c r="CD191" t="s">
        <v>84</v>
      </c>
    </row>
    <row r="192" spans="1:83" x14ac:dyDescent="0.25">
      <c r="A192" t="s">
        <v>1680</v>
      </c>
      <c r="B192" t="s">
        <v>1681</v>
      </c>
      <c r="C192" t="s">
        <v>1682</v>
      </c>
      <c r="D192" t="s">
        <v>319</v>
      </c>
      <c r="E192" t="s">
        <v>1994</v>
      </c>
      <c r="F192" s="1">
        <v>36281</v>
      </c>
      <c r="G192" s="1" t="s">
        <v>94</v>
      </c>
      <c r="H192" t="s">
        <v>1683</v>
      </c>
      <c r="I192" t="s">
        <v>87</v>
      </c>
      <c r="J192" t="s">
        <v>84</v>
      </c>
      <c r="K192" t="s">
        <v>84</v>
      </c>
      <c r="L192" t="s">
        <v>84</v>
      </c>
      <c r="M192" t="s">
        <v>84</v>
      </c>
      <c r="N192" t="s">
        <v>84</v>
      </c>
      <c r="O192" t="s">
        <v>84</v>
      </c>
      <c r="P192" t="s">
        <v>1669</v>
      </c>
      <c r="Q192" t="s">
        <v>84</v>
      </c>
      <c r="T192" t="s">
        <v>96</v>
      </c>
      <c r="U192" t="s">
        <v>87</v>
      </c>
      <c r="V192" t="s">
        <v>87</v>
      </c>
      <c r="W192" t="s">
        <v>84</v>
      </c>
      <c r="Y192" t="s">
        <v>84</v>
      </c>
      <c r="Z192" t="s">
        <v>84</v>
      </c>
      <c r="AA192" t="s">
        <v>84</v>
      </c>
      <c r="AB192" t="s">
        <v>1684</v>
      </c>
      <c r="AC192" t="s">
        <v>87</v>
      </c>
      <c r="AD192" t="s">
        <v>84</v>
      </c>
      <c r="AE192" t="s">
        <v>87</v>
      </c>
      <c r="AF192" t="s">
        <v>84</v>
      </c>
      <c r="AG192" t="s">
        <v>87</v>
      </c>
      <c r="AI192" t="s">
        <v>84</v>
      </c>
      <c r="AJ192" t="s">
        <v>84</v>
      </c>
      <c r="AK192" t="s">
        <v>84</v>
      </c>
      <c r="AL192" t="s">
        <v>84</v>
      </c>
      <c r="AM192" t="s">
        <v>87</v>
      </c>
      <c r="AO192" t="s">
        <v>87</v>
      </c>
      <c r="AP192" t="s">
        <v>87</v>
      </c>
      <c r="AQ192" t="s">
        <v>84</v>
      </c>
      <c r="AS192" t="s">
        <v>87</v>
      </c>
      <c r="AT192" t="s">
        <v>87</v>
      </c>
      <c r="AU192" t="s">
        <v>1685</v>
      </c>
      <c r="AV192" t="s">
        <v>1686</v>
      </c>
      <c r="AW192" t="s">
        <v>89</v>
      </c>
      <c r="AX192" t="s">
        <v>87</v>
      </c>
      <c r="AY192" t="s">
        <v>87</v>
      </c>
      <c r="AZ192" t="s">
        <v>87</v>
      </c>
      <c r="BA192" t="s">
        <v>84</v>
      </c>
      <c r="BB192" t="s">
        <v>84</v>
      </c>
      <c r="BC192" t="s">
        <v>84</v>
      </c>
      <c r="BD192" t="s">
        <v>1687</v>
      </c>
      <c r="BE192" t="s">
        <v>84</v>
      </c>
      <c r="BH192" t="s">
        <v>87</v>
      </c>
      <c r="BI192" t="s">
        <v>84</v>
      </c>
      <c r="BJ192" t="s">
        <v>84</v>
      </c>
      <c r="BL192" t="s">
        <v>87</v>
      </c>
      <c r="BM192" t="s">
        <v>84</v>
      </c>
      <c r="BN192" t="s">
        <v>84</v>
      </c>
      <c r="BP192" t="s">
        <v>84</v>
      </c>
      <c r="BQ192" t="s">
        <v>84</v>
      </c>
      <c r="BR192" t="s">
        <v>84</v>
      </c>
      <c r="BS192" t="s">
        <v>84</v>
      </c>
      <c r="BT192" t="s">
        <v>87</v>
      </c>
      <c r="BV192" t="s">
        <v>87</v>
      </c>
      <c r="BW192" t="s">
        <v>84</v>
      </c>
      <c r="BX192" t="s">
        <v>84</v>
      </c>
      <c r="BY192" t="s">
        <v>84</v>
      </c>
      <c r="BZ192" t="s">
        <v>87</v>
      </c>
      <c r="CB192" t="s">
        <v>84</v>
      </c>
      <c r="CD192" t="s">
        <v>84</v>
      </c>
    </row>
    <row r="193" spans="1:83" x14ac:dyDescent="0.25">
      <c r="A193" t="s">
        <v>1596</v>
      </c>
      <c r="B193" t="s">
        <v>1597</v>
      </c>
      <c r="C193" t="s">
        <v>1598</v>
      </c>
      <c r="D193" t="s">
        <v>245</v>
      </c>
      <c r="E193" t="s">
        <v>1995</v>
      </c>
      <c r="F193" s="10">
        <v>39207</v>
      </c>
      <c r="G193" s="1" t="s">
        <v>94</v>
      </c>
      <c r="H193" t="s">
        <v>1599</v>
      </c>
      <c r="I193" t="s">
        <v>87</v>
      </c>
      <c r="J193" t="s">
        <v>84</v>
      </c>
      <c r="K193" t="s">
        <v>84</v>
      </c>
      <c r="L193" t="s">
        <v>84</v>
      </c>
      <c r="M193" t="s">
        <v>84</v>
      </c>
      <c r="N193" t="s">
        <v>84</v>
      </c>
      <c r="O193" t="s">
        <v>84</v>
      </c>
      <c r="Q193" t="s">
        <v>84</v>
      </c>
      <c r="T193" t="s">
        <v>96</v>
      </c>
      <c r="U193" t="s">
        <v>87</v>
      </c>
      <c r="V193" t="s">
        <v>84</v>
      </c>
      <c r="W193" t="s">
        <v>84</v>
      </c>
      <c r="Y193" t="s">
        <v>84</v>
      </c>
      <c r="Z193" t="s">
        <v>87</v>
      </c>
      <c r="AA193" t="s">
        <v>87</v>
      </c>
      <c r="AC193" t="s">
        <v>87</v>
      </c>
      <c r="AD193" t="s">
        <v>84</v>
      </c>
      <c r="AE193" t="s">
        <v>84</v>
      </c>
      <c r="AF193" t="s">
        <v>84</v>
      </c>
      <c r="AG193" t="s">
        <v>84</v>
      </c>
      <c r="AI193" t="s">
        <v>84</v>
      </c>
      <c r="AJ193" t="s">
        <v>84</v>
      </c>
      <c r="AK193" t="s">
        <v>84</v>
      </c>
      <c r="AL193" t="s">
        <v>87</v>
      </c>
      <c r="AM193" t="s">
        <v>84</v>
      </c>
      <c r="AO193" t="s">
        <v>87</v>
      </c>
      <c r="AP193" t="s">
        <v>87</v>
      </c>
      <c r="AQ193" t="s">
        <v>87</v>
      </c>
      <c r="AS193" t="s">
        <v>87</v>
      </c>
      <c r="AT193" t="s">
        <v>87</v>
      </c>
      <c r="AU193" t="s">
        <v>1600</v>
      </c>
      <c r="AV193" t="s">
        <v>1601</v>
      </c>
      <c r="AW193" t="s">
        <v>89</v>
      </c>
      <c r="AX193" t="s">
        <v>84</v>
      </c>
      <c r="AY193" t="s">
        <v>87</v>
      </c>
      <c r="AZ193" t="s">
        <v>84</v>
      </c>
      <c r="BA193" t="s">
        <v>84</v>
      </c>
      <c r="BB193" t="s">
        <v>87</v>
      </c>
      <c r="BC193" t="s">
        <v>87</v>
      </c>
      <c r="BE193" t="s">
        <v>84</v>
      </c>
      <c r="BH193" t="s">
        <v>87</v>
      </c>
      <c r="BI193" t="s">
        <v>84</v>
      </c>
      <c r="BJ193" t="s">
        <v>84</v>
      </c>
      <c r="BL193" t="s">
        <v>87</v>
      </c>
      <c r="BM193" t="s">
        <v>84</v>
      </c>
      <c r="BN193" t="s">
        <v>84</v>
      </c>
      <c r="BP193" t="s">
        <v>84</v>
      </c>
      <c r="BQ193" t="s">
        <v>84</v>
      </c>
      <c r="BR193" t="s">
        <v>84</v>
      </c>
      <c r="BS193" t="s">
        <v>87</v>
      </c>
      <c r="BT193" t="s">
        <v>84</v>
      </c>
      <c r="BV193" t="s">
        <v>87</v>
      </c>
      <c r="BW193" t="s">
        <v>84</v>
      </c>
      <c r="BX193" t="s">
        <v>84</v>
      </c>
      <c r="BY193" t="s">
        <v>84</v>
      </c>
      <c r="BZ193" t="s">
        <v>84</v>
      </c>
      <c r="CB193" t="s">
        <v>84</v>
      </c>
      <c r="CD193" t="s">
        <v>84</v>
      </c>
    </row>
    <row r="194" spans="1:83" x14ac:dyDescent="0.25">
      <c r="A194" t="s">
        <v>1587</v>
      </c>
      <c r="B194" t="s">
        <v>1588</v>
      </c>
      <c r="C194" t="s">
        <v>1589</v>
      </c>
      <c r="D194" t="s">
        <v>104</v>
      </c>
      <c r="E194" t="s">
        <v>1926</v>
      </c>
      <c r="F194" s="1">
        <v>44255</v>
      </c>
      <c r="G194" s="1" t="s">
        <v>94</v>
      </c>
      <c r="H194" t="s">
        <v>1590</v>
      </c>
      <c r="I194" t="s">
        <v>87</v>
      </c>
      <c r="J194" t="s">
        <v>84</v>
      </c>
      <c r="K194" t="s">
        <v>84</v>
      </c>
      <c r="L194" t="s">
        <v>84</v>
      </c>
      <c r="M194" t="s">
        <v>87</v>
      </c>
      <c r="N194" t="s">
        <v>84</v>
      </c>
      <c r="O194" t="s">
        <v>84</v>
      </c>
      <c r="P194" t="s">
        <v>1591</v>
      </c>
      <c r="Q194" t="s">
        <v>94</v>
      </c>
      <c r="S194" t="s">
        <v>1592</v>
      </c>
      <c r="T194" t="s">
        <v>96</v>
      </c>
      <c r="U194" t="s">
        <v>87</v>
      </c>
      <c r="V194" t="s">
        <v>87</v>
      </c>
      <c r="W194" t="s">
        <v>84</v>
      </c>
      <c r="Y194" t="s">
        <v>87</v>
      </c>
      <c r="Z194" t="s">
        <v>87</v>
      </c>
      <c r="AA194" t="s">
        <v>84</v>
      </c>
      <c r="AC194" t="s">
        <v>87</v>
      </c>
      <c r="AD194" t="s">
        <v>84</v>
      </c>
      <c r="AE194" t="s">
        <v>87</v>
      </c>
      <c r="AF194" t="s">
        <v>87</v>
      </c>
      <c r="AG194" t="s">
        <v>87</v>
      </c>
      <c r="AI194" t="s">
        <v>84</v>
      </c>
      <c r="AJ194" t="s">
        <v>84</v>
      </c>
      <c r="AK194" t="s">
        <v>87</v>
      </c>
      <c r="AL194" t="s">
        <v>84</v>
      </c>
      <c r="AM194" t="s">
        <v>84</v>
      </c>
      <c r="AO194" t="s">
        <v>87</v>
      </c>
      <c r="AP194" t="s">
        <v>87</v>
      </c>
      <c r="AQ194" t="s">
        <v>84</v>
      </c>
      <c r="AS194" t="s">
        <v>87</v>
      </c>
      <c r="AT194" t="s">
        <v>87</v>
      </c>
      <c r="AU194" t="s">
        <v>1593</v>
      </c>
      <c r="AV194" t="s">
        <v>1594</v>
      </c>
      <c r="AW194" t="s">
        <v>152</v>
      </c>
      <c r="AX194" t="s">
        <v>87</v>
      </c>
      <c r="AY194" t="s">
        <v>87</v>
      </c>
      <c r="AZ194" t="s">
        <v>87</v>
      </c>
      <c r="BA194" t="s">
        <v>84</v>
      </c>
      <c r="BB194" t="s">
        <v>84</v>
      </c>
      <c r="BC194" t="s">
        <v>84</v>
      </c>
      <c r="BD194" t="s">
        <v>1595</v>
      </c>
      <c r="BE194" t="s">
        <v>84</v>
      </c>
      <c r="BH194" t="s">
        <v>87</v>
      </c>
      <c r="BI194" t="s">
        <v>84</v>
      </c>
      <c r="BJ194" t="s">
        <v>84</v>
      </c>
      <c r="BL194" t="s">
        <v>87</v>
      </c>
      <c r="BM194" t="s">
        <v>87</v>
      </c>
      <c r="BN194" t="s">
        <v>87</v>
      </c>
      <c r="BP194" t="s">
        <v>84</v>
      </c>
      <c r="BQ194" t="s">
        <v>87</v>
      </c>
      <c r="BR194" t="s">
        <v>84</v>
      </c>
      <c r="BS194" t="s">
        <v>84</v>
      </c>
      <c r="BT194" t="s">
        <v>84</v>
      </c>
      <c r="BV194" t="s">
        <v>87</v>
      </c>
      <c r="BW194" t="s">
        <v>84</v>
      </c>
      <c r="BX194" t="s">
        <v>84</v>
      </c>
      <c r="BY194" t="s">
        <v>84</v>
      </c>
      <c r="BZ194" t="s">
        <v>84</v>
      </c>
      <c r="CB194" t="s">
        <v>84</v>
      </c>
      <c r="CD194" t="s">
        <v>84</v>
      </c>
    </row>
    <row r="195" spans="1:83" x14ac:dyDescent="0.25">
      <c r="A195" t="s">
        <v>147</v>
      </c>
      <c r="B195" t="s">
        <v>148</v>
      </c>
      <c r="C195" t="s">
        <v>149</v>
      </c>
      <c r="D195" t="s">
        <v>150</v>
      </c>
      <c r="E195" t="s">
        <v>1929</v>
      </c>
      <c r="F195" s="1">
        <v>45000</v>
      </c>
      <c r="G195" s="1" t="s">
        <v>84</v>
      </c>
      <c r="I195" t="s">
        <v>85</v>
      </c>
      <c r="J195" t="s">
        <v>85</v>
      </c>
      <c r="K195" t="s">
        <v>85</v>
      </c>
      <c r="L195" t="s">
        <v>85</v>
      </c>
      <c r="M195" t="s">
        <v>85</v>
      </c>
      <c r="N195" t="s">
        <v>85</v>
      </c>
      <c r="O195" t="s">
        <v>85</v>
      </c>
      <c r="Q195" t="s">
        <v>84</v>
      </c>
      <c r="T195" t="s">
        <v>96</v>
      </c>
      <c r="U195" t="s">
        <v>87</v>
      </c>
      <c r="V195" t="s">
        <v>87</v>
      </c>
      <c r="W195" t="s">
        <v>87</v>
      </c>
      <c r="Y195" t="s">
        <v>87</v>
      </c>
      <c r="Z195" t="s">
        <v>87</v>
      </c>
      <c r="AA195" t="s">
        <v>87</v>
      </c>
      <c r="AC195" t="s">
        <v>87</v>
      </c>
      <c r="AD195" t="s">
        <v>87</v>
      </c>
      <c r="AE195" t="s">
        <v>84</v>
      </c>
      <c r="AF195" t="s">
        <v>84</v>
      </c>
      <c r="AG195" t="s">
        <v>87</v>
      </c>
      <c r="AI195" t="s">
        <v>87</v>
      </c>
      <c r="AJ195" t="s">
        <v>84</v>
      </c>
      <c r="AK195" t="s">
        <v>87</v>
      </c>
      <c r="AL195" t="s">
        <v>87</v>
      </c>
      <c r="AM195" t="s">
        <v>84</v>
      </c>
      <c r="AO195" t="s">
        <v>87</v>
      </c>
      <c r="AP195" t="s">
        <v>87</v>
      </c>
      <c r="AQ195" t="s">
        <v>87</v>
      </c>
      <c r="AS195" t="s">
        <v>87</v>
      </c>
      <c r="AT195" t="s">
        <v>87</v>
      </c>
      <c r="AU195" t="s">
        <v>151</v>
      </c>
      <c r="AV195" t="s">
        <v>151</v>
      </c>
      <c r="AW195" t="s">
        <v>152</v>
      </c>
      <c r="AX195" t="s">
        <v>87</v>
      </c>
      <c r="AY195" t="s">
        <v>87</v>
      </c>
      <c r="AZ195" t="s">
        <v>87</v>
      </c>
      <c r="BA195" t="s">
        <v>84</v>
      </c>
      <c r="BB195" t="s">
        <v>84</v>
      </c>
      <c r="BC195" t="s">
        <v>87</v>
      </c>
      <c r="BE195" t="s">
        <v>84</v>
      </c>
      <c r="BF195" t="s">
        <v>84</v>
      </c>
      <c r="BH195" t="s">
        <v>87</v>
      </c>
      <c r="BI195" t="s">
        <v>84</v>
      </c>
      <c r="BJ195" t="s">
        <v>84</v>
      </c>
      <c r="BL195" t="s">
        <v>87</v>
      </c>
      <c r="BM195" t="s">
        <v>87</v>
      </c>
      <c r="BN195" t="s">
        <v>84</v>
      </c>
      <c r="BP195" t="s">
        <v>84</v>
      </c>
      <c r="BQ195" t="s">
        <v>84</v>
      </c>
      <c r="BR195" t="s">
        <v>87</v>
      </c>
      <c r="BS195" t="s">
        <v>87</v>
      </c>
      <c r="BT195" t="s">
        <v>84</v>
      </c>
      <c r="BV195" t="s">
        <v>87</v>
      </c>
      <c r="BW195" t="s">
        <v>84</v>
      </c>
      <c r="BX195" t="s">
        <v>84</v>
      </c>
      <c r="BY195" t="s">
        <v>84</v>
      </c>
      <c r="BZ195" t="s">
        <v>84</v>
      </c>
      <c r="CB195" t="s">
        <v>84</v>
      </c>
      <c r="CD195" t="s">
        <v>84</v>
      </c>
    </row>
    <row r="196" spans="1:83" x14ac:dyDescent="0.25">
      <c r="A196" t="s">
        <v>296</v>
      </c>
      <c r="B196" t="s">
        <v>297</v>
      </c>
      <c r="C196" t="s">
        <v>298</v>
      </c>
      <c r="D196" t="s">
        <v>299</v>
      </c>
      <c r="E196" t="s">
        <v>1999</v>
      </c>
      <c r="F196" s="1">
        <v>49851</v>
      </c>
      <c r="G196" s="1" t="s">
        <v>94</v>
      </c>
      <c r="H196" t="s">
        <v>300</v>
      </c>
      <c r="I196" t="s">
        <v>87</v>
      </c>
      <c r="J196" t="s">
        <v>84</v>
      </c>
      <c r="K196" t="s">
        <v>87</v>
      </c>
      <c r="L196" t="s">
        <v>87</v>
      </c>
      <c r="M196" t="s">
        <v>84</v>
      </c>
      <c r="N196" t="s">
        <v>84</v>
      </c>
      <c r="O196" t="s">
        <v>84</v>
      </c>
      <c r="Q196" t="s">
        <v>94</v>
      </c>
      <c r="S196" t="s">
        <v>301</v>
      </c>
      <c r="T196" t="s">
        <v>96</v>
      </c>
      <c r="U196" t="s">
        <v>87</v>
      </c>
      <c r="V196" t="s">
        <v>84</v>
      </c>
      <c r="W196" t="s">
        <v>87</v>
      </c>
      <c r="Y196" t="s">
        <v>87</v>
      </c>
      <c r="Z196" t="s">
        <v>87</v>
      </c>
      <c r="AA196" t="s">
        <v>84</v>
      </c>
      <c r="AC196" t="s">
        <v>87</v>
      </c>
      <c r="AD196" t="s">
        <v>84</v>
      </c>
      <c r="AE196" t="s">
        <v>87</v>
      </c>
      <c r="AF196" t="s">
        <v>84</v>
      </c>
      <c r="AG196" t="s">
        <v>87</v>
      </c>
      <c r="AI196" t="s">
        <v>84</v>
      </c>
      <c r="AJ196" t="s">
        <v>84</v>
      </c>
      <c r="AK196" t="s">
        <v>84</v>
      </c>
      <c r="AL196" t="s">
        <v>84</v>
      </c>
      <c r="AM196" t="s">
        <v>87</v>
      </c>
      <c r="AO196" t="s">
        <v>87</v>
      </c>
      <c r="AP196" t="s">
        <v>87</v>
      </c>
      <c r="AQ196" t="s">
        <v>87</v>
      </c>
      <c r="AS196" t="s">
        <v>87</v>
      </c>
      <c r="AT196" t="s">
        <v>87</v>
      </c>
      <c r="AU196" t="s">
        <v>302</v>
      </c>
      <c r="AV196" t="s">
        <v>303</v>
      </c>
      <c r="AW196" t="s">
        <v>89</v>
      </c>
      <c r="AX196" t="s">
        <v>87</v>
      </c>
      <c r="AY196" t="s">
        <v>84</v>
      </c>
      <c r="AZ196" t="s">
        <v>84</v>
      </c>
      <c r="BA196" t="s">
        <v>84</v>
      </c>
      <c r="BB196" t="s">
        <v>84</v>
      </c>
      <c r="BC196" t="s">
        <v>84</v>
      </c>
      <c r="BD196" t="s">
        <v>304</v>
      </c>
      <c r="BE196" t="s">
        <v>84</v>
      </c>
      <c r="BH196" t="s">
        <v>87</v>
      </c>
      <c r="BI196" t="s">
        <v>84</v>
      </c>
      <c r="BJ196" t="s">
        <v>84</v>
      </c>
      <c r="BL196" t="s">
        <v>87</v>
      </c>
      <c r="BM196" t="s">
        <v>87</v>
      </c>
      <c r="BN196" t="s">
        <v>84</v>
      </c>
      <c r="BP196" t="s">
        <v>84</v>
      </c>
      <c r="BQ196" t="s">
        <v>84</v>
      </c>
      <c r="BR196" t="s">
        <v>84</v>
      </c>
      <c r="BS196" t="s">
        <v>84</v>
      </c>
      <c r="BT196" t="s">
        <v>87</v>
      </c>
      <c r="BV196" t="s">
        <v>87</v>
      </c>
      <c r="BW196" t="s">
        <v>84</v>
      </c>
      <c r="BX196" t="s">
        <v>87</v>
      </c>
      <c r="BY196" t="s">
        <v>84</v>
      </c>
      <c r="BZ196" t="s">
        <v>84</v>
      </c>
      <c r="CB196" t="s">
        <v>84</v>
      </c>
      <c r="CD196" t="s">
        <v>84</v>
      </c>
    </row>
    <row r="197" spans="1:83" x14ac:dyDescent="0.25">
      <c r="A197" t="s">
        <v>1437</v>
      </c>
      <c r="B197" t="s">
        <v>1438</v>
      </c>
      <c r="C197" t="s">
        <v>515</v>
      </c>
      <c r="D197" t="s">
        <v>515</v>
      </c>
      <c r="E197" t="s">
        <v>1924</v>
      </c>
      <c r="F197" s="1">
        <v>60273</v>
      </c>
      <c r="G197" s="1" t="s">
        <v>84</v>
      </c>
      <c r="I197" t="s">
        <v>85</v>
      </c>
      <c r="J197" t="s">
        <v>85</v>
      </c>
      <c r="K197" t="s">
        <v>85</v>
      </c>
      <c r="L197" t="s">
        <v>85</v>
      </c>
      <c r="M197" t="s">
        <v>85</v>
      </c>
      <c r="N197" t="s">
        <v>85</v>
      </c>
      <c r="O197" t="s">
        <v>85</v>
      </c>
      <c r="Q197" t="s">
        <v>94</v>
      </c>
      <c r="S197" t="s">
        <v>1439</v>
      </c>
      <c r="T197" t="s">
        <v>86</v>
      </c>
      <c r="U197" t="s">
        <v>87</v>
      </c>
      <c r="V197" t="s">
        <v>87</v>
      </c>
      <c r="W197" t="s">
        <v>84</v>
      </c>
      <c r="X197" t="s">
        <v>1440</v>
      </c>
      <c r="Y197" t="s">
        <v>87</v>
      </c>
      <c r="Z197" t="s">
        <v>87</v>
      </c>
      <c r="AA197" t="s">
        <v>84</v>
      </c>
      <c r="AB197" t="s">
        <v>1441</v>
      </c>
      <c r="AC197" t="s">
        <v>87</v>
      </c>
      <c r="AD197" t="s">
        <v>84</v>
      </c>
      <c r="AE197" t="s">
        <v>84</v>
      </c>
      <c r="AF197" t="s">
        <v>84</v>
      </c>
      <c r="AG197" t="s">
        <v>87</v>
      </c>
      <c r="AI197" t="s">
        <v>84</v>
      </c>
      <c r="AJ197" t="s">
        <v>84</v>
      </c>
      <c r="AK197" t="s">
        <v>84</v>
      </c>
      <c r="AL197" t="s">
        <v>84</v>
      </c>
      <c r="AM197" t="s">
        <v>87</v>
      </c>
      <c r="AO197" t="s">
        <v>87</v>
      </c>
      <c r="AP197" t="s">
        <v>87</v>
      </c>
      <c r="AQ197" t="s">
        <v>84</v>
      </c>
      <c r="AR197" t="s">
        <v>1442</v>
      </c>
      <c r="AS197" t="s">
        <v>87</v>
      </c>
      <c r="AT197" t="s">
        <v>87</v>
      </c>
      <c r="AU197" t="s">
        <v>1443</v>
      </c>
      <c r="AV197" t="s">
        <v>1444</v>
      </c>
      <c r="AW197" t="s">
        <v>89</v>
      </c>
      <c r="AX197" t="s">
        <v>87</v>
      </c>
      <c r="AY197" t="s">
        <v>87</v>
      </c>
      <c r="AZ197" t="s">
        <v>84</v>
      </c>
      <c r="BA197" t="s">
        <v>84</v>
      </c>
      <c r="BB197" t="s">
        <v>84</v>
      </c>
      <c r="BC197" t="s">
        <v>84</v>
      </c>
      <c r="BD197" t="s">
        <v>1445</v>
      </c>
      <c r="BE197" t="s">
        <v>84</v>
      </c>
      <c r="BF197" t="s">
        <v>87</v>
      </c>
      <c r="BH197" t="s">
        <v>87</v>
      </c>
      <c r="BI197" t="s">
        <v>84</v>
      </c>
      <c r="BJ197" t="s">
        <v>84</v>
      </c>
      <c r="BL197" t="s">
        <v>87</v>
      </c>
      <c r="BM197" t="s">
        <v>87</v>
      </c>
      <c r="BN197" t="s">
        <v>84</v>
      </c>
      <c r="BP197" t="s">
        <v>84</v>
      </c>
      <c r="BQ197" t="s">
        <v>84</v>
      </c>
      <c r="BR197" t="s">
        <v>84</v>
      </c>
      <c r="BS197" t="s">
        <v>84</v>
      </c>
      <c r="BT197" t="s">
        <v>87</v>
      </c>
      <c r="BV197" t="s">
        <v>87</v>
      </c>
      <c r="BW197" t="s">
        <v>84</v>
      </c>
      <c r="BX197" t="s">
        <v>84</v>
      </c>
      <c r="BY197" t="s">
        <v>84</v>
      </c>
      <c r="BZ197" t="s">
        <v>84</v>
      </c>
      <c r="CB197" t="s">
        <v>94</v>
      </c>
      <c r="CC197" t="s">
        <v>1446</v>
      </c>
      <c r="CD197" t="s">
        <v>84</v>
      </c>
    </row>
    <row r="198" spans="1:83" x14ac:dyDescent="0.25">
      <c r="A198" t="s">
        <v>1796</v>
      </c>
      <c r="B198" t="s">
        <v>1797</v>
      </c>
      <c r="C198" t="s">
        <v>1798</v>
      </c>
      <c r="D198" t="s">
        <v>1799</v>
      </c>
      <c r="E198" t="s">
        <v>1929</v>
      </c>
      <c r="F198" s="1">
        <v>62415</v>
      </c>
      <c r="G198" s="1" t="s">
        <v>84</v>
      </c>
      <c r="I198" t="s">
        <v>85</v>
      </c>
      <c r="J198" t="s">
        <v>85</v>
      </c>
      <c r="K198" t="s">
        <v>85</v>
      </c>
      <c r="L198" t="s">
        <v>85</v>
      </c>
      <c r="M198" t="s">
        <v>85</v>
      </c>
      <c r="N198" t="s">
        <v>85</v>
      </c>
      <c r="O198" t="s">
        <v>85</v>
      </c>
      <c r="Q198" t="s">
        <v>94</v>
      </c>
      <c r="S198" t="s">
        <v>1800</v>
      </c>
      <c r="T198" t="s">
        <v>223</v>
      </c>
      <c r="U198" t="s">
        <v>84</v>
      </c>
      <c r="V198" t="s">
        <v>84</v>
      </c>
      <c r="W198" t="s">
        <v>87</v>
      </c>
      <c r="X198" t="s">
        <v>1180</v>
      </c>
      <c r="Y198" t="s">
        <v>84</v>
      </c>
      <c r="Z198" t="s">
        <v>84</v>
      </c>
      <c r="AA198" t="s">
        <v>84</v>
      </c>
      <c r="AB198" t="s">
        <v>1801</v>
      </c>
      <c r="AC198" t="s">
        <v>87</v>
      </c>
      <c r="AD198" t="s">
        <v>84</v>
      </c>
      <c r="AE198" t="s">
        <v>84</v>
      </c>
      <c r="AF198" t="s">
        <v>84</v>
      </c>
      <c r="AG198" t="s">
        <v>87</v>
      </c>
      <c r="AI198" t="s">
        <v>84</v>
      </c>
      <c r="AJ198" t="s">
        <v>84</v>
      </c>
      <c r="AK198" t="s">
        <v>84</v>
      </c>
      <c r="AL198" t="s">
        <v>84</v>
      </c>
      <c r="AM198" t="s">
        <v>87</v>
      </c>
      <c r="AO198" t="s">
        <v>87</v>
      </c>
      <c r="AP198" t="s">
        <v>87</v>
      </c>
      <c r="AQ198" t="s">
        <v>84</v>
      </c>
      <c r="AS198" t="s">
        <v>87</v>
      </c>
      <c r="AT198" t="s">
        <v>87</v>
      </c>
      <c r="AU198" t="s">
        <v>1802</v>
      </c>
      <c r="AV198" t="s">
        <v>1803</v>
      </c>
      <c r="AW198" t="s">
        <v>89</v>
      </c>
      <c r="AX198" t="s">
        <v>87</v>
      </c>
      <c r="AY198" t="s">
        <v>87</v>
      </c>
      <c r="AZ198" t="s">
        <v>84</v>
      </c>
      <c r="BA198" t="s">
        <v>84</v>
      </c>
      <c r="BB198" t="s">
        <v>87</v>
      </c>
      <c r="BC198" t="s">
        <v>84</v>
      </c>
      <c r="BE198" t="s">
        <v>84</v>
      </c>
      <c r="BH198" t="s">
        <v>87</v>
      </c>
      <c r="BI198" t="s">
        <v>84</v>
      </c>
      <c r="BJ198" t="s">
        <v>84</v>
      </c>
      <c r="BL198" t="s">
        <v>87</v>
      </c>
      <c r="BM198" t="s">
        <v>87</v>
      </c>
      <c r="BN198" t="s">
        <v>84</v>
      </c>
      <c r="BP198" t="s">
        <v>84</v>
      </c>
      <c r="BQ198" t="s">
        <v>84</v>
      </c>
      <c r="BR198" t="s">
        <v>84</v>
      </c>
      <c r="BS198" t="s">
        <v>84</v>
      </c>
      <c r="BT198" t="s">
        <v>87</v>
      </c>
      <c r="BU198" t="s">
        <v>1804</v>
      </c>
      <c r="BV198" t="s">
        <v>87</v>
      </c>
      <c r="BW198" t="s">
        <v>84</v>
      </c>
      <c r="BX198" t="s">
        <v>84</v>
      </c>
      <c r="BY198" t="s">
        <v>84</v>
      </c>
      <c r="BZ198" t="s">
        <v>87</v>
      </c>
      <c r="CB198" t="s">
        <v>84</v>
      </c>
      <c r="CD198" t="s">
        <v>84</v>
      </c>
    </row>
    <row r="199" spans="1:83" x14ac:dyDescent="0.25">
      <c r="A199" t="s">
        <v>1332</v>
      </c>
      <c r="B199" t="s">
        <v>1333</v>
      </c>
      <c r="C199" t="s">
        <v>1334</v>
      </c>
      <c r="D199" t="s">
        <v>1028</v>
      </c>
      <c r="E199" t="s">
        <v>1995</v>
      </c>
      <c r="F199" s="1">
        <v>67701</v>
      </c>
      <c r="G199" s="1" t="s">
        <v>94</v>
      </c>
      <c r="H199" t="s">
        <v>1335</v>
      </c>
      <c r="I199" t="s">
        <v>87</v>
      </c>
      <c r="J199" t="s">
        <v>84</v>
      </c>
      <c r="K199" t="s">
        <v>84</v>
      </c>
      <c r="L199" t="s">
        <v>84</v>
      </c>
      <c r="M199" t="s">
        <v>87</v>
      </c>
      <c r="N199" t="s">
        <v>84</v>
      </c>
      <c r="O199" t="s">
        <v>84</v>
      </c>
      <c r="Q199" t="s">
        <v>94</v>
      </c>
      <c r="S199" t="s">
        <v>1336</v>
      </c>
      <c r="T199" t="s">
        <v>96</v>
      </c>
      <c r="U199" t="s">
        <v>87</v>
      </c>
      <c r="V199" t="s">
        <v>87</v>
      </c>
      <c r="W199" t="s">
        <v>84</v>
      </c>
      <c r="Y199" t="s">
        <v>87</v>
      </c>
      <c r="Z199" t="s">
        <v>87</v>
      </c>
      <c r="AA199" t="s">
        <v>84</v>
      </c>
      <c r="AC199" t="s">
        <v>87</v>
      </c>
      <c r="AD199" t="s">
        <v>84</v>
      </c>
      <c r="AE199" t="s">
        <v>84</v>
      </c>
      <c r="AF199" t="s">
        <v>87</v>
      </c>
      <c r="AG199" t="s">
        <v>87</v>
      </c>
      <c r="AI199" t="s">
        <v>84</v>
      </c>
      <c r="AJ199" t="s">
        <v>84</v>
      </c>
      <c r="AK199" t="s">
        <v>84</v>
      </c>
      <c r="AL199" t="s">
        <v>87</v>
      </c>
      <c r="AM199" t="s">
        <v>84</v>
      </c>
      <c r="AO199" t="s">
        <v>87</v>
      </c>
      <c r="AP199" t="s">
        <v>87</v>
      </c>
      <c r="AQ199" t="s">
        <v>84</v>
      </c>
      <c r="AS199" t="s">
        <v>87</v>
      </c>
      <c r="AT199" t="s">
        <v>84</v>
      </c>
      <c r="AU199" t="s">
        <v>1337</v>
      </c>
      <c r="AW199" t="s">
        <v>89</v>
      </c>
      <c r="AX199" t="s">
        <v>84</v>
      </c>
      <c r="AY199" t="s">
        <v>87</v>
      </c>
      <c r="AZ199" t="s">
        <v>84</v>
      </c>
      <c r="BA199" t="s">
        <v>84</v>
      </c>
      <c r="BB199" t="s">
        <v>84</v>
      </c>
      <c r="BC199" t="s">
        <v>87</v>
      </c>
      <c r="BE199" t="s">
        <v>84</v>
      </c>
      <c r="BF199" t="s">
        <v>94</v>
      </c>
      <c r="BH199" t="s">
        <v>87</v>
      </c>
      <c r="BI199" t="s">
        <v>84</v>
      </c>
      <c r="BJ199" t="s">
        <v>84</v>
      </c>
      <c r="BL199" t="s">
        <v>87</v>
      </c>
      <c r="BM199" t="s">
        <v>87</v>
      </c>
      <c r="BN199" t="s">
        <v>84</v>
      </c>
      <c r="BP199" t="s">
        <v>84</v>
      </c>
      <c r="BQ199" t="s">
        <v>84</v>
      </c>
      <c r="BR199" t="s">
        <v>84</v>
      </c>
      <c r="BS199" t="s">
        <v>87</v>
      </c>
      <c r="BT199" t="s">
        <v>84</v>
      </c>
      <c r="BV199" t="s">
        <v>87</v>
      </c>
      <c r="BW199" t="s">
        <v>84</v>
      </c>
      <c r="BX199" t="s">
        <v>84</v>
      </c>
      <c r="BY199" t="s">
        <v>84</v>
      </c>
      <c r="BZ199" t="s">
        <v>87</v>
      </c>
      <c r="CB199" t="s">
        <v>84</v>
      </c>
      <c r="CD199" t="s">
        <v>84</v>
      </c>
    </row>
    <row r="200" spans="1:83" x14ac:dyDescent="0.25">
      <c r="A200" t="s">
        <v>783</v>
      </c>
      <c r="B200" t="s">
        <v>784</v>
      </c>
      <c r="C200" t="s">
        <v>785</v>
      </c>
      <c r="D200" t="s">
        <v>727</v>
      </c>
      <c r="E200" t="s">
        <v>1995</v>
      </c>
      <c r="F200" s="1">
        <v>83148</v>
      </c>
      <c r="G200" s="1" t="s">
        <v>94</v>
      </c>
      <c r="H200" t="s">
        <v>786</v>
      </c>
      <c r="I200" t="s">
        <v>87</v>
      </c>
      <c r="J200" t="s">
        <v>84</v>
      </c>
      <c r="K200" t="s">
        <v>84</v>
      </c>
      <c r="L200" t="s">
        <v>84</v>
      </c>
      <c r="M200" t="s">
        <v>84</v>
      </c>
      <c r="N200" t="s">
        <v>84</v>
      </c>
      <c r="O200" t="s">
        <v>84</v>
      </c>
      <c r="P200" t="s">
        <v>382</v>
      </c>
      <c r="Q200" t="s">
        <v>94</v>
      </c>
      <c r="S200" t="s">
        <v>787</v>
      </c>
      <c r="T200" t="s">
        <v>96</v>
      </c>
      <c r="U200" t="s">
        <v>84</v>
      </c>
      <c r="V200" t="s">
        <v>87</v>
      </c>
      <c r="W200" t="s">
        <v>87</v>
      </c>
      <c r="Y200" t="s">
        <v>84</v>
      </c>
      <c r="Z200" t="s">
        <v>87</v>
      </c>
      <c r="AA200" t="s">
        <v>87</v>
      </c>
      <c r="AC200" t="s">
        <v>87</v>
      </c>
      <c r="AD200" t="s">
        <v>87</v>
      </c>
      <c r="AE200" t="s">
        <v>84</v>
      </c>
      <c r="AF200" t="s">
        <v>84</v>
      </c>
      <c r="AG200" t="s">
        <v>84</v>
      </c>
      <c r="AI200" t="s">
        <v>84</v>
      </c>
      <c r="AJ200" t="s">
        <v>84</v>
      </c>
      <c r="AK200" t="s">
        <v>84</v>
      </c>
      <c r="AL200" t="s">
        <v>84</v>
      </c>
      <c r="AM200" t="s">
        <v>87</v>
      </c>
      <c r="AO200" t="s">
        <v>84</v>
      </c>
      <c r="AP200" t="s">
        <v>87</v>
      </c>
      <c r="AQ200" t="s">
        <v>84</v>
      </c>
      <c r="AS200" t="s">
        <v>87</v>
      </c>
      <c r="AT200" t="s">
        <v>84</v>
      </c>
      <c r="AU200" t="s">
        <v>788</v>
      </c>
      <c r="AW200" t="s">
        <v>89</v>
      </c>
      <c r="AX200" t="s">
        <v>87</v>
      </c>
      <c r="AY200" t="s">
        <v>87</v>
      </c>
      <c r="AZ200" t="s">
        <v>87</v>
      </c>
      <c r="BA200" t="s">
        <v>84</v>
      </c>
      <c r="BB200" t="s">
        <v>87</v>
      </c>
      <c r="BC200" t="s">
        <v>84</v>
      </c>
      <c r="BE200" t="s">
        <v>84</v>
      </c>
      <c r="BH200" t="s">
        <v>87</v>
      </c>
      <c r="BI200" t="s">
        <v>84</v>
      </c>
      <c r="BJ200" t="s">
        <v>84</v>
      </c>
      <c r="BL200" t="s">
        <v>87</v>
      </c>
      <c r="BM200" t="s">
        <v>84</v>
      </c>
      <c r="BN200" t="s">
        <v>84</v>
      </c>
      <c r="BP200" t="s">
        <v>84</v>
      </c>
      <c r="BQ200" t="s">
        <v>84</v>
      </c>
      <c r="BR200" t="s">
        <v>84</v>
      </c>
      <c r="BS200" t="s">
        <v>84</v>
      </c>
      <c r="BT200" t="s">
        <v>87</v>
      </c>
      <c r="BV200" t="s">
        <v>87</v>
      </c>
      <c r="BW200" t="s">
        <v>84</v>
      </c>
      <c r="BX200" t="s">
        <v>84</v>
      </c>
      <c r="BY200" t="s">
        <v>84</v>
      </c>
      <c r="BZ200" t="s">
        <v>84</v>
      </c>
      <c r="CB200" t="s">
        <v>84</v>
      </c>
      <c r="CD200" t="s">
        <v>84</v>
      </c>
    </row>
    <row r="201" spans="1:83" x14ac:dyDescent="0.25">
      <c r="A201" t="s">
        <v>1768</v>
      </c>
      <c r="B201" t="s">
        <v>1769</v>
      </c>
      <c r="C201" t="s">
        <v>1770</v>
      </c>
      <c r="D201" t="s">
        <v>1028</v>
      </c>
      <c r="E201" t="s">
        <v>1995</v>
      </c>
      <c r="F201" s="10">
        <v>85374</v>
      </c>
      <c r="G201" s="1" t="s">
        <v>94</v>
      </c>
      <c r="H201" t="s">
        <v>1771</v>
      </c>
      <c r="I201" t="s">
        <v>87</v>
      </c>
      <c r="J201" t="s">
        <v>84</v>
      </c>
      <c r="K201" t="s">
        <v>87</v>
      </c>
      <c r="L201" t="s">
        <v>84</v>
      </c>
      <c r="M201" t="s">
        <v>87</v>
      </c>
      <c r="N201" t="s">
        <v>84</v>
      </c>
      <c r="O201" t="s">
        <v>84</v>
      </c>
      <c r="P201" t="s">
        <v>1772</v>
      </c>
      <c r="Q201" t="s">
        <v>94</v>
      </c>
      <c r="S201" t="s">
        <v>1773</v>
      </c>
      <c r="T201" t="s">
        <v>96</v>
      </c>
      <c r="U201" t="s">
        <v>87</v>
      </c>
      <c r="V201" t="s">
        <v>87</v>
      </c>
      <c r="W201" t="s">
        <v>84</v>
      </c>
      <c r="Y201" t="s">
        <v>87</v>
      </c>
      <c r="Z201" t="s">
        <v>87</v>
      </c>
      <c r="AA201" t="s">
        <v>84</v>
      </c>
      <c r="AB201" t="s">
        <v>1774</v>
      </c>
      <c r="AC201" t="s">
        <v>84</v>
      </c>
      <c r="AD201" t="s">
        <v>84</v>
      </c>
      <c r="AE201" t="s">
        <v>84</v>
      </c>
      <c r="AF201" t="s">
        <v>84</v>
      </c>
      <c r="AG201" t="s">
        <v>84</v>
      </c>
      <c r="AH201" t="s">
        <v>1775</v>
      </c>
      <c r="AI201" t="s">
        <v>87</v>
      </c>
      <c r="AJ201" t="s">
        <v>84</v>
      </c>
      <c r="AK201" t="s">
        <v>84</v>
      </c>
      <c r="AL201" t="s">
        <v>84</v>
      </c>
      <c r="AM201" t="s">
        <v>84</v>
      </c>
      <c r="AO201" t="s">
        <v>87</v>
      </c>
      <c r="AP201" t="s">
        <v>87</v>
      </c>
      <c r="AQ201" t="s">
        <v>84</v>
      </c>
      <c r="AS201" t="s">
        <v>87</v>
      </c>
      <c r="AT201" t="s">
        <v>84</v>
      </c>
      <c r="AU201" t="s">
        <v>1776</v>
      </c>
      <c r="AW201" t="s">
        <v>89</v>
      </c>
      <c r="AX201" t="s">
        <v>84</v>
      </c>
      <c r="AY201" t="s">
        <v>87</v>
      </c>
      <c r="AZ201" t="s">
        <v>84</v>
      </c>
      <c r="BA201" t="s">
        <v>84</v>
      </c>
      <c r="BB201" t="s">
        <v>84</v>
      </c>
      <c r="BC201" t="s">
        <v>84</v>
      </c>
      <c r="BD201" t="s">
        <v>1777</v>
      </c>
      <c r="BE201" t="s">
        <v>84</v>
      </c>
      <c r="BH201" t="s">
        <v>87</v>
      </c>
      <c r="BI201" t="s">
        <v>84</v>
      </c>
      <c r="BJ201" t="s">
        <v>84</v>
      </c>
      <c r="BL201" t="s">
        <v>87</v>
      </c>
      <c r="BM201" t="s">
        <v>87</v>
      </c>
      <c r="BN201" t="s">
        <v>84</v>
      </c>
      <c r="BP201" t="s">
        <v>84</v>
      </c>
      <c r="BQ201" t="s">
        <v>84</v>
      </c>
      <c r="BR201" t="s">
        <v>84</v>
      </c>
      <c r="BS201" t="s">
        <v>84</v>
      </c>
      <c r="BT201" t="s">
        <v>87</v>
      </c>
      <c r="BV201" t="s">
        <v>84</v>
      </c>
      <c r="BW201" t="s">
        <v>84</v>
      </c>
      <c r="BX201" t="s">
        <v>84</v>
      </c>
      <c r="BY201" t="s">
        <v>84</v>
      </c>
      <c r="BZ201" t="s">
        <v>84</v>
      </c>
      <c r="CA201" t="s">
        <v>165</v>
      </c>
      <c r="CB201" t="s">
        <v>94</v>
      </c>
      <c r="CC201" t="s">
        <v>1778</v>
      </c>
      <c r="CD201" t="s">
        <v>84</v>
      </c>
    </row>
    <row r="202" spans="1:83" x14ac:dyDescent="0.25">
      <c r="A202" t="s">
        <v>1714</v>
      </c>
      <c r="B202" t="s">
        <v>1715</v>
      </c>
      <c r="C202" t="s">
        <v>1602</v>
      </c>
      <c r="D202" t="s">
        <v>120</v>
      </c>
      <c r="E202" t="s">
        <v>1925</v>
      </c>
      <c r="F202" s="10">
        <v>87532</v>
      </c>
      <c r="G202" s="1" t="s">
        <v>94</v>
      </c>
      <c r="H202" t="s">
        <v>1716</v>
      </c>
      <c r="I202" t="s">
        <v>87</v>
      </c>
      <c r="J202" t="s">
        <v>87</v>
      </c>
      <c r="K202" t="s">
        <v>84</v>
      </c>
      <c r="L202" t="s">
        <v>87</v>
      </c>
      <c r="M202" t="s">
        <v>87</v>
      </c>
      <c r="N202" t="s">
        <v>84</v>
      </c>
      <c r="O202" t="s">
        <v>84</v>
      </c>
      <c r="Q202" t="s">
        <v>94</v>
      </c>
      <c r="S202" t="s">
        <v>1717</v>
      </c>
      <c r="T202" t="s">
        <v>96</v>
      </c>
      <c r="U202" t="s">
        <v>87</v>
      </c>
      <c r="V202" t="s">
        <v>87</v>
      </c>
      <c r="W202" t="s">
        <v>84</v>
      </c>
      <c r="X202" t="s">
        <v>1718</v>
      </c>
      <c r="Y202" t="s">
        <v>84</v>
      </c>
      <c r="Z202" t="s">
        <v>87</v>
      </c>
      <c r="AA202" t="s">
        <v>84</v>
      </c>
      <c r="AB202" t="s">
        <v>1719</v>
      </c>
      <c r="AC202" t="s">
        <v>87</v>
      </c>
      <c r="AD202" t="s">
        <v>84</v>
      </c>
      <c r="AE202" t="s">
        <v>84</v>
      </c>
      <c r="AF202" t="s">
        <v>84</v>
      </c>
      <c r="AG202" t="s">
        <v>87</v>
      </c>
      <c r="AH202" t="s">
        <v>905</v>
      </c>
      <c r="AI202" t="s">
        <v>84</v>
      </c>
      <c r="AJ202" t="s">
        <v>84</v>
      </c>
      <c r="AK202" t="s">
        <v>84</v>
      </c>
      <c r="AL202" t="s">
        <v>87</v>
      </c>
      <c r="AM202" t="s">
        <v>84</v>
      </c>
      <c r="AO202" t="s">
        <v>87</v>
      </c>
      <c r="AP202" t="s">
        <v>87</v>
      </c>
      <c r="AQ202" t="s">
        <v>87</v>
      </c>
      <c r="AS202" t="s">
        <v>87</v>
      </c>
      <c r="AT202" t="s">
        <v>87</v>
      </c>
      <c r="AU202" t="s">
        <v>1720</v>
      </c>
      <c r="AV202" t="s">
        <v>1721</v>
      </c>
      <c r="AW202" t="s">
        <v>89</v>
      </c>
      <c r="AX202" t="s">
        <v>87</v>
      </c>
      <c r="AY202" t="s">
        <v>87</v>
      </c>
      <c r="AZ202" t="s">
        <v>87</v>
      </c>
      <c r="BA202" t="s">
        <v>84</v>
      </c>
      <c r="BB202" t="s">
        <v>84</v>
      </c>
      <c r="BC202" t="s">
        <v>84</v>
      </c>
      <c r="BD202" t="s">
        <v>224</v>
      </c>
      <c r="BE202" t="s">
        <v>84</v>
      </c>
      <c r="BF202" t="s">
        <v>84</v>
      </c>
      <c r="BH202" t="s">
        <v>87</v>
      </c>
      <c r="BI202" t="s">
        <v>84</v>
      </c>
      <c r="BJ202" t="s">
        <v>84</v>
      </c>
      <c r="BL202" t="s">
        <v>87</v>
      </c>
      <c r="BM202" t="s">
        <v>87</v>
      </c>
      <c r="BN202" t="s">
        <v>84</v>
      </c>
      <c r="BP202" t="s">
        <v>84</v>
      </c>
      <c r="BQ202" t="s">
        <v>84</v>
      </c>
      <c r="BR202" t="s">
        <v>84</v>
      </c>
      <c r="BS202" t="s">
        <v>87</v>
      </c>
      <c r="BT202" t="s">
        <v>84</v>
      </c>
      <c r="BU202" t="s">
        <v>1722</v>
      </c>
      <c r="BV202" t="s">
        <v>87</v>
      </c>
      <c r="BW202" t="s">
        <v>84</v>
      </c>
      <c r="BX202" t="s">
        <v>84</v>
      </c>
      <c r="BY202" t="s">
        <v>84</v>
      </c>
      <c r="BZ202" t="s">
        <v>87</v>
      </c>
      <c r="CA202" t="s">
        <v>270</v>
      </c>
      <c r="CB202" t="s">
        <v>94</v>
      </c>
      <c r="CC202" t="s">
        <v>362</v>
      </c>
      <c r="CD202" t="s">
        <v>94</v>
      </c>
      <c r="CE202" t="s">
        <v>1723</v>
      </c>
    </row>
    <row r="203" spans="1:83" x14ac:dyDescent="0.25">
      <c r="A203" t="s">
        <v>400</v>
      </c>
      <c r="B203" t="s">
        <v>401</v>
      </c>
      <c r="C203" t="s">
        <v>402</v>
      </c>
      <c r="D203" t="s">
        <v>325</v>
      </c>
      <c r="E203" t="s">
        <v>1924</v>
      </c>
      <c r="F203" s="1">
        <v>88600</v>
      </c>
      <c r="G203" s="1" t="s">
        <v>84</v>
      </c>
      <c r="I203" t="s">
        <v>85</v>
      </c>
      <c r="J203" t="s">
        <v>85</v>
      </c>
      <c r="K203" t="s">
        <v>85</v>
      </c>
      <c r="L203" t="s">
        <v>85</v>
      </c>
      <c r="M203" t="s">
        <v>85</v>
      </c>
      <c r="N203" t="s">
        <v>85</v>
      </c>
      <c r="O203" t="s">
        <v>85</v>
      </c>
      <c r="Q203" t="s">
        <v>84</v>
      </c>
      <c r="T203" t="s">
        <v>96</v>
      </c>
      <c r="U203" t="s">
        <v>87</v>
      </c>
      <c r="V203" t="s">
        <v>84</v>
      </c>
      <c r="W203" t="s">
        <v>84</v>
      </c>
      <c r="Y203" t="s">
        <v>84</v>
      </c>
      <c r="Z203" t="s">
        <v>84</v>
      </c>
      <c r="AA203" t="s">
        <v>84</v>
      </c>
      <c r="AB203" t="s">
        <v>403</v>
      </c>
      <c r="AC203" t="s">
        <v>84</v>
      </c>
      <c r="AD203" t="s">
        <v>84</v>
      </c>
      <c r="AE203" t="s">
        <v>84</v>
      </c>
      <c r="AF203" t="s">
        <v>84</v>
      </c>
      <c r="AG203" t="s">
        <v>84</v>
      </c>
      <c r="AH203" t="s">
        <v>404</v>
      </c>
      <c r="AI203" t="s">
        <v>84</v>
      </c>
      <c r="AJ203" t="s">
        <v>84</v>
      </c>
      <c r="AK203" t="s">
        <v>84</v>
      </c>
      <c r="AL203" t="s">
        <v>84</v>
      </c>
      <c r="AM203" t="s">
        <v>87</v>
      </c>
      <c r="AO203" t="s">
        <v>84</v>
      </c>
      <c r="AP203" t="s">
        <v>87</v>
      </c>
      <c r="AQ203" t="s">
        <v>84</v>
      </c>
      <c r="AS203" t="s">
        <v>87</v>
      </c>
      <c r="AT203" t="s">
        <v>87</v>
      </c>
      <c r="AU203" t="s">
        <v>194</v>
      </c>
      <c r="AW203" t="s">
        <v>89</v>
      </c>
      <c r="AX203" t="s">
        <v>84</v>
      </c>
      <c r="AY203" t="s">
        <v>87</v>
      </c>
      <c r="AZ203" t="s">
        <v>84</v>
      </c>
      <c r="BA203" t="s">
        <v>84</v>
      </c>
      <c r="BB203" t="s">
        <v>84</v>
      </c>
      <c r="BC203" t="s">
        <v>84</v>
      </c>
      <c r="BD203" t="s">
        <v>405</v>
      </c>
      <c r="BE203" t="s">
        <v>84</v>
      </c>
      <c r="BH203" t="s">
        <v>87</v>
      </c>
      <c r="BI203" t="s">
        <v>84</v>
      </c>
      <c r="BJ203" t="s">
        <v>84</v>
      </c>
      <c r="BL203" t="s">
        <v>87</v>
      </c>
      <c r="BM203" t="s">
        <v>84</v>
      </c>
      <c r="BN203" t="s">
        <v>84</v>
      </c>
      <c r="BP203" t="s">
        <v>84</v>
      </c>
      <c r="BQ203" t="s">
        <v>84</v>
      </c>
      <c r="BR203" t="s">
        <v>84</v>
      </c>
      <c r="BS203" t="s">
        <v>84</v>
      </c>
      <c r="BT203" t="s">
        <v>87</v>
      </c>
      <c r="BV203" t="s">
        <v>87</v>
      </c>
      <c r="BW203" t="s">
        <v>84</v>
      </c>
      <c r="BX203" t="s">
        <v>84</v>
      </c>
      <c r="BY203" t="s">
        <v>84</v>
      </c>
      <c r="BZ203" t="s">
        <v>84</v>
      </c>
      <c r="CB203" t="s">
        <v>84</v>
      </c>
      <c r="CD203" t="s">
        <v>84</v>
      </c>
    </row>
    <row r="204" spans="1:83" x14ac:dyDescent="0.25">
      <c r="A204" t="s">
        <v>1693</v>
      </c>
      <c r="B204" t="s">
        <v>1694</v>
      </c>
      <c r="C204" t="s">
        <v>1695</v>
      </c>
      <c r="D204" t="s">
        <v>299</v>
      </c>
      <c r="E204" t="s">
        <v>1999</v>
      </c>
      <c r="F204" s="10">
        <v>205614</v>
      </c>
      <c r="G204" s="1" t="s">
        <v>84</v>
      </c>
      <c r="I204" t="s">
        <v>85</v>
      </c>
      <c r="J204" t="s">
        <v>85</v>
      </c>
      <c r="K204" t="s">
        <v>85</v>
      </c>
      <c r="L204" t="s">
        <v>85</v>
      </c>
      <c r="M204" t="s">
        <v>85</v>
      </c>
      <c r="N204" t="s">
        <v>85</v>
      </c>
      <c r="O204" t="s">
        <v>85</v>
      </c>
      <c r="Q204" t="s">
        <v>84</v>
      </c>
      <c r="T204" t="s">
        <v>96</v>
      </c>
      <c r="U204" t="s">
        <v>87</v>
      </c>
      <c r="V204" t="s">
        <v>87</v>
      </c>
      <c r="W204" t="s">
        <v>87</v>
      </c>
      <c r="Y204" t="s">
        <v>84</v>
      </c>
      <c r="Z204" t="s">
        <v>84</v>
      </c>
      <c r="AA204" t="s">
        <v>84</v>
      </c>
      <c r="AB204" t="s">
        <v>1696</v>
      </c>
      <c r="AC204" t="s">
        <v>87</v>
      </c>
      <c r="AD204" t="s">
        <v>84</v>
      </c>
      <c r="AE204" t="s">
        <v>84</v>
      </c>
      <c r="AF204" t="s">
        <v>84</v>
      </c>
      <c r="AG204" t="s">
        <v>87</v>
      </c>
      <c r="AH204" t="s">
        <v>352</v>
      </c>
      <c r="AI204" t="s">
        <v>84</v>
      </c>
      <c r="AJ204" t="s">
        <v>84</v>
      </c>
      <c r="AK204" t="s">
        <v>84</v>
      </c>
      <c r="AL204" t="s">
        <v>84</v>
      </c>
      <c r="AM204" t="s">
        <v>87</v>
      </c>
      <c r="AO204" t="s">
        <v>87</v>
      </c>
      <c r="AP204" t="s">
        <v>87</v>
      </c>
      <c r="AQ204" t="s">
        <v>84</v>
      </c>
      <c r="AS204" t="s">
        <v>87</v>
      </c>
      <c r="AT204" t="s">
        <v>87</v>
      </c>
      <c r="AU204" t="s">
        <v>1697</v>
      </c>
      <c r="AV204" t="s">
        <v>1697</v>
      </c>
      <c r="AW204" t="s">
        <v>560</v>
      </c>
      <c r="AX204" t="s">
        <v>87</v>
      </c>
      <c r="AY204" t="s">
        <v>87</v>
      </c>
      <c r="AZ204" t="s">
        <v>87</v>
      </c>
      <c r="BA204" t="s">
        <v>84</v>
      </c>
      <c r="BB204" t="s">
        <v>87</v>
      </c>
      <c r="BC204" t="s">
        <v>87</v>
      </c>
      <c r="BE204" t="s">
        <v>84</v>
      </c>
      <c r="BF204" t="s">
        <v>84</v>
      </c>
      <c r="BH204" t="s">
        <v>87</v>
      </c>
      <c r="BI204" t="s">
        <v>84</v>
      </c>
      <c r="BJ204" t="s">
        <v>84</v>
      </c>
      <c r="BL204" t="s">
        <v>87</v>
      </c>
      <c r="BM204" t="s">
        <v>87</v>
      </c>
      <c r="BN204" t="s">
        <v>84</v>
      </c>
      <c r="BP204" t="s">
        <v>84</v>
      </c>
      <c r="BQ204" t="s">
        <v>84</v>
      </c>
      <c r="BR204" t="s">
        <v>87</v>
      </c>
      <c r="BS204" t="s">
        <v>87</v>
      </c>
      <c r="BT204" t="s">
        <v>84</v>
      </c>
      <c r="BV204" t="s">
        <v>87</v>
      </c>
      <c r="BW204" t="s">
        <v>84</v>
      </c>
      <c r="BX204" t="s">
        <v>84</v>
      </c>
      <c r="BY204" t="s">
        <v>84</v>
      </c>
      <c r="BZ204" t="s">
        <v>87</v>
      </c>
      <c r="CB204" t="s">
        <v>84</v>
      </c>
      <c r="CD204" t="s">
        <v>84</v>
      </c>
    </row>
    <row r="205" spans="1:83" x14ac:dyDescent="0.25">
      <c r="A205" t="s">
        <v>1516</v>
      </c>
      <c r="B205" t="s">
        <v>1517</v>
      </c>
      <c r="C205" t="s">
        <v>1518</v>
      </c>
      <c r="D205" t="s">
        <v>278</v>
      </c>
      <c r="E205" t="s">
        <v>1994</v>
      </c>
      <c r="F205" s="10">
        <v>252882</v>
      </c>
      <c r="G205" s="1" t="s">
        <v>94</v>
      </c>
      <c r="H205" t="s">
        <v>1519</v>
      </c>
      <c r="I205" t="s">
        <v>87</v>
      </c>
      <c r="J205" t="s">
        <v>84</v>
      </c>
      <c r="K205" t="s">
        <v>84</v>
      </c>
      <c r="L205" t="s">
        <v>84</v>
      </c>
      <c r="M205" t="s">
        <v>84</v>
      </c>
      <c r="N205" t="s">
        <v>84</v>
      </c>
      <c r="O205" t="s">
        <v>84</v>
      </c>
      <c r="P205" t="s">
        <v>1520</v>
      </c>
      <c r="Q205" t="s">
        <v>94</v>
      </c>
      <c r="S205" t="s">
        <v>1521</v>
      </c>
      <c r="T205" t="s">
        <v>86</v>
      </c>
      <c r="U205" t="s">
        <v>87</v>
      </c>
      <c r="V205" t="s">
        <v>84</v>
      </c>
      <c r="W205" t="s">
        <v>84</v>
      </c>
      <c r="Y205" t="s">
        <v>84</v>
      </c>
      <c r="Z205" t="s">
        <v>84</v>
      </c>
      <c r="AA205" t="s">
        <v>84</v>
      </c>
      <c r="AB205" t="s">
        <v>1522</v>
      </c>
      <c r="AC205" t="s">
        <v>87</v>
      </c>
      <c r="AD205" t="s">
        <v>84</v>
      </c>
      <c r="AE205" t="s">
        <v>84</v>
      </c>
      <c r="AF205" t="s">
        <v>84</v>
      </c>
      <c r="AG205" t="s">
        <v>87</v>
      </c>
      <c r="AI205" t="s">
        <v>84</v>
      </c>
      <c r="AJ205" t="s">
        <v>84</v>
      </c>
      <c r="AK205" t="s">
        <v>84</v>
      </c>
      <c r="AL205" t="s">
        <v>87</v>
      </c>
      <c r="AM205" t="s">
        <v>84</v>
      </c>
      <c r="AO205" t="s">
        <v>84</v>
      </c>
      <c r="AP205" t="s">
        <v>87</v>
      </c>
      <c r="AQ205" t="s">
        <v>84</v>
      </c>
      <c r="AS205" t="s">
        <v>87</v>
      </c>
      <c r="AT205" t="s">
        <v>87</v>
      </c>
      <c r="AU205" t="s">
        <v>1523</v>
      </c>
      <c r="AV205" t="s">
        <v>1523</v>
      </c>
      <c r="AW205" t="s">
        <v>89</v>
      </c>
      <c r="AX205" t="s">
        <v>87</v>
      </c>
      <c r="AY205" t="s">
        <v>87</v>
      </c>
      <c r="AZ205" t="s">
        <v>87</v>
      </c>
      <c r="BA205" t="s">
        <v>84</v>
      </c>
      <c r="BB205" t="s">
        <v>84</v>
      </c>
      <c r="BC205" t="s">
        <v>84</v>
      </c>
      <c r="BD205" t="s">
        <v>266</v>
      </c>
      <c r="BE205" t="s">
        <v>84</v>
      </c>
      <c r="BH205" t="s">
        <v>87</v>
      </c>
      <c r="BI205" t="s">
        <v>84</v>
      </c>
      <c r="BJ205" t="s">
        <v>84</v>
      </c>
      <c r="BL205" t="s">
        <v>84</v>
      </c>
      <c r="BM205" t="s">
        <v>87</v>
      </c>
      <c r="BN205" t="s">
        <v>87</v>
      </c>
      <c r="BP205" t="s">
        <v>84</v>
      </c>
      <c r="BQ205" t="s">
        <v>84</v>
      </c>
      <c r="BR205" t="s">
        <v>87</v>
      </c>
      <c r="BS205" t="s">
        <v>87</v>
      </c>
      <c r="BT205" t="s">
        <v>84</v>
      </c>
      <c r="BV205" t="s">
        <v>87</v>
      </c>
      <c r="BW205" t="s">
        <v>84</v>
      </c>
      <c r="BX205" t="s">
        <v>84</v>
      </c>
      <c r="BY205" t="s">
        <v>84</v>
      </c>
      <c r="BZ205" t="s">
        <v>84</v>
      </c>
      <c r="CB205" t="s">
        <v>84</v>
      </c>
      <c r="CD205" t="s">
        <v>84</v>
      </c>
    </row>
    <row r="206" spans="1:83" x14ac:dyDescent="0.25">
      <c r="A206" t="s">
        <v>1745</v>
      </c>
      <c r="B206" t="s">
        <v>1746</v>
      </c>
      <c r="C206" t="s">
        <v>1747</v>
      </c>
      <c r="D206" t="s">
        <v>137</v>
      </c>
      <c r="E206" t="s">
        <v>1926</v>
      </c>
      <c r="F206" s="1">
        <v>1825332</v>
      </c>
      <c r="G206" s="1" t="s">
        <v>84</v>
      </c>
      <c r="I206" t="s">
        <v>85</v>
      </c>
      <c r="J206" t="s">
        <v>85</v>
      </c>
      <c r="K206" t="s">
        <v>85</v>
      </c>
      <c r="L206" t="s">
        <v>85</v>
      </c>
      <c r="M206" t="s">
        <v>85</v>
      </c>
      <c r="N206" t="s">
        <v>85</v>
      </c>
      <c r="O206" t="s">
        <v>85</v>
      </c>
      <c r="Q206" t="s">
        <v>84</v>
      </c>
      <c r="T206" t="s">
        <v>96</v>
      </c>
      <c r="U206" t="s">
        <v>87</v>
      </c>
      <c r="V206" t="s">
        <v>87</v>
      </c>
      <c r="W206" t="s">
        <v>84</v>
      </c>
      <c r="Y206" t="s">
        <v>84</v>
      </c>
      <c r="Z206" t="s">
        <v>87</v>
      </c>
      <c r="AA206" t="s">
        <v>84</v>
      </c>
      <c r="AC206" t="s">
        <v>84</v>
      </c>
      <c r="AD206" t="s">
        <v>84</v>
      </c>
      <c r="AE206" t="s">
        <v>84</v>
      </c>
      <c r="AF206" t="s">
        <v>84</v>
      </c>
      <c r="AG206" t="s">
        <v>84</v>
      </c>
      <c r="AH206" t="s">
        <v>1748</v>
      </c>
      <c r="AI206" t="s">
        <v>84</v>
      </c>
      <c r="AJ206" t="s">
        <v>84</v>
      </c>
      <c r="AK206" t="s">
        <v>84</v>
      </c>
      <c r="AL206" t="s">
        <v>84</v>
      </c>
      <c r="AM206" t="s">
        <v>87</v>
      </c>
      <c r="AO206" t="s">
        <v>84</v>
      </c>
      <c r="AP206" t="s">
        <v>87</v>
      </c>
      <c r="AQ206" t="s">
        <v>84</v>
      </c>
      <c r="AS206" t="s">
        <v>84</v>
      </c>
      <c r="AT206" t="s">
        <v>87</v>
      </c>
      <c r="AV206" t="s">
        <v>1749</v>
      </c>
      <c r="AW206" t="s">
        <v>560</v>
      </c>
      <c r="AX206" t="s">
        <v>87</v>
      </c>
      <c r="AY206" t="s">
        <v>84</v>
      </c>
      <c r="AZ206" t="s">
        <v>84</v>
      </c>
      <c r="BA206" t="s">
        <v>84</v>
      </c>
      <c r="BB206" t="s">
        <v>84</v>
      </c>
      <c r="BC206" t="s">
        <v>84</v>
      </c>
      <c r="BD206" t="s">
        <v>348</v>
      </c>
      <c r="BE206" t="s">
        <v>84</v>
      </c>
      <c r="BH206" t="s">
        <v>87</v>
      </c>
      <c r="BI206" t="s">
        <v>84</v>
      </c>
      <c r="BJ206" t="s">
        <v>84</v>
      </c>
      <c r="BL206" t="s">
        <v>87</v>
      </c>
      <c r="BM206" t="s">
        <v>84</v>
      </c>
      <c r="BN206" t="s">
        <v>84</v>
      </c>
      <c r="BP206" t="s">
        <v>84</v>
      </c>
      <c r="BQ206" t="s">
        <v>84</v>
      </c>
      <c r="BR206" t="s">
        <v>84</v>
      </c>
      <c r="BS206" t="s">
        <v>87</v>
      </c>
      <c r="BT206" t="s">
        <v>84</v>
      </c>
      <c r="BV206" t="s">
        <v>87</v>
      </c>
      <c r="BW206" t="s">
        <v>84</v>
      </c>
      <c r="BX206" t="s">
        <v>84</v>
      </c>
      <c r="BY206" t="s">
        <v>84</v>
      </c>
      <c r="BZ206" t="s">
        <v>84</v>
      </c>
      <c r="CB206" t="s">
        <v>84</v>
      </c>
      <c r="CD206" t="s">
        <v>84</v>
      </c>
    </row>
    <row r="207" spans="1:83" x14ac:dyDescent="0.25">
      <c r="A207" t="s">
        <v>1805</v>
      </c>
      <c r="B207" t="s">
        <v>1806</v>
      </c>
      <c r="C207" t="s">
        <v>299</v>
      </c>
      <c r="D207" t="s">
        <v>299</v>
      </c>
      <c r="E207" t="s">
        <v>1999</v>
      </c>
      <c r="F207" s="1">
        <v>3166000</v>
      </c>
      <c r="G207" s="1" t="s">
        <v>94</v>
      </c>
      <c r="H207" t="s">
        <v>1807</v>
      </c>
      <c r="I207" t="s">
        <v>87</v>
      </c>
      <c r="J207" t="s">
        <v>84</v>
      </c>
      <c r="K207" t="s">
        <v>87</v>
      </c>
      <c r="L207" t="s">
        <v>84</v>
      </c>
      <c r="M207" t="s">
        <v>87</v>
      </c>
      <c r="N207" t="s">
        <v>87</v>
      </c>
      <c r="O207" t="s">
        <v>84</v>
      </c>
      <c r="Q207" t="s">
        <v>94</v>
      </c>
      <c r="S207" t="s">
        <v>1808</v>
      </c>
      <c r="T207" t="s">
        <v>96</v>
      </c>
      <c r="U207" t="s">
        <v>87</v>
      </c>
      <c r="V207" t="s">
        <v>87</v>
      </c>
      <c r="W207" t="s">
        <v>84</v>
      </c>
      <c r="Y207" t="s">
        <v>87</v>
      </c>
      <c r="Z207" t="s">
        <v>87</v>
      </c>
      <c r="AA207" t="s">
        <v>84</v>
      </c>
      <c r="AB207" t="s">
        <v>1809</v>
      </c>
      <c r="AC207" t="s">
        <v>87</v>
      </c>
      <c r="AD207" t="s">
        <v>84</v>
      </c>
      <c r="AE207" t="s">
        <v>84</v>
      </c>
      <c r="AF207" t="s">
        <v>87</v>
      </c>
      <c r="AG207" t="s">
        <v>87</v>
      </c>
      <c r="AI207" t="s">
        <v>87</v>
      </c>
      <c r="AJ207" t="s">
        <v>84</v>
      </c>
      <c r="AK207" t="s">
        <v>87</v>
      </c>
      <c r="AL207" t="s">
        <v>84</v>
      </c>
      <c r="AM207" t="s">
        <v>84</v>
      </c>
      <c r="AO207" t="s">
        <v>87</v>
      </c>
      <c r="AP207" t="s">
        <v>87</v>
      </c>
      <c r="AQ207" t="s">
        <v>84</v>
      </c>
      <c r="AR207" t="s">
        <v>1810</v>
      </c>
      <c r="AS207" t="s">
        <v>87</v>
      </c>
      <c r="AT207" t="s">
        <v>87</v>
      </c>
      <c r="AU207" t="s">
        <v>1811</v>
      </c>
      <c r="AV207" t="s">
        <v>1812</v>
      </c>
      <c r="AW207" t="s">
        <v>152</v>
      </c>
      <c r="AX207" t="s">
        <v>87</v>
      </c>
      <c r="AY207" t="s">
        <v>84</v>
      </c>
      <c r="AZ207" t="s">
        <v>84</v>
      </c>
      <c r="BA207" t="s">
        <v>84</v>
      </c>
      <c r="BB207" t="s">
        <v>84</v>
      </c>
      <c r="BC207" t="s">
        <v>84</v>
      </c>
      <c r="BD207" t="s">
        <v>224</v>
      </c>
      <c r="BE207" t="s">
        <v>84</v>
      </c>
      <c r="BH207" t="s">
        <v>87</v>
      </c>
      <c r="BI207" t="s">
        <v>84</v>
      </c>
      <c r="BJ207" t="s">
        <v>84</v>
      </c>
      <c r="BL207" t="s">
        <v>87</v>
      </c>
      <c r="BM207" t="s">
        <v>84</v>
      </c>
      <c r="BN207" t="s">
        <v>84</v>
      </c>
      <c r="BP207" t="s">
        <v>87</v>
      </c>
      <c r="BQ207" t="s">
        <v>84</v>
      </c>
      <c r="BR207" t="s">
        <v>84</v>
      </c>
      <c r="BS207" t="s">
        <v>84</v>
      </c>
      <c r="BT207" t="s">
        <v>84</v>
      </c>
      <c r="BV207" t="s">
        <v>87</v>
      </c>
      <c r="BW207" t="s">
        <v>84</v>
      </c>
      <c r="BX207" t="s">
        <v>84</v>
      </c>
      <c r="BY207" t="s">
        <v>84</v>
      </c>
      <c r="BZ207" t="s">
        <v>84</v>
      </c>
      <c r="CB207" t="s">
        <v>94</v>
      </c>
      <c r="CC207" t="s">
        <v>1813</v>
      </c>
      <c r="CD207" t="s">
        <v>94</v>
      </c>
      <c r="CE207" t="s">
        <v>1814</v>
      </c>
    </row>
    <row r="208" spans="1:83" x14ac:dyDescent="0.25">
      <c r="A208" t="s">
        <v>117</v>
      </c>
      <c r="B208" t="s">
        <v>118</v>
      </c>
      <c r="C208" t="s">
        <v>119</v>
      </c>
      <c r="D208" t="s">
        <v>120</v>
      </c>
      <c r="E208" t="s">
        <v>1925</v>
      </c>
      <c r="F208" s="1">
        <v>1100</v>
      </c>
      <c r="G208" s="1" t="s">
        <v>84</v>
      </c>
      <c r="I208" t="s">
        <v>85</v>
      </c>
      <c r="J208" t="s">
        <v>85</v>
      </c>
      <c r="K208" t="s">
        <v>85</v>
      </c>
      <c r="L208" t="s">
        <v>85</v>
      </c>
      <c r="M208" t="s">
        <v>85</v>
      </c>
      <c r="N208" t="s">
        <v>85</v>
      </c>
      <c r="O208" t="s">
        <v>85</v>
      </c>
      <c r="Q208" t="s">
        <v>84</v>
      </c>
      <c r="T208" t="s">
        <v>96</v>
      </c>
      <c r="U208" t="s">
        <v>87</v>
      </c>
      <c r="V208" t="s">
        <v>87</v>
      </c>
      <c r="W208" t="s">
        <v>87</v>
      </c>
      <c r="X208" t="s">
        <v>121</v>
      </c>
      <c r="Y208" t="s">
        <v>87</v>
      </c>
      <c r="Z208" t="s">
        <v>87</v>
      </c>
      <c r="AA208" t="s">
        <v>87</v>
      </c>
      <c r="AB208" t="s">
        <v>121</v>
      </c>
      <c r="AC208" t="s">
        <v>87</v>
      </c>
      <c r="AD208" t="s">
        <v>87</v>
      </c>
      <c r="AE208" t="s">
        <v>84</v>
      </c>
      <c r="AF208" t="s">
        <v>84</v>
      </c>
      <c r="AG208" t="s">
        <v>87</v>
      </c>
      <c r="AI208" t="s">
        <v>87</v>
      </c>
      <c r="AJ208" t="s">
        <v>84</v>
      </c>
      <c r="AK208" t="s">
        <v>84</v>
      </c>
      <c r="AL208" t="s">
        <v>84</v>
      </c>
      <c r="AM208" t="s">
        <v>84</v>
      </c>
      <c r="AO208" t="s">
        <v>87</v>
      </c>
      <c r="AP208" t="s">
        <v>87</v>
      </c>
      <c r="AQ208" t="s">
        <v>87</v>
      </c>
      <c r="AS208" t="s">
        <v>87</v>
      </c>
      <c r="AT208" t="s">
        <v>84</v>
      </c>
      <c r="AU208" t="s">
        <v>122</v>
      </c>
      <c r="AW208" t="s">
        <v>89</v>
      </c>
      <c r="AX208" t="s">
        <v>87</v>
      </c>
      <c r="AY208" t="s">
        <v>87</v>
      </c>
      <c r="AZ208" t="s">
        <v>87</v>
      </c>
      <c r="BA208" t="s">
        <v>84</v>
      </c>
      <c r="BB208" t="s">
        <v>84</v>
      </c>
      <c r="BC208" t="s">
        <v>84</v>
      </c>
      <c r="BD208" t="s">
        <v>123</v>
      </c>
      <c r="BE208" t="s">
        <v>94</v>
      </c>
      <c r="BG208" t="s">
        <v>124</v>
      </c>
      <c r="BH208" t="s">
        <v>87</v>
      </c>
      <c r="BI208" t="s">
        <v>84</v>
      </c>
      <c r="BJ208" t="s">
        <v>84</v>
      </c>
      <c r="BK208" t="s">
        <v>125</v>
      </c>
      <c r="BL208" t="s">
        <v>87</v>
      </c>
      <c r="BM208" t="s">
        <v>84</v>
      </c>
      <c r="BN208" t="s">
        <v>84</v>
      </c>
      <c r="BP208" t="s">
        <v>87</v>
      </c>
      <c r="BQ208" t="s">
        <v>84</v>
      </c>
      <c r="BR208" t="s">
        <v>87</v>
      </c>
      <c r="BS208" t="s">
        <v>84</v>
      </c>
      <c r="BT208" t="s">
        <v>84</v>
      </c>
      <c r="BV208" t="s">
        <v>87</v>
      </c>
      <c r="BW208" t="s">
        <v>84</v>
      </c>
      <c r="BX208" t="s">
        <v>84</v>
      </c>
      <c r="BY208" t="s">
        <v>84</v>
      </c>
      <c r="BZ208" t="s">
        <v>84</v>
      </c>
      <c r="CB208" t="s">
        <v>94</v>
      </c>
      <c r="CC208" t="s">
        <v>126</v>
      </c>
      <c r="CD208" t="s">
        <v>94</v>
      </c>
      <c r="CE208" t="s">
        <v>127</v>
      </c>
    </row>
    <row r="209" spans="1:83" x14ac:dyDescent="0.25">
      <c r="A209" t="s">
        <v>281</v>
      </c>
      <c r="B209" t="s">
        <v>282</v>
      </c>
      <c r="C209" t="s">
        <v>283</v>
      </c>
      <c r="D209" t="s">
        <v>284</v>
      </c>
      <c r="E209" t="s">
        <v>1998</v>
      </c>
      <c r="F209" s="1">
        <v>1750</v>
      </c>
      <c r="G209" s="1" t="s">
        <v>94</v>
      </c>
      <c r="H209" t="s">
        <v>199</v>
      </c>
      <c r="I209" t="s">
        <v>87</v>
      </c>
      <c r="J209" t="s">
        <v>84</v>
      </c>
      <c r="K209" t="s">
        <v>87</v>
      </c>
      <c r="L209" t="s">
        <v>84</v>
      </c>
      <c r="M209" t="s">
        <v>87</v>
      </c>
      <c r="N209" t="s">
        <v>84</v>
      </c>
      <c r="O209" t="s">
        <v>84</v>
      </c>
      <c r="Q209" t="s">
        <v>94</v>
      </c>
      <c r="S209" t="s">
        <v>285</v>
      </c>
      <c r="T209" t="s">
        <v>96</v>
      </c>
      <c r="U209" t="s">
        <v>87</v>
      </c>
      <c r="V209" t="s">
        <v>87</v>
      </c>
      <c r="W209" t="s">
        <v>87</v>
      </c>
      <c r="Y209" t="s">
        <v>87</v>
      </c>
      <c r="Z209" t="s">
        <v>87</v>
      </c>
      <c r="AA209" t="s">
        <v>87</v>
      </c>
      <c r="AC209" t="s">
        <v>87</v>
      </c>
      <c r="AD209" t="s">
        <v>84</v>
      </c>
      <c r="AE209" t="s">
        <v>84</v>
      </c>
      <c r="AF209" t="s">
        <v>84</v>
      </c>
      <c r="AG209" t="s">
        <v>84</v>
      </c>
      <c r="AI209" t="s">
        <v>84</v>
      </c>
      <c r="AJ209" t="s">
        <v>84</v>
      </c>
      <c r="AK209" t="s">
        <v>84</v>
      </c>
      <c r="AL209" t="s">
        <v>84</v>
      </c>
      <c r="AM209" t="s">
        <v>87</v>
      </c>
      <c r="AO209" t="s">
        <v>87</v>
      </c>
      <c r="AP209" t="s">
        <v>87</v>
      </c>
      <c r="AQ209" t="s">
        <v>84</v>
      </c>
      <c r="AS209" t="s">
        <v>87</v>
      </c>
      <c r="AT209" t="s">
        <v>84</v>
      </c>
      <c r="AU209" t="s">
        <v>286</v>
      </c>
      <c r="AW209" t="s">
        <v>89</v>
      </c>
      <c r="AX209" t="s">
        <v>87</v>
      </c>
      <c r="AY209" t="s">
        <v>87</v>
      </c>
      <c r="AZ209" t="s">
        <v>87</v>
      </c>
      <c r="BA209" t="s">
        <v>84</v>
      </c>
      <c r="BB209" t="s">
        <v>84</v>
      </c>
      <c r="BC209" t="s">
        <v>87</v>
      </c>
      <c r="BD209" t="s">
        <v>287</v>
      </c>
      <c r="BE209" t="s">
        <v>94</v>
      </c>
      <c r="BG209" t="s">
        <v>285</v>
      </c>
      <c r="BH209" t="s">
        <v>87</v>
      </c>
      <c r="BI209" t="s">
        <v>84</v>
      </c>
      <c r="BJ209" t="s">
        <v>84</v>
      </c>
      <c r="BL209" t="s">
        <v>84</v>
      </c>
      <c r="BM209" t="s">
        <v>84</v>
      </c>
      <c r="BN209" t="s">
        <v>84</v>
      </c>
      <c r="BO209" t="s">
        <v>288</v>
      </c>
      <c r="BP209" t="s">
        <v>84</v>
      </c>
      <c r="BQ209" t="s">
        <v>84</v>
      </c>
      <c r="BR209" t="s">
        <v>84</v>
      </c>
      <c r="BS209" t="s">
        <v>84</v>
      </c>
      <c r="BT209" t="s">
        <v>87</v>
      </c>
      <c r="BV209" t="s">
        <v>87</v>
      </c>
      <c r="BW209" t="s">
        <v>84</v>
      </c>
      <c r="BX209" t="s">
        <v>84</v>
      </c>
      <c r="BY209" t="s">
        <v>84</v>
      </c>
      <c r="BZ209" t="s">
        <v>84</v>
      </c>
      <c r="CB209" t="s">
        <v>84</v>
      </c>
      <c r="CD209" t="s">
        <v>84</v>
      </c>
    </row>
    <row r="210" spans="1:83" x14ac:dyDescent="0.25">
      <c r="A210" t="s">
        <v>1415</v>
      </c>
      <c r="B210" t="s">
        <v>1416</v>
      </c>
      <c r="C210" t="s">
        <v>1417</v>
      </c>
      <c r="D210" t="s">
        <v>120</v>
      </c>
      <c r="E210" t="s">
        <v>1925</v>
      </c>
      <c r="F210" s="1">
        <v>1826</v>
      </c>
      <c r="G210" s="1" t="s">
        <v>94</v>
      </c>
      <c r="H210" t="s">
        <v>671</v>
      </c>
      <c r="I210" t="s">
        <v>87</v>
      </c>
      <c r="J210" t="s">
        <v>87</v>
      </c>
      <c r="K210" t="s">
        <v>87</v>
      </c>
      <c r="L210" t="s">
        <v>87</v>
      </c>
      <c r="M210" t="s">
        <v>87</v>
      </c>
      <c r="N210" t="s">
        <v>87</v>
      </c>
      <c r="O210" t="s">
        <v>87</v>
      </c>
      <c r="Q210" t="s">
        <v>94</v>
      </c>
      <c r="S210" t="s">
        <v>1418</v>
      </c>
      <c r="T210" t="s">
        <v>96</v>
      </c>
      <c r="U210" t="s">
        <v>87</v>
      </c>
      <c r="V210" t="s">
        <v>87</v>
      </c>
      <c r="W210" t="s">
        <v>84</v>
      </c>
      <c r="Y210" t="s">
        <v>87</v>
      </c>
      <c r="Z210" t="s">
        <v>87</v>
      </c>
      <c r="AA210" t="s">
        <v>84</v>
      </c>
      <c r="AB210" t="s">
        <v>1419</v>
      </c>
      <c r="AC210" t="s">
        <v>87</v>
      </c>
      <c r="AD210" t="s">
        <v>87</v>
      </c>
      <c r="AE210" t="s">
        <v>87</v>
      </c>
      <c r="AF210" t="s">
        <v>87</v>
      </c>
      <c r="AG210" t="s">
        <v>87</v>
      </c>
      <c r="AI210" t="s">
        <v>84</v>
      </c>
      <c r="AJ210" t="s">
        <v>84</v>
      </c>
      <c r="AK210" t="s">
        <v>84</v>
      </c>
      <c r="AL210" t="s">
        <v>84</v>
      </c>
      <c r="AM210" t="s">
        <v>87</v>
      </c>
      <c r="AO210" t="s">
        <v>87</v>
      </c>
      <c r="AP210" t="s">
        <v>87</v>
      </c>
      <c r="AQ210" t="s">
        <v>84</v>
      </c>
      <c r="AR210" t="s">
        <v>1420</v>
      </c>
      <c r="AS210" t="s">
        <v>87</v>
      </c>
      <c r="AT210" t="s">
        <v>87</v>
      </c>
      <c r="AU210" t="s">
        <v>1421</v>
      </c>
      <c r="AV210" t="s">
        <v>1422</v>
      </c>
      <c r="AW210" t="s">
        <v>89</v>
      </c>
      <c r="AX210" t="s">
        <v>87</v>
      </c>
      <c r="AY210" t="s">
        <v>87</v>
      </c>
      <c r="AZ210" t="s">
        <v>84</v>
      </c>
      <c r="BA210" t="s">
        <v>84</v>
      </c>
      <c r="BB210" t="s">
        <v>87</v>
      </c>
      <c r="BC210" t="s">
        <v>84</v>
      </c>
      <c r="BE210" t="s">
        <v>94</v>
      </c>
      <c r="BG210" t="s">
        <v>1418</v>
      </c>
      <c r="BH210" t="s">
        <v>87</v>
      </c>
      <c r="BI210" t="s">
        <v>84</v>
      </c>
      <c r="BJ210" t="s">
        <v>84</v>
      </c>
      <c r="BK210" t="s">
        <v>1423</v>
      </c>
      <c r="BL210" t="s">
        <v>87</v>
      </c>
      <c r="BM210" t="s">
        <v>84</v>
      </c>
      <c r="BN210" t="s">
        <v>84</v>
      </c>
      <c r="BO210" t="s">
        <v>1424</v>
      </c>
      <c r="BP210" t="s">
        <v>84</v>
      </c>
      <c r="BQ210" t="s">
        <v>84</v>
      </c>
      <c r="BR210" t="s">
        <v>84</v>
      </c>
      <c r="BS210" t="s">
        <v>84</v>
      </c>
      <c r="BT210" t="s">
        <v>87</v>
      </c>
      <c r="BV210" t="s">
        <v>87</v>
      </c>
      <c r="BW210" t="s">
        <v>84</v>
      </c>
      <c r="BX210" t="s">
        <v>84</v>
      </c>
      <c r="BY210" t="s">
        <v>84</v>
      </c>
      <c r="BZ210" t="s">
        <v>84</v>
      </c>
      <c r="CA210" t="s">
        <v>1425</v>
      </c>
      <c r="CB210" t="s">
        <v>84</v>
      </c>
      <c r="CD210" t="s">
        <v>94</v>
      </c>
      <c r="CE210" t="s">
        <v>1426</v>
      </c>
    </row>
    <row r="211" spans="1:83" x14ac:dyDescent="0.25">
      <c r="A211" t="s">
        <v>1865</v>
      </c>
      <c r="B211" t="s">
        <v>1866</v>
      </c>
      <c r="C211" t="s">
        <v>1867</v>
      </c>
      <c r="D211" t="s">
        <v>299</v>
      </c>
      <c r="E211" t="s">
        <v>1999</v>
      </c>
      <c r="F211" s="1">
        <v>2115</v>
      </c>
      <c r="G211" s="1" t="s">
        <v>94</v>
      </c>
      <c r="H211" t="s">
        <v>1868</v>
      </c>
      <c r="I211" t="s">
        <v>87</v>
      </c>
      <c r="J211" t="s">
        <v>84</v>
      </c>
      <c r="K211" t="s">
        <v>84</v>
      </c>
      <c r="L211" t="s">
        <v>84</v>
      </c>
      <c r="M211" t="s">
        <v>87</v>
      </c>
      <c r="N211" t="s">
        <v>84</v>
      </c>
      <c r="O211" t="s">
        <v>84</v>
      </c>
      <c r="Q211" t="s">
        <v>84</v>
      </c>
      <c r="T211" t="s">
        <v>86</v>
      </c>
      <c r="U211" t="s">
        <v>87</v>
      </c>
      <c r="V211" t="s">
        <v>87</v>
      </c>
      <c r="W211" t="s">
        <v>84</v>
      </c>
      <c r="Y211" t="s">
        <v>87</v>
      </c>
      <c r="Z211" t="s">
        <v>87</v>
      </c>
      <c r="AA211" t="s">
        <v>84</v>
      </c>
      <c r="AC211" t="s">
        <v>87</v>
      </c>
      <c r="AD211" t="s">
        <v>84</v>
      </c>
      <c r="AE211" t="s">
        <v>87</v>
      </c>
      <c r="AF211" t="s">
        <v>87</v>
      </c>
      <c r="AG211" t="s">
        <v>84</v>
      </c>
      <c r="AH211" t="s">
        <v>1869</v>
      </c>
      <c r="AI211" t="s">
        <v>87</v>
      </c>
      <c r="AJ211" t="s">
        <v>84</v>
      </c>
      <c r="AK211" t="s">
        <v>84</v>
      </c>
      <c r="AL211" t="s">
        <v>84</v>
      </c>
      <c r="AM211" t="s">
        <v>84</v>
      </c>
      <c r="AO211" t="s">
        <v>87</v>
      </c>
      <c r="AP211" t="s">
        <v>87</v>
      </c>
      <c r="AQ211" t="s">
        <v>84</v>
      </c>
      <c r="AS211" t="s">
        <v>87</v>
      </c>
      <c r="AT211" t="s">
        <v>84</v>
      </c>
      <c r="AU211" t="s">
        <v>1870</v>
      </c>
      <c r="AW211" t="s">
        <v>89</v>
      </c>
      <c r="AX211" t="s">
        <v>87</v>
      </c>
      <c r="AY211" t="s">
        <v>87</v>
      </c>
      <c r="AZ211" t="s">
        <v>87</v>
      </c>
      <c r="BA211" t="s">
        <v>84</v>
      </c>
      <c r="BB211" t="s">
        <v>87</v>
      </c>
      <c r="BC211" t="s">
        <v>87</v>
      </c>
      <c r="BE211" t="s">
        <v>94</v>
      </c>
      <c r="BG211" t="s">
        <v>1871</v>
      </c>
      <c r="BH211" t="s">
        <v>87</v>
      </c>
      <c r="BI211" t="s">
        <v>84</v>
      </c>
      <c r="BJ211" t="s">
        <v>84</v>
      </c>
      <c r="BL211" t="s">
        <v>87</v>
      </c>
      <c r="BM211" t="s">
        <v>87</v>
      </c>
      <c r="BN211" t="s">
        <v>84</v>
      </c>
      <c r="BP211" t="s">
        <v>87</v>
      </c>
      <c r="BQ211" t="s">
        <v>84</v>
      </c>
      <c r="BR211" t="s">
        <v>87</v>
      </c>
      <c r="BS211" t="s">
        <v>84</v>
      </c>
      <c r="BT211" t="s">
        <v>84</v>
      </c>
      <c r="BV211" t="s">
        <v>87</v>
      </c>
      <c r="BW211" t="s">
        <v>84</v>
      </c>
      <c r="BX211" t="s">
        <v>84</v>
      </c>
      <c r="BY211" t="s">
        <v>84</v>
      </c>
      <c r="BZ211" t="s">
        <v>87</v>
      </c>
      <c r="CA211" t="s">
        <v>1872</v>
      </c>
      <c r="CB211" t="s">
        <v>84</v>
      </c>
      <c r="CD211" t="s">
        <v>84</v>
      </c>
    </row>
    <row r="212" spans="1:83" x14ac:dyDescent="0.25">
      <c r="A212" t="s">
        <v>1363</v>
      </c>
      <c r="B212" t="s">
        <v>1364</v>
      </c>
      <c r="C212" t="s">
        <v>1365</v>
      </c>
      <c r="D212" t="s">
        <v>104</v>
      </c>
      <c r="E212" t="s">
        <v>1926</v>
      </c>
      <c r="F212" s="1">
        <v>2431</v>
      </c>
      <c r="G212" s="1" t="s">
        <v>84</v>
      </c>
      <c r="I212" t="s">
        <v>85</v>
      </c>
      <c r="J212" t="s">
        <v>85</v>
      </c>
      <c r="K212" t="s">
        <v>85</v>
      </c>
      <c r="L212" t="s">
        <v>85</v>
      </c>
      <c r="M212" t="s">
        <v>85</v>
      </c>
      <c r="N212" t="s">
        <v>85</v>
      </c>
      <c r="O212" t="s">
        <v>85</v>
      </c>
      <c r="Q212" t="s">
        <v>84</v>
      </c>
      <c r="T212" t="s">
        <v>96</v>
      </c>
      <c r="U212" t="s">
        <v>87</v>
      </c>
      <c r="V212" t="s">
        <v>84</v>
      </c>
      <c r="W212" t="s">
        <v>87</v>
      </c>
      <c r="Y212" t="s">
        <v>87</v>
      </c>
      <c r="Z212" t="s">
        <v>84</v>
      </c>
      <c r="AA212" t="s">
        <v>84</v>
      </c>
      <c r="AB212" t="s">
        <v>395</v>
      </c>
      <c r="AC212" t="s">
        <v>87</v>
      </c>
      <c r="AD212" t="s">
        <v>84</v>
      </c>
      <c r="AE212" t="s">
        <v>87</v>
      </c>
      <c r="AF212" t="s">
        <v>84</v>
      </c>
      <c r="AG212" t="s">
        <v>87</v>
      </c>
      <c r="AH212" t="s">
        <v>1366</v>
      </c>
      <c r="AI212" t="s">
        <v>84</v>
      </c>
      <c r="AJ212" t="s">
        <v>84</v>
      </c>
      <c r="AK212" t="s">
        <v>84</v>
      </c>
      <c r="AL212" t="s">
        <v>84</v>
      </c>
      <c r="AM212" t="s">
        <v>87</v>
      </c>
      <c r="AO212" t="s">
        <v>87</v>
      </c>
      <c r="AP212" t="s">
        <v>87</v>
      </c>
      <c r="AQ212" t="s">
        <v>87</v>
      </c>
      <c r="AR212" t="s">
        <v>1367</v>
      </c>
      <c r="AS212" t="s">
        <v>87</v>
      </c>
      <c r="AT212" t="s">
        <v>84</v>
      </c>
      <c r="AU212" t="s">
        <v>1368</v>
      </c>
      <c r="AW212" t="s">
        <v>89</v>
      </c>
      <c r="AX212" t="s">
        <v>87</v>
      </c>
      <c r="AY212" t="s">
        <v>84</v>
      </c>
      <c r="AZ212" t="s">
        <v>84</v>
      </c>
      <c r="BA212" t="s">
        <v>84</v>
      </c>
      <c r="BB212" t="s">
        <v>84</v>
      </c>
      <c r="BC212" t="s">
        <v>84</v>
      </c>
      <c r="BD212" t="s">
        <v>1369</v>
      </c>
      <c r="BE212" t="s">
        <v>94</v>
      </c>
      <c r="BG212" t="s">
        <v>526</v>
      </c>
      <c r="BH212" t="s">
        <v>87</v>
      </c>
      <c r="BI212" t="s">
        <v>84</v>
      </c>
      <c r="BJ212" t="s">
        <v>84</v>
      </c>
      <c r="BL212" t="s">
        <v>87</v>
      </c>
      <c r="BM212" t="s">
        <v>87</v>
      </c>
      <c r="BN212" t="s">
        <v>84</v>
      </c>
      <c r="BP212" t="s">
        <v>87</v>
      </c>
      <c r="BQ212" t="s">
        <v>84</v>
      </c>
      <c r="BR212" t="s">
        <v>84</v>
      </c>
      <c r="BS212" t="s">
        <v>84</v>
      </c>
      <c r="BT212" t="s">
        <v>84</v>
      </c>
      <c r="BV212" t="s">
        <v>87</v>
      </c>
      <c r="BW212" t="s">
        <v>84</v>
      </c>
      <c r="BX212" t="s">
        <v>87</v>
      </c>
      <c r="BY212" t="s">
        <v>84</v>
      </c>
      <c r="BZ212" t="s">
        <v>84</v>
      </c>
      <c r="CB212" t="s">
        <v>94</v>
      </c>
      <c r="CC212" t="s">
        <v>1370</v>
      </c>
      <c r="CD212" t="s">
        <v>84</v>
      </c>
    </row>
    <row r="213" spans="1:83" x14ac:dyDescent="0.25">
      <c r="A213" t="s">
        <v>392</v>
      </c>
      <c r="B213" t="s">
        <v>393</v>
      </c>
      <c r="C213" t="s">
        <v>394</v>
      </c>
      <c r="D213" t="s">
        <v>245</v>
      </c>
      <c r="E213" t="s">
        <v>1995</v>
      </c>
      <c r="F213" s="1">
        <v>2820</v>
      </c>
      <c r="G213" s="1" t="s">
        <v>84</v>
      </c>
      <c r="I213" t="s">
        <v>85</v>
      </c>
      <c r="J213" t="s">
        <v>85</v>
      </c>
      <c r="K213" t="s">
        <v>85</v>
      </c>
      <c r="L213" t="s">
        <v>85</v>
      </c>
      <c r="M213" t="s">
        <v>85</v>
      </c>
      <c r="N213" t="s">
        <v>85</v>
      </c>
      <c r="O213" t="s">
        <v>85</v>
      </c>
      <c r="Q213" t="s">
        <v>84</v>
      </c>
      <c r="T213" t="s">
        <v>86</v>
      </c>
      <c r="U213" t="s">
        <v>87</v>
      </c>
      <c r="V213" t="s">
        <v>84</v>
      </c>
      <c r="W213" t="s">
        <v>84</v>
      </c>
      <c r="X213" t="s">
        <v>395</v>
      </c>
      <c r="Y213" t="s">
        <v>87</v>
      </c>
      <c r="Z213" t="s">
        <v>84</v>
      </c>
      <c r="AA213" t="s">
        <v>84</v>
      </c>
      <c r="AB213" t="s">
        <v>395</v>
      </c>
      <c r="AC213" t="s">
        <v>84</v>
      </c>
      <c r="AD213" t="s">
        <v>84</v>
      </c>
      <c r="AE213" t="s">
        <v>87</v>
      </c>
      <c r="AF213" t="s">
        <v>84</v>
      </c>
      <c r="AG213" t="s">
        <v>84</v>
      </c>
      <c r="AH213" t="s">
        <v>396</v>
      </c>
      <c r="AI213" t="s">
        <v>87</v>
      </c>
      <c r="AJ213" t="s">
        <v>84</v>
      </c>
      <c r="AK213" t="s">
        <v>84</v>
      </c>
      <c r="AL213" t="s">
        <v>84</v>
      </c>
      <c r="AM213" t="s">
        <v>84</v>
      </c>
      <c r="AO213" t="s">
        <v>87</v>
      </c>
      <c r="AP213" t="s">
        <v>87</v>
      </c>
      <c r="AQ213" t="s">
        <v>84</v>
      </c>
      <c r="AS213" t="s">
        <v>87</v>
      </c>
      <c r="AT213" t="s">
        <v>84</v>
      </c>
      <c r="AU213" t="s">
        <v>397</v>
      </c>
      <c r="AW213" t="s">
        <v>89</v>
      </c>
      <c r="AX213" t="s">
        <v>87</v>
      </c>
      <c r="AY213" t="s">
        <v>84</v>
      </c>
      <c r="AZ213" t="s">
        <v>84</v>
      </c>
      <c r="BA213" t="s">
        <v>84</v>
      </c>
      <c r="BB213" t="s">
        <v>84</v>
      </c>
      <c r="BC213" t="s">
        <v>87</v>
      </c>
      <c r="BE213" t="s">
        <v>94</v>
      </c>
      <c r="BG213" t="s">
        <v>398</v>
      </c>
      <c r="BH213" t="s">
        <v>87</v>
      </c>
      <c r="BI213" t="s">
        <v>84</v>
      </c>
      <c r="BJ213" t="s">
        <v>84</v>
      </c>
      <c r="BL213" t="s">
        <v>87</v>
      </c>
      <c r="BM213" t="s">
        <v>87</v>
      </c>
      <c r="BN213" t="s">
        <v>84</v>
      </c>
      <c r="BP213" t="s">
        <v>87</v>
      </c>
      <c r="BQ213" t="s">
        <v>84</v>
      </c>
      <c r="BR213" t="s">
        <v>84</v>
      </c>
      <c r="BS213" t="s">
        <v>87</v>
      </c>
      <c r="BT213" t="s">
        <v>84</v>
      </c>
      <c r="BV213" t="s">
        <v>87</v>
      </c>
      <c r="BW213" t="s">
        <v>84</v>
      </c>
      <c r="BX213" t="s">
        <v>84</v>
      </c>
      <c r="BY213" t="s">
        <v>84</v>
      </c>
      <c r="BZ213" t="s">
        <v>87</v>
      </c>
      <c r="CB213" t="s">
        <v>94</v>
      </c>
      <c r="CC213" t="s">
        <v>399</v>
      </c>
      <c r="CD213" t="s">
        <v>84</v>
      </c>
    </row>
    <row r="214" spans="1:83" x14ac:dyDescent="0.25">
      <c r="A214" t="s">
        <v>625</v>
      </c>
      <c r="B214" t="s">
        <v>626</v>
      </c>
      <c r="C214" t="s">
        <v>627</v>
      </c>
      <c r="D214" t="s">
        <v>284</v>
      </c>
      <c r="E214" t="s">
        <v>1998</v>
      </c>
      <c r="F214" s="1">
        <v>3722</v>
      </c>
      <c r="G214" s="1" t="s">
        <v>94</v>
      </c>
      <c r="H214" t="s">
        <v>628</v>
      </c>
      <c r="I214" t="s">
        <v>84</v>
      </c>
      <c r="J214" t="s">
        <v>84</v>
      </c>
      <c r="K214" t="s">
        <v>84</v>
      </c>
      <c r="L214" t="s">
        <v>84</v>
      </c>
      <c r="M214" t="s">
        <v>87</v>
      </c>
      <c r="N214" t="s">
        <v>84</v>
      </c>
      <c r="O214" t="s">
        <v>84</v>
      </c>
      <c r="Q214" t="s">
        <v>84</v>
      </c>
      <c r="T214" t="s">
        <v>96</v>
      </c>
      <c r="U214" t="s">
        <v>87</v>
      </c>
      <c r="V214" t="s">
        <v>84</v>
      </c>
      <c r="W214" t="s">
        <v>84</v>
      </c>
      <c r="Y214" t="s">
        <v>87</v>
      </c>
      <c r="Z214" t="s">
        <v>84</v>
      </c>
      <c r="AA214" t="s">
        <v>84</v>
      </c>
      <c r="AC214" t="s">
        <v>84</v>
      </c>
      <c r="AD214" t="s">
        <v>84</v>
      </c>
      <c r="AE214" t="s">
        <v>87</v>
      </c>
      <c r="AF214" t="s">
        <v>84</v>
      </c>
      <c r="AG214" t="s">
        <v>84</v>
      </c>
      <c r="AI214" t="s">
        <v>84</v>
      </c>
      <c r="AJ214" t="s">
        <v>84</v>
      </c>
      <c r="AK214" t="s">
        <v>84</v>
      </c>
      <c r="AL214" t="s">
        <v>84</v>
      </c>
      <c r="AM214" t="s">
        <v>87</v>
      </c>
      <c r="AO214" t="s">
        <v>87</v>
      </c>
      <c r="AP214" t="s">
        <v>87</v>
      </c>
      <c r="AQ214" t="s">
        <v>84</v>
      </c>
      <c r="AS214" t="s">
        <v>87</v>
      </c>
      <c r="AT214" t="s">
        <v>84</v>
      </c>
      <c r="AU214" t="s">
        <v>629</v>
      </c>
      <c r="AW214" t="s">
        <v>89</v>
      </c>
      <c r="AX214" t="s">
        <v>87</v>
      </c>
      <c r="AY214" t="s">
        <v>84</v>
      </c>
      <c r="AZ214" t="s">
        <v>84</v>
      </c>
      <c r="BA214" t="s">
        <v>84</v>
      </c>
      <c r="BB214" t="s">
        <v>84</v>
      </c>
      <c r="BC214" t="s">
        <v>87</v>
      </c>
      <c r="BE214" t="s">
        <v>94</v>
      </c>
      <c r="BG214" t="s">
        <v>630</v>
      </c>
      <c r="BH214" t="s">
        <v>87</v>
      </c>
      <c r="BI214" t="s">
        <v>84</v>
      </c>
      <c r="BJ214" t="s">
        <v>84</v>
      </c>
      <c r="BL214" t="s">
        <v>87</v>
      </c>
      <c r="BM214" t="s">
        <v>84</v>
      </c>
      <c r="BN214" t="s">
        <v>84</v>
      </c>
      <c r="BP214" t="s">
        <v>87</v>
      </c>
      <c r="BQ214" t="s">
        <v>84</v>
      </c>
      <c r="BR214" t="s">
        <v>84</v>
      </c>
      <c r="BS214" t="s">
        <v>84</v>
      </c>
      <c r="BT214" t="s">
        <v>84</v>
      </c>
      <c r="BV214" t="s">
        <v>84</v>
      </c>
      <c r="BW214" t="s">
        <v>84</v>
      </c>
      <c r="BX214" t="s">
        <v>84</v>
      </c>
      <c r="BY214" t="s">
        <v>84</v>
      </c>
      <c r="BZ214" t="s">
        <v>87</v>
      </c>
      <c r="CB214" t="s">
        <v>84</v>
      </c>
      <c r="CD214" t="s">
        <v>84</v>
      </c>
    </row>
    <row r="215" spans="1:83" x14ac:dyDescent="0.25">
      <c r="A215" t="s">
        <v>1051</v>
      </c>
      <c r="B215" t="s">
        <v>1052</v>
      </c>
      <c r="C215" t="s">
        <v>1053</v>
      </c>
      <c r="D215" t="s">
        <v>1054</v>
      </c>
      <c r="E215" t="s">
        <v>1996</v>
      </c>
      <c r="F215" s="10">
        <v>3888</v>
      </c>
      <c r="G215" s="1" t="s">
        <v>94</v>
      </c>
      <c r="H215" t="s">
        <v>95</v>
      </c>
      <c r="I215" t="s">
        <v>87</v>
      </c>
      <c r="J215" t="s">
        <v>87</v>
      </c>
      <c r="K215" t="s">
        <v>87</v>
      </c>
      <c r="L215" t="s">
        <v>84</v>
      </c>
      <c r="M215" t="s">
        <v>87</v>
      </c>
      <c r="N215" t="s">
        <v>87</v>
      </c>
      <c r="O215" t="s">
        <v>84</v>
      </c>
      <c r="Q215" t="s">
        <v>84</v>
      </c>
      <c r="T215" t="s">
        <v>96</v>
      </c>
      <c r="U215" t="s">
        <v>87</v>
      </c>
      <c r="V215" t="s">
        <v>84</v>
      </c>
      <c r="W215" t="s">
        <v>84</v>
      </c>
      <c r="Y215" t="s">
        <v>87</v>
      </c>
      <c r="Z215" t="s">
        <v>84</v>
      </c>
      <c r="AA215" t="s">
        <v>84</v>
      </c>
      <c r="AC215" t="s">
        <v>87</v>
      </c>
      <c r="AD215" t="s">
        <v>84</v>
      </c>
      <c r="AE215" t="s">
        <v>87</v>
      </c>
      <c r="AF215" t="s">
        <v>84</v>
      </c>
      <c r="AG215" t="s">
        <v>87</v>
      </c>
      <c r="AI215" t="s">
        <v>84</v>
      </c>
      <c r="AJ215" t="s">
        <v>84</v>
      </c>
      <c r="AK215" t="s">
        <v>84</v>
      </c>
      <c r="AL215" t="s">
        <v>84</v>
      </c>
      <c r="AM215" t="s">
        <v>87</v>
      </c>
      <c r="AO215" t="s">
        <v>87</v>
      </c>
      <c r="AP215" t="s">
        <v>87</v>
      </c>
      <c r="AQ215" t="s">
        <v>84</v>
      </c>
      <c r="AS215" t="s">
        <v>87</v>
      </c>
      <c r="AT215" t="s">
        <v>84</v>
      </c>
      <c r="AU215" t="s">
        <v>1055</v>
      </c>
      <c r="AW215" t="s">
        <v>89</v>
      </c>
      <c r="AX215" t="s">
        <v>87</v>
      </c>
      <c r="AY215" t="s">
        <v>87</v>
      </c>
      <c r="AZ215" t="s">
        <v>87</v>
      </c>
      <c r="BA215" t="s">
        <v>84</v>
      </c>
      <c r="BB215" t="s">
        <v>84</v>
      </c>
      <c r="BC215" t="s">
        <v>84</v>
      </c>
      <c r="BD215" t="s">
        <v>1056</v>
      </c>
      <c r="BE215" t="s">
        <v>94</v>
      </c>
      <c r="BG215" t="s">
        <v>1057</v>
      </c>
      <c r="BH215" t="s">
        <v>87</v>
      </c>
      <c r="BI215" t="s">
        <v>84</v>
      </c>
      <c r="BJ215" t="s">
        <v>84</v>
      </c>
      <c r="BL215" t="s">
        <v>87</v>
      </c>
      <c r="BM215" t="s">
        <v>87</v>
      </c>
      <c r="BN215" t="s">
        <v>84</v>
      </c>
      <c r="BP215" t="s">
        <v>84</v>
      </c>
      <c r="BQ215" t="s">
        <v>84</v>
      </c>
      <c r="BR215" t="s">
        <v>84</v>
      </c>
      <c r="BS215" t="s">
        <v>87</v>
      </c>
      <c r="BT215" t="s">
        <v>84</v>
      </c>
      <c r="BV215" t="s">
        <v>87</v>
      </c>
      <c r="BW215" t="s">
        <v>84</v>
      </c>
      <c r="BX215" t="s">
        <v>87</v>
      </c>
      <c r="BY215" t="s">
        <v>84</v>
      </c>
      <c r="BZ215" t="s">
        <v>87</v>
      </c>
      <c r="CB215" t="s">
        <v>84</v>
      </c>
      <c r="CD215" t="s">
        <v>84</v>
      </c>
    </row>
    <row r="216" spans="1:83" x14ac:dyDescent="0.25">
      <c r="A216" t="s">
        <v>1071</v>
      </c>
      <c r="B216" t="s">
        <v>1072</v>
      </c>
      <c r="C216" t="s">
        <v>1073</v>
      </c>
      <c r="D216" t="s">
        <v>811</v>
      </c>
      <c r="E216" t="s">
        <v>1997</v>
      </c>
      <c r="F216" s="1">
        <v>4850</v>
      </c>
      <c r="G216" s="1" t="s">
        <v>94</v>
      </c>
      <c r="H216" t="s">
        <v>1074</v>
      </c>
      <c r="I216" t="s">
        <v>87</v>
      </c>
      <c r="J216" t="s">
        <v>87</v>
      </c>
      <c r="K216" t="s">
        <v>87</v>
      </c>
      <c r="L216" t="s">
        <v>87</v>
      </c>
      <c r="M216" t="s">
        <v>87</v>
      </c>
      <c r="N216" t="s">
        <v>87</v>
      </c>
      <c r="O216" t="s">
        <v>84</v>
      </c>
      <c r="Q216" t="s">
        <v>94</v>
      </c>
      <c r="S216" t="s">
        <v>1075</v>
      </c>
      <c r="T216" t="s">
        <v>96</v>
      </c>
      <c r="U216" t="s">
        <v>87</v>
      </c>
      <c r="V216" t="s">
        <v>87</v>
      </c>
      <c r="W216" t="s">
        <v>87</v>
      </c>
      <c r="Y216" t="s">
        <v>87</v>
      </c>
      <c r="Z216" t="s">
        <v>84</v>
      </c>
      <c r="AA216" t="s">
        <v>84</v>
      </c>
      <c r="AC216" t="s">
        <v>84</v>
      </c>
      <c r="AD216" t="s">
        <v>84</v>
      </c>
      <c r="AE216" t="s">
        <v>84</v>
      </c>
      <c r="AF216" t="s">
        <v>84</v>
      </c>
      <c r="AG216" t="s">
        <v>87</v>
      </c>
      <c r="AH216" t="s">
        <v>1076</v>
      </c>
      <c r="AI216" t="s">
        <v>87</v>
      </c>
      <c r="AJ216" t="s">
        <v>84</v>
      </c>
      <c r="AK216" t="s">
        <v>84</v>
      </c>
      <c r="AL216" t="s">
        <v>84</v>
      </c>
      <c r="AM216" t="s">
        <v>84</v>
      </c>
      <c r="AO216" t="s">
        <v>87</v>
      </c>
      <c r="AP216" t="s">
        <v>87</v>
      </c>
      <c r="AQ216" t="s">
        <v>84</v>
      </c>
      <c r="AS216" t="s">
        <v>87</v>
      </c>
      <c r="AT216" t="s">
        <v>84</v>
      </c>
      <c r="AU216" t="s">
        <v>1075</v>
      </c>
      <c r="AW216" t="s">
        <v>89</v>
      </c>
      <c r="AX216" t="s">
        <v>87</v>
      </c>
      <c r="AY216" t="s">
        <v>87</v>
      </c>
      <c r="AZ216" t="s">
        <v>87</v>
      </c>
      <c r="BA216" t="s">
        <v>84</v>
      </c>
      <c r="BB216" t="s">
        <v>84</v>
      </c>
      <c r="BC216" t="s">
        <v>87</v>
      </c>
      <c r="BE216" t="s">
        <v>94</v>
      </c>
      <c r="BG216" t="s">
        <v>1075</v>
      </c>
      <c r="BH216" t="s">
        <v>87</v>
      </c>
      <c r="BI216" t="s">
        <v>84</v>
      </c>
      <c r="BJ216" t="s">
        <v>84</v>
      </c>
      <c r="BL216" t="s">
        <v>87</v>
      </c>
      <c r="BM216" t="s">
        <v>84</v>
      </c>
      <c r="BN216" t="s">
        <v>84</v>
      </c>
      <c r="BP216" t="s">
        <v>87</v>
      </c>
      <c r="BQ216" t="s">
        <v>84</v>
      </c>
      <c r="BR216" t="s">
        <v>84</v>
      </c>
      <c r="BS216" t="s">
        <v>84</v>
      </c>
      <c r="BT216" t="s">
        <v>84</v>
      </c>
      <c r="BV216" t="s">
        <v>84</v>
      </c>
      <c r="BW216" t="s">
        <v>84</v>
      </c>
      <c r="BX216" t="s">
        <v>84</v>
      </c>
      <c r="BY216" t="s">
        <v>84</v>
      </c>
      <c r="BZ216" t="s">
        <v>87</v>
      </c>
      <c r="CB216" t="s">
        <v>84</v>
      </c>
      <c r="CD216" t="s">
        <v>84</v>
      </c>
    </row>
    <row r="217" spans="1:83" x14ac:dyDescent="0.25">
      <c r="A217" t="s">
        <v>182</v>
      </c>
      <c r="B217" t="s">
        <v>183</v>
      </c>
      <c r="C217" t="s">
        <v>184</v>
      </c>
      <c r="D217" t="s">
        <v>170</v>
      </c>
      <c r="E217" t="s">
        <v>1994</v>
      </c>
      <c r="F217" s="1">
        <v>4909</v>
      </c>
      <c r="G217" s="1" t="s">
        <v>84</v>
      </c>
      <c r="I217" t="s">
        <v>85</v>
      </c>
      <c r="J217" t="s">
        <v>85</v>
      </c>
      <c r="K217" t="s">
        <v>85</v>
      </c>
      <c r="L217" t="s">
        <v>85</v>
      </c>
      <c r="M217" t="s">
        <v>85</v>
      </c>
      <c r="N217" t="s">
        <v>85</v>
      </c>
      <c r="O217" t="s">
        <v>85</v>
      </c>
      <c r="Q217" t="s">
        <v>94</v>
      </c>
      <c r="S217" t="s">
        <v>185</v>
      </c>
      <c r="T217" t="s">
        <v>96</v>
      </c>
      <c r="U217" t="s">
        <v>87</v>
      </c>
      <c r="V217" t="s">
        <v>87</v>
      </c>
      <c r="W217" t="s">
        <v>84</v>
      </c>
      <c r="Y217" t="s">
        <v>87</v>
      </c>
      <c r="Z217" t="s">
        <v>87</v>
      </c>
      <c r="AA217" t="s">
        <v>84</v>
      </c>
      <c r="AC217" t="s">
        <v>84</v>
      </c>
      <c r="AD217" t="s">
        <v>84</v>
      </c>
      <c r="AE217" t="s">
        <v>87</v>
      </c>
      <c r="AF217" t="s">
        <v>84</v>
      </c>
      <c r="AG217" t="s">
        <v>87</v>
      </c>
      <c r="AI217" t="s">
        <v>84</v>
      </c>
      <c r="AJ217" t="s">
        <v>84</v>
      </c>
      <c r="AK217" t="s">
        <v>84</v>
      </c>
      <c r="AL217" t="s">
        <v>84</v>
      </c>
      <c r="AM217" t="s">
        <v>87</v>
      </c>
      <c r="AO217" t="s">
        <v>87</v>
      </c>
      <c r="AP217" t="s">
        <v>87</v>
      </c>
      <c r="AQ217" t="s">
        <v>84</v>
      </c>
      <c r="AS217" t="s">
        <v>87</v>
      </c>
      <c r="AT217" t="s">
        <v>84</v>
      </c>
      <c r="AU217" t="s">
        <v>186</v>
      </c>
      <c r="AW217" t="s">
        <v>89</v>
      </c>
      <c r="AX217" t="s">
        <v>87</v>
      </c>
      <c r="AY217" t="s">
        <v>84</v>
      </c>
      <c r="AZ217" t="s">
        <v>84</v>
      </c>
      <c r="BA217" t="s">
        <v>84</v>
      </c>
      <c r="BB217" t="s">
        <v>84</v>
      </c>
      <c r="BC217" t="s">
        <v>87</v>
      </c>
      <c r="BD217" t="s">
        <v>187</v>
      </c>
      <c r="BE217" t="s">
        <v>94</v>
      </c>
      <c r="BG217" t="s">
        <v>185</v>
      </c>
      <c r="BH217" t="s">
        <v>87</v>
      </c>
      <c r="BI217" t="s">
        <v>84</v>
      </c>
      <c r="BJ217" t="s">
        <v>84</v>
      </c>
      <c r="BL217" t="s">
        <v>87</v>
      </c>
      <c r="BM217" t="s">
        <v>84</v>
      </c>
      <c r="BN217" t="s">
        <v>84</v>
      </c>
      <c r="BP217" t="s">
        <v>84</v>
      </c>
      <c r="BQ217" t="s">
        <v>84</v>
      </c>
      <c r="BR217" t="s">
        <v>84</v>
      </c>
      <c r="BS217" t="s">
        <v>84</v>
      </c>
      <c r="BT217" t="s">
        <v>87</v>
      </c>
      <c r="BV217" t="s">
        <v>87</v>
      </c>
      <c r="BW217" t="s">
        <v>84</v>
      </c>
      <c r="BX217" t="s">
        <v>84</v>
      </c>
      <c r="BY217" t="s">
        <v>84</v>
      </c>
      <c r="BZ217" t="s">
        <v>84</v>
      </c>
      <c r="CB217" t="s">
        <v>84</v>
      </c>
      <c r="CD217" t="s">
        <v>84</v>
      </c>
    </row>
    <row r="218" spans="1:83" x14ac:dyDescent="0.25">
      <c r="A218" t="s">
        <v>128</v>
      </c>
      <c r="B218" t="s">
        <v>129</v>
      </c>
      <c r="C218" t="s">
        <v>130</v>
      </c>
      <c r="D218" t="s">
        <v>131</v>
      </c>
      <c r="E218" t="s">
        <v>131</v>
      </c>
      <c r="F218" s="1">
        <v>5200</v>
      </c>
      <c r="G218" s="1" t="s">
        <v>84</v>
      </c>
      <c r="I218" t="s">
        <v>85</v>
      </c>
      <c r="J218" t="s">
        <v>85</v>
      </c>
      <c r="K218" t="s">
        <v>85</v>
      </c>
      <c r="L218" t="s">
        <v>85</v>
      </c>
      <c r="M218" t="s">
        <v>85</v>
      </c>
      <c r="N218" t="s">
        <v>85</v>
      </c>
      <c r="O218" t="s">
        <v>85</v>
      </c>
      <c r="Q218" t="s">
        <v>84</v>
      </c>
      <c r="T218" t="s">
        <v>96</v>
      </c>
      <c r="U218" t="s">
        <v>87</v>
      </c>
      <c r="V218" t="s">
        <v>84</v>
      </c>
      <c r="W218" t="s">
        <v>84</v>
      </c>
      <c r="Y218" t="s">
        <v>87</v>
      </c>
      <c r="Z218" t="s">
        <v>84</v>
      </c>
      <c r="AA218" t="s">
        <v>84</v>
      </c>
      <c r="AC218" t="s">
        <v>87</v>
      </c>
      <c r="AD218" t="s">
        <v>84</v>
      </c>
      <c r="AE218" t="s">
        <v>87</v>
      </c>
      <c r="AF218" t="s">
        <v>87</v>
      </c>
      <c r="AG218" t="s">
        <v>84</v>
      </c>
      <c r="AI218" t="s">
        <v>87</v>
      </c>
      <c r="AJ218" t="s">
        <v>84</v>
      </c>
      <c r="AK218" t="s">
        <v>84</v>
      </c>
      <c r="AL218" t="s">
        <v>84</v>
      </c>
      <c r="AM218" t="s">
        <v>84</v>
      </c>
      <c r="AO218" t="s">
        <v>87</v>
      </c>
      <c r="AP218" t="s">
        <v>87</v>
      </c>
      <c r="AQ218" t="s">
        <v>87</v>
      </c>
      <c r="AS218" t="s">
        <v>87</v>
      </c>
      <c r="AT218" t="s">
        <v>84</v>
      </c>
      <c r="AU218" t="s">
        <v>132</v>
      </c>
      <c r="AW218" t="s">
        <v>89</v>
      </c>
      <c r="AX218" t="s">
        <v>84</v>
      </c>
      <c r="AY218" t="s">
        <v>87</v>
      </c>
      <c r="AZ218" t="s">
        <v>84</v>
      </c>
      <c r="BA218" t="s">
        <v>84</v>
      </c>
      <c r="BB218" t="s">
        <v>84</v>
      </c>
      <c r="BC218" t="s">
        <v>87</v>
      </c>
      <c r="BE218" t="s">
        <v>94</v>
      </c>
      <c r="BG218" t="s">
        <v>133</v>
      </c>
      <c r="BH218" t="s">
        <v>87</v>
      </c>
      <c r="BI218" t="s">
        <v>84</v>
      </c>
      <c r="BJ218" t="s">
        <v>84</v>
      </c>
      <c r="BL218" t="s">
        <v>87</v>
      </c>
      <c r="BM218" t="s">
        <v>84</v>
      </c>
      <c r="BN218" t="s">
        <v>84</v>
      </c>
      <c r="BP218" t="s">
        <v>87</v>
      </c>
      <c r="BQ218" t="s">
        <v>84</v>
      </c>
      <c r="BR218" t="s">
        <v>84</v>
      </c>
      <c r="BS218" t="s">
        <v>87</v>
      </c>
      <c r="BT218" t="s">
        <v>84</v>
      </c>
      <c r="BV218" t="s">
        <v>87</v>
      </c>
      <c r="BW218" t="s">
        <v>84</v>
      </c>
      <c r="BX218" t="s">
        <v>84</v>
      </c>
      <c r="BY218" t="s">
        <v>87</v>
      </c>
      <c r="BZ218" t="s">
        <v>84</v>
      </c>
      <c r="CB218" t="s">
        <v>84</v>
      </c>
      <c r="CD218" t="s">
        <v>84</v>
      </c>
    </row>
    <row r="219" spans="1:83" x14ac:dyDescent="0.25">
      <c r="A219" t="s">
        <v>1284</v>
      </c>
      <c r="B219" t="s">
        <v>1285</v>
      </c>
      <c r="C219" t="s">
        <v>1286</v>
      </c>
      <c r="D219" t="s">
        <v>156</v>
      </c>
      <c r="E219" t="s">
        <v>1928</v>
      </c>
      <c r="F219" s="1">
        <v>5305</v>
      </c>
      <c r="G219" s="1" t="s">
        <v>84</v>
      </c>
      <c r="I219" t="s">
        <v>85</v>
      </c>
      <c r="J219" t="s">
        <v>85</v>
      </c>
      <c r="K219" t="s">
        <v>85</v>
      </c>
      <c r="L219" t="s">
        <v>85</v>
      </c>
      <c r="M219" t="s">
        <v>85</v>
      </c>
      <c r="N219" t="s">
        <v>85</v>
      </c>
      <c r="O219" t="s">
        <v>85</v>
      </c>
      <c r="Q219" t="s">
        <v>94</v>
      </c>
      <c r="S219" t="s">
        <v>1287</v>
      </c>
      <c r="T219" t="s">
        <v>96</v>
      </c>
      <c r="U219" t="s">
        <v>87</v>
      </c>
      <c r="V219" t="s">
        <v>84</v>
      </c>
      <c r="W219" t="s">
        <v>84</v>
      </c>
      <c r="Y219" t="s">
        <v>84</v>
      </c>
      <c r="Z219" t="s">
        <v>84</v>
      </c>
      <c r="AA219" t="s">
        <v>84</v>
      </c>
      <c r="AB219" t="s">
        <v>1288</v>
      </c>
      <c r="AC219" t="s">
        <v>87</v>
      </c>
      <c r="AD219" t="s">
        <v>84</v>
      </c>
      <c r="AE219" t="s">
        <v>84</v>
      </c>
      <c r="AF219" t="s">
        <v>84</v>
      </c>
      <c r="AG219" t="s">
        <v>87</v>
      </c>
      <c r="AI219" t="s">
        <v>84</v>
      </c>
      <c r="AJ219" t="s">
        <v>84</v>
      </c>
      <c r="AK219" t="s">
        <v>84</v>
      </c>
      <c r="AL219" t="s">
        <v>84</v>
      </c>
      <c r="AM219" t="s">
        <v>87</v>
      </c>
      <c r="AO219" t="s">
        <v>87</v>
      </c>
      <c r="AP219" t="s">
        <v>87</v>
      </c>
      <c r="AQ219" t="s">
        <v>84</v>
      </c>
      <c r="AS219" t="s">
        <v>87</v>
      </c>
      <c r="AT219" t="s">
        <v>84</v>
      </c>
      <c r="AU219" t="s">
        <v>279</v>
      </c>
      <c r="AW219" t="s">
        <v>89</v>
      </c>
      <c r="AX219" t="s">
        <v>87</v>
      </c>
      <c r="AY219" t="s">
        <v>84</v>
      </c>
      <c r="AZ219" t="s">
        <v>84</v>
      </c>
      <c r="BA219" t="s">
        <v>84</v>
      </c>
      <c r="BB219" t="s">
        <v>84</v>
      </c>
      <c r="BC219" t="s">
        <v>84</v>
      </c>
      <c r="BD219" t="s">
        <v>1289</v>
      </c>
      <c r="BE219" t="s">
        <v>94</v>
      </c>
      <c r="BG219" t="s">
        <v>1287</v>
      </c>
      <c r="BH219" t="s">
        <v>87</v>
      </c>
      <c r="BI219" t="s">
        <v>84</v>
      </c>
      <c r="BJ219" t="s">
        <v>84</v>
      </c>
      <c r="BL219" t="s">
        <v>87</v>
      </c>
      <c r="BM219" t="s">
        <v>84</v>
      </c>
      <c r="BN219" t="s">
        <v>84</v>
      </c>
      <c r="BO219" t="s">
        <v>1290</v>
      </c>
      <c r="BP219" t="s">
        <v>84</v>
      </c>
      <c r="BQ219" t="s">
        <v>84</v>
      </c>
      <c r="BR219" t="s">
        <v>84</v>
      </c>
      <c r="BS219" t="s">
        <v>84</v>
      </c>
      <c r="BT219" t="s">
        <v>87</v>
      </c>
      <c r="BV219" t="s">
        <v>87</v>
      </c>
      <c r="BW219" t="s">
        <v>84</v>
      </c>
      <c r="BX219" t="s">
        <v>84</v>
      </c>
      <c r="BY219" t="s">
        <v>84</v>
      </c>
      <c r="BZ219" t="s">
        <v>87</v>
      </c>
      <c r="CB219" t="s">
        <v>84</v>
      </c>
      <c r="CD219" t="s">
        <v>84</v>
      </c>
    </row>
    <row r="220" spans="1:83" x14ac:dyDescent="0.25">
      <c r="A220" t="s">
        <v>850</v>
      </c>
      <c r="B220" t="s">
        <v>851</v>
      </c>
      <c r="C220" t="s">
        <v>852</v>
      </c>
      <c r="D220" t="s">
        <v>811</v>
      </c>
      <c r="E220" t="s">
        <v>1997</v>
      </c>
      <c r="F220" s="1">
        <v>5768</v>
      </c>
      <c r="G220" s="1" t="s">
        <v>94</v>
      </c>
      <c r="H220" t="s">
        <v>853</v>
      </c>
      <c r="I220" t="s">
        <v>87</v>
      </c>
      <c r="J220" t="s">
        <v>84</v>
      </c>
      <c r="K220" t="s">
        <v>84</v>
      </c>
      <c r="L220" t="s">
        <v>84</v>
      </c>
      <c r="M220" t="s">
        <v>87</v>
      </c>
      <c r="N220" t="s">
        <v>87</v>
      </c>
      <c r="O220" t="s">
        <v>84</v>
      </c>
      <c r="P220" t="s">
        <v>854</v>
      </c>
      <c r="Q220" t="s">
        <v>94</v>
      </c>
      <c r="S220" t="s">
        <v>855</v>
      </c>
      <c r="T220" t="s">
        <v>96</v>
      </c>
      <c r="U220" t="s">
        <v>87</v>
      </c>
      <c r="V220" t="s">
        <v>87</v>
      </c>
      <c r="W220" t="s">
        <v>84</v>
      </c>
      <c r="Y220" t="s">
        <v>87</v>
      </c>
      <c r="Z220" t="s">
        <v>87</v>
      </c>
      <c r="AA220" t="s">
        <v>84</v>
      </c>
      <c r="AB220" t="s">
        <v>856</v>
      </c>
      <c r="AC220" t="s">
        <v>84</v>
      </c>
      <c r="AD220" t="s">
        <v>87</v>
      </c>
      <c r="AE220" t="s">
        <v>84</v>
      </c>
      <c r="AF220" t="s">
        <v>84</v>
      </c>
      <c r="AG220" t="s">
        <v>87</v>
      </c>
      <c r="AH220" t="s">
        <v>857</v>
      </c>
      <c r="AI220" t="s">
        <v>84</v>
      </c>
      <c r="AJ220" t="s">
        <v>84</v>
      </c>
      <c r="AK220" t="s">
        <v>84</v>
      </c>
      <c r="AL220" t="s">
        <v>84</v>
      </c>
      <c r="AM220" t="s">
        <v>87</v>
      </c>
      <c r="AO220" t="s">
        <v>87</v>
      </c>
      <c r="AP220" t="s">
        <v>87</v>
      </c>
      <c r="AQ220" t="s">
        <v>84</v>
      </c>
      <c r="AS220" t="s">
        <v>87</v>
      </c>
      <c r="AT220" t="s">
        <v>84</v>
      </c>
      <c r="AU220" t="s">
        <v>858</v>
      </c>
      <c r="AW220" t="s">
        <v>89</v>
      </c>
      <c r="AX220" t="s">
        <v>87</v>
      </c>
      <c r="AY220" t="s">
        <v>84</v>
      </c>
      <c r="AZ220" t="s">
        <v>84</v>
      </c>
      <c r="BA220" t="s">
        <v>84</v>
      </c>
      <c r="BB220" t="s">
        <v>84</v>
      </c>
      <c r="BC220" t="s">
        <v>87</v>
      </c>
      <c r="BE220" t="s">
        <v>94</v>
      </c>
      <c r="BG220" t="s">
        <v>859</v>
      </c>
      <c r="BH220" t="s">
        <v>87</v>
      </c>
      <c r="BI220" t="s">
        <v>84</v>
      </c>
      <c r="BJ220" t="s">
        <v>84</v>
      </c>
      <c r="BL220" t="s">
        <v>87</v>
      </c>
      <c r="BM220" t="s">
        <v>87</v>
      </c>
      <c r="BN220" t="s">
        <v>84</v>
      </c>
      <c r="BP220" t="s">
        <v>84</v>
      </c>
      <c r="BQ220" t="s">
        <v>84</v>
      </c>
      <c r="BR220" t="s">
        <v>84</v>
      </c>
      <c r="BS220" t="s">
        <v>84</v>
      </c>
      <c r="BT220" t="s">
        <v>87</v>
      </c>
      <c r="BV220" t="s">
        <v>87</v>
      </c>
      <c r="BW220" t="s">
        <v>84</v>
      </c>
      <c r="BX220" t="s">
        <v>84</v>
      </c>
      <c r="BY220" t="s">
        <v>84</v>
      </c>
      <c r="BZ220" t="s">
        <v>87</v>
      </c>
      <c r="CA220" t="s">
        <v>860</v>
      </c>
      <c r="CB220" t="s">
        <v>84</v>
      </c>
      <c r="CD220" t="s">
        <v>94</v>
      </c>
      <c r="CE220" t="s">
        <v>861</v>
      </c>
    </row>
    <row r="221" spans="1:83" x14ac:dyDescent="0.25">
      <c r="A221" t="s">
        <v>153</v>
      </c>
      <c r="B221" t="s">
        <v>154</v>
      </c>
      <c r="C221" t="s">
        <v>155</v>
      </c>
      <c r="D221" t="s">
        <v>156</v>
      </c>
      <c r="E221" t="s">
        <v>1928</v>
      </c>
      <c r="F221" s="1">
        <v>6650</v>
      </c>
      <c r="G221" s="1" t="s">
        <v>94</v>
      </c>
      <c r="H221" t="s">
        <v>157</v>
      </c>
      <c r="I221" t="s">
        <v>87</v>
      </c>
      <c r="J221" t="s">
        <v>84</v>
      </c>
      <c r="K221" t="s">
        <v>84</v>
      </c>
      <c r="L221" t="s">
        <v>84</v>
      </c>
      <c r="M221" t="s">
        <v>84</v>
      </c>
      <c r="N221" t="s">
        <v>84</v>
      </c>
      <c r="O221" t="s">
        <v>84</v>
      </c>
      <c r="Q221" t="s">
        <v>84</v>
      </c>
      <c r="T221" t="s">
        <v>96</v>
      </c>
      <c r="U221" t="s">
        <v>87</v>
      </c>
      <c r="V221" t="s">
        <v>84</v>
      </c>
      <c r="W221" t="s">
        <v>84</v>
      </c>
      <c r="Y221" t="s">
        <v>87</v>
      </c>
      <c r="Z221" t="s">
        <v>84</v>
      </c>
      <c r="AA221" t="s">
        <v>87</v>
      </c>
      <c r="AC221" t="s">
        <v>87</v>
      </c>
      <c r="AD221" t="s">
        <v>84</v>
      </c>
      <c r="AE221" t="s">
        <v>87</v>
      </c>
      <c r="AF221" t="s">
        <v>84</v>
      </c>
      <c r="AG221" t="s">
        <v>87</v>
      </c>
      <c r="AI221" t="s">
        <v>84</v>
      </c>
      <c r="AJ221" t="s">
        <v>84</v>
      </c>
      <c r="AK221" t="s">
        <v>84</v>
      </c>
      <c r="AL221" t="s">
        <v>84</v>
      </c>
      <c r="AM221" t="s">
        <v>87</v>
      </c>
      <c r="AO221" t="s">
        <v>87</v>
      </c>
      <c r="AP221" t="s">
        <v>87</v>
      </c>
      <c r="AQ221" t="s">
        <v>84</v>
      </c>
      <c r="AS221" t="s">
        <v>87</v>
      </c>
      <c r="AT221" t="s">
        <v>87</v>
      </c>
      <c r="AU221" t="s">
        <v>158</v>
      </c>
      <c r="AW221" t="s">
        <v>89</v>
      </c>
      <c r="AX221" t="s">
        <v>87</v>
      </c>
      <c r="AY221" t="s">
        <v>87</v>
      </c>
      <c r="AZ221" t="s">
        <v>87</v>
      </c>
      <c r="BA221" t="s">
        <v>84</v>
      </c>
      <c r="BB221" t="s">
        <v>84</v>
      </c>
      <c r="BC221" t="s">
        <v>87</v>
      </c>
      <c r="BD221" t="s">
        <v>159</v>
      </c>
      <c r="BE221" t="s">
        <v>94</v>
      </c>
      <c r="BG221" t="s">
        <v>160</v>
      </c>
      <c r="BH221" t="s">
        <v>87</v>
      </c>
      <c r="BI221" t="s">
        <v>84</v>
      </c>
      <c r="BJ221" t="s">
        <v>84</v>
      </c>
      <c r="BL221" t="s">
        <v>87</v>
      </c>
      <c r="BM221" t="s">
        <v>87</v>
      </c>
      <c r="BN221" t="s">
        <v>84</v>
      </c>
      <c r="BP221" t="s">
        <v>84</v>
      </c>
      <c r="BQ221" t="s">
        <v>84</v>
      </c>
      <c r="BR221" t="s">
        <v>84</v>
      </c>
      <c r="BS221" t="s">
        <v>87</v>
      </c>
      <c r="BT221" t="s">
        <v>84</v>
      </c>
      <c r="BV221" t="s">
        <v>87</v>
      </c>
      <c r="BW221" t="s">
        <v>84</v>
      </c>
      <c r="BX221" t="s">
        <v>87</v>
      </c>
      <c r="BY221" t="s">
        <v>84</v>
      </c>
      <c r="BZ221" t="s">
        <v>87</v>
      </c>
      <c r="CB221" t="s">
        <v>84</v>
      </c>
      <c r="CD221" t="s">
        <v>84</v>
      </c>
    </row>
    <row r="222" spans="1:83" x14ac:dyDescent="0.25">
      <c r="A222" t="s">
        <v>724</v>
      </c>
      <c r="B222" t="s">
        <v>725</v>
      </c>
      <c r="C222" t="s">
        <v>726</v>
      </c>
      <c r="D222" t="s">
        <v>727</v>
      </c>
      <c r="E222" t="s">
        <v>1995</v>
      </c>
      <c r="F222" s="10">
        <v>7818</v>
      </c>
      <c r="G222" s="1" t="s">
        <v>84</v>
      </c>
      <c r="I222" t="s">
        <v>85</v>
      </c>
      <c r="J222" t="s">
        <v>85</v>
      </c>
      <c r="K222" t="s">
        <v>85</v>
      </c>
      <c r="L222" t="s">
        <v>85</v>
      </c>
      <c r="M222" t="s">
        <v>85</v>
      </c>
      <c r="N222" t="s">
        <v>85</v>
      </c>
      <c r="O222" t="s">
        <v>85</v>
      </c>
      <c r="Q222" t="s">
        <v>84</v>
      </c>
      <c r="T222" t="s">
        <v>96</v>
      </c>
      <c r="U222" t="s">
        <v>87</v>
      </c>
      <c r="V222" t="s">
        <v>87</v>
      </c>
      <c r="W222" t="s">
        <v>87</v>
      </c>
      <c r="Y222" t="s">
        <v>84</v>
      </c>
      <c r="Z222" t="s">
        <v>84</v>
      </c>
      <c r="AA222" t="s">
        <v>84</v>
      </c>
      <c r="AB222" t="s">
        <v>260</v>
      </c>
      <c r="AC222" t="s">
        <v>87</v>
      </c>
      <c r="AD222" t="s">
        <v>84</v>
      </c>
      <c r="AE222" t="s">
        <v>87</v>
      </c>
      <c r="AF222" t="s">
        <v>84</v>
      </c>
      <c r="AG222" t="s">
        <v>87</v>
      </c>
      <c r="AI222" t="s">
        <v>84</v>
      </c>
      <c r="AJ222" t="s">
        <v>84</v>
      </c>
      <c r="AK222" t="s">
        <v>84</v>
      </c>
      <c r="AL222" t="s">
        <v>84</v>
      </c>
      <c r="AM222" t="s">
        <v>87</v>
      </c>
      <c r="AO222" t="s">
        <v>87</v>
      </c>
      <c r="AP222" t="s">
        <v>87</v>
      </c>
      <c r="AQ222" t="s">
        <v>84</v>
      </c>
      <c r="AR222" t="s">
        <v>728</v>
      </c>
      <c r="AS222" t="s">
        <v>87</v>
      </c>
      <c r="AT222" t="s">
        <v>84</v>
      </c>
      <c r="AU222" t="s">
        <v>729</v>
      </c>
      <c r="AW222" t="s">
        <v>89</v>
      </c>
      <c r="AX222" t="s">
        <v>87</v>
      </c>
      <c r="AY222" t="s">
        <v>84</v>
      </c>
      <c r="AZ222" t="s">
        <v>84</v>
      </c>
      <c r="BA222" t="s">
        <v>84</v>
      </c>
      <c r="BB222" t="s">
        <v>84</v>
      </c>
      <c r="BC222" t="s">
        <v>84</v>
      </c>
      <c r="BD222" t="s">
        <v>211</v>
      </c>
      <c r="BE222" t="s">
        <v>94</v>
      </c>
      <c r="BG222" t="s">
        <v>730</v>
      </c>
      <c r="BH222" t="s">
        <v>87</v>
      </c>
      <c r="BI222" t="s">
        <v>84</v>
      </c>
      <c r="BJ222" t="s">
        <v>84</v>
      </c>
      <c r="BL222" t="s">
        <v>87</v>
      </c>
      <c r="BM222" t="s">
        <v>87</v>
      </c>
      <c r="BN222" t="s">
        <v>84</v>
      </c>
      <c r="BP222" t="s">
        <v>84</v>
      </c>
      <c r="BQ222" t="s">
        <v>84</v>
      </c>
      <c r="BR222" t="s">
        <v>84</v>
      </c>
      <c r="BS222" t="s">
        <v>84</v>
      </c>
      <c r="BT222" t="s">
        <v>87</v>
      </c>
      <c r="BV222" t="s">
        <v>87</v>
      </c>
      <c r="BW222" t="s">
        <v>84</v>
      </c>
      <c r="BX222" t="s">
        <v>87</v>
      </c>
      <c r="BY222" t="s">
        <v>84</v>
      </c>
      <c r="BZ222" t="s">
        <v>87</v>
      </c>
      <c r="CB222" t="s">
        <v>84</v>
      </c>
      <c r="CD222" t="s">
        <v>84</v>
      </c>
    </row>
    <row r="223" spans="1:83" x14ac:dyDescent="0.25">
      <c r="A223" t="s">
        <v>1639</v>
      </c>
      <c r="B223" t="s">
        <v>1640</v>
      </c>
      <c r="C223" t="s">
        <v>1641</v>
      </c>
      <c r="D223" t="s">
        <v>120</v>
      </c>
      <c r="E223" t="s">
        <v>1925</v>
      </c>
      <c r="F223" s="1">
        <v>7880</v>
      </c>
      <c r="G223" s="1" t="s">
        <v>94</v>
      </c>
      <c r="H223" t="s">
        <v>199</v>
      </c>
      <c r="I223" t="s">
        <v>87</v>
      </c>
      <c r="J223" t="s">
        <v>84</v>
      </c>
      <c r="K223" t="s">
        <v>87</v>
      </c>
      <c r="L223" t="s">
        <v>84</v>
      </c>
      <c r="M223" t="s">
        <v>87</v>
      </c>
      <c r="N223" t="s">
        <v>84</v>
      </c>
      <c r="O223" t="s">
        <v>84</v>
      </c>
      <c r="Q223" t="s">
        <v>84</v>
      </c>
      <c r="T223" t="s">
        <v>86</v>
      </c>
      <c r="U223" t="s">
        <v>87</v>
      </c>
      <c r="V223" t="s">
        <v>84</v>
      </c>
      <c r="W223" t="s">
        <v>84</v>
      </c>
      <c r="X223" t="s">
        <v>1642</v>
      </c>
      <c r="Y223" t="s">
        <v>84</v>
      </c>
      <c r="Z223" t="s">
        <v>84</v>
      </c>
      <c r="AA223" t="s">
        <v>84</v>
      </c>
      <c r="AB223" t="s">
        <v>1642</v>
      </c>
      <c r="AC223" t="s">
        <v>87</v>
      </c>
      <c r="AD223" t="s">
        <v>84</v>
      </c>
      <c r="AE223" t="s">
        <v>84</v>
      </c>
      <c r="AF223" t="s">
        <v>84</v>
      </c>
      <c r="AG223" t="s">
        <v>87</v>
      </c>
      <c r="AH223" t="s">
        <v>1643</v>
      </c>
      <c r="AI223" t="s">
        <v>84</v>
      </c>
      <c r="AJ223" t="s">
        <v>84</v>
      </c>
      <c r="AK223" t="s">
        <v>84</v>
      </c>
      <c r="AL223" t="s">
        <v>87</v>
      </c>
      <c r="AM223" t="s">
        <v>84</v>
      </c>
      <c r="AO223" t="s">
        <v>87</v>
      </c>
      <c r="AP223" t="s">
        <v>87</v>
      </c>
      <c r="AQ223" t="s">
        <v>84</v>
      </c>
      <c r="AS223" t="s">
        <v>84</v>
      </c>
      <c r="AT223" t="s">
        <v>87</v>
      </c>
      <c r="AV223" t="s">
        <v>1644</v>
      </c>
      <c r="AW223" t="s">
        <v>89</v>
      </c>
      <c r="AX223" t="s">
        <v>87</v>
      </c>
      <c r="AY223" t="s">
        <v>84</v>
      </c>
      <c r="AZ223" t="s">
        <v>84</v>
      </c>
      <c r="BA223" t="s">
        <v>84</v>
      </c>
      <c r="BB223" t="s">
        <v>84</v>
      </c>
      <c r="BC223" t="s">
        <v>87</v>
      </c>
      <c r="BE223" t="s">
        <v>94</v>
      </c>
      <c r="BG223" t="s">
        <v>1645</v>
      </c>
      <c r="BH223" t="s">
        <v>87</v>
      </c>
      <c r="BI223" t="s">
        <v>84</v>
      </c>
      <c r="BJ223" t="s">
        <v>84</v>
      </c>
      <c r="BL223" t="s">
        <v>84</v>
      </c>
      <c r="BM223" t="s">
        <v>84</v>
      </c>
      <c r="BN223" t="s">
        <v>84</v>
      </c>
      <c r="BO223" t="s">
        <v>288</v>
      </c>
      <c r="BP223" t="s">
        <v>84</v>
      </c>
      <c r="BQ223" t="s">
        <v>84</v>
      </c>
      <c r="BR223" t="s">
        <v>84</v>
      </c>
      <c r="BS223" t="s">
        <v>84</v>
      </c>
      <c r="BT223" t="s">
        <v>84</v>
      </c>
      <c r="BU223" t="s">
        <v>288</v>
      </c>
      <c r="BV223" t="s">
        <v>84</v>
      </c>
      <c r="BW223" t="s">
        <v>84</v>
      </c>
      <c r="BX223" t="s">
        <v>84</v>
      </c>
      <c r="BY223" t="s">
        <v>84</v>
      </c>
      <c r="BZ223" t="s">
        <v>84</v>
      </c>
      <c r="CA223" t="s">
        <v>1646</v>
      </c>
      <c r="CB223" t="s">
        <v>84</v>
      </c>
      <c r="CD223" t="s">
        <v>84</v>
      </c>
    </row>
    <row r="224" spans="1:83" x14ac:dyDescent="0.25">
      <c r="A224" t="s">
        <v>712</v>
      </c>
      <c r="B224" t="s">
        <v>713</v>
      </c>
      <c r="C224" t="s">
        <v>714</v>
      </c>
      <c r="D224" t="s">
        <v>715</v>
      </c>
      <c r="E224" t="s">
        <v>715</v>
      </c>
      <c r="F224" s="1">
        <v>8048</v>
      </c>
      <c r="G224" s="1" t="s">
        <v>94</v>
      </c>
      <c r="H224" t="s">
        <v>716</v>
      </c>
      <c r="I224" t="s">
        <v>87</v>
      </c>
      <c r="J224" t="s">
        <v>87</v>
      </c>
      <c r="K224" t="s">
        <v>87</v>
      </c>
      <c r="L224" t="s">
        <v>87</v>
      </c>
      <c r="M224" t="s">
        <v>87</v>
      </c>
      <c r="N224" t="s">
        <v>87</v>
      </c>
      <c r="O224" t="s">
        <v>84</v>
      </c>
      <c r="Q224" t="s">
        <v>94</v>
      </c>
      <c r="S224" t="s">
        <v>717</v>
      </c>
      <c r="T224" t="s">
        <v>86</v>
      </c>
      <c r="U224" t="s">
        <v>87</v>
      </c>
      <c r="V224" t="s">
        <v>87</v>
      </c>
      <c r="W224" t="s">
        <v>87</v>
      </c>
      <c r="Y224" t="s">
        <v>87</v>
      </c>
      <c r="Z224" t="s">
        <v>87</v>
      </c>
      <c r="AA224" t="s">
        <v>87</v>
      </c>
      <c r="AC224" t="s">
        <v>84</v>
      </c>
      <c r="AD224" t="s">
        <v>84</v>
      </c>
      <c r="AE224" t="s">
        <v>87</v>
      </c>
      <c r="AF224" t="s">
        <v>84</v>
      </c>
      <c r="AG224" t="s">
        <v>87</v>
      </c>
      <c r="AI224" t="s">
        <v>84</v>
      </c>
      <c r="AJ224" t="s">
        <v>84</v>
      </c>
      <c r="AK224" t="s">
        <v>84</v>
      </c>
      <c r="AL224" t="s">
        <v>84</v>
      </c>
      <c r="AM224" t="s">
        <v>87</v>
      </c>
      <c r="AO224" t="s">
        <v>87</v>
      </c>
      <c r="AP224" t="s">
        <v>87</v>
      </c>
      <c r="AQ224" t="s">
        <v>84</v>
      </c>
      <c r="AS224" t="s">
        <v>87</v>
      </c>
      <c r="AT224" t="s">
        <v>87</v>
      </c>
      <c r="AU224" t="s">
        <v>718</v>
      </c>
      <c r="AV224" t="s">
        <v>719</v>
      </c>
      <c r="AW224" t="s">
        <v>89</v>
      </c>
      <c r="AX224" t="s">
        <v>87</v>
      </c>
      <c r="AY224" t="s">
        <v>87</v>
      </c>
      <c r="AZ224" t="s">
        <v>87</v>
      </c>
      <c r="BA224" t="s">
        <v>84</v>
      </c>
      <c r="BB224" t="s">
        <v>84</v>
      </c>
      <c r="BC224" t="s">
        <v>84</v>
      </c>
      <c r="BD224" t="s">
        <v>720</v>
      </c>
      <c r="BE224" t="s">
        <v>94</v>
      </c>
      <c r="BG224" t="s">
        <v>717</v>
      </c>
      <c r="BH224" t="s">
        <v>87</v>
      </c>
      <c r="BI224" t="s">
        <v>84</v>
      </c>
      <c r="BJ224" t="s">
        <v>84</v>
      </c>
      <c r="BL224" t="s">
        <v>87</v>
      </c>
      <c r="BM224" t="s">
        <v>84</v>
      </c>
      <c r="BN224" t="s">
        <v>84</v>
      </c>
      <c r="BP224" t="s">
        <v>84</v>
      </c>
      <c r="BQ224" t="s">
        <v>84</v>
      </c>
      <c r="BR224" t="s">
        <v>84</v>
      </c>
      <c r="BS224" t="s">
        <v>84</v>
      </c>
      <c r="BT224" t="s">
        <v>87</v>
      </c>
      <c r="BV224" t="s">
        <v>87</v>
      </c>
      <c r="BW224" t="s">
        <v>84</v>
      </c>
      <c r="BX224" t="s">
        <v>84</v>
      </c>
      <c r="BY224" t="s">
        <v>84</v>
      </c>
      <c r="BZ224" t="s">
        <v>84</v>
      </c>
      <c r="CB224" t="s">
        <v>84</v>
      </c>
      <c r="CD224" t="s">
        <v>84</v>
      </c>
    </row>
    <row r="225" spans="1:83" x14ac:dyDescent="0.25">
      <c r="A225" t="s">
        <v>1117</v>
      </c>
      <c r="B225" t="s">
        <v>1118</v>
      </c>
      <c r="C225" t="s">
        <v>1119</v>
      </c>
      <c r="D225" t="s">
        <v>734</v>
      </c>
      <c r="E225" t="s">
        <v>734</v>
      </c>
      <c r="F225" s="1">
        <v>10521</v>
      </c>
      <c r="G225" s="1" t="s">
        <v>94</v>
      </c>
      <c r="H225" t="s">
        <v>1120</v>
      </c>
      <c r="I225" t="s">
        <v>87</v>
      </c>
      <c r="J225" t="s">
        <v>84</v>
      </c>
      <c r="K225" t="s">
        <v>84</v>
      </c>
      <c r="L225" t="s">
        <v>84</v>
      </c>
      <c r="M225" t="s">
        <v>87</v>
      </c>
      <c r="N225" t="s">
        <v>84</v>
      </c>
      <c r="O225" t="s">
        <v>84</v>
      </c>
      <c r="Q225" t="s">
        <v>84</v>
      </c>
      <c r="T225" t="s">
        <v>86</v>
      </c>
      <c r="U225" t="s">
        <v>87</v>
      </c>
      <c r="V225" t="s">
        <v>87</v>
      </c>
      <c r="W225" t="s">
        <v>87</v>
      </c>
      <c r="Y225" t="s">
        <v>84</v>
      </c>
      <c r="Z225" t="s">
        <v>84</v>
      </c>
      <c r="AA225" t="s">
        <v>84</v>
      </c>
      <c r="AB225" t="s">
        <v>1121</v>
      </c>
      <c r="AC225" t="s">
        <v>87</v>
      </c>
      <c r="AD225" t="s">
        <v>84</v>
      </c>
      <c r="AE225" t="s">
        <v>84</v>
      </c>
      <c r="AF225" t="s">
        <v>87</v>
      </c>
      <c r="AG225" t="s">
        <v>84</v>
      </c>
      <c r="AI225" t="s">
        <v>87</v>
      </c>
      <c r="AJ225" t="s">
        <v>84</v>
      </c>
      <c r="AK225" t="s">
        <v>84</v>
      </c>
      <c r="AL225" t="s">
        <v>84</v>
      </c>
      <c r="AM225" t="s">
        <v>84</v>
      </c>
      <c r="AO225" t="s">
        <v>87</v>
      </c>
      <c r="AP225" t="s">
        <v>87</v>
      </c>
      <c r="AQ225" t="s">
        <v>84</v>
      </c>
      <c r="AS225" t="s">
        <v>87</v>
      </c>
      <c r="AT225" t="s">
        <v>84</v>
      </c>
      <c r="AU225" t="s">
        <v>1122</v>
      </c>
      <c r="AW225" t="s">
        <v>89</v>
      </c>
      <c r="AX225" t="s">
        <v>87</v>
      </c>
      <c r="AY225" t="s">
        <v>84</v>
      </c>
      <c r="AZ225" t="s">
        <v>84</v>
      </c>
      <c r="BA225" t="s">
        <v>84</v>
      </c>
      <c r="BB225" t="s">
        <v>84</v>
      </c>
      <c r="BC225" t="s">
        <v>87</v>
      </c>
      <c r="BE225" t="s">
        <v>94</v>
      </c>
      <c r="BG225" t="s">
        <v>1123</v>
      </c>
      <c r="BH225" t="s">
        <v>87</v>
      </c>
      <c r="BI225" t="s">
        <v>84</v>
      </c>
      <c r="BJ225" t="s">
        <v>84</v>
      </c>
      <c r="BL225" t="s">
        <v>87</v>
      </c>
      <c r="BM225" t="s">
        <v>84</v>
      </c>
      <c r="BN225" t="s">
        <v>84</v>
      </c>
      <c r="BO225" t="s">
        <v>1124</v>
      </c>
      <c r="BP225" t="s">
        <v>84</v>
      </c>
      <c r="BQ225" t="s">
        <v>84</v>
      </c>
      <c r="BR225" t="s">
        <v>84</v>
      </c>
      <c r="BS225" t="s">
        <v>87</v>
      </c>
      <c r="BT225" t="s">
        <v>84</v>
      </c>
      <c r="BU225" t="s">
        <v>1124</v>
      </c>
      <c r="BV225" t="s">
        <v>87</v>
      </c>
      <c r="BW225" t="s">
        <v>84</v>
      </c>
      <c r="BX225" t="s">
        <v>84</v>
      </c>
      <c r="BY225" t="s">
        <v>84</v>
      </c>
      <c r="BZ225" t="s">
        <v>84</v>
      </c>
      <c r="CB225" t="s">
        <v>94</v>
      </c>
      <c r="CC225" t="s">
        <v>1125</v>
      </c>
      <c r="CD225" t="s">
        <v>84</v>
      </c>
    </row>
    <row r="226" spans="1:83" x14ac:dyDescent="0.25">
      <c r="A226" t="s">
        <v>1256</v>
      </c>
      <c r="B226" t="s">
        <v>1257</v>
      </c>
      <c r="C226" t="s">
        <v>1258</v>
      </c>
      <c r="D226" t="s">
        <v>811</v>
      </c>
      <c r="E226" t="s">
        <v>1997</v>
      </c>
      <c r="F226" s="1">
        <v>10576</v>
      </c>
      <c r="G226" s="1" t="s">
        <v>84</v>
      </c>
      <c r="I226" t="s">
        <v>85</v>
      </c>
      <c r="J226" t="s">
        <v>85</v>
      </c>
      <c r="K226" t="s">
        <v>85</v>
      </c>
      <c r="L226" t="s">
        <v>85</v>
      </c>
      <c r="M226" t="s">
        <v>85</v>
      </c>
      <c r="N226" t="s">
        <v>85</v>
      </c>
      <c r="O226" t="s">
        <v>85</v>
      </c>
      <c r="Q226" t="s">
        <v>94</v>
      </c>
      <c r="S226" t="s">
        <v>1259</v>
      </c>
      <c r="T226" t="s">
        <v>96</v>
      </c>
      <c r="U226" t="s">
        <v>87</v>
      </c>
      <c r="V226" t="s">
        <v>87</v>
      </c>
      <c r="W226" t="s">
        <v>84</v>
      </c>
      <c r="X226" t="s">
        <v>1159</v>
      </c>
      <c r="Y226" t="s">
        <v>87</v>
      </c>
      <c r="Z226" t="s">
        <v>87</v>
      </c>
      <c r="AA226" t="s">
        <v>84</v>
      </c>
      <c r="AB226" t="s">
        <v>1159</v>
      </c>
      <c r="AC226" t="s">
        <v>87</v>
      </c>
      <c r="AD226" t="s">
        <v>84</v>
      </c>
      <c r="AE226" t="s">
        <v>87</v>
      </c>
      <c r="AF226" t="s">
        <v>87</v>
      </c>
      <c r="AG226" t="s">
        <v>87</v>
      </c>
      <c r="AI226" t="s">
        <v>84</v>
      </c>
      <c r="AJ226" t="s">
        <v>84</v>
      </c>
      <c r="AK226" t="s">
        <v>84</v>
      </c>
      <c r="AL226" t="s">
        <v>87</v>
      </c>
      <c r="AM226" t="s">
        <v>84</v>
      </c>
      <c r="AO226" t="s">
        <v>87</v>
      </c>
      <c r="AP226" t="s">
        <v>87</v>
      </c>
      <c r="AQ226" t="s">
        <v>84</v>
      </c>
      <c r="AS226" t="s">
        <v>87</v>
      </c>
      <c r="AT226" t="s">
        <v>84</v>
      </c>
      <c r="AU226" t="s">
        <v>1260</v>
      </c>
      <c r="AW226" t="s">
        <v>89</v>
      </c>
      <c r="AX226" t="s">
        <v>87</v>
      </c>
      <c r="AY226" t="s">
        <v>87</v>
      </c>
      <c r="AZ226" t="s">
        <v>87</v>
      </c>
      <c r="BA226" t="s">
        <v>84</v>
      </c>
      <c r="BB226" t="s">
        <v>84</v>
      </c>
      <c r="BC226" t="s">
        <v>87</v>
      </c>
      <c r="BE226" t="s">
        <v>94</v>
      </c>
      <c r="BG226" t="s">
        <v>1261</v>
      </c>
      <c r="BH226" t="s">
        <v>87</v>
      </c>
      <c r="BI226" t="s">
        <v>84</v>
      </c>
      <c r="BJ226" t="s">
        <v>84</v>
      </c>
      <c r="BL226" t="s">
        <v>87</v>
      </c>
      <c r="BM226" t="s">
        <v>84</v>
      </c>
      <c r="BN226" t="s">
        <v>84</v>
      </c>
      <c r="BP226" t="s">
        <v>84</v>
      </c>
      <c r="BQ226" t="s">
        <v>84</v>
      </c>
      <c r="BR226" t="s">
        <v>84</v>
      </c>
      <c r="BS226" t="s">
        <v>87</v>
      </c>
      <c r="BT226" t="s">
        <v>84</v>
      </c>
      <c r="BV226" t="s">
        <v>87</v>
      </c>
      <c r="BW226" t="s">
        <v>84</v>
      </c>
      <c r="BX226" t="s">
        <v>84</v>
      </c>
      <c r="BY226" t="s">
        <v>84</v>
      </c>
      <c r="BZ226" t="s">
        <v>84</v>
      </c>
      <c r="CB226" t="s">
        <v>84</v>
      </c>
      <c r="CD226" t="s">
        <v>84</v>
      </c>
    </row>
    <row r="227" spans="1:83" x14ac:dyDescent="0.25">
      <c r="A227" t="s">
        <v>540</v>
      </c>
      <c r="B227" t="s">
        <v>541</v>
      </c>
      <c r="C227" t="s">
        <v>542</v>
      </c>
      <c r="D227" t="s">
        <v>170</v>
      </c>
      <c r="E227" t="s">
        <v>1994</v>
      </c>
      <c r="F227" s="1">
        <v>10637</v>
      </c>
      <c r="G227" s="1" t="s">
        <v>84</v>
      </c>
      <c r="I227" t="s">
        <v>85</v>
      </c>
      <c r="J227" t="s">
        <v>85</v>
      </c>
      <c r="K227" t="s">
        <v>85</v>
      </c>
      <c r="L227" t="s">
        <v>85</v>
      </c>
      <c r="M227" t="s">
        <v>85</v>
      </c>
      <c r="N227" t="s">
        <v>85</v>
      </c>
      <c r="O227" t="s">
        <v>85</v>
      </c>
      <c r="Q227" t="s">
        <v>94</v>
      </c>
      <c r="S227" t="s">
        <v>543</v>
      </c>
      <c r="T227" t="s">
        <v>96</v>
      </c>
      <c r="U227" t="s">
        <v>87</v>
      </c>
      <c r="V227" t="s">
        <v>84</v>
      </c>
      <c r="W227" t="s">
        <v>84</v>
      </c>
      <c r="Y227" t="s">
        <v>84</v>
      </c>
      <c r="Z227" t="s">
        <v>84</v>
      </c>
      <c r="AA227" t="s">
        <v>84</v>
      </c>
      <c r="AB227" t="s">
        <v>112</v>
      </c>
      <c r="AC227" t="s">
        <v>87</v>
      </c>
      <c r="AD227" t="s">
        <v>84</v>
      </c>
      <c r="AE227" t="s">
        <v>87</v>
      </c>
      <c r="AF227" t="s">
        <v>87</v>
      </c>
      <c r="AG227" t="s">
        <v>87</v>
      </c>
      <c r="AI227" t="s">
        <v>84</v>
      </c>
      <c r="AJ227" t="s">
        <v>84</v>
      </c>
      <c r="AK227" t="s">
        <v>84</v>
      </c>
      <c r="AL227" t="s">
        <v>84</v>
      </c>
      <c r="AM227" t="s">
        <v>87</v>
      </c>
      <c r="AO227" t="s">
        <v>87</v>
      </c>
      <c r="AP227" t="s">
        <v>87</v>
      </c>
      <c r="AQ227" t="s">
        <v>84</v>
      </c>
      <c r="AR227" t="s">
        <v>544</v>
      </c>
      <c r="AS227" t="s">
        <v>87</v>
      </c>
      <c r="AT227" t="s">
        <v>87</v>
      </c>
      <c r="AU227" t="s">
        <v>545</v>
      </c>
      <c r="AV227" t="s">
        <v>546</v>
      </c>
      <c r="AW227" t="s">
        <v>89</v>
      </c>
      <c r="AX227" t="s">
        <v>87</v>
      </c>
      <c r="AY227" t="s">
        <v>87</v>
      </c>
      <c r="AZ227" t="s">
        <v>87</v>
      </c>
      <c r="BA227" t="s">
        <v>84</v>
      </c>
      <c r="BB227" t="s">
        <v>87</v>
      </c>
      <c r="BC227" t="s">
        <v>87</v>
      </c>
      <c r="BE227" t="s">
        <v>94</v>
      </c>
      <c r="BG227" t="s">
        <v>547</v>
      </c>
      <c r="BH227" t="s">
        <v>87</v>
      </c>
      <c r="BI227" t="s">
        <v>84</v>
      </c>
      <c r="BJ227" t="s">
        <v>84</v>
      </c>
      <c r="BL227" t="s">
        <v>87</v>
      </c>
      <c r="BM227" t="s">
        <v>87</v>
      </c>
      <c r="BN227" t="s">
        <v>84</v>
      </c>
      <c r="BP227" t="s">
        <v>84</v>
      </c>
      <c r="BQ227" t="s">
        <v>84</v>
      </c>
      <c r="BR227" t="s">
        <v>84</v>
      </c>
      <c r="BS227" t="s">
        <v>84</v>
      </c>
      <c r="BT227" t="s">
        <v>87</v>
      </c>
      <c r="BV227" t="s">
        <v>87</v>
      </c>
      <c r="BW227" t="s">
        <v>84</v>
      </c>
      <c r="BX227" t="s">
        <v>84</v>
      </c>
      <c r="BY227" t="s">
        <v>84</v>
      </c>
      <c r="BZ227" t="s">
        <v>84</v>
      </c>
      <c r="CB227" t="s">
        <v>84</v>
      </c>
      <c r="CD227" t="s">
        <v>94</v>
      </c>
      <c r="CE227" t="s">
        <v>548</v>
      </c>
    </row>
    <row r="228" spans="1:83" x14ac:dyDescent="0.25">
      <c r="A228" t="s">
        <v>902</v>
      </c>
      <c r="B228" t="s">
        <v>903</v>
      </c>
      <c r="C228" t="s">
        <v>904</v>
      </c>
      <c r="D228" t="s">
        <v>245</v>
      </c>
      <c r="E228" t="s">
        <v>1995</v>
      </c>
      <c r="F228" s="1">
        <v>11160</v>
      </c>
      <c r="G228" s="1" t="s">
        <v>94</v>
      </c>
      <c r="H228" t="s">
        <v>905</v>
      </c>
      <c r="I228" t="s">
        <v>87</v>
      </c>
      <c r="J228" t="s">
        <v>84</v>
      </c>
      <c r="K228" t="s">
        <v>84</v>
      </c>
      <c r="L228" t="s">
        <v>84</v>
      </c>
      <c r="M228" t="s">
        <v>87</v>
      </c>
      <c r="N228" t="s">
        <v>84</v>
      </c>
      <c r="O228" t="s">
        <v>84</v>
      </c>
      <c r="Q228" t="s">
        <v>94</v>
      </c>
      <c r="S228" t="s">
        <v>906</v>
      </c>
      <c r="T228" t="s">
        <v>96</v>
      </c>
      <c r="U228" t="s">
        <v>87</v>
      </c>
      <c r="V228" t="s">
        <v>87</v>
      </c>
      <c r="W228" t="s">
        <v>84</v>
      </c>
      <c r="Y228" t="s">
        <v>87</v>
      </c>
      <c r="Z228" t="s">
        <v>87</v>
      </c>
      <c r="AA228" t="s">
        <v>84</v>
      </c>
      <c r="AB228" t="s">
        <v>97</v>
      </c>
      <c r="AC228" t="s">
        <v>84</v>
      </c>
      <c r="AD228" t="s">
        <v>84</v>
      </c>
      <c r="AE228" t="s">
        <v>84</v>
      </c>
      <c r="AF228" t="s">
        <v>84</v>
      </c>
      <c r="AG228" t="s">
        <v>84</v>
      </c>
      <c r="AH228" t="s">
        <v>905</v>
      </c>
      <c r="AI228" t="s">
        <v>84</v>
      </c>
      <c r="AJ228" t="s">
        <v>84</v>
      </c>
      <c r="AK228" t="s">
        <v>84</v>
      </c>
      <c r="AL228" t="s">
        <v>84</v>
      </c>
      <c r="AM228" t="s">
        <v>87</v>
      </c>
      <c r="AO228" t="s">
        <v>87</v>
      </c>
      <c r="AP228" t="s">
        <v>87</v>
      </c>
      <c r="AQ228" t="s">
        <v>84</v>
      </c>
      <c r="AS228" t="s">
        <v>87</v>
      </c>
      <c r="AT228" t="s">
        <v>87</v>
      </c>
      <c r="AU228" t="s">
        <v>907</v>
      </c>
      <c r="AV228" t="s">
        <v>908</v>
      </c>
      <c r="AW228" t="s">
        <v>89</v>
      </c>
      <c r="AX228" t="s">
        <v>84</v>
      </c>
      <c r="AY228" t="s">
        <v>87</v>
      </c>
      <c r="AZ228" t="s">
        <v>84</v>
      </c>
      <c r="BA228" t="s">
        <v>84</v>
      </c>
      <c r="BB228" t="s">
        <v>87</v>
      </c>
      <c r="BC228" t="s">
        <v>84</v>
      </c>
      <c r="BE228" t="s">
        <v>94</v>
      </c>
      <c r="BG228" t="s">
        <v>906</v>
      </c>
      <c r="BH228" t="s">
        <v>87</v>
      </c>
      <c r="BI228" t="s">
        <v>84</v>
      </c>
      <c r="BJ228" t="s">
        <v>84</v>
      </c>
      <c r="BL228" t="s">
        <v>87</v>
      </c>
      <c r="BM228" t="s">
        <v>84</v>
      </c>
      <c r="BN228" t="s">
        <v>84</v>
      </c>
      <c r="BP228" t="s">
        <v>84</v>
      </c>
      <c r="BQ228" t="s">
        <v>84</v>
      </c>
      <c r="BR228" t="s">
        <v>84</v>
      </c>
      <c r="BS228" t="s">
        <v>84</v>
      </c>
      <c r="BT228" t="s">
        <v>87</v>
      </c>
      <c r="BV228" t="s">
        <v>87</v>
      </c>
      <c r="BW228" t="s">
        <v>84</v>
      </c>
      <c r="BX228" t="s">
        <v>84</v>
      </c>
      <c r="BY228" t="s">
        <v>84</v>
      </c>
      <c r="BZ228" t="s">
        <v>84</v>
      </c>
      <c r="CB228" t="s">
        <v>84</v>
      </c>
      <c r="CD228" t="s">
        <v>84</v>
      </c>
    </row>
    <row r="229" spans="1:83" x14ac:dyDescent="0.25">
      <c r="A229" t="s">
        <v>809</v>
      </c>
      <c r="B229" t="s">
        <v>804</v>
      </c>
      <c r="C229" t="s">
        <v>810</v>
      </c>
      <c r="D229" t="s">
        <v>811</v>
      </c>
      <c r="E229" t="s">
        <v>1997</v>
      </c>
      <c r="F229" s="1">
        <v>11203</v>
      </c>
      <c r="G229" s="1" t="s">
        <v>94</v>
      </c>
      <c r="H229" t="s">
        <v>812</v>
      </c>
      <c r="I229" t="s">
        <v>87</v>
      </c>
      <c r="J229" t="s">
        <v>84</v>
      </c>
      <c r="K229" t="s">
        <v>84</v>
      </c>
      <c r="L229" t="s">
        <v>84</v>
      </c>
      <c r="M229" t="s">
        <v>87</v>
      </c>
      <c r="N229" t="s">
        <v>84</v>
      </c>
      <c r="O229" t="s">
        <v>84</v>
      </c>
      <c r="Q229" t="s">
        <v>94</v>
      </c>
      <c r="S229" t="s">
        <v>813</v>
      </c>
      <c r="T229" t="s">
        <v>96</v>
      </c>
      <c r="U229" t="s">
        <v>87</v>
      </c>
      <c r="V229" t="s">
        <v>87</v>
      </c>
      <c r="W229" t="s">
        <v>84</v>
      </c>
      <c r="Y229" t="s">
        <v>87</v>
      </c>
      <c r="Z229" t="s">
        <v>87</v>
      </c>
      <c r="AA229" t="s">
        <v>87</v>
      </c>
      <c r="AC229" t="s">
        <v>87</v>
      </c>
      <c r="AD229" t="s">
        <v>84</v>
      </c>
      <c r="AE229" t="s">
        <v>84</v>
      </c>
      <c r="AF229" t="s">
        <v>84</v>
      </c>
      <c r="AG229" t="s">
        <v>87</v>
      </c>
      <c r="AI229" t="s">
        <v>87</v>
      </c>
      <c r="AJ229" t="s">
        <v>84</v>
      </c>
      <c r="AK229" t="s">
        <v>84</v>
      </c>
      <c r="AL229" t="s">
        <v>84</v>
      </c>
      <c r="AM229" t="s">
        <v>84</v>
      </c>
      <c r="AO229" t="s">
        <v>87</v>
      </c>
      <c r="AP229" t="s">
        <v>87</v>
      </c>
      <c r="AQ229" t="s">
        <v>84</v>
      </c>
      <c r="AS229" t="s">
        <v>87</v>
      </c>
      <c r="AT229" t="s">
        <v>87</v>
      </c>
      <c r="AU229" t="s">
        <v>814</v>
      </c>
      <c r="AV229" t="s">
        <v>814</v>
      </c>
      <c r="AW229" t="s">
        <v>89</v>
      </c>
      <c r="AX229" t="s">
        <v>87</v>
      </c>
      <c r="AY229" t="s">
        <v>87</v>
      </c>
      <c r="AZ229" t="s">
        <v>84</v>
      </c>
      <c r="BA229" t="s">
        <v>84</v>
      </c>
      <c r="BB229" t="s">
        <v>84</v>
      </c>
      <c r="BC229" t="s">
        <v>87</v>
      </c>
      <c r="BE229" t="s">
        <v>94</v>
      </c>
      <c r="BG229" t="s">
        <v>815</v>
      </c>
      <c r="BH229" t="s">
        <v>87</v>
      </c>
      <c r="BI229" t="s">
        <v>84</v>
      </c>
      <c r="BJ229" t="s">
        <v>84</v>
      </c>
      <c r="BL229" t="s">
        <v>87</v>
      </c>
      <c r="BM229" t="s">
        <v>87</v>
      </c>
      <c r="BN229" t="s">
        <v>84</v>
      </c>
      <c r="BP229" t="s">
        <v>87</v>
      </c>
      <c r="BQ229" t="s">
        <v>84</v>
      </c>
      <c r="BR229" t="s">
        <v>87</v>
      </c>
      <c r="BS229" t="s">
        <v>84</v>
      </c>
      <c r="BT229" t="s">
        <v>84</v>
      </c>
      <c r="BV229" t="s">
        <v>87</v>
      </c>
      <c r="BW229" t="s">
        <v>84</v>
      </c>
      <c r="BX229" t="s">
        <v>84</v>
      </c>
      <c r="BY229" t="s">
        <v>84</v>
      </c>
      <c r="BZ229" t="s">
        <v>84</v>
      </c>
      <c r="CB229" t="s">
        <v>84</v>
      </c>
      <c r="CD229" t="s">
        <v>84</v>
      </c>
    </row>
    <row r="230" spans="1:83" x14ac:dyDescent="0.25">
      <c r="A230" t="s">
        <v>1455</v>
      </c>
      <c r="B230" t="s">
        <v>1456</v>
      </c>
      <c r="C230" t="s">
        <v>1457</v>
      </c>
      <c r="D230" t="s">
        <v>278</v>
      </c>
      <c r="E230" t="s">
        <v>1994</v>
      </c>
      <c r="F230" s="1">
        <v>11812</v>
      </c>
      <c r="G230" s="1" t="s">
        <v>94</v>
      </c>
      <c r="H230" t="s">
        <v>829</v>
      </c>
      <c r="I230" t="s">
        <v>87</v>
      </c>
      <c r="J230" t="s">
        <v>84</v>
      </c>
      <c r="K230" t="s">
        <v>87</v>
      </c>
      <c r="L230" t="s">
        <v>87</v>
      </c>
      <c r="M230" t="s">
        <v>87</v>
      </c>
      <c r="N230" t="s">
        <v>84</v>
      </c>
      <c r="O230" t="s">
        <v>84</v>
      </c>
      <c r="Q230" t="s">
        <v>94</v>
      </c>
      <c r="S230" t="s">
        <v>1458</v>
      </c>
      <c r="T230" t="s">
        <v>96</v>
      </c>
      <c r="U230" t="s">
        <v>87</v>
      </c>
      <c r="V230" t="s">
        <v>87</v>
      </c>
      <c r="W230" t="s">
        <v>84</v>
      </c>
      <c r="Y230" t="s">
        <v>87</v>
      </c>
      <c r="Z230" t="s">
        <v>87</v>
      </c>
      <c r="AA230" t="s">
        <v>84</v>
      </c>
      <c r="AB230" t="s">
        <v>1459</v>
      </c>
      <c r="AC230" t="s">
        <v>87</v>
      </c>
      <c r="AD230" t="s">
        <v>84</v>
      </c>
      <c r="AE230" t="s">
        <v>84</v>
      </c>
      <c r="AF230" t="s">
        <v>87</v>
      </c>
      <c r="AG230" t="s">
        <v>87</v>
      </c>
      <c r="AI230" t="s">
        <v>84</v>
      </c>
      <c r="AJ230" t="s">
        <v>84</v>
      </c>
      <c r="AK230" t="s">
        <v>84</v>
      </c>
      <c r="AL230" t="s">
        <v>87</v>
      </c>
      <c r="AM230" t="s">
        <v>84</v>
      </c>
      <c r="AO230" t="s">
        <v>87</v>
      </c>
      <c r="AP230" t="s">
        <v>87</v>
      </c>
      <c r="AQ230" t="s">
        <v>84</v>
      </c>
      <c r="AS230" t="s">
        <v>87</v>
      </c>
      <c r="AT230" t="s">
        <v>84</v>
      </c>
      <c r="AU230" t="s">
        <v>1460</v>
      </c>
      <c r="AW230" t="s">
        <v>89</v>
      </c>
      <c r="AX230" t="s">
        <v>87</v>
      </c>
      <c r="AY230" t="s">
        <v>87</v>
      </c>
      <c r="AZ230" t="s">
        <v>84</v>
      </c>
      <c r="BA230" t="s">
        <v>84</v>
      </c>
      <c r="BB230" t="s">
        <v>84</v>
      </c>
      <c r="BC230" t="s">
        <v>87</v>
      </c>
      <c r="BE230" t="s">
        <v>94</v>
      </c>
      <c r="BG230" t="s">
        <v>1461</v>
      </c>
      <c r="BH230" t="s">
        <v>87</v>
      </c>
      <c r="BI230" t="s">
        <v>84</v>
      </c>
      <c r="BJ230" t="s">
        <v>84</v>
      </c>
      <c r="BK230" t="s">
        <v>1462</v>
      </c>
      <c r="BL230" t="s">
        <v>87</v>
      </c>
      <c r="BM230" t="s">
        <v>87</v>
      </c>
      <c r="BN230" t="s">
        <v>84</v>
      </c>
      <c r="BP230" t="s">
        <v>87</v>
      </c>
      <c r="BQ230" t="s">
        <v>84</v>
      </c>
      <c r="BR230" t="s">
        <v>84</v>
      </c>
      <c r="BS230" t="s">
        <v>87</v>
      </c>
      <c r="BT230" t="s">
        <v>84</v>
      </c>
      <c r="BV230" t="s">
        <v>87</v>
      </c>
      <c r="BW230" t="s">
        <v>84</v>
      </c>
      <c r="BX230" t="s">
        <v>84</v>
      </c>
      <c r="BY230" t="s">
        <v>84</v>
      </c>
      <c r="BZ230" t="s">
        <v>87</v>
      </c>
      <c r="CA230" t="s">
        <v>390</v>
      </c>
      <c r="CB230" t="s">
        <v>94</v>
      </c>
      <c r="CC230" t="s">
        <v>1463</v>
      </c>
      <c r="CD230" t="s">
        <v>84</v>
      </c>
    </row>
    <row r="231" spans="1:83" x14ac:dyDescent="0.25">
      <c r="A231" t="s">
        <v>379</v>
      </c>
      <c r="B231" t="s">
        <v>380</v>
      </c>
      <c r="C231" t="s">
        <v>381</v>
      </c>
      <c r="D231" t="s">
        <v>198</v>
      </c>
      <c r="E231" t="s">
        <v>1995</v>
      </c>
      <c r="F231" s="1">
        <v>12045</v>
      </c>
      <c r="G231" s="1" t="s">
        <v>94</v>
      </c>
      <c r="H231" t="s">
        <v>199</v>
      </c>
      <c r="I231" t="s">
        <v>87</v>
      </c>
      <c r="J231" t="s">
        <v>87</v>
      </c>
      <c r="K231" t="s">
        <v>87</v>
      </c>
      <c r="L231" t="s">
        <v>87</v>
      </c>
      <c r="M231" t="s">
        <v>87</v>
      </c>
      <c r="N231" t="s">
        <v>84</v>
      </c>
      <c r="O231" t="s">
        <v>84</v>
      </c>
      <c r="P231" t="s">
        <v>382</v>
      </c>
      <c r="Q231" t="s">
        <v>94</v>
      </c>
      <c r="S231" t="s">
        <v>383</v>
      </c>
      <c r="T231" t="s">
        <v>96</v>
      </c>
      <c r="U231" t="s">
        <v>87</v>
      </c>
      <c r="V231" t="s">
        <v>87</v>
      </c>
      <c r="W231" t="s">
        <v>84</v>
      </c>
      <c r="Y231" t="s">
        <v>87</v>
      </c>
      <c r="Z231" t="s">
        <v>87</v>
      </c>
      <c r="AA231" t="s">
        <v>87</v>
      </c>
      <c r="AB231" t="s">
        <v>384</v>
      </c>
      <c r="AC231" t="s">
        <v>87</v>
      </c>
      <c r="AD231" t="s">
        <v>84</v>
      </c>
      <c r="AE231" t="s">
        <v>87</v>
      </c>
      <c r="AF231" t="s">
        <v>87</v>
      </c>
      <c r="AG231" t="s">
        <v>87</v>
      </c>
      <c r="AH231" t="s">
        <v>385</v>
      </c>
      <c r="AI231" t="s">
        <v>84</v>
      </c>
      <c r="AJ231" t="s">
        <v>84</v>
      </c>
      <c r="AK231" t="s">
        <v>84</v>
      </c>
      <c r="AL231" t="s">
        <v>84</v>
      </c>
      <c r="AM231" t="s">
        <v>87</v>
      </c>
      <c r="AO231" t="s">
        <v>87</v>
      </c>
      <c r="AP231" t="s">
        <v>87</v>
      </c>
      <c r="AQ231" t="s">
        <v>84</v>
      </c>
      <c r="AR231" t="s">
        <v>386</v>
      </c>
      <c r="AS231" t="s">
        <v>87</v>
      </c>
      <c r="AT231" t="s">
        <v>87</v>
      </c>
      <c r="AU231" t="s">
        <v>387</v>
      </c>
      <c r="AV231" t="s">
        <v>388</v>
      </c>
      <c r="AW231" t="s">
        <v>89</v>
      </c>
      <c r="AX231" t="s">
        <v>87</v>
      </c>
      <c r="AY231" t="s">
        <v>87</v>
      </c>
      <c r="AZ231" t="s">
        <v>87</v>
      </c>
      <c r="BA231" t="s">
        <v>84</v>
      </c>
      <c r="BB231" t="s">
        <v>84</v>
      </c>
      <c r="BC231" t="s">
        <v>84</v>
      </c>
      <c r="BD231" t="s">
        <v>389</v>
      </c>
      <c r="BE231" t="s">
        <v>94</v>
      </c>
      <c r="BG231" t="s">
        <v>383</v>
      </c>
      <c r="BH231" t="s">
        <v>87</v>
      </c>
      <c r="BI231" t="s">
        <v>84</v>
      </c>
      <c r="BJ231" t="s">
        <v>84</v>
      </c>
      <c r="BL231" t="s">
        <v>87</v>
      </c>
      <c r="BM231" t="s">
        <v>87</v>
      </c>
      <c r="BN231" t="s">
        <v>84</v>
      </c>
      <c r="BP231" t="s">
        <v>84</v>
      </c>
      <c r="BQ231" t="s">
        <v>84</v>
      </c>
      <c r="BR231" t="s">
        <v>84</v>
      </c>
      <c r="BS231" t="s">
        <v>84</v>
      </c>
      <c r="BT231" t="s">
        <v>87</v>
      </c>
      <c r="BV231" t="s">
        <v>84</v>
      </c>
      <c r="BW231" t="s">
        <v>84</v>
      </c>
      <c r="BX231" t="s">
        <v>84</v>
      </c>
      <c r="BY231" t="s">
        <v>84</v>
      </c>
      <c r="BZ231" t="s">
        <v>87</v>
      </c>
      <c r="CA231" t="s">
        <v>390</v>
      </c>
      <c r="CB231" t="s">
        <v>84</v>
      </c>
      <c r="CD231" t="s">
        <v>94</v>
      </c>
      <c r="CE231" t="s">
        <v>391</v>
      </c>
    </row>
    <row r="232" spans="1:83" x14ac:dyDescent="0.25">
      <c r="A232" t="s">
        <v>1490</v>
      </c>
      <c r="B232" t="s">
        <v>1491</v>
      </c>
      <c r="C232" t="s">
        <v>1492</v>
      </c>
      <c r="D232" t="s">
        <v>137</v>
      </c>
      <c r="E232" t="s">
        <v>1926</v>
      </c>
      <c r="F232" s="1">
        <v>15567</v>
      </c>
      <c r="G232" s="1" t="s">
        <v>94</v>
      </c>
      <c r="H232" t="s">
        <v>178</v>
      </c>
      <c r="I232" t="s">
        <v>87</v>
      </c>
      <c r="J232" t="s">
        <v>84</v>
      </c>
      <c r="K232" t="s">
        <v>84</v>
      </c>
      <c r="L232" t="s">
        <v>84</v>
      </c>
      <c r="M232" t="s">
        <v>84</v>
      </c>
      <c r="N232" t="s">
        <v>84</v>
      </c>
      <c r="O232" t="s">
        <v>84</v>
      </c>
      <c r="P232" t="s">
        <v>1489</v>
      </c>
      <c r="Q232" t="s">
        <v>94</v>
      </c>
      <c r="S232" t="s">
        <v>1493</v>
      </c>
      <c r="T232" t="s">
        <v>96</v>
      </c>
      <c r="U232" t="s">
        <v>87</v>
      </c>
      <c r="V232" t="s">
        <v>87</v>
      </c>
      <c r="W232" t="s">
        <v>87</v>
      </c>
      <c r="Y232" t="s">
        <v>87</v>
      </c>
      <c r="Z232" t="s">
        <v>87</v>
      </c>
      <c r="AA232" t="s">
        <v>87</v>
      </c>
      <c r="AC232" t="s">
        <v>87</v>
      </c>
      <c r="AD232" t="s">
        <v>84</v>
      </c>
      <c r="AE232" t="s">
        <v>87</v>
      </c>
      <c r="AF232" t="s">
        <v>84</v>
      </c>
      <c r="AG232" t="s">
        <v>87</v>
      </c>
      <c r="AI232" t="s">
        <v>87</v>
      </c>
      <c r="AJ232" t="s">
        <v>84</v>
      </c>
      <c r="AK232" t="s">
        <v>84</v>
      </c>
      <c r="AL232" t="s">
        <v>84</v>
      </c>
      <c r="AM232" t="s">
        <v>84</v>
      </c>
      <c r="AO232" t="s">
        <v>87</v>
      </c>
      <c r="AP232" t="s">
        <v>87</v>
      </c>
      <c r="AQ232" t="s">
        <v>84</v>
      </c>
      <c r="AS232" t="s">
        <v>87</v>
      </c>
      <c r="AT232" t="s">
        <v>87</v>
      </c>
      <c r="AU232" t="s">
        <v>1494</v>
      </c>
      <c r="AW232" t="s">
        <v>152</v>
      </c>
      <c r="AX232" t="s">
        <v>87</v>
      </c>
      <c r="AY232" t="s">
        <v>87</v>
      </c>
      <c r="AZ232" t="s">
        <v>87</v>
      </c>
      <c r="BA232" t="s">
        <v>84</v>
      </c>
      <c r="BB232" t="s">
        <v>87</v>
      </c>
      <c r="BC232" t="s">
        <v>87</v>
      </c>
      <c r="BD232" t="s">
        <v>1495</v>
      </c>
      <c r="BE232" t="s">
        <v>94</v>
      </c>
      <c r="BG232" t="s">
        <v>1493</v>
      </c>
      <c r="BH232" t="s">
        <v>87</v>
      </c>
      <c r="BI232" t="s">
        <v>84</v>
      </c>
      <c r="BJ232" t="s">
        <v>84</v>
      </c>
      <c r="BL232" t="s">
        <v>84</v>
      </c>
      <c r="BM232" t="s">
        <v>84</v>
      </c>
      <c r="BN232" t="s">
        <v>87</v>
      </c>
      <c r="BP232" t="s">
        <v>84</v>
      </c>
      <c r="BQ232" t="s">
        <v>84</v>
      </c>
      <c r="BR232" t="s">
        <v>84</v>
      </c>
      <c r="BS232" t="s">
        <v>84</v>
      </c>
      <c r="BT232" t="s">
        <v>87</v>
      </c>
      <c r="BV232" t="s">
        <v>87</v>
      </c>
      <c r="BW232" t="s">
        <v>84</v>
      </c>
      <c r="BX232" t="s">
        <v>87</v>
      </c>
      <c r="BY232" t="s">
        <v>84</v>
      </c>
      <c r="BZ232" t="s">
        <v>84</v>
      </c>
      <c r="CB232" t="s">
        <v>94</v>
      </c>
      <c r="CC232" t="s">
        <v>1496</v>
      </c>
      <c r="CD232" t="s">
        <v>84</v>
      </c>
    </row>
    <row r="233" spans="1:83" x14ac:dyDescent="0.25">
      <c r="A233" t="s">
        <v>1042</v>
      </c>
      <c r="B233" t="s">
        <v>1043</v>
      </c>
      <c r="C233" t="s">
        <v>1044</v>
      </c>
      <c r="D233" t="s">
        <v>727</v>
      </c>
      <c r="E233" t="s">
        <v>1995</v>
      </c>
      <c r="F233" s="1">
        <v>16480</v>
      </c>
      <c r="G233" s="1" t="s">
        <v>94</v>
      </c>
      <c r="H233" t="s">
        <v>199</v>
      </c>
      <c r="I233" t="s">
        <v>84</v>
      </c>
      <c r="J233" t="s">
        <v>84</v>
      </c>
      <c r="K233" t="s">
        <v>84</v>
      </c>
      <c r="L233" t="s">
        <v>84</v>
      </c>
      <c r="M233" t="s">
        <v>84</v>
      </c>
      <c r="N233" t="s">
        <v>84</v>
      </c>
      <c r="O233" t="s">
        <v>87</v>
      </c>
      <c r="Q233" t="s">
        <v>94</v>
      </c>
      <c r="S233" t="s">
        <v>1045</v>
      </c>
      <c r="T233" t="s">
        <v>96</v>
      </c>
      <c r="U233" t="s">
        <v>87</v>
      </c>
      <c r="V233" t="s">
        <v>87</v>
      </c>
      <c r="W233" t="s">
        <v>84</v>
      </c>
      <c r="Y233" t="s">
        <v>87</v>
      </c>
      <c r="Z233" t="s">
        <v>87</v>
      </c>
      <c r="AA233" t="s">
        <v>84</v>
      </c>
      <c r="AB233" t="s">
        <v>1046</v>
      </c>
      <c r="AC233" t="s">
        <v>87</v>
      </c>
      <c r="AD233" t="s">
        <v>84</v>
      </c>
      <c r="AE233" t="s">
        <v>87</v>
      </c>
      <c r="AF233" t="s">
        <v>84</v>
      </c>
      <c r="AG233" t="s">
        <v>87</v>
      </c>
      <c r="AH233" t="s">
        <v>1047</v>
      </c>
      <c r="AI233" t="s">
        <v>84</v>
      </c>
      <c r="AJ233" t="s">
        <v>84</v>
      </c>
      <c r="AK233" t="s">
        <v>84</v>
      </c>
      <c r="AL233" t="s">
        <v>84</v>
      </c>
      <c r="AM233" t="s">
        <v>87</v>
      </c>
      <c r="AO233" t="s">
        <v>87</v>
      </c>
      <c r="AP233" t="s">
        <v>87</v>
      </c>
      <c r="AQ233" t="s">
        <v>84</v>
      </c>
      <c r="AS233" t="s">
        <v>87</v>
      </c>
      <c r="AT233" t="s">
        <v>87</v>
      </c>
      <c r="AU233" t="s">
        <v>1048</v>
      </c>
      <c r="AV233" t="s">
        <v>1048</v>
      </c>
      <c r="AW233" t="s">
        <v>89</v>
      </c>
      <c r="AX233" t="s">
        <v>87</v>
      </c>
      <c r="AY233" t="s">
        <v>87</v>
      </c>
      <c r="AZ233" t="s">
        <v>87</v>
      </c>
      <c r="BA233" t="s">
        <v>84</v>
      </c>
      <c r="BB233" t="s">
        <v>84</v>
      </c>
      <c r="BC233" t="s">
        <v>84</v>
      </c>
      <c r="BD233" t="s">
        <v>1049</v>
      </c>
      <c r="BE233" t="s">
        <v>94</v>
      </c>
      <c r="BG233" t="s">
        <v>1050</v>
      </c>
      <c r="BH233" t="s">
        <v>87</v>
      </c>
      <c r="BI233" t="s">
        <v>84</v>
      </c>
      <c r="BJ233" t="s">
        <v>84</v>
      </c>
      <c r="BL233" t="s">
        <v>87</v>
      </c>
      <c r="BM233" t="s">
        <v>87</v>
      </c>
      <c r="BN233" t="s">
        <v>84</v>
      </c>
      <c r="BP233" t="s">
        <v>84</v>
      </c>
      <c r="BQ233" t="s">
        <v>84</v>
      </c>
      <c r="BR233" t="s">
        <v>84</v>
      </c>
      <c r="BS233" t="s">
        <v>84</v>
      </c>
      <c r="BT233" t="s">
        <v>87</v>
      </c>
      <c r="BV233" t="s">
        <v>87</v>
      </c>
      <c r="BW233" t="s">
        <v>84</v>
      </c>
      <c r="BX233" t="s">
        <v>87</v>
      </c>
      <c r="BY233" t="s">
        <v>84</v>
      </c>
      <c r="BZ233" t="s">
        <v>87</v>
      </c>
      <c r="CB233" t="s">
        <v>84</v>
      </c>
      <c r="CD233" t="s">
        <v>84</v>
      </c>
    </row>
    <row r="234" spans="1:83" x14ac:dyDescent="0.25">
      <c r="A234" t="s">
        <v>592</v>
      </c>
      <c r="B234" t="s">
        <v>593</v>
      </c>
      <c r="C234" t="s">
        <v>594</v>
      </c>
      <c r="D234" t="s">
        <v>120</v>
      </c>
      <c r="E234" t="s">
        <v>1925</v>
      </c>
      <c r="F234" s="1">
        <v>17500</v>
      </c>
      <c r="G234" s="1" t="s">
        <v>94</v>
      </c>
      <c r="H234" t="s">
        <v>595</v>
      </c>
      <c r="I234" t="s">
        <v>87</v>
      </c>
      <c r="J234" t="s">
        <v>84</v>
      </c>
      <c r="K234" t="s">
        <v>84</v>
      </c>
      <c r="L234" t="s">
        <v>84</v>
      </c>
      <c r="M234" t="s">
        <v>87</v>
      </c>
      <c r="N234" t="s">
        <v>87</v>
      </c>
      <c r="O234" t="s">
        <v>84</v>
      </c>
      <c r="Q234" t="s">
        <v>94</v>
      </c>
      <c r="S234" t="s">
        <v>596</v>
      </c>
      <c r="T234" t="s">
        <v>96</v>
      </c>
      <c r="U234" t="s">
        <v>87</v>
      </c>
      <c r="V234" t="s">
        <v>87</v>
      </c>
      <c r="W234" t="s">
        <v>84</v>
      </c>
      <c r="Y234" t="s">
        <v>87</v>
      </c>
      <c r="Z234" t="s">
        <v>87</v>
      </c>
      <c r="AA234" t="s">
        <v>84</v>
      </c>
      <c r="AB234" t="s">
        <v>597</v>
      </c>
      <c r="AC234" t="s">
        <v>87</v>
      </c>
      <c r="AD234" t="s">
        <v>84</v>
      </c>
      <c r="AE234" t="s">
        <v>87</v>
      </c>
      <c r="AF234" t="s">
        <v>84</v>
      </c>
      <c r="AG234" t="s">
        <v>84</v>
      </c>
      <c r="AH234" t="s">
        <v>598</v>
      </c>
      <c r="AI234" t="s">
        <v>84</v>
      </c>
      <c r="AJ234" t="s">
        <v>84</v>
      </c>
      <c r="AK234" t="s">
        <v>84</v>
      </c>
      <c r="AL234" t="s">
        <v>84</v>
      </c>
      <c r="AM234" t="s">
        <v>87</v>
      </c>
      <c r="AO234" t="s">
        <v>87</v>
      </c>
      <c r="AP234" t="s">
        <v>87</v>
      </c>
      <c r="AQ234" t="s">
        <v>84</v>
      </c>
      <c r="AS234" t="s">
        <v>87</v>
      </c>
      <c r="AT234" t="s">
        <v>87</v>
      </c>
      <c r="AU234" t="s">
        <v>599</v>
      </c>
      <c r="AV234" t="s">
        <v>600</v>
      </c>
      <c r="AW234" t="s">
        <v>89</v>
      </c>
      <c r="AX234" t="s">
        <v>87</v>
      </c>
      <c r="AY234" t="s">
        <v>87</v>
      </c>
      <c r="AZ234" t="s">
        <v>87</v>
      </c>
      <c r="BA234" t="s">
        <v>84</v>
      </c>
      <c r="BB234" t="s">
        <v>84</v>
      </c>
      <c r="BC234" t="s">
        <v>84</v>
      </c>
      <c r="BD234" t="s">
        <v>601</v>
      </c>
      <c r="BE234" t="s">
        <v>94</v>
      </c>
      <c r="BG234" t="s">
        <v>602</v>
      </c>
      <c r="BH234" t="s">
        <v>87</v>
      </c>
      <c r="BI234" t="s">
        <v>84</v>
      </c>
      <c r="BJ234" t="s">
        <v>84</v>
      </c>
      <c r="BL234" t="s">
        <v>87</v>
      </c>
      <c r="BM234" t="s">
        <v>84</v>
      </c>
      <c r="BN234" t="s">
        <v>84</v>
      </c>
      <c r="BP234" t="s">
        <v>84</v>
      </c>
      <c r="BQ234" t="s">
        <v>84</v>
      </c>
      <c r="BR234" t="s">
        <v>87</v>
      </c>
      <c r="BS234" t="s">
        <v>87</v>
      </c>
      <c r="BT234" t="s">
        <v>84</v>
      </c>
      <c r="BV234" t="s">
        <v>87</v>
      </c>
      <c r="BW234" t="s">
        <v>84</v>
      </c>
      <c r="BX234" t="s">
        <v>84</v>
      </c>
      <c r="BY234" t="s">
        <v>84</v>
      </c>
      <c r="BZ234" t="s">
        <v>84</v>
      </c>
      <c r="CB234" t="s">
        <v>94</v>
      </c>
      <c r="CC234" t="s">
        <v>603</v>
      </c>
      <c r="CD234" t="s">
        <v>84</v>
      </c>
    </row>
    <row r="235" spans="1:83" x14ac:dyDescent="0.25">
      <c r="A235" t="s">
        <v>1155</v>
      </c>
      <c r="B235" t="s">
        <v>1156</v>
      </c>
      <c r="C235" t="s">
        <v>1157</v>
      </c>
      <c r="D235" t="s">
        <v>998</v>
      </c>
      <c r="E235" t="s">
        <v>1997</v>
      </c>
      <c r="F235" s="10">
        <v>17586</v>
      </c>
      <c r="G235" s="1" t="s">
        <v>94</v>
      </c>
      <c r="H235" t="s">
        <v>95</v>
      </c>
      <c r="I235" t="s">
        <v>87</v>
      </c>
      <c r="J235" t="s">
        <v>84</v>
      </c>
      <c r="K235" t="s">
        <v>84</v>
      </c>
      <c r="L235" t="s">
        <v>84</v>
      </c>
      <c r="M235" t="s">
        <v>84</v>
      </c>
      <c r="N235" t="s">
        <v>84</v>
      </c>
      <c r="O235" t="s">
        <v>84</v>
      </c>
      <c r="Q235" t="s">
        <v>94</v>
      </c>
      <c r="S235" t="s">
        <v>1158</v>
      </c>
      <c r="T235" t="s">
        <v>86</v>
      </c>
      <c r="U235" t="s">
        <v>87</v>
      </c>
      <c r="V235" t="s">
        <v>84</v>
      </c>
      <c r="W235" t="s">
        <v>84</v>
      </c>
      <c r="X235" t="s">
        <v>1159</v>
      </c>
      <c r="Y235" t="s">
        <v>87</v>
      </c>
      <c r="Z235" t="s">
        <v>87</v>
      </c>
      <c r="AA235" t="s">
        <v>84</v>
      </c>
      <c r="AB235" t="s">
        <v>1160</v>
      </c>
      <c r="AC235" t="s">
        <v>84</v>
      </c>
      <c r="AD235" t="s">
        <v>84</v>
      </c>
      <c r="AE235" t="s">
        <v>84</v>
      </c>
      <c r="AF235" t="s">
        <v>84</v>
      </c>
      <c r="AG235" t="s">
        <v>87</v>
      </c>
      <c r="AH235" t="s">
        <v>1161</v>
      </c>
      <c r="AI235" t="s">
        <v>84</v>
      </c>
      <c r="AJ235" t="s">
        <v>84</v>
      </c>
      <c r="AK235" t="s">
        <v>84</v>
      </c>
      <c r="AL235" t="s">
        <v>87</v>
      </c>
      <c r="AM235" t="s">
        <v>84</v>
      </c>
      <c r="AO235" t="s">
        <v>87</v>
      </c>
      <c r="AP235" t="s">
        <v>87</v>
      </c>
      <c r="AQ235" t="s">
        <v>84</v>
      </c>
      <c r="AS235" t="s">
        <v>87</v>
      </c>
      <c r="AT235" t="s">
        <v>84</v>
      </c>
      <c r="AU235" t="s">
        <v>1162</v>
      </c>
      <c r="AW235" t="s">
        <v>89</v>
      </c>
      <c r="AX235" t="s">
        <v>87</v>
      </c>
      <c r="AY235" t="s">
        <v>84</v>
      </c>
      <c r="AZ235" t="s">
        <v>84</v>
      </c>
      <c r="BA235" t="s">
        <v>84</v>
      </c>
      <c r="BB235" t="s">
        <v>84</v>
      </c>
      <c r="BC235" t="s">
        <v>87</v>
      </c>
      <c r="BE235" t="s">
        <v>94</v>
      </c>
      <c r="BG235" t="s">
        <v>1163</v>
      </c>
      <c r="BH235" t="s">
        <v>87</v>
      </c>
      <c r="BI235" t="s">
        <v>84</v>
      </c>
      <c r="BJ235" t="s">
        <v>84</v>
      </c>
      <c r="BL235" t="s">
        <v>87</v>
      </c>
      <c r="BM235" t="s">
        <v>84</v>
      </c>
      <c r="BN235" t="s">
        <v>84</v>
      </c>
      <c r="BO235" t="s">
        <v>1124</v>
      </c>
      <c r="BP235" t="s">
        <v>84</v>
      </c>
      <c r="BQ235" t="s">
        <v>84</v>
      </c>
      <c r="BR235" t="s">
        <v>84</v>
      </c>
      <c r="BS235" t="s">
        <v>87</v>
      </c>
      <c r="BT235" t="s">
        <v>84</v>
      </c>
      <c r="BU235" t="s">
        <v>1124</v>
      </c>
      <c r="BV235" t="s">
        <v>84</v>
      </c>
      <c r="BW235" t="s">
        <v>84</v>
      </c>
      <c r="BX235" t="s">
        <v>84</v>
      </c>
      <c r="BY235" t="s">
        <v>84</v>
      </c>
      <c r="BZ235" t="s">
        <v>84</v>
      </c>
      <c r="CA235" t="s">
        <v>1164</v>
      </c>
      <c r="CB235" t="s">
        <v>84</v>
      </c>
      <c r="CD235" t="s">
        <v>84</v>
      </c>
    </row>
    <row r="236" spans="1:83" x14ac:dyDescent="0.25">
      <c r="A236" t="s">
        <v>1471</v>
      </c>
      <c r="B236" t="s">
        <v>1472</v>
      </c>
      <c r="C236" t="s">
        <v>1473</v>
      </c>
      <c r="D236" t="s">
        <v>299</v>
      </c>
      <c r="E236" t="s">
        <v>1999</v>
      </c>
      <c r="F236" s="1">
        <v>18030</v>
      </c>
      <c r="G236" s="1" t="s">
        <v>94</v>
      </c>
      <c r="H236" t="s">
        <v>300</v>
      </c>
      <c r="I236" t="s">
        <v>84</v>
      </c>
      <c r="J236" t="s">
        <v>84</v>
      </c>
      <c r="K236" t="s">
        <v>84</v>
      </c>
      <c r="L236" t="s">
        <v>84</v>
      </c>
      <c r="M236" t="s">
        <v>84</v>
      </c>
      <c r="N236" t="s">
        <v>84</v>
      </c>
      <c r="O236" t="s">
        <v>87</v>
      </c>
      <c r="Q236" t="s">
        <v>84</v>
      </c>
      <c r="T236" t="s">
        <v>96</v>
      </c>
      <c r="U236" t="s">
        <v>87</v>
      </c>
      <c r="V236" t="s">
        <v>87</v>
      </c>
      <c r="W236" t="s">
        <v>84</v>
      </c>
      <c r="Y236" t="s">
        <v>87</v>
      </c>
      <c r="Z236" t="s">
        <v>87</v>
      </c>
      <c r="AA236" t="s">
        <v>84</v>
      </c>
      <c r="AC236" t="s">
        <v>87</v>
      </c>
      <c r="AD236" t="s">
        <v>84</v>
      </c>
      <c r="AE236" t="s">
        <v>87</v>
      </c>
      <c r="AF236" t="s">
        <v>84</v>
      </c>
      <c r="AG236" t="s">
        <v>87</v>
      </c>
      <c r="AI236" t="s">
        <v>84</v>
      </c>
      <c r="AJ236" t="s">
        <v>84</v>
      </c>
      <c r="AK236" t="s">
        <v>84</v>
      </c>
      <c r="AL236" t="s">
        <v>84</v>
      </c>
      <c r="AM236" t="s">
        <v>87</v>
      </c>
      <c r="AO236" t="s">
        <v>87</v>
      </c>
      <c r="AP236" t="s">
        <v>87</v>
      </c>
      <c r="AQ236" t="s">
        <v>84</v>
      </c>
      <c r="AS236" t="s">
        <v>87</v>
      </c>
      <c r="AT236" t="s">
        <v>87</v>
      </c>
      <c r="AU236" t="s">
        <v>1474</v>
      </c>
      <c r="AV236" t="s">
        <v>1475</v>
      </c>
      <c r="AW236" t="s">
        <v>89</v>
      </c>
      <c r="AX236" t="s">
        <v>87</v>
      </c>
      <c r="AY236" t="s">
        <v>87</v>
      </c>
      <c r="AZ236" t="s">
        <v>87</v>
      </c>
      <c r="BA236" t="s">
        <v>84</v>
      </c>
      <c r="BB236" t="s">
        <v>84</v>
      </c>
      <c r="BC236" t="s">
        <v>84</v>
      </c>
      <c r="BD236" t="s">
        <v>1476</v>
      </c>
      <c r="BE236" t="s">
        <v>94</v>
      </c>
      <c r="BG236" t="s">
        <v>1477</v>
      </c>
      <c r="BH236" t="s">
        <v>87</v>
      </c>
      <c r="BI236" t="s">
        <v>84</v>
      </c>
      <c r="BJ236" t="s">
        <v>84</v>
      </c>
      <c r="BL236" t="s">
        <v>87</v>
      </c>
      <c r="BM236" t="s">
        <v>84</v>
      </c>
      <c r="BN236" t="s">
        <v>84</v>
      </c>
      <c r="BP236" t="s">
        <v>84</v>
      </c>
      <c r="BQ236" t="s">
        <v>84</v>
      </c>
      <c r="BR236" t="s">
        <v>84</v>
      </c>
      <c r="BS236" t="s">
        <v>84</v>
      </c>
      <c r="BT236" t="s">
        <v>87</v>
      </c>
      <c r="BV236" t="s">
        <v>87</v>
      </c>
      <c r="BW236" t="s">
        <v>84</v>
      </c>
      <c r="BX236" t="s">
        <v>84</v>
      </c>
      <c r="BY236" t="s">
        <v>84</v>
      </c>
      <c r="BZ236" t="s">
        <v>87</v>
      </c>
      <c r="CB236" t="s">
        <v>84</v>
      </c>
      <c r="CD236" t="s">
        <v>84</v>
      </c>
    </row>
    <row r="237" spans="1:83" x14ac:dyDescent="0.25">
      <c r="A237" t="s">
        <v>1603</v>
      </c>
      <c r="B237" t="s">
        <v>1604</v>
      </c>
      <c r="C237" t="s">
        <v>1605</v>
      </c>
      <c r="D237" t="s">
        <v>658</v>
      </c>
      <c r="E237" t="s">
        <v>1925</v>
      </c>
      <c r="F237" s="1">
        <v>19216</v>
      </c>
      <c r="G237" s="1" t="s">
        <v>94</v>
      </c>
      <c r="H237" t="s">
        <v>265</v>
      </c>
      <c r="I237" t="s">
        <v>84</v>
      </c>
      <c r="J237" t="s">
        <v>84</v>
      </c>
      <c r="K237" t="s">
        <v>84</v>
      </c>
      <c r="L237" t="s">
        <v>84</v>
      </c>
      <c r="M237" t="s">
        <v>84</v>
      </c>
      <c r="N237" t="s">
        <v>84</v>
      </c>
      <c r="O237" t="s">
        <v>87</v>
      </c>
      <c r="Q237" t="s">
        <v>94</v>
      </c>
      <c r="S237" t="s">
        <v>1606</v>
      </c>
      <c r="T237" t="s">
        <v>96</v>
      </c>
      <c r="U237" t="s">
        <v>87</v>
      </c>
      <c r="V237" t="s">
        <v>87</v>
      </c>
      <c r="W237" t="s">
        <v>84</v>
      </c>
      <c r="Y237" t="s">
        <v>87</v>
      </c>
      <c r="Z237" t="s">
        <v>87</v>
      </c>
      <c r="AA237" t="s">
        <v>84</v>
      </c>
      <c r="AC237" t="s">
        <v>87</v>
      </c>
      <c r="AD237" t="s">
        <v>84</v>
      </c>
      <c r="AE237" t="s">
        <v>84</v>
      </c>
      <c r="AF237" t="s">
        <v>84</v>
      </c>
      <c r="AG237" t="s">
        <v>84</v>
      </c>
      <c r="AI237" t="s">
        <v>84</v>
      </c>
      <c r="AJ237" t="s">
        <v>84</v>
      </c>
      <c r="AK237" t="s">
        <v>84</v>
      </c>
      <c r="AL237" t="s">
        <v>84</v>
      </c>
      <c r="AM237" t="s">
        <v>87</v>
      </c>
      <c r="AO237" t="s">
        <v>87</v>
      </c>
      <c r="AP237" t="s">
        <v>87</v>
      </c>
      <c r="AQ237" t="s">
        <v>84</v>
      </c>
      <c r="AS237" t="s">
        <v>87</v>
      </c>
      <c r="AT237" t="s">
        <v>84</v>
      </c>
      <c r="AU237" t="s">
        <v>1607</v>
      </c>
      <c r="AW237" t="s">
        <v>89</v>
      </c>
      <c r="AX237" t="s">
        <v>87</v>
      </c>
      <c r="AY237" t="s">
        <v>87</v>
      </c>
      <c r="AZ237" t="s">
        <v>84</v>
      </c>
      <c r="BA237" t="s">
        <v>84</v>
      </c>
      <c r="BB237" t="s">
        <v>87</v>
      </c>
      <c r="BC237" t="s">
        <v>84</v>
      </c>
      <c r="BE237" t="s">
        <v>94</v>
      </c>
      <c r="BG237" t="s">
        <v>1606</v>
      </c>
      <c r="BH237" t="s">
        <v>87</v>
      </c>
      <c r="BI237" t="s">
        <v>84</v>
      </c>
      <c r="BJ237" t="s">
        <v>84</v>
      </c>
      <c r="BL237" t="s">
        <v>87</v>
      </c>
      <c r="BM237" t="s">
        <v>87</v>
      </c>
      <c r="BN237" t="s">
        <v>87</v>
      </c>
      <c r="BP237" t="s">
        <v>84</v>
      </c>
      <c r="BQ237" t="s">
        <v>84</v>
      </c>
      <c r="BR237" t="s">
        <v>84</v>
      </c>
      <c r="BS237" t="s">
        <v>84</v>
      </c>
      <c r="BT237" t="s">
        <v>87</v>
      </c>
      <c r="BV237" t="s">
        <v>87</v>
      </c>
      <c r="BW237" t="s">
        <v>84</v>
      </c>
      <c r="BX237" t="s">
        <v>84</v>
      </c>
      <c r="BY237" t="s">
        <v>84</v>
      </c>
      <c r="BZ237" t="s">
        <v>84</v>
      </c>
      <c r="CB237" t="s">
        <v>84</v>
      </c>
      <c r="CD237" t="s">
        <v>84</v>
      </c>
    </row>
    <row r="238" spans="1:83" x14ac:dyDescent="0.25">
      <c r="A238" t="s">
        <v>1089</v>
      </c>
      <c r="B238" t="s">
        <v>1090</v>
      </c>
      <c r="C238" t="s">
        <v>1091</v>
      </c>
      <c r="D238" t="s">
        <v>253</v>
      </c>
      <c r="E238" t="s">
        <v>1995</v>
      </c>
      <c r="F238" s="1">
        <v>20000</v>
      </c>
      <c r="G238" s="1" t="s">
        <v>94</v>
      </c>
      <c r="H238" t="s">
        <v>95</v>
      </c>
      <c r="I238" t="s">
        <v>87</v>
      </c>
      <c r="J238" t="s">
        <v>87</v>
      </c>
      <c r="K238" t="s">
        <v>87</v>
      </c>
      <c r="L238" t="s">
        <v>87</v>
      </c>
      <c r="M238" t="s">
        <v>87</v>
      </c>
      <c r="N238" t="s">
        <v>87</v>
      </c>
      <c r="O238" t="s">
        <v>87</v>
      </c>
      <c r="Q238" t="s">
        <v>94</v>
      </c>
      <c r="S238" t="s">
        <v>1092</v>
      </c>
      <c r="T238" t="s">
        <v>96</v>
      </c>
      <c r="U238" t="s">
        <v>87</v>
      </c>
      <c r="V238" t="s">
        <v>87</v>
      </c>
      <c r="W238" t="s">
        <v>84</v>
      </c>
      <c r="Y238" t="s">
        <v>87</v>
      </c>
      <c r="Z238" t="s">
        <v>87</v>
      </c>
      <c r="AA238" t="s">
        <v>84</v>
      </c>
      <c r="AB238" t="s">
        <v>1093</v>
      </c>
      <c r="AC238" t="s">
        <v>87</v>
      </c>
      <c r="AD238" t="s">
        <v>87</v>
      </c>
      <c r="AE238" t="s">
        <v>84</v>
      </c>
      <c r="AF238" t="s">
        <v>84</v>
      </c>
      <c r="AG238" t="s">
        <v>84</v>
      </c>
      <c r="AH238" t="s">
        <v>1094</v>
      </c>
      <c r="AI238" t="s">
        <v>87</v>
      </c>
      <c r="AJ238" t="s">
        <v>84</v>
      </c>
      <c r="AK238" t="s">
        <v>84</v>
      </c>
      <c r="AL238" t="s">
        <v>87</v>
      </c>
      <c r="AM238" t="s">
        <v>84</v>
      </c>
      <c r="AO238" t="s">
        <v>87</v>
      </c>
      <c r="AP238" t="s">
        <v>87</v>
      </c>
      <c r="AQ238" t="s">
        <v>84</v>
      </c>
      <c r="AS238" t="s">
        <v>87</v>
      </c>
      <c r="AT238" t="s">
        <v>87</v>
      </c>
      <c r="AU238" t="s">
        <v>1095</v>
      </c>
      <c r="AW238" t="s">
        <v>89</v>
      </c>
      <c r="AX238" t="s">
        <v>87</v>
      </c>
      <c r="AY238" t="s">
        <v>87</v>
      </c>
      <c r="AZ238" t="s">
        <v>87</v>
      </c>
      <c r="BA238" t="s">
        <v>84</v>
      </c>
      <c r="BB238" t="s">
        <v>84</v>
      </c>
      <c r="BC238" t="s">
        <v>84</v>
      </c>
      <c r="BD238" t="s">
        <v>1096</v>
      </c>
      <c r="BE238" t="s">
        <v>94</v>
      </c>
      <c r="BG238" t="s">
        <v>1097</v>
      </c>
      <c r="BH238" t="s">
        <v>87</v>
      </c>
      <c r="BI238" t="s">
        <v>84</v>
      </c>
      <c r="BJ238" t="s">
        <v>84</v>
      </c>
      <c r="BL238" t="s">
        <v>87</v>
      </c>
      <c r="BM238" t="s">
        <v>87</v>
      </c>
      <c r="BN238" t="s">
        <v>84</v>
      </c>
      <c r="BP238" t="s">
        <v>87</v>
      </c>
      <c r="BQ238" t="s">
        <v>84</v>
      </c>
      <c r="BR238" t="s">
        <v>84</v>
      </c>
      <c r="BS238" t="s">
        <v>87</v>
      </c>
      <c r="BT238" t="s">
        <v>84</v>
      </c>
      <c r="BV238" t="s">
        <v>87</v>
      </c>
      <c r="BW238" t="s">
        <v>84</v>
      </c>
      <c r="BX238" t="s">
        <v>84</v>
      </c>
      <c r="BY238" t="s">
        <v>84</v>
      </c>
      <c r="BZ238" t="s">
        <v>84</v>
      </c>
      <c r="CB238" t="s">
        <v>84</v>
      </c>
      <c r="CD238" t="s">
        <v>84</v>
      </c>
    </row>
    <row r="239" spans="1:83" x14ac:dyDescent="0.25">
      <c r="A239" t="s">
        <v>1347</v>
      </c>
      <c r="B239" t="s">
        <v>1348</v>
      </c>
      <c r="C239" t="s">
        <v>1349</v>
      </c>
      <c r="D239" t="s">
        <v>1054</v>
      </c>
      <c r="E239" t="s">
        <v>1996</v>
      </c>
      <c r="F239" s="1">
        <v>20173</v>
      </c>
      <c r="G239" s="1" t="s">
        <v>94</v>
      </c>
      <c r="H239" t="s">
        <v>95</v>
      </c>
      <c r="I239" t="s">
        <v>87</v>
      </c>
      <c r="J239" t="s">
        <v>84</v>
      </c>
      <c r="K239" t="s">
        <v>84</v>
      </c>
      <c r="L239" t="s">
        <v>84</v>
      </c>
      <c r="M239" t="s">
        <v>87</v>
      </c>
      <c r="N239" t="s">
        <v>84</v>
      </c>
      <c r="O239" t="s">
        <v>84</v>
      </c>
      <c r="Q239" t="s">
        <v>94</v>
      </c>
      <c r="S239" t="s">
        <v>1350</v>
      </c>
      <c r="T239" t="s">
        <v>96</v>
      </c>
      <c r="U239" t="s">
        <v>87</v>
      </c>
      <c r="V239" t="s">
        <v>87</v>
      </c>
      <c r="W239" t="s">
        <v>84</v>
      </c>
      <c r="Y239" t="s">
        <v>87</v>
      </c>
      <c r="Z239" t="s">
        <v>87</v>
      </c>
      <c r="AA239" t="s">
        <v>84</v>
      </c>
      <c r="AC239" t="s">
        <v>87</v>
      </c>
      <c r="AD239" t="s">
        <v>84</v>
      </c>
      <c r="AE239" t="s">
        <v>84</v>
      </c>
      <c r="AF239" t="s">
        <v>84</v>
      </c>
      <c r="AG239" t="s">
        <v>87</v>
      </c>
      <c r="AI239" t="s">
        <v>84</v>
      </c>
      <c r="AJ239" t="s">
        <v>84</v>
      </c>
      <c r="AK239" t="s">
        <v>84</v>
      </c>
      <c r="AL239" t="s">
        <v>84</v>
      </c>
      <c r="AM239" t="s">
        <v>87</v>
      </c>
      <c r="AO239" t="s">
        <v>87</v>
      </c>
      <c r="AP239" t="s">
        <v>87</v>
      </c>
      <c r="AQ239" t="s">
        <v>84</v>
      </c>
      <c r="AS239" t="s">
        <v>87</v>
      </c>
      <c r="AT239" t="s">
        <v>84</v>
      </c>
      <c r="AU239" t="s">
        <v>1351</v>
      </c>
      <c r="AW239" t="s">
        <v>89</v>
      </c>
      <c r="AX239" t="s">
        <v>87</v>
      </c>
      <c r="AY239" t="s">
        <v>87</v>
      </c>
      <c r="AZ239" t="s">
        <v>84</v>
      </c>
      <c r="BA239" t="s">
        <v>84</v>
      </c>
      <c r="BB239" t="s">
        <v>84</v>
      </c>
      <c r="BC239" t="s">
        <v>84</v>
      </c>
      <c r="BD239" t="s">
        <v>1352</v>
      </c>
      <c r="BE239" t="s">
        <v>94</v>
      </c>
      <c r="BG239" t="s">
        <v>1353</v>
      </c>
      <c r="BH239" t="s">
        <v>87</v>
      </c>
      <c r="BI239" t="s">
        <v>84</v>
      </c>
      <c r="BJ239" t="s">
        <v>84</v>
      </c>
      <c r="BL239" t="s">
        <v>84</v>
      </c>
      <c r="BM239" t="s">
        <v>84</v>
      </c>
      <c r="BN239" t="s">
        <v>84</v>
      </c>
      <c r="BO239" t="s">
        <v>1354</v>
      </c>
      <c r="BP239" t="s">
        <v>84</v>
      </c>
      <c r="BQ239" t="s">
        <v>84</v>
      </c>
      <c r="BR239" t="s">
        <v>84</v>
      </c>
      <c r="BS239" t="s">
        <v>84</v>
      </c>
      <c r="BT239" t="s">
        <v>87</v>
      </c>
      <c r="BV239" t="s">
        <v>87</v>
      </c>
      <c r="BW239" t="s">
        <v>84</v>
      </c>
      <c r="BX239" t="s">
        <v>84</v>
      </c>
      <c r="BY239" t="s">
        <v>84</v>
      </c>
      <c r="BZ239" t="s">
        <v>87</v>
      </c>
      <c r="CB239" t="s">
        <v>84</v>
      </c>
      <c r="CD239" t="s">
        <v>84</v>
      </c>
    </row>
    <row r="240" spans="1:83" x14ac:dyDescent="0.25">
      <c r="A240" t="s">
        <v>434</v>
      </c>
      <c r="B240" t="s">
        <v>435</v>
      </c>
      <c r="C240" t="s">
        <v>436</v>
      </c>
      <c r="D240" t="s">
        <v>104</v>
      </c>
      <c r="E240" t="s">
        <v>1926</v>
      </c>
      <c r="F240" s="1">
        <v>20483</v>
      </c>
      <c r="G240" s="1" t="s">
        <v>94</v>
      </c>
      <c r="H240" t="s">
        <v>437</v>
      </c>
      <c r="I240" t="s">
        <v>87</v>
      </c>
      <c r="J240" t="s">
        <v>84</v>
      </c>
      <c r="K240" t="s">
        <v>84</v>
      </c>
      <c r="L240" t="s">
        <v>84</v>
      </c>
      <c r="M240" t="s">
        <v>84</v>
      </c>
      <c r="N240" t="s">
        <v>84</v>
      </c>
      <c r="O240" t="s">
        <v>84</v>
      </c>
      <c r="Q240" t="s">
        <v>94</v>
      </c>
      <c r="S240" t="s">
        <v>438</v>
      </c>
      <c r="T240" t="s">
        <v>96</v>
      </c>
      <c r="U240" t="s">
        <v>87</v>
      </c>
      <c r="V240" t="s">
        <v>87</v>
      </c>
      <c r="W240" t="s">
        <v>84</v>
      </c>
      <c r="Y240" t="s">
        <v>87</v>
      </c>
      <c r="Z240" t="s">
        <v>87</v>
      </c>
      <c r="AA240" t="s">
        <v>84</v>
      </c>
      <c r="AC240" t="s">
        <v>87</v>
      </c>
      <c r="AD240" t="s">
        <v>84</v>
      </c>
      <c r="AE240" t="s">
        <v>87</v>
      </c>
      <c r="AF240" t="s">
        <v>84</v>
      </c>
      <c r="AG240" t="s">
        <v>87</v>
      </c>
      <c r="AI240" t="s">
        <v>84</v>
      </c>
      <c r="AJ240" t="s">
        <v>84</v>
      </c>
      <c r="AK240" t="s">
        <v>84</v>
      </c>
      <c r="AL240" t="s">
        <v>84</v>
      </c>
      <c r="AM240" t="s">
        <v>87</v>
      </c>
      <c r="AO240" t="s">
        <v>87</v>
      </c>
      <c r="AP240" t="s">
        <v>87</v>
      </c>
      <c r="AQ240" t="s">
        <v>84</v>
      </c>
      <c r="AS240" t="s">
        <v>87</v>
      </c>
      <c r="AT240" t="s">
        <v>87</v>
      </c>
      <c r="AU240" t="s">
        <v>439</v>
      </c>
      <c r="AV240" t="s">
        <v>440</v>
      </c>
      <c r="AW240" t="s">
        <v>89</v>
      </c>
      <c r="AX240" t="s">
        <v>87</v>
      </c>
      <c r="AY240" t="s">
        <v>87</v>
      </c>
      <c r="AZ240" t="s">
        <v>87</v>
      </c>
      <c r="BA240" t="s">
        <v>84</v>
      </c>
      <c r="BB240" t="s">
        <v>87</v>
      </c>
      <c r="BC240" t="s">
        <v>84</v>
      </c>
      <c r="BE240" t="s">
        <v>94</v>
      </c>
      <c r="BG240" t="s">
        <v>438</v>
      </c>
      <c r="BH240" t="s">
        <v>87</v>
      </c>
      <c r="BI240" t="s">
        <v>84</v>
      </c>
      <c r="BJ240" t="s">
        <v>84</v>
      </c>
      <c r="BL240" t="s">
        <v>87</v>
      </c>
      <c r="BM240" t="s">
        <v>87</v>
      </c>
      <c r="BN240" t="s">
        <v>84</v>
      </c>
      <c r="BP240" t="s">
        <v>84</v>
      </c>
      <c r="BQ240" t="s">
        <v>84</v>
      </c>
      <c r="BR240" t="s">
        <v>84</v>
      </c>
      <c r="BS240" t="s">
        <v>87</v>
      </c>
      <c r="BT240" t="s">
        <v>84</v>
      </c>
      <c r="BV240" t="s">
        <v>87</v>
      </c>
      <c r="BW240" t="s">
        <v>84</v>
      </c>
      <c r="BX240" t="s">
        <v>84</v>
      </c>
      <c r="BY240" t="s">
        <v>84</v>
      </c>
      <c r="BZ240" t="s">
        <v>84</v>
      </c>
      <c r="CB240" t="s">
        <v>84</v>
      </c>
      <c r="CD240" t="s">
        <v>84</v>
      </c>
    </row>
    <row r="241" spans="1:83" x14ac:dyDescent="0.25">
      <c r="A241" t="s">
        <v>660</v>
      </c>
      <c r="B241" t="s">
        <v>661</v>
      </c>
      <c r="C241" t="s">
        <v>662</v>
      </c>
      <c r="D241" t="s">
        <v>299</v>
      </c>
      <c r="E241" t="s">
        <v>1999</v>
      </c>
      <c r="F241" s="1">
        <v>24000</v>
      </c>
      <c r="G241" s="1" t="s">
        <v>94</v>
      </c>
      <c r="H241" t="s">
        <v>663</v>
      </c>
      <c r="I241" t="s">
        <v>84</v>
      </c>
      <c r="J241" t="s">
        <v>84</v>
      </c>
      <c r="K241" t="s">
        <v>84</v>
      </c>
      <c r="L241" t="s">
        <v>84</v>
      </c>
      <c r="M241" t="s">
        <v>84</v>
      </c>
      <c r="N241" t="s">
        <v>84</v>
      </c>
      <c r="O241" t="s">
        <v>87</v>
      </c>
      <c r="Q241" t="s">
        <v>94</v>
      </c>
      <c r="S241" t="s">
        <v>664</v>
      </c>
      <c r="T241" t="s">
        <v>96</v>
      </c>
      <c r="U241" t="s">
        <v>87</v>
      </c>
      <c r="V241" t="s">
        <v>87</v>
      </c>
      <c r="W241" t="s">
        <v>87</v>
      </c>
      <c r="Y241" t="s">
        <v>87</v>
      </c>
      <c r="Z241" t="s">
        <v>87</v>
      </c>
      <c r="AA241" t="s">
        <v>87</v>
      </c>
      <c r="AC241" t="s">
        <v>87</v>
      </c>
      <c r="AD241" t="s">
        <v>84</v>
      </c>
      <c r="AE241" t="s">
        <v>87</v>
      </c>
      <c r="AF241" t="s">
        <v>84</v>
      </c>
      <c r="AG241" t="s">
        <v>84</v>
      </c>
      <c r="AI241" t="s">
        <v>84</v>
      </c>
      <c r="AJ241" t="s">
        <v>84</v>
      </c>
      <c r="AK241" t="s">
        <v>87</v>
      </c>
      <c r="AL241" t="s">
        <v>87</v>
      </c>
      <c r="AM241" t="s">
        <v>84</v>
      </c>
      <c r="AO241" t="s">
        <v>87</v>
      </c>
      <c r="AP241" t="s">
        <v>87</v>
      </c>
      <c r="AQ241" t="s">
        <v>84</v>
      </c>
      <c r="AS241" t="s">
        <v>87</v>
      </c>
      <c r="AT241" t="s">
        <v>87</v>
      </c>
      <c r="AU241" t="s">
        <v>665</v>
      </c>
      <c r="AV241" t="s">
        <v>665</v>
      </c>
      <c r="AW241" t="s">
        <v>89</v>
      </c>
      <c r="AX241" t="s">
        <v>87</v>
      </c>
      <c r="AY241" t="s">
        <v>87</v>
      </c>
      <c r="AZ241" t="s">
        <v>87</v>
      </c>
      <c r="BA241" t="s">
        <v>84</v>
      </c>
      <c r="BB241" t="s">
        <v>84</v>
      </c>
      <c r="BC241" t="s">
        <v>87</v>
      </c>
      <c r="BE241" t="s">
        <v>94</v>
      </c>
      <c r="BG241" t="s">
        <v>666</v>
      </c>
      <c r="BH241" t="s">
        <v>87</v>
      </c>
      <c r="BI241" t="s">
        <v>84</v>
      </c>
      <c r="BJ241" t="s">
        <v>84</v>
      </c>
      <c r="BL241" t="s">
        <v>84</v>
      </c>
      <c r="BM241" t="s">
        <v>87</v>
      </c>
      <c r="BN241" t="s">
        <v>84</v>
      </c>
      <c r="BP241" t="s">
        <v>84</v>
      </c>
      <c r="BQ241" t="s">
        <v>84</v>
      </c>
      <c r="BR241" t="s">
        <v>84</v>
      </c>
      <c r="BS241" t="s">
        <v>87</v>
      </c>
      <c r="BT241" t="s">
        <v>84</v>
      </c>
      <c r="BV241" t="s">
        <v>87</v>
      </c>
      <c r="BW241" t="s">
        <v>84</v>
      </c>
      <c r="BX241" t="s">
        <v>87</v>
      </c>
      <c r="BY241" t="s">
        <v>84</v>
      </c>
      <c r="BZ241" t="s">
        <v>84</v>
      </c>
      <c r="CB241" t="s">
        <v>84</v>
      </c>
      <c r="CD241" t="s">
        <v>94</v>
      </c>
      <c r="CE241" t="s">
        <v>667</v>
      </c>
    </row>
    <row r="242" spans="1:83" x14ac:dyDescent="0.25">
      <c r="A242" t="s">
        <v>1724</v>
      </c>
      <c r="B242" t="s">
        <v>1725</v>
      </c>
      <c r="C242" t="s">
        <v>1726</v>
      </c>
      <c r="D242" t="s">
        <v>120</v>
      </c>
      <c r="E242" t="s">
        <v>1925</v>
      </c>
      <c r="F242" s="1">
        <v>24046</v>
      </c>
      <c r="G242" s="1" t="s">
        <v>94</v>
      </c>
      <c r="H242" t="s">
        <v>1727</v>
      </c>
      <c r="I242" t="s">
        <v>87</v>
      </c>
      <c r="J242" t="s">
        <v>84</v>
      </c>
      <c r="K242" t="s">
        <v>84</v>
      </c>
      <c r="L242" t="s">
        <v>84</v>
      </c>
      <c r="M242" t="s">
        <v>87</v>
      </c>
      <c r="N242" t="s">
        <v>84</v>
      </c>
      <c r="O242" t="s">
        <v>84</v>
      </c>
      <c r="Q242" t="s">
        <v>94</v>
      </c>
      <c r="S242" t="s">
        <v>1728</v>
      </c>
      <c r="T242" t="s">
        <v>86</v>
      </c>
      <c r="U242" t="s">
        <v>87</v>
      </c>
      <c r="V242" t="s">
        <v>87</v>
      </c>
      <c r="W242" t="s">
        <v>84</v>
      </c>
      <c r="Y242" t="s">
        <v>87</v>
      </c>
      <c r="Z242" t="s">
        <v>87</v>
      </c>
      <c r="AA242" t="s">
        <v>84</v>
      </c>
      <c r="AC242" t="s">
        <v>87</v>
      </c>
      <c r="AD242" t="s">
        <v>84</v>
      </c>
      <c r="AE242" t="s">
        <v>87</v>
      </c>
      <c r="AF242" t="s">
        <v>84</v>
      </c>
      <c r="AG242" t="s">
        <v>84</v>
      </c>
      <c r="AI242" t="s">
        <v>87</v>
      </c>
      <c r="AJ242" t="s">
        <v>84</v>
      </c>
      <c r="AK242" t="s">
        <v>84</v>
      </c>
      <c r="AL242" t="s">
        <v>84</v>
      </c>
      <c r="AM242" t="s">
        <v>84</v>
      </c>
      <c r="AO242" t="s">
        <v>87</v>
      </c>
      <c r="AP242" t="s">
        <v>87</v>
      </c>
      <c r="AQ242" t="s">
        <v>84</v>
      </c>
      <c r="AS242" t="s">
        <v>84</v>
      </c>
      <c r="AT242" t="s">
        <v>87</v>
      </c>
      <c r="AV242" t="s">
        <v>1729</v>
      </c>
      <c r="AW242" t="s">
        <v>89</v>
      </c>
      <c r="AX242" t="s">
        <v>87</v>
      </c>
      <c r="AY242" t="s">
        <v>87</v>
      </c>
      <c r="AZ242" t="s">
        <v>87</v>
      </c>
      <c r="BA242" t="s">
        <v>84</v>
      </c>
      <c r="BB242" t="s">
        <v>87</v>
      </c>
      <c r="BC242" t="s">
        <v>84</v>
      </c>
      <c r="BE242" t="s">
        <v>94</v>
      </c>
      <c r="BG242" t="s">
        <v>1730</v>
      </c>
      <c r="BH242" t="s">
        <v>87</v>
      </c>
      <c r="BI242" t="s">
        <v>84</v>
      </c>
      <c r="BJ242" t="s">
        <v>84</v>
      </c>
      <c r="BL242" t="s">
        <v>87</v>
      </c>
      <c r="BM242" t="s">
        <v>87</v>
      </c>
      <c r="BN242" t="s">
        <v>84</v>
      </c>
      <c r="BP242" t="s">
        <v>87</v>
      </c>
      <c r="BQ242" t="s">
        <v>84</v>
      </c>
      <c r="BR242" t="s">
        <v>84</v>
      </c>
      <c r="BS242" t="s">
        <v>84</v>
      </c>
      <c r="BT242" t="s">
        <v>84</v>
      </c>
      <c r="BV242" t="s">
        <v>87</v>
      </c>
      <c r="BW242" t="s">
        <v>84</v>
      </c>
      <c r="BX242" t="s">
        <v>84</v>
      </c>
      <c r="BY242" t="s">
        <v>84</v>
      </c>
      <c r="BZ242" t="s">
        <v>84</v>
      </c>
      <c r="CB242" t="s">
        <v>84</v>
      </c>
      <c r="CD242" t="s">
        <v>84</v>
      </c>
    </row>
    <row r="243" spans="1:83" x14ac:dyDescent="0.25">
      <c r="A243" t="s">
        <v>1884</v>
      </c>
      <c r="B243" t="s">
        <v>1885</v>
      </c>
      <c r="C243" t="s">
        <v>1886</v>
      </c>
      <c r="D243" t="s">
        <v>998</v>
      </c>
      <c r="E243" t="s">
        <v>1997</v>
      </c>
      <c r="F243" s="10">
        <v>24209</v>
      </c>
      <c r="G243" s="1" t="s">
        <v>94</v>
      </c>
      <c r="H243" t="s">
        <v>199</v>
      </c>
      <c r="I243" t="s">
        <v>87</v>
      </c>
      <c r="J243" t="s">
        <v>87</v>
      </c>
      <c r="K243" t="s">
        <v>84</v>
      </c>
      <c r="L243" t="s">
        <v>87</v>
      </c>
      <c r="M243" t="s">
        <v>87</v>
      </c>
      <c r="N243" t="s">
        <v>84</v>
      </c>
      <c r="O243" t="s">
        <v>84</v>
      </c>
      <c r="Q243" t="s">
        <v>94</v>
      </c>
      <c r="S243" t="s">
        <v>1887</v>
      </c>
      <c r="T243" t="s">
        <v>96</v>
      </c>
      <c r="U243" t="s">
        <v>87</v>
      </c>
      <c r="V243" t="s">
        <v>87</v>
      </c>
      <c r="W243" t="s">
        <v>87</v>
      </c>
      <c r="X243" t="s">
        <v>426</v>
      </c>
      <c r="Y243" t="s">
        <v>87</v>
      </c>
      <c r="Z243" t="s">
        <v>87</v>
      </c>
      <c r="AA243" t="s">
        <v>87</v>
      </c>
      <c r="AB243" t="s">
        <v>426</v>
      </c>
      <c r="AC243" t="s">
        <v>87</v>
      </c>
      <c r="AD243" t="s">
        <v>84</v>
      </c>
      <c r="AE243" t="s">
        <v>87</v>
      </c>
      <c r="AF243" t="s">
        <v>84</v>
      </c>
      <c r="AG243" t="s">
        <v>84</v>
      </c>
      <c r="AH243" t="s">
        <v>1888</v>
      </c>
      <c r="AI243" t="s">
        <v>84</v>
      </c>
      <c r="AJ243" t="s">
        <v>84</v>
      </c>
      <c r="AK243" t="s">
        <v>87</v>
      </c>
      <c r="AL243" t="s">
        <v>84</v>
      </c>
      <c r="AM243" t="s">
        <v>84</v>
      </c>
      <c r="AO243" t="s">
        <v>87</v>
      </c>
      <c r="AP243" t="s">
        <v>87</v>
      </c>
      <c r="AQ243" t="s">
        <v>84</v>
      </c>
      <c r="AS243" t="s">
        <v>87</v>
      </c>
      <c r="AT243" t="s">
        <v>87</v>
      </c>
      <c r="AU243" t="s">
        <v>1889</v>
      </c>
      <c r="AW243" t="s">
        <v>89</v>
      </c>
      <c r="AX243" t="s">
        <v>87</v>
      </c>
      <c r="AY243" t="s">
        <v>87</v>
      </c>
      <c r="AZ243" t="s">
        <v>87</v>
      </c>
      <c r="BA243" t="s">
        <v>84</v>
      </c>
      <c r="BB243" t="s">
        <v>84</v>
      </c>
      <c r="BC243" t="s">
        <v>87</v>
      </c>
      <c r="BE243" t="s">
        <v>94</v>
      </c>
      <c r="BG243" t="s">
        <v>1890</v>
      </c>
      <c r="BH243" t="s">
        <v>87</v>
      </c>
      <c r="BI243" t="s">
        <v>87</v>
      </c>
      <c r="BJ243" t="s">
        <v>84</v>
      </c>
      <c r="BL243" t="s">
        <v>87</v>
      </c>
      <c r="BM243" t="s">
        <v>87</v>
      </c>
      <c r="BN243" t="s">
        <v>84</v>
      </c>
      <c r="BP243" t="s">
        <v>84</v>
      </c>
      <c r="BQ243" t="s">
        <v>84</v>
      </c>
      <c r="BR243" t="s">
        <v>87</v>
      </c>
      <c r="BS243" t="s">
        <v>84</v>
      </c>
      <c r="BT243" t="s">
        <v>84</v>
      </c>
      <c r="BV243" t="s">
        <v>87</v>
      </c>
      <c r="BW243" t="s">
        <v>84</v>
      </c>
      <c r="BX243" t="s">
        <v>87</v>
      </c>
      <c r="BY243" t="s">
        <v>84</v>
      </c>
      <c r="BZ243" t="s">
        <v>84</v>
      </c>
      <c r="CA243" t="s">
        <v>1891</v>
      </c>
      <c r="CB243" t="s">
        <v>94</v>
      </c>
      <c r="CC243" t="s">
        <v>1892</v>
      </c>
      <c r="CD243" t="s">
        <v>94</v>
      </c>
      <c r="CE243" t="s">
        <v>1893</v>
      </c>
    </row>
    <row r="244" spans="1:83" x14ac:dyDescent="0.25">
      <c r="A244" t="s">
        <v>868</v>
      </c>
      <c r="B244" t="s">
        <v>869</v>
      </c>
      <c r="C244" t="s">
        <v>870</v>
      </c>
      <c r="D244" t="s">
        <v>156</v>
      </c>
      <c r="E244" t="s">
        <v>1928</v>
      </c>
      <c r="F244" s="1">
        <v>24348</v>
      </c>
      <c r="G244" s="1" t="s">
        <v>94</v>
      </c>
      <c r="H244" t="s">
        <v>871</v>
      </c>
      <c r="I244" t="s">
        <v>87</v>
      </c>
      <c r="J244" t="s">
        <v>84</v>
      </c>
      <c r="K244" t="s">
        <v>84</v>
      </c>
      <c r="L244" t="s">
        <v>84</v>
      </c>
      <c r="M244" t="s">
        <v>87</v>
      </c>
      <c r="N244" t="s">
        <v>84</v>
      </c>
      <c r="O244" t="s">
        <v>84</v>
      </c>
      <c r="Q244" t="s">
        <v>94</v>
      </c>
      <c r="S244" t="s">
        <v>872</v>
      </c>
      <c r="T244" t="s">
        <v>86</v>
      </c>
      <c r="U244" t="s">
        <v>87</v>
      </c>
      <c r="V244" t="s">
        <v>87</v>
      </c>
      <c r="W244" t="s">
        <v>84</v>
      </c>
      <c r="Y244" t="s">
        <v>87</v>
      </c>
      <c r="Z244" t="s">
        <v>87</v>
      </c>
      <c r="AA244" t="s">
        <v>84</v>
      </c>
      <c r="AC244" t="s">
        <v>87</v>
      </c>
      <c r="AD244" t="s">
        <v>84</v>
      </c>
      <c r="AE244" t="s">
        <v>87</v>
      </c>
      <c r="AF244" t="s">
        <v>84</v>
      </c>
      <c r="AG244" t="s">
        <v>87</v>
      </c>
      <c r="AI244" t="s">
        <v>87</v>
      </c>
      <c r="AJ244" t="s">
        <v>84</v>
      </c>
      <c r="AK244" t="s">
        <v>84</v>
      </c>
      <c r="AL244" t="s">
        <v>84</v>
      </c>
      <c r="AM244" t="s">
        <v>84</v>
      </c>
      <c r="AO244" t="s">
        <v>87</v>
      </c>
      <c r="AP244" t="s">
        <v>87</v>
      </c>
      <c r="AQ244" t="s">
        <v>84</v>
      </c>
      <c r="AS244" t="s">
        <v>87</v>
      </c>
      <c r="AT244" t="s">
        <v>87</v>
      </c>
      <c r="AU244" t="s">
        <v>873</v>
      </c>
      <c r="AV244" t="s">
        <v>874</v>
      </c>
      <c r="AW244" t="s">
        <v>89</v>
      </c>
      <c r="AX244" t="s">
        <v>87</v>
      </c>
      <c r="AY244" t="s">
        <v>87</v>
      </c>
      <c r="AZ244" t="s">
        <v>87</v>
      </c>
      <c r="BA244" t="s">
        <v>84</v>
      </c>
      <c r="BB244" t="s">
        <v>84</v>
      </c>
      <c r="BC244" t="s">
        <v>84</v>
      </c>
      <c r="BD244" t="s">
        <v>875</v>
      </c>
      <c r="BE244" t="s">
        <v>94</v>
      </c>
      <c r="BG244" t="s">
        <v>876</v>
      </c>
      <c r="BH244" t="s">
        <v>87</v>
      </c>
      <c r="BI244" t="s">
        <v>84</v>
      </c>
      <c r="BJ244" t="s">
        <v>84</v>
      </c>
      <c r="BK244" t="s">
        <v>877</v>
      </c>
      <c r="BL244" t="s">
        <v>87</v>
      </c>
      <c r="BM244" t="s">
        <v>87</v>
      </c>
      <c r="BN244" t="s">
        <v>84</v>
      </c>
      <c r="BP244" t="s">
        <v>84</v>
      </c>
      <c r="BQ244" t="s">
        <v>84</v>
      </c>
      <c r="BR244" t="s">
        <v>84</v>
      </c>
      <c r="BS244" t="s">
        <v>84</v>
      </c>
      <c r="BT244" t="s">
        <v>87</v>
      </c>
      <c r="BV244" t="s">
        <v>87</v>
      </c>
      <c r="BW244" t="s">
        <v>84</v>
      </c>
      <c r="BX244" t="s">
        <v>84</v>
      </c>
      <c r="BY244" t="s">
        <v>84</v>
      </c>
      <c r="BZ244" t="s">
        <v>87</v>
      </c>
      <c r="CB244" t="s">
        <v>84</v>
      </c>
      <c r="CD244" t="s">
        <v>84</v>
      </c>
    </row>
    <row r="245" spans="1:83" x14ac:dyDescent="0.25">
      <c r="A245" t="s">
        <v>1622</v>
      </c>
      <c r="B245" t="s">
        <v>1623</v>
      </c>
      <c r="C245" t="s">
        <v>1624</v>
      </c>
      <c r="D245" t="s">
        <v>264</v>
      </c>
      <c r="E245" t="s">
        <v>1925</v>
      </c>
      <c r="F245" s="1">
        <v>26233</v>
      </c>
      <c r="G245" s="1" t="s">
        <v>94</v>
      </c>
      <c r="H245" t="s">
        <v>1625</v>
      </c>
      <c r="I245" t="s">
        <v>84</v>
      </c>
      <c r="J245" t="s">
        <v>84</v>
      </c>
      <c r="K245" t="s">
        <v>84</v>
      </c>
      <c r="L245" t="s">
        <v>84</v>
      </c>
      <c r="M245" t="s">
        <v>84</v>
      </c>
      <c r="N245" t="s">
        <v>84</v>
      </c>
      <c r="O245" t="s">
        <v>87</v>
      </c>
      <c r="Q245" t="s">
        <v>94</v>
      </c>
      <c r="S245" t="s">
        <v>1626</v>
      </c>
      <c r="T245" t="s">
        <v>86</v>
      </c>
      <c r="U245" t="s">
        <v>87</v>
      </c>
      <c r="V245" t="s">
        <v>87</v>
      </c>
      <c r="W245" t="s">
        <v>84</v>
      </c>
      <c r="X245" t="s">
        <v>1180</v>
      </c>
      <c r="Y245" t="s">
        <v>87</v>
      </c>
      <c r="Z245" t="s">
        <v>87</v>
      </c>
      <c r="AA245" t="s">
        <v>84</v>
      </c>
      <c r="AB245" t="s">
        <v>1180</v>
      </c>
      <c r="AC245" t="s">
        <v>87</v>
      </c>
      <c r="AD245" t="s">
        <v>84</v>
      </c>
      <c r="AE245" t="s">
        <v>84</v>
      </c>
      <c r="AF245" t="s">
        <v>84</v>
      </c>
      <c r="AG245" t="s">
        <v>87</v>
      </c>
      <c r="AI245" t="s">
        <v>84</v>
      </c>
      <c r="AJ245" t="s">
        <v>84</v>
      </c>
      <c r="AK245" t="s">
        <v>84</v>
      </c>
      <c r="AL245" t="s">
        <v>84</v>
      </c>
      <c r="AM245" t="s">
        <v>87</v>
      </c>
      <c r="AO245" t="s">
        <v>87</v>
      </c>
      <c r="AP245" t="s">
        <v>87</v>
      </c>
      <c r="AQ245" t="s">
        <v>84</v>
      </c>
      <c r="AS245" t="s">
        <v>87</v>
      </c>
      <c r="AT245" t="s">
        <v>87</v>
      </c>
      <c r="AU245" t="s">
        <v>1627</v>
      </c>
      <c r="AV245" t="s">
        <v>1628</v>
      </c>
      <c r="AW245" t="s">
        <v>89</v>
      </c>
      <c r="AX245" t="s">
        <v>87</v>
      </c>
      <c r="AY245" t="s">
        <v>87</v>
      </c>
      <c r="AZ245" t="s">
        <v>87</v>
      </c>
      <c r="BA245" t="s">
        <v>84</v>
      </c>
      <c r="BB245" t="s">
        <v>84</v>
      </c>
      <c r="BC245" t="s">
        <v>84</v>
      </c>
      <c r="BD245" t="s">
        <v>1629</v>
      </c>
      <c r="BE245" t="s">
        <v>94</v>
      </c>
      <c r="BG245" t="s">
        <v>1626</v>
      </c>
      <c r="BH245" t="s">
        <v>87</v>
      </c>
      <c r="BI245" t="s">
        <v>84</v>
      </c>
      <c r="BJ245" t="s">
        <v>84</v>
      </c>
      <c r="BL245" t="s">
        <v>87</v>
      </c>
      <c r="BM245" t="s">
        <v>84</v>
      </c>
      <c r="BN245" t="s">
        <v>84</v>
      </c>
      <c r="BO245" t="s">
        <v>1362</v>
      </c>
      <c r="BP245" t="s">
        <v>84</v>
      </c>
      <c r="BQ245" t="s">
        <v>84</v>
      </c>
      <c r="BR245" t="s">
        <v>84</v>
      </c>
      <c r="BS245" t="s">
        <v>87</v>
      </c>
      <c r="BT245" t="s">
        <v>84</v>
      </c>
      <c r="BV245" t="s">
        <v>87</v>
      </c>
      <c r="BW245" t="s">
        <v>84</v>
      </c>
      <c r="BX245" t="s">
        <v>84</v>
      </c>
      <c r="BY245" t="s">
        <v>84</v>
      </c>
      <c r="BZ245" t="s">
        <v>87</v>
      </c>
      <c r="CB245" t="s">
        <v>84</v>
      </c>
      <c r="CD245" t="s">
        <v>84</v>
      </c>
    </row>
    <row r="246" spans="1:83" x14ac:dyDescent="0.25">
      <c r="A246" t="s">
        <v>1298</v>
      </c>
      <c r="B246" t="s">
        <v>1299</v>
      </c>
      <c r="C246" t="s">
        <v>1300</v>
      </c>
      <c r="D246" t="s">
        <v>120</v>
      </c>
      <c r="E246" t="s">
        <v>1925</v>
      </c>
      <c r="F246" s="1">
        <v>27000</v>
      </c>
      <c r="G246" s="1" t="s">
        <v>94</v>
      </c>
      <c r="H246" t="s">
        <v>1301</v>
      </c>
      <c r="I246" t="s">
        <v>87</v>
      </c>
      <c r="J246" t="s">
        <v>87</v>
      </c>
      <c r="K246" t="s">
        <v>87</v>
      </c>
      <c r="L246" t="s">
        <v>87</v>
      </c>
      <c r="M246" t="s">
        <v>87</v>
      </c>
      <c r="N246" t="s">
        <v>87</v>
      </c>
      <c r="O246" t="s">
        <v>87</v>
      </c>
      <c r="Q246" t="s">
        <v>94</v>
      </c>
      <c r="S246" t="s">
        <v>1302</v>
      </c>
      <c r="T246" t="s">
        <v>96</v>
      </c>
      <c r="U246" t="s">
        <v>87</v>
      </c>
      <c r="V246" t="s">
        <v>87</v>
      </c>
      <c r="W246" t="s">
        <v>84</v>
      </c>
      <c r="Y246" t="s">
        <v>87</v>
      </c>
      <c r="Z246" t="s">
        <v>87</v>
      </c>
      <c r="AA246" t="s">
        <v>84</v>
      </c>
      <c r="AC246" t="s">
        <v>87</v>
      </c>
      <c r="AD246" t="s">
        <v>84</v>
      </c>
      <c r="AE246" t="s">
        <v>84</v>
      </c>
      <c r="AF246" t="s">
        <v>84</v>
      </c>
      <c r="AG246" t="s">
        <v>87</v>
      </c>
      <c r="AH246" t="s">
        <v>1303</v>
      </c>
      <c r="AI246" t="s">
        <v>87</v>
      </c>
      <c r="AJ246" t="s">
        <v>84</v>
      </c>
      <c r="AK246" t="s">
        <v>84</v>
      </c>
      <c r="AL246" t="s">
        <v>84</v>
      </c>
      <c r="AM246" t="s">
        <v>84</v>
      </c>
      <c r="AO246" t="s">
        <v>87</v>
      </c>
      <c r="AP246" t="s">
        <v>87</v>
      </c>
      <c r="AQ246" t="s">
        <v>84</v>
      </c>
      <c r="AS246" t="s">
        <v>87</v>
      </c>
      <c r="AT246" t="s">
        <v>87</v>
      </c>
      <c r="AU246" t="s">
        <v>1304</v>
      </c>
      <c r="AV246" t="s">
        <v>1305</v>
      </c>
      <c r="AW246" t="s">
        <v>89</v>
      </c>
      <c r="AX246" t="s">
        <v>87</v>
      </c>
      <c r="AY246" t="s">
        <v>87</v>
      </c>
      <c r="AZ246" t="s">
        <v>87</v>
      </c>
      <c r="BA246" t="s">
        <v>84</v>
      </c>
      <c r="BB246" t="s">
        <v>84</v>
      </c>
      <c r="BC246" t="s">
        <v>84</v>
      </c>
      <c r="BD246" t="s">
        <v>1306</v>
      </c>
      <c r="BE246" t="s">
        <v>94</v>
      </c>
      <c r="BG246" t="s">
        <v>1307</v>
      </c>
      <c r="BH246" t="s">
        <v>87</v>
      </c>
      <c r="BI246" t="s">
        <v>84</v>
      </c>
      <c r="BJ246" t="s">
        <v>84</v>
      </c>
      <c r="BL246" t="s">
        <v>87</v>
      </c>
      <c r="BM246" t="s">
        <v>87</v>
      </c>
      <c r="BN246" t="s">
        <v>84</v>
      </c>
      <c r="BP246" t="s">
        <v>87</v>
      </c>
      <c r="BQ246" t="s">
        <v>84</v>
      </c>
      <c r="BR246" t="s">
        <v>87</v>
      </c>
      <c r="BS246" t="s">
        <v>87</v>
      </c>
      <c r="BT246" t="s">
        <v>84</v>
      </c>
      <c r="BV246" t="s">
        <v>87</v>
      </c>
      <c r="BW246" t="s">
        <v>84</v>
      </c>
      <c r="BX246" t="s">
        <v>84</v>
      </c>
      <c r="BY246" t="s">
        <v>84</v>
      </c>
      <c r="BZ246" t="s">
        <v>84</v>
      </c>
      <c r="CA246" t="s">
        <v>166</v>
      </c>
      <c r="CB246" t="s">
        <v>84</v>
      </c>
      <c r="CD246" t="s">
        <v>84</v>
      </c>
    </row>
    <row r="247" spans="1:83" x14ac:dyDescent="0.25">
      <c r="A247" t="s">
        <v>1126</v>
      </c>
      <c r="B247" t="s">
        <v>1127</v>
      </c>
      <c r="C247" t="s">
        <v>1128</v>
      </c>
      <c r="D247" t="s">
        <v>299</v>
      </c>
      <c r="E247" t="s">
        <v>1999</v>
      </c>
      <c r="F247" s="1">
        <v>27500</v>
      </c>
      <c r="G247" s="1" t="s">
        <v>84</v>
      </c>
      <c r="I247" t="s">
        <v>85</v>
      </c>
      <c r="J247" t="s">
        <v>85</v>
      </c>
      <c r="K247" t="s">
        <v>85</v>
      </c>
      <c r="L247" t="s">
        <v>85</v>
      </c>
      <c r="M247" t="s">
        <v>85</v>
      </c>
      <c r="N247" t="s">
        <v>85</v>
      </c>
      <c r="O247" t="s">
        <v>85</v>
      </c>
      <c r="Q247" t="s">
        <v>94</v>
      </c>
      <c r="S247" t="s">
        <v>1129</v>
      </c>
      <c r="T247" t="s">
        <v>96</v>
      </c>
      <c r="U247" t="s">
        <v>87</v>
      </c>
      <c r="V247" t="s">
        <v>87</v>
      </c>
      <c r="W247" t="s">
        <v>84</v>
      </c>
      <c r="Y247" t="s">
        <v>87</v>
      </c>
      <c r="Z247" t="s">
        <v>87</v>
      </c>
      <c r="AA247" t="s">
        <v>84</v>
      </c>
      <c r="AC247" t="s">
        <v>87</v>
      </c>
      <c r="AD247" t="s">
        <v>84</v>
      </c>
      <c r="AE247" t="s">
        <v>87</v>
      </c>
      <c r="AF247" t="s">
        <v>84</v>
      </c>
      <c r="AG247" t="s">
        <v>84</v>
      </c>
      <c r="AI247" t="s">
        <v>84</v>
      </c>
      <c r="AJ247" t="s">
        <v>84</v>
      </c>
      <c r="AK247" t="s">
        <v>84</v>
      </c>
      <c r="AL247" t="s">
        <v>84</v>
      </c>
      <c r="AM247" t="s">
        <v>84</v>
      </c>
      <c r="AN247" t="s">
        <v>1130</v>
      </c>
      <c r="AO247" t="s">
        <v>87</v>
      </c>
      <c r="AP247" t="s">
        <v>87</v>
      </c>
      <c r="AQ247" t="s">
        <v>84</v>
      </c>
      <c r="AS247" t="s">
        <v>87</v>
      </c>
      <c r="AT247" t="s">
        <v>87</v>
      </c>
      <c r="AU247" t="s">
        <v>1131</v>
      </c>
      <c r="AV247" t="s">
        <v>1132</v>
      </c>
      <c r="AW247" t="s">
        <v>89</v>
      </c>
      <c r="AX247" t="s">
        <v>87</v>
      </c>
      <c r="AY247" t="s">
        <v>87</v>
      </c>
      <c r="AZ247" t="s">
        <v>87</v>
      </c>
      <c r="BA247" t="s">
        <v>84</v>
      </c>
      <c r="BB247" t="s">
        <v>84</v>
      </c>
      <c r="BC247" t="s">
        <v>87</v>
      </c>
      <c r="BD247" t="s">
        <v>1133</v>
      </c>
      <c r="BE247" t="s">
        <v>94</v>
      </c>
      <c r="BG247" t="s">
        <v>1129</v>
      </c>
      <c r="BH247" t="s">
        <v>87</v>
      </c>
      <c r="BI247" t="s">
        <v>84</v>
      </c>
      <c r="BJ247" t="s">
        <v>84</v>
      </c>
      <c r="BL247" t="s">
        <v>87</v>
      </c>
      <c r="BM247" t="s">
        <v>87</v>
      </c>
      <c r="BN247" t="s">
        <v>84</v>
      </c>
      <c r="BP247" t="s">
        <v>84</v>
      </c>
      <c r="BQ247" t="s">
        <v>84</v>
      </c>
      <c r="BR247" t="s">
        <v>84</v>
      </c>
      <c r="BS247" t="s">
        <v>84</v>
      </c>
      <c r="BT247" t="s">
        <v>84</v>
      </c>
      <c r="BU247" t="s">
        <v>1134</v>
      </c>
      <c r="BV247" t="s">
        <v>87</v>
      </c>
      <c r="BW247" t="s">
        <v>84</v>
      </c>
      <c r="BX247" t="s">
        <v>84</v>
      </c>
      <c r="BY247" t="s">
        <v>84</v>
      </c>
      <c r="BZ247" t="s">
        <v>87</v>
      </c>
      <c r="CB247" t="s">
        <v>94</v>
      </c>
      <c r="CC247" t="s">
        <v>1135</v>
      </c>
      <c r="CD247" t="s">
        <v>94</v>
      </c>
      <c r="CE247" t="s">
        <v>1136</v>
      </c>
    </row>
    <row r="248" spans="1:83" x14ac:dyDescent="0.25">
      <c r="A248" t="s">
        <v>842</v>
      </c>
      <c r="B248" t="s">
        <v>843</v>
      </c>
      <c r="C248" t="s">
        <v>844</v>
      </c>
      <c r="D248" t="s">
        <v>131</v>
      </c>
      <c r="E248" t="s">
        <v>131</v>
      </c>
      <c r="F248" s="1">
        <v>29315</v>
      </c>
      <c r="G248" s="1" t="s">
        <v>94</v>
      </c>
      <c r="H248" t="s">
        <v>845</v>
      </c>
      <c r="I248" t="s">
        <v>84</v>
      </c>
      <c r="J248" t="s">
        <v>84</v>
      </c>
      <c r="K248" t="s">
        <v>84</v>
      </c>
      <c r="L248" t="s">
        <v>84</v>
      </c>
      <c r="M248" t="s">
        <v>84</v>
      </c>
      <c r="N248" t="s">
        <v>84</v>
      </c>
      <c r="O248" t="s">
        <v>87</v>
      </c>
      <c r="Q248" t="s">
        <v>94</v>
      </c>
      <c r="S248" t="s">
        <v>846</v>
      </c>
      <c r="T248" t="s">
        <v>96</v>
      </c>
      <c r="U248" t="s">
        <v>87</v>
      </c>
      <c r="V248" t="s">
        <v>87</v>
      </c>
      <c r="W248" t="s">
        <v>84</v>
      </c>
      <c r="Y248" t="s">
        <v>87</v>
      </c>
      <c r="Z248" t="s">
        <v>87</v>
      </c>
      <c r="AA248" t="s">
        <v>84</v>
      </c>
      <c r="AB248" t="s">
        <v>847</v>
      </c>
      <c r="AC248" t="s">
        <v>87</v>
      </c>
      <c r="AD248" t="s">
        <v>84</v>
      </c>
      <c r="AE248" t="s">
        <v>87</v>
      </c>
      <c r="AF248" t="s">
        <v>87</v>
      </c>
      <c r="AG248" t="s">
        <v>84</v>
      </c>
      <c r="AI248" t="s">
        <v>87</v>
      </c>
      <c r="AJ248" t="s">
        <v>84</v>
      </c>
      <c r="AK248" t="s">
        <v>84</v>
      </c>
      <c r="AL248" t="s">
        <v>84</v>
      </c>
      <c r="AM248" t="s">
        <v>84</v>
      </c>
      <c r="AO248" t="s">
        <v>87</v>
      </c>
      <c r="AP248" t="s">
        <v>87</v>
      </c>
      <c r="AQ248" t="s">
        <v>87</v>
      </c>
      <c r="AS248" t="s">
        <v>87</v>
      </c>
      <c r="AT248" t="s">
        <v>87</v>
      </c>
      <c r="AU248" t="s">
        <v>848</v>
      </c>
      <c r="AV248" t="s">
        <v>848</v>
      </c>
      <c r="AW248" t="s">
        <v>89</v>
      </c>
      <c r="AX248" t="s">
        <v>87</v>
      </c>
      <c r="AY248" t="s">
        <v>87</v>
      </c>
      <c r="AZ248" t="s">
        <v>87</v>
      </c>
      <c r="BA248" t="s">
        <v>84</v>
      </c>
      <c r="BB248" t="s">
        <v>84</v>
      </c>
      <c r="BC248" t="s">
        <v>87</v>
      </c>
      <c r="BE248" t="s">
        <v>94</v>
      </c>
      <c r="BG248" t="s">
        <v>849</v>
      </c>
      <c r="BH248" t="s">
        <v>87</v>
      </c>
      <c r="BI248" t="s">
        <v>84</v>
      </c>
      <c r="BJ248" t="s">
        <v>84</v>
      </c>
      <c r="BL248" t="s">
        <v>87</v>
      </c>
      <c r="BM248" t="s">
        <v>87</v>
      </c>
      <c r="BN248" t="s">
        <v>87</v>
      </c>
      <c r="BP248" t="s">
        <v>84</v>
      </c>
      <c r="BQ248" t="s">
        <v>84</v>
      </c>
      <c r="BR248" t="s">
        <v>84</v>
      </c>
      <c r="BS248" t="s">
        <v>84</v>
      </c>
      <c r="BT248" t="s">
        <v>87</v>
      </c>
      <c r="BV248" t="s">
        <v>87</v>
      </c>
      <c r="BW248" t="s">
        <v>84</v>
      </c>
      <c r="BX248" t="s">
        <v>84</v>
      </c>
      <c r="BY248" t="s">
        <v>84</v>
      </c>
      <c r="BZ248" t="s">
        <v>84</v>
      </c>
      <c r="CB248" t="s">
        <v>84</v>
      </c>
      <c r="CD248" t="s">
        <v>84</v>
      </c>
    </row>
    <row r="249" spans="1:83" x14ac:dyDescent="0.25">
      <c r="A249" t="s">
        <v>1478</v>
      </c>
      <c r="B249" t="s">
        <v>1479</v>
      </c>
      <c r="C249" t="s">
        <v>263</v>
      </c>
      <c r="D249" t="s">
        <v>264</v>
      </c>
      <c r="E249" t="s">
        <v>1925</v>
      </c>
      <c r="F249" s="1">
        <v>33416</v>
      </c>
      <c r="G249" s="1" t="s">
        <v>94</v>
      </c>
      <c r="H249" t="s">
        <v>1480</v>
      </c>
      <c r="I249" t="s">
        <v>87</v>
      </c>
      <c r="J249" t="s">
        <v>84</v>
      </c>
      <c r="K249" t="s">
        <v>84</v>
      </c>
      <c r="L249" t="s">
        <v>84</v>
      </c>
      <c r="M249" t="s">
        <v>87</v>
      </c>
      <c r="N249" t="s">
        <v>84</v>
      </c>
      <c r="O249" t="s">
        <v>84</v>
      </c>
      <c r="P249" t="s">
        <v>1481</v>
      </c>
      <c r="Q249" t="s">
        <v>94</v>
      </c>
      <c r="S249" t="s">
        <v>1482</v>
      </c>
      <c r="T249" t="s">
        <v>96</v>
      </c>
      <c r="U249" t="s">
        <v>87</v>
      </c>
      <c r="V249" t="s">
        <v>87</v>
      </c>
      <c r="W249" t="s">
        <v>84</v>
      </c>
      <c r="X249" t="s">
        <v>1483</v>
      </c>
      <c r="Y249" t="s">
        <v>87</v>
      </c>
      <c r="Z249" t="s">
        <v>87</v>
      </c>
      <c r="AA249" t="s">
        <v>84</v>
      </c>
      <c r="AB249" t="s">
        <v>1484</v>
      </c>
      <c r="AC249" t="s">
        <v>87</v>
      </c>
      <c r="AD249" t="s">
        <v>84</v>
      </c>
      <c r="AE249" t="s">
        <v>84</v>
      </c>
      <c r="AF249" t="s">
        <v>87</v>
      </c>
      <c r="AG249" t="s">
        <v>84</v>
      </c>
      <c r="AH249" t="s">
        <v>1485</v>
      </c>
      <c r="AI249" t="s">
        <v>87</v>
      </c>
      <c r="AJ249" t="s">
        <v>84</v>
      </c>
      <c r="AK249" t="s">
        <v>84</v>
      </c>
      <c r="AL249" t="s">
        <v>84</v>
      </c>
      <c r="AM249" t="s">
        <v>84</v>
      </c>
      <c r="AO249" t="s">
        <v>87</v>
      </c>
      <c r="AP249" t="s">
        <v>87</v>
      </c>
      <c r="AQ249" t="s">
        <v>84</v>
      </c>
      <c r="AS249" t="s">
        <v>84</v>
      </c>
      <c r="AT249" t="s">
        <v>87</v>
      </c>
      <c r="AV249" t="s">
        <v>1486</v>
      </c>
      <c r="AW249" t="s">
        <v>89</v>
      </c>
      <c r="AX249" t="s">
        <v>87</v>
      </c>
      <c r="AY249" t="s">
        <v>87</v>
      </c>
      <c r="AZ249" t="s">
        <v>87</v>
      </c>
      <c r="BA249" t="s">
        <v>84</v>
      </c>
      <c r="BB249" t="s">
        <v>84</v>
      </c>
      <c r="BC249" t="s">
        <v>84</v>
      </c>
      <c r="BD249" t="s">
        <v>84</v>
      </c>
      <c r="BE249" t="s">
        <v>94</v>
      </c>
      <c r="BG249" t="s">
        <v>1487</v>
      </c>
      <c r="BH249" t="s">
        <v>87</v>
      </c>
      <c r="BI249" t="s">
        <v>84</v>
      </c>
      <c r="BJ249" t="s">
        <v>84</v>
      </c>
      <c r="BK249" t="s">
        <v>1488</v>
      </c>
      <c r="BL249" t="s">
        <v>87</v>
      </c>
      <c r="BM249" t="s">
        <v>87</v>
      </c>
      <c r="BN249" t="s">
        <v>84</v>
      </c>
      <c r="BP249" t="s">
        <v>87</v>
      </c>
      <c r="BQ249" t="s">
        <v>84</v>
      </c>
      <c r="BR249" t="s">
        <v>84</v>
      </c>
      <c r="BS249" t="s">
        <v>84</v>
      </c>
      <c r="BT249" t="s">
        <v>84</v>
      </c>
      <c r="BU249" t="s">
        <v>1489</v>
      </c>
      <c r="BV249" t="s">
        <v>87</v>
      </c>
      <c r="BW249" t="s">
        <v>84</v>
      </c>
      <c r="BX249" t="s">
        <v>84</v>
      </c>
      <c r="BY249" t="s">
        <v>84</v>
      </c>
      <c r="BZ249" t="s">
        <v>87</v>
      </c>
      <c r="CA249" t="s">
        <v>509</v>
      </c>
      <c r="CB249" t="s">
        <v>84</v>
      </c>
      <c r="CD249" t="s">
        <v>84</v>
      </c>
    </row>
    <row r="250" spans="1:83" x14ac:dyDescent="0.25">
      <c r="A250" t="s">
        <v>1731</v>
      </c>
      <c r="B250" t="s">
        <v>1732</v>
      </c>
      <c r="C250" t="s">
        <v>1733</v>
      </c>
      <c r="D250" t="s">
        <v>120</v>
      </c>
      <c r="E250" t="s">
        <v>1925</v>
      </c>
      <c r="F250" s="1">
        <v>33873</v>
      </c>
      <c r="G250" s="1" t="s">
        <v>94</v>
      </c>
      <c r="H250" t="s">
        <v>1734</v>
      </c>
      <c r="I250" t="s">
        <v>87</v>
      </c>
      <c r="J250" t="s">
        <v>84</v>
      </c>
      <c r="K250" t="s">
        <v>87</v>
      </c>
      <c r="L250" t="s">
        <v>84</v>
      </c>
      <c r="M250" t="s">
        <v>87</v>
      </c>
      <c r="N250" t="s">
        <v>84</v>
      </c>
      <c r="O250" t="s">
        <v>87</v>
      </c>
      <c r="Q250" t="s">
        <v>94</v>
      </c>
      <c r="S250" t="s">
        <v>1735</v>
      </c>
      <c r="T250" t="s">
        <v>96</v>
      </c>
      <c r="U250" t="s">
        <v>87</v>
      </c>
      <c r="V250" t="s">
        <v>84</v>
      </c>
      <c r="W250" t="s">
        <v>84</v>
      </c>
      <c r="Y250" t="s">
        <v>87</v>
      </c>
      <c r="Z250" t="s">
        <v>87</v>
      </c>
      <c r="AA250" t="s">
        <v>84</v>
      </c>
      <c r="AC250" t="s">
        <v>87</v>
      </c>
      <c r="AD250" t="s">
        <v>84</v>
      </c>
      <c r="AE250" t="s">
        <v>87</v>
      </c>
      <c r="AF250" t="s">
        <v>84</v>
      </c>
      <c r="AG250" t="s">
        <v>84</v>
      </c>
      <c r="AH250" t="s">
        <v>1736</v>
      </c>
      <c r="AI250" t="s">
        <v>84</v>
      </c>
      <c r="AJ250" t="s">
        <v>84</v>
      </c>
      <c r="AK250" t="s">
        <v>84</v>
      </c>
      <c r="AL250" t="s">
        <v>87</v>
      </c>
      <c r="AM250" t="s">
        <v>84</v>
      </c>
      <c r="AO250" t="s">
        <v>87</v>
      </c>
      <c r="AP250" t="s">
        <v>87</v>
      </c>
      <c r="AQ250" t="s">
        <v>84</v>
      </c>
      <c r="AS250" t="s">
        <v>87</v>
      </c>
      <c r="AT250" t="s">
        <v>87</v>
      </c>
      <c r="AU250" t="s">
        <v>1737</v>
      </c>
      <c r="AV250" t="s">
        <v>1738</v>
      </c>
      <c r="AW250" t="s">
        <v>89</v>
      </c>
      <c r="AX250" t="s">
        <v>87</v>
      </c>
      <c r="AY250" t="s">
        <v>87</v>
      </c>
      <c r="AZ250" t="s">
        <v>87</v>
      </c>
      <c r="BA250" t="s">
        <v>84</v>
      </c>
      <c r="BB250" t="s">
        <v>84</v>
      </c>
      <c r="BC250" t="s">
        <v>87</v>
      </c>
      <c r="BE250" t="s">
        <v>94</v>
      </c>
      <c r="BG250" t="s">
        <v>1739</v>
      </c>
      <c r="BH250" t="s">
        <v>87</v>
      </c>
      <c r="BI250" t="s">
        <v>84</v>
      </c>
      <c r="BJ250" t="s">
        <v>84</v>
      </c>
      <c r="BL250" t="s">
        <v>87</v>
      </c>
      <c r="BM250" t="s">
        <v>87</v>
      </c>
      <c r="BN250" t="s">
        <v>84</v>
      </c>
      <c r="BO250" t="s">
        <v>1740</v>
      </c>
      <c r="BP250" t="s">
        <v>84</v>
      </c>
      <c r="BQ250" t="s">
        <v>84</v>
      </c>
      <c r="BR250" t="s">
        <v>84</v>
      </c>
      <c r="BS250" t="s">
        <v>87</v>
      </c>
      <c r="BT250" t="s">
        <v>84</v>
      </c>
      <c r="BV250" t="s">
        <v>87</v>
      </c>
      <c r="BW250" t="s">
        <v>84</v>
      </c>
      <c r="BX250" t="s">
        <v>84</v>
      </c>
      <c r="BY250" t="s">
        <v>84</v>
      </c>
      <c r="BZ250" t="s">
        <v>84</v>
      </c>
      <c r="CB250" t="s">
        <v>84</v>
      </c>
      <c r="CD250" t="s">
        <v>84</v>
      </c>
    </row>
    <row r="251" spans="1:83" x14ac:dyDescent="0.25">
      <c r="A251" t="s">
        <v>1855</v>
      </c>
      <c r="B251" t="s">
        <v>1856</v>
      </c>
      <c r="C251" t="s">
        <v>1857</v>
      </c>
      <c r="D251" t="s">
        <v>137</v>
      </c>
      <c r="E251" t="s">
        <v>1926</v>
      </c>
      <c r="F251" s="1">
        <v>34524</v>
      </c>
      <c r="G251" s="1" t="s">
        <v>84</v>
      </c>
      <c r="I251" t="s">
        <v>85</v>
      </c>
      <c r="J251" t="s">
        <v>85</v>
      </c>
      <c r="K251" t="s">
        <v>85</v>
      </c>
      <c r="L251" t="s">
        <v>85</v>
      </c>
      <c r="M251" t="s">
        <v>85</v>
      </c>
      <c r="N251" t="s">
        <v>85</v>
      </c>
      <c r="O251" t="s">
        <v>85</v>
      </c>
      <c r="Q251" t="s">
        <v>94</v>
      </c>
      <c r="S251" t="s">
        <v>1858</v>
      </c>
      <c r="T251" t="s">
        <v>96</v>
      </c>
      <c r="U251" t="s">
        <v>87</v>
      </c>
      <c r="V251" t="s">
        <v>87</v>
      </c>
      <c r="W251" t="s">
        <v>87</v>
      </c>
      <c r="X251" t="s">
        <v>1859</v>
      </c>
      <c r="Y251" t="s">
        <v>87</v>
      </c>
      <c r="Z251" t="s">
        <v>87</v>
      </c>
      <c r="AA251" t="s">
        <v>87</v>
      </c>
      <c r="AB251" t="s">
        <v>1859</v>
      </c>
      <c r="AC251" t="s">
        <v>84</v>
      </c>
      <c r="AD251" t="s">
        <v>84</v>
      </c>
      <c r="AE251" t="s">
        <v>84</v>
      </c>
      <c r="AF251" t="s">
        <v>84</v>
      </c>
      <c r="AG251" t="s">
        <v>87</v>
      </c>
      <c r="AH251" t="s">
        <v>1860</v>
      </c>
      <c r="AI251" t="s">
        <v>84</v>
      </c>
      <c r="AJ251" t="s">
        <v>84</v>
      </c>
      <c r="AK251" t="s">
        <v>84</v>
      </c>
      <c r="AL251" t="s">
        <v>84</v>
      </c>
      <c r="AM251" t="s">
        <v>87</v>
      </c>
      <c r="AO251" t="s">
        <v>87</v>
      </c>
      <c r="AP251" t="s">
        <v>87</v>
      </c>
      <c r="AQ251" t="s">
        <v>84</v>
      </c>
      <c r="AS251" t="s">
        <v>87</v>
      </c>
      <c r="AT251" t="s">
        <v>87</v>
      </c>
      <c r="AU251" t="s">
        <v>1861</v>
      </c>
      <c r="AV251" t="s">
        <v>1862</v>
      </c>
      <c r="AW251" t="s">
        <v>89</v>
      </c>
      <c r="AX251" t="s">
        <v>87</v>
      </c>
      <c r="AY251" t="s">
        <v>87</v>
      </c>
      <c r="AZ251" t="s">
        <v>87</v>
      </c>
      <c r="BA251" t="s">
        <v>84</v>
      </c>
      <c r="BB251" t="s">
        <v>87</v>
      </c>
      <c r="BC251" t="s">
        <v>84</v>
      </c>
      <c r="BE251" t="s">
        <v>94</v>
      </c>
      <c r="BG251" t="s">
        <v>1863</v>
      </c>
      <c r="BH251" t="s">
        <v>87</v>
      </c>
      <c r="BI251" t="s">
        <v>84</v>
      </c>
      <c r="BJ251" t="s">
        <v>84</v>
      </c>
      <c r="BL251" t="s">
        <v>87</v>
      </c>
      <c r="BM251" t="s">
        <v>84</v>
      </c>
      <c r="BN251" t="s">
        <v>84</v>
      </c>
      <c r="BP251" t="s">
        <v>84</v>
      </c>
      <c r="BQ251" t="s">
        <v>84</v>
      </c>
      <c r="BR251" t="s">
        <v>84</v>
      </c>
      <c r="BS251" t="s">
        <v>87</v>
      </c>
      <c r="BT251" t="s">
        <v>84</v>
      </c>
      <c r="BV251" t="s">
        <v>87</v>
      </c>
      <c r="BW251" t="s">
        <v>87</v>
      </c>
      <c r="BX251" t="s">
        <v>84</v>
      </c>
      <c r="BY251" t="s">
        <v>84</v>
      </c>
      <c r="BZ251" t="s">
        <v>87</v>
      </c>
      <c r="CB251" t="s">
        <v>94</v>
      </c>
      <c r="CC251" t="s">
        <v>1864</v>
      </c>
      <c r="CD251" t="s">
        <v>84</v>
      </c>
    </row>
    <row r="252" spans="1:83" x14ac:dyDescent="0.25">
      <c r="A252" t="s">
        <v>918</v>
      </c>
      <c r="B252" t="s">
        <v>919</v>
      </c>
      <c r="C252" t="s">
        <v>920</v>
      </c>
      <c r="D252" t="s">
        <v>715</v>
      </c>
      <c r="E252" t="s">
        <v>715</v>
      </c>
      <c r="F252" s="1">
        <v>35000</v>
      </c>
      <c r="G252" s="1" t="s">
        <v>94</v>
      </c>
      <c r="H252" t="s">
        <v>921</v>
      </c>
      <c r="I252" t="s">
        <v>87</v>
      </c>
      <c r="J252" t="s">
        <v>84</v>
      </c>
      <c r="K252" t="s">
        <v>84</v>
      </c>
      <c r="L252" t="s">
        <v>87</v>
      </c>
      <c r="M252" t="s">
        <v>87</v>
      </c>
      <c r="N252" t="s">
        <v>84</v>
      </c>
      <c r="O252" t="s">
        <v>84</v>
      </c>
      <c r="Q252" t="s">
        <v>94</v>
      </c>
      <c r="S252" t="s">
        <v>922</v>
      </c>
      <c r="T252" t="s">
        <v>96</v>
      </c>
      <c r="U252" t="s">
        <v>87</v>
      </c>
      <c r="V252" t="s">
        <v>87</v>
      </c>
      <c r="W252" t="s">
        <v>87</v>
      </c>
      <c r="Y252" t="s">
        <v>87</v>
      </c>
      <c r="Z252" t="s">
        <v>87</v>
      </c>
      <c r="AA252" t="s">
        <v>84</v>
      </c>
      <c r="AC252" t="s">
        <v>87</v>
      </c>
      <c r="AD252" t="s">
        <v>84</v>
      </c>
      <c r="AE252" t="s">
        <v>87</v>
      </c>
      <c r="AF252" t="s">
        <v>87</v>
      </c>
      <c r="AG252" t="s">
        <v>84</v>
      </c>
      <c r="AI252" t="s">
        <v>84</v>
      </c>
      <c r="AJ252" t="s">
        <v>84</v>
      </c>
      <c r="AK252" t="s">
        <v>84</v>
      </c>
      <c r="AL252" t="s">
        <v>84</v>
      </c>
      <c r="AM252" t="s">
        <v>87</v>
      </c>
      <c r="AO252" t="s">
        <v>87</v>
      </c>
      <c r="AP252" t="s">
        <v>87</v>
      </c>
      <c r="AQ252" t="s">
        <v>84</v>
      </c>
      <c r="AS252" t="s">
        <v>87</v>
      </c>
      <c r="AT252" t="s">
        <v>87</v>
      </c>
      <c r="AU252" t="s">
        <v>923</v>
      </c>
      <c r="AV252" t="s">
        <v>923</v>
      </c>
      <c r="AW252" t="s">
        <v>89</v>
      </c>
      <c r="AX252" t="s">
        <v>87</v>
      </c>
      <c r="AY252" t="s">
        <v>87</v>
      </c>
      <c r="AZ252" t="s">
        <v>87</v>
      </c>
      <c r="BA252" t="s">
        <v>84</v>
      </c>
      <c r="BB252" t="s">
        <v>84</v>
      </c>
      <c r="BC252" t="s">
        <v>87</v>
      </c>
      <c r="BE252" t="s">
        <v>94</v>
      </c>
      <c r="BG252" t="s">
        <v>924</v>
      </c>
      <c r="BH252" t="s">
        <v>87</v>
      </c>
      <c r="BI252" t="s">
        <v>84</v>
      </c>
      <c r="BJ252" t="s">
        <v>84</v>
      </c>
      <c r="BL252" t="s">
        <v>87</v>
      </c>
      <c r="BM252" t="s">
        <v>87</v>
      </c>
      <c r="BN252" t="s">
        <v>87</v>
      </c>
      <c r="BP252" t="s">
        <v>84</v>
      </c>
      <c r="BQ252" t="s">
        <v>84</v>
      </c>
      <c r="BR252" t="s">
        <v>84</v>
      </c>
      <c r="BS252" t="s">
        <v>84</v>
      </c>
      <c r="BT252" t="s">
        <v>87</v>
      </c>
      <c r="BV252" t="s">
        <v>87</v>
      </c>
      <c r="BW252" t="s">
        <v>84</v>
      </c>
      <c r="BX252" t="s">
        <v>87</v>
      </c>
      <c r="BY252" t="s">
        <v>84</v>
      </c>
      <c r="BZ252" t="s">
        <v>84</v>
      </c>
      <c r="CB252" t="s">
        <v>94</v>
      </c>
      <c r="CC252" t="s">
        <v>925</v>
      </c>
      <c r="CD252" t="s">
        <v>84</v>
      </c>
    </row>
    <row r="253" spans="1:83" x14ac:dyDescent="0.25">
      <c r="A253" t="s">
        <v>1698</v>
      </c>
      <c r="B253" t="s">
        <v>1699</v>
      </c>
      <c r="C253" t="s">
        <v>228</v>
      </c>
      <c r="D253" t="s">
        <v>228</v>
      </c>
      <c r="E253" t="s">
        <v>1996</v>
      </c>
      <c r="F253" s="1">
        <v>35522</v>
      </c>
      <c r="G253" s="1" t="s">
        <v>84</v>
      </c>
      <c r="I253" t="s">
        <v>85</v>
      </c>
      <c r="J253" t="s">
        <v>85</v>
      </c>
      <c r="K253" t="s">
        <v>85</v>
      </c>
      <c r="L253" t="s">
        <v>85</v>
      </c>
      <c r="M253" t="s">
        <v>85</v>
      </c>
      <c r="N253" t="s">
        <v>85</v>
      </c>
      <c r="O253" t="s">
        <v>85</v>
      </c>
      <c r="Q253" t="s">
        <v>84</v>
      </c>
      <c r="R253" t="s">
        <v>84</v>
      </c>
      <c r="T253" t="s">
        <v>96</v>
      </c>
      <c r="U253" t="s">
        <v>87</v>
      </c>
      <c r="V253" t="s">
        <v>87</v>
      </c>
      <c r="W253" t="s">
        <v>84</v>
      </c>
      <c r="Y253" t="s">
        <v>87</v>
      </c>
      <c r="Z253" t="s">
        <v>87</v>
      </c>
      <c r="AA253" t="s">
        <v>84</v>
      </c>
      <c r="AB253" t="s">
        <v>1700</v>
      </c>
      <c r="AC253" t="s">
        <v>87</v>
      </c>
      <c r="AD253" t="s">
        <v>84</v>
      </c>
      <c r="AE253" t="s">
        <v>84</v>
      </c>
      <c r="AF253" t="s">
        <v>84</v>
      </c>
      <c r="AG253" t="s">
        <v>84</v>
      </c>
      <c r="AH253" t="s">
        <v>1701</v>
      </c>
      <c r="AI253" t="s">
        <v>84</v>
      </c>
      <c r="AJ253" t="s">
        <v>84</v>
      </c>
      <c r="AK253" t="s">
        <v>84</v>
      </c>
      <c r="AL253" t="s">
        <v>84</v>
      </c>
      <c r="AM253" t="s">
        <v>87</v>
      </c>
      <c r="AO253" t="s">
        <v>87</v>
      </c>
      <c r="AP253" t="s">
        <v>87</v>
      </c>
      <c r="AQ253" t="s">
        <v>84</v>
      </c>
      <c r="AR253" t="s">
        <v>1702</v>
      </c>
      <c r="AS253" t="s">
        <v>87</v>
      </c>
      <c r="AT253" t="s">
        <v>84</v>
      </c>
      <c r="AU253" t="s">
        <v>1703</v>
      </c>
      <c r="AW253" t="s">
        <v>89</v>
      </c>
      <c r="AX253" t="s">
        <v>87</v>
      </c>
      <c r="AY253" t="s">
        <v>87</v>
      </c>
      <c r="AZ253" t="s">
        <v>87</v>
      </c>
      <c r="BA253" t="s">
        <v>84</v>
      </c>
      <c r="BB253" t="s">
        <v>84</v>
      </c>
      <c r="BC253" t="s">
        <v>84</v>
      </c>
      <c r="BD253" t="s">
        <v>1704</v>
      </c>
      <c r="BE253" t="s">
        <v>94</v>
      </c>
      <c r="BG253" t="s">
        <v>1705</v>
      </c>
      <c r="BH253" t="s">
        <v>87</v>
      </c>
      <c r="BI253" t="s">
        <v>84</v>
      </c>
      <c r="BJ253" t="s">
        <v>84</v>
      </c>
      <c r="BL253" t="s">
        <v>87</v>
      </c>
      <c r="BM253" t="s">
        <v>87</v>
      </c>
      <c r="BN253" t="s">
        <v>84</v>
      </c>
      <c r="BP253" t="s">
        <v>84</v>
      </c>
      <c r="BQ253" t="s">
        <v>84</v>
      </c>
      <c r="BR253" t="s">
        <v>84</v>
      </c>
      <c r="BS253" t="s">
        <v>84</v>
      </c>
      <c r="BT253" t="s">
        <v>87</v>
      </c>
      <c r="BV253" t="s">
        <v>87</v>
      </c>
      <c r="BW253" t="s">
        <v>84</v>
      </c>
      <c r="BX253" t="s">
        <v>84</v>
      </c>
      <c r="BY253" t="s">
        <v>84</v>
      </c>
      <c r="BZ253" t="s">
        <v>84</v>
      </c>
      <c r="CA253" t="s">
        <v>1343</v>
      </c>
      <c r="CB253" t="s">
        <v>94</v>
      </c>
      <c r="CC253" t="s">
        <v>1706</v>
      </c>
      <c r="CD253" t="s">
        <v>94</v>
      </c>
      <c r="CE253" t="s">
        <v>1707</v>
      </c>
    </row>
    <row r="254" spans="1:83" x14ac:dyDescent="0.25">
      <c r="A254" t="s">
        <v>816</v>
      </c>
      <c r="B254" t="s">
        <v>817</v>
      </c>
      <c r="C254" t="s">
        <v>818</v>
      </c>
      <c r="D254" t="s">
        <v>137</v>
      </c>
      <c r="E254" t="s">
        <v>1926</v>
      </c>
      <c r="F254" s="1">
        <v>41568</v>
      </c>
      <c r="G254" s="1" t="s">
        <v>94</v>
      </c>
      <c r="H254" t="s">
        <v>819</v>
      </c>
      <c r="I254" t="s">
        <v>84</v>
      </c>
      <c r="J254" t="s">
        <v>84</v>
      </c>
      <c r="K254" t="s">
        <v>84</v>
      </c>
      <c r="L254" t="s">
        <v>84</v>
      </c>
      <c r="M254" t="s">
        <v>84</v>
      </c>
      <c r="N254" t="s">
        <v>84</v>
      </c>
      <c r="O254" t="s">
        <v>87</v>
      </c>
      <c r="Q254" t="s">
        <v>94</v>
      </c>
      <c r="S254" t="s">
        <v>820</v>
      </c>
      <c r="T254" t="s">
        <v>96</v>
      </c>
      <c r="U254" t="s">
        <v>87</v>
      </c>
      <c r="V254" t="s">
        <v>87</v>
      </c>
      <c r="W254" t="s">
        <v>84</v>
      </c>
      <c r="Y254" t="s">
        <v>84</v>
      </c>
      <c r="Z254" t="s">
        <v>84</v>
      </c>
      <c r="AA254" t="s">
        <v>84</v>
      </c>
      <c r="AB254" t="s">
        <v>821</v>
      </c>
      <c r="AC254" t="s">
        <v>84</v>
      </c>
      <c r="AD254" t="s">
        <v>84</v>
      </c>
      <c r="AE254" t="s">
        <v>87</v>
      </c>
      <c r="AF254" t="s">
        <v>84</v>
      </c>
      <c r="AG254" t="s">
        <v>84</v>
      </c>
      <c r="AI254" t="s">
        <v>84</v>
      </c>
      <c r="AJ254" t="s">
        <v>84</v>
      </c>
      <c r="AK254" t="s">
        <v>84</v>
      </c>
      <c r="AL254" t="s">
        <v>87</v>
      </c>
      <c r="AM254" t="s">
        <v>84</v>
      </c>
      <c r="AO254" t="s">
        <v>87</v>
      </c>
      <c r="AP254" t="s">
        <v>87</v>
      </c>
      <c r="AQ254" t="s">
        <v>84</v>
      </c>
      <c r="AS254" t="s">
        <v>87</v>
      </c>
      <c r="AT254" t="s">
        <v>87</v>
      </c>
      <c r="AU254" t="s">
        <v>822</v>
      </c>
      <c r="AV254" t="s">
        <v>823</v>
      </c>
      <c r="AW254" t="s">
        <v>89</v>
      </c>
      <c r="AX254" t="s">
        <v>87</v>
      </c>
      <c r="AY254" t="s">
        <v>87</v>
      </c>
      <c r="AZ254" t="s">
        <v>87</v>
      </c>
      <c r="BA254" t="s">
        <v>84</v>
      </c>
      <c r="BB254" t="s">
        <v>84</v>
      </c>
      <c r="BC254" t="s">
        <v>84</v>
      </c>
      <c r="BD254" t="s">
        <v>824</v>
      </c>
      <c r="BE254" t="s">
        <v>94</v>
      </c>
      <c r="BG254" t="s">
        <v>825</v>
      </c>
      <c r="BH254" t="s">
        <v>87</v>
      </c>
      <c r="BI254" t="s">
        <v>84</v>
      </c>
      <c r="BJ254" t="s">
        <v>84</v>
      </c>
      <c r="BL254" t="s">
        <v>87</v>
      </c>
      <c r="BM254" t="s">
        <v>84</v>
      </c>
      <c r="BN254" t="s">
        <v>84</v>
      </c>
      <c r="BP254" t="s">
        <v>84</v>
      </c>
      <c r="BQ254" t="s">
        <v>84</v>
      </c>
      <c r="BR254" t="s">
        <v>84</v>
      </c>
      <c r="BS254" t="s">
        <v>84</v>
      </c>
      <c r="BT254" t="s">
        <v>87</v>
      </c>
      <c r="BV254" t="s">
        <v>87</v>
      </c>
      <c r="BW254" t="s">
        <v>84</v>
      </c>
      <c r="BX254" t="s">
        <v>84</v>
      </c>
      <c r="BY254" t="s">
        <v>84</v>
      </c>
      <c r="BZ254" t="s">
        <v>84</v>
      </c>
      <c r="CB254" t="s">
        <v>84</v>
      </c>
      <c r="CD254" t="s">
        <v>84</v>
      </c>
    </row>
    <row r="255" spans="1:83" x14ac:dyDescent="0.25">
      <c r="A255" t="s">
        <v>926</v>
      </c>
      <c r="B255" t="s">
        <v>927</v>
      </c>
      <c r="C255" t="s">
        <v>928</v>
      </c>
      <c r="D255" t="s">
        <v>120</v>
      </c>
      <c r="E255" t="s">
        <v>1925</v>
      </c>
      <c r="F255" s="10">
        <v>44198</v>
      </c>
      <c r="G255" s="1" t="s">
        <v>94</v>
      </c>
      <c r="H255" t="s">
        <v>929</v>
      </c>
      <c r="I255" t="s">
        <v>84</v>
      </c>
      <c r="J255" t="s">
        <v>84</v>
      </c>
      <c r="K255" t="s">
        <v>84</v>
      </c>
      <c r="L255" t="s">
        <v>84</v>
      </c>
      <c r="M255" t="s">
        <v>84</v>
      </c>
      <c r="N255" t="s">
        <v>84</v>
      </c>
      <c r="O255" t="s">
        <v>87</v>
      </c>
      <c r="Q255" t="s">
        <v>94</v>
      </c>
      <c r="S255" t="s">
        <v>930</v>
      </c>
      <c r="T255" t="s">
        <v>96</v>
      </c>
      <c r="U255" t="s">
        <v>87</v>
      </c>
      <c r="V255" t="s">
        <v>87</v>
      </c>
      <c r="W255" t="s">
        <v>87</v>
      </c>
      <c r="Y255" t="s">
        <v>87</v>
      </c>
      <c r="Z255" t="s">
        <v>87</v>
      </c>
      <c r="AA255" t="s">
        <v>87</v>
      </c>
      <c r="AC255" t="s">
        <v>87</v>
      </c>
      <c r="AD255" t="s">
        <v>84</v>
      </c>
      <c r="AE255" t="s">
        <v>84</v>
      </c>
      <c r="AF255" t="s">
        <v>87</v>
      </c>
      <c r="AG255" t="s">
        <v>84</v>
      </c>
      <c r="AH255" t="s">
        <v>931</v>
      </c>
      <c r="AI255" t="s">
        <v>87</v>
      </c>
      <c r="AJ255" t="s">
        <v>84</v>
      </c>
      <c r="AK255" t="s">
        <v>84</v>
      </c>
      <c r="AL255" t="s">
        <v>87</v>
      </c>
      <c r="AM255" t="s">
        <v>84</v>
      </c>
      <c r="AO255" t="s">
        <v>87</v>
      </c>
      <c r="AP255" t="s">
        <v>87</v>
      </c>
      <c r="AQ255" t="s">
        <v>87</v>
      </c>
      <c r="AS255" t="s">
        <v>87</v>
      </c>
      <c r="AT255" t="s">
        <v>87</v>
      </c>
      <c r="AU255" t="s">
        <v>932</v>
      </c>
      <c r="AV255" t="s">
        <v>933</v>
      </c>
      <c r="AW255" t="s">
        <v>89</v>
      </c>
      <c r="AX255" t="s">
        <v>87</v>
      </c>
      <c r="AY255" t="s">
        <v>87</v>
      </c>
      <c r="AZ255" t="s">
        <v>84</v>
      </c>
      <c r="BA255" t="s">
        <v>84</v>
      </c>
      <c r="BB255" t="s">
        <v>84</v>
      </c>
      <c r="BC255" t="s">
        <v>87</v>
      </c>
      <c r="BE255" t="s">
        <v>94</v>
      </c>
      <c r="BG255" t="s">
        <v>934</v>
      </c>
      <c r="BH255" t="s">
        <v>87</v>
      </c>
      <c r="BI255" t="s">
        <v>84</v>
      </c>
      <c r="BJ255" t="s">
        <v>84</v>
      </c>
      <c r="BK255" t="s">
        <v>935</v>
      </c>
      <c r="BL255" t="s">
        <v>87</v>
      </c>
      <c r="BM255" t="s">
        <v>84</v>
      </c>
      <c r="BN255" t="s">
        <v>84</v>
      </c>
      <c r="BO255" t="s">
        <v>936</v>
      </c>
      <c r="BP255" t="s">
        <v>87</v>
      </c>
      <c r="BQ255" t="s">
        <v>84</v>
      </c>
      <c r="BR255" t="s">
        <v>84</v>
      </c>
      <c r="BS255" t="s">
        <v>84</v>
      </c>
      <c r="BT255" t="s">
        <v>84</v>
      </c>
      <c r="BU255" t="s">
        <v>937</v>
      </c>
      <c r="BV255" t="s">
        <v>87</v>
      </c>
      <c r="BW255" t="s">
        <v>84</v>
      </c>
      <c r="BX255" t="s">
        <v>84</v>
      </c>
      <c r="BY255" t="s">
        <v>84</v>
      </c>
      <c r="BZ255" t="s">
        <v>84</v>
      </c>
      <c r="CA255" t="s">
        <v>931</v>
      </c>
      <c r="CB255" t="s">
        <v>94</v>
      </c>
      <c r="CC255" t="s">
        <v>938</v>
      </c>
      <c r="CD255" t="s">
        <v>94</v>
      </c>
      <c r="CE255" t="s">
        <v>939</v>
      </c>
    </row>
    <row r="256" spans="1:83" x14ac:dyDescent="0.25">
      <c r="A256" t="s">
        <v>1879</v>
      </c>
      <c r="B256" t="s">
        <v>1880</v>
      </c>
      <c r="C256" t="s">
        <v>1881</v>
      </c>
      <c r="D256" t="s">
        <v>120</v>
      </c>
      <c r="E256" t="s">
        <v>1925</v>
      </c>
      <c r="F256" s="10">
        <v>46824</v>
      </c>
      <c r="G256" s="1" t="s">
        <v>84</v>
      </c>
      <c r="I256" t="s">
        <v>85</v>
      </c>
      <c r="J256" t="s">
        <v>85</v>
      </c>
      <c r="K256" t="s">
        <v>85</v>
      </c>
      <c r="L256" t="s">
        <v>85</v>
      </c>
      <c r="M256" t="s">
        <v>85</v>
      </c>
      <c r="N256" t="s">
        <v>85</v>
      </c>
      <c r="O256" t="s">
        <v>85</v>
      </c>
      <c r="Q256" t="s">
        <v>94</v>
      </c>
      <c r="S256" t="s">
        <v>1882</v>
      </c>
      <c r="T256" t="s">
        <v>96</v>
      </c>
      <c r="U256" t="s">
        <v>87</v>
      </c>
      <c r="V256" t="s">
        <v>87</v>
      </c>
      <c r="W256" t="s">
        <v>87</v>
      </c>
      <c r="Y256" t="s">
        <v>87</v>
      </c>
      <c r="Z256" t="s">
        <v>87</v>
      </c>
      <c r="AA256" t="s">
        <v>87</v>
      </c>
      <c r="AC256" t="s">
        <v>87</v>
      </c>
      <c r="AD256" t="s">
        <v>84</v>
      </c>
      <c r="AE256" t="s">
        <v>84</v>
      </c>
      <c r="AF256" t="s">
        <v>84</v>
      </c>
      <c r="AG256" t="s">
        <v>84</v>
      </c>
      <c r="AI256" t="s">
        <v>87</v>
      </c>
      <c r="AJ256" t="s">
        <v>84</v>
      </c>
      <c r="AK256" t="s">
        <v>84</v>
      </c>
      <c r="AL256" t="s">
        <v>87</v>
      </c>
      <c r="AM256" t="s">
        <v>84</v>
      </c>
      <c r="AO256" t="s">
        <v>87</v>
      </c>
      <c r="AP256" t="s">
        <v>87</v>
      </c>
      <c r="AQ256" t="s">
        <v>84</v>
      </c>
      <c r="AS256" t="s">
        <v>87</v>
      </c>
      <c r="AT256" t="s">
        <v>87</v>
      </c>
      <c r="AU256" t="s">
        <v>1883</v>
      </c>
      <c r="AW256" t="s">
        <v>89</v>
      </c>
      <c r="AX256" t="s">
        <v>87</v>
      </c>
      <c r="AY256" t="s">
        <v>87</v>
      </c>
      <c r="AZ256" t="s">
        <v>84</v>
      </c>
      <c r="BA256" t="s">
        <v>84</v>
      </c>
      <c r="BB256" t="s">
        <v>87</v>
      </c>
      <c r="BC256" t="s">
        <v>87</v>
      </c>
      <c r="BE256" t="s">
        <v>94</v>
      </c>
      <c r="BG256" t="s">
        <v>1882</v>
      </c>
      <c r="BH256" t="s">
        <v>87</v>
      </c>
      <c r="BI256" t="s">
        <v>84</v>
      </c>
      <c r="BJ256" t="s">
        <v>84</v>
      </c>
      <c r="BL256" t="s">
        <v>87</v>
      </c>
      <c r="BM256" t="s">
        <v>87</v>
      </c>
      <c r="BN256" t="s">
        <v>84</v>
      </c>
      <c r="BP256" t="s">
        <v>84</v>
      </c>
      <c r="BQ256" t="s">
        <v>84</v>
      </c>
      <c r="BR256" t="s">
        <v>84</v>
      </c>
      <c r="BS256" t="s">
        <v>87</v>
      </c>
      <c r="BT256" t="s">
        <v>84</v>
      </c>
      <c r="BV256" t="s">
        <v>87</v>
      </c>
      <c r="BW256" t="s">
        <v>84</v>
      </c>
      <c r="BX256" t="s">
        <v>84</v>
      </c>
      <c r="BY256" t="s">
        <v>84</v>
      </c>
      <c r="BZ256" t="s">
        <v>84</v>
      </c>
      <c r="CB256" t="s">
        <v>84</v>
      </c>
      <c r="CD256" t="s">
        <v>84</v>
      </c>
    </row>
    <row r="257" spans="1:83" x14ac:dyDescent="0.25">
      <c r="A257" t="s">
        <v>463</v>
      </c>
      <c r="B257" t="s">
        <v>561</v>
      </c>
      <c r="C257" t="s">
        <v>191</v>
      </c>
      <c r="D257" t="s">
        <v>191</v>
      </c>
      <c r="E257" t="s">
        <v>1994</v>
      </c>
      <c r="F257" s="1">
        <v>62000</v>
      </c>
      <c r="G257" s="1" t="s">
        <v>94</v>
      </c>
      <c r="H257" t="s">
        <v>199</v>
      </c>
      <c r="I257" t="s">
        <v>84</v>
      </c>
      <c r="J257" t="s">
        <v>84</v>
      </c>
      <c r="K257" t="s">
        <v>84</v>
      </c>
      <c r="L257" t="s">
        <v>84</v>
      </c>
      <c r="M257" t="s">
        <v>84</v>
      </c>
      <c r="N257" t="s">
        <v>84</v>
      </c>
      <c r="O257" t="s">
        <v>87</v>
      </c>
      <c r="Q257" t="s">
        <v>94</v>
      </c>
      <c r="S257" t="s">
        <v>562</v>
      </c>
      <c r="T257" t="s">
        <v>86</v>
      </c>
      <c r="U257" t="s">
        <v>87</v>
      </c>
      <c r="V257" t="s">
        <v>87</v>
      </c>
      <c r="W257" t="s">
        <v>84</v>
      </c>
      <c r="Y257" t="s">
        <v>87</v>
      </c>
      <c r="Z257" t="s">
        <v>87</v>
      </c>
      <c r="AA257" t="s">
        <v>84</v>
      </c>
      <c r="AC257" t="s">
        <v>87</v>
      </c>
      <c r="AD257" t="s">
        <v>84</v>
      </c>
      <c r="AE257" t="s">
        <v>84</v>
      </c>
      <c r="AF257" t="s">
        <v>84</v>
      </c>
      <c r="AG257" t="s">
        <v>84</v>
      </c>
      <c r="AI257" t="s">
        <v>84</v>
      </c>
      <c r="AJ257" t="s">
        <v>84</v>
      </c>
      <c r="AK257" t="s">
        <v>84</v>
      </c>
      <c r="AL257" t="s">
        <v>84</v>
      </c>
      <c r="AM257" t="s">
        <v>87</v>
      </c>
      <c r="AO257" t="s">
        <v>87</v>
      </c>
      <c r="AP257" t="s">
        <v>87</v>
      </c>
      <c r="AQ257" t="s">
        <v>84</v>
      </c>
      <c r="AS257" t="s">
        <v>87</v>
      </c>
      <c r="AT257" t="s">
        <v>87</v>
      </c>
      <c r="AU257" t="s">
        <v>563</v>
      </c>
      <c r="AV257" t="s">
        <v>564</v>
      </c>
      <c r="AW257" t="s">
        <v>89</v>
      </c>
      <c r="AX257" t="s">
        <v>87</v>
      </c>
      <c r="AY257" t="s">
        <v>87</v>
      </c>
      <c r="AZ257" t="s">
        <v>87</v>
      </c>
      <c r="BA257" t="s">
        <v>84</v>
      </c>
      <c r="BB257" t="s">
        <v>84</v>
      </c>
      <c r="BC257" t="s">
        <v>84</v>
      </c>
      <c r="BD257" t="s">
        <v>565</v>
      </c>
      <c r="BE257" t="s">
        <v>94</v>
      </c>
      <c r="BG257" t="s">
        <v>566</v>
      </c>
      <c r="BH257" t="s">
        <v>87</v>
      </c>
      <c r="BI257" t="s">
        <v>84</v>
      </c>
      <c r="BJ257" t="s">
        <v>84</v>
      </c>
      <c r="BL257" t="s">
        <v>87</v>
      </c>
      <c r="BM257" t="s">
        <v>87</v>
      </c>
      <c r="BN257" t="s">
        <v>84</v>
      </c>
      <c r="BP257" t="s">
        <v>84</v>
      </c>
      <c r="BQ257" t="s">
        <v>84</v>
      </c>
      <c r="BR257" t="s">
        <v>84</v>
      </c>
      <c r="BS257" t="s">
        <v>84</v>
      </c>
      <c r="BT257" t="s">
        <v>87</v>
      </c>
      <c r="BV257" t="s">
        <v>87</v>
      </c>
      <c r="BW257" t="s">
        <v>84</v>
      </c>
      <c r="BX257" t="s">
        <v>84</v>
      </c>
      <c r="BY257" t="s">
        <v>84</v>
      </c>
      <c r="BZ257" t="s">
        <v>84</v>
      </c>
      <c r="CB257" t="s">
        <v>84</v>
      </c>
      <c r="CD257" t="s">
        <v>84</v>
      </c>
    </row>
    <row r="258" spans="1:83" x14ac:dyDescent="0.25">
      <c r="A258" t="s">
        <v>493</v>
      </c>
      <c r="B258" t="s">
        <v>494</v>
      </c>
      <c r="C258" t="s">
        <v>495</v>
      </c>
      <c r="D258" t="s">
        <v>120</v>
      </c>
      <c r="E258" t="s">
        <v>1925</v>
      </c>
      <c r="F258" s="1">
        <v>66084</v>
      </c>
      <c r="G258" s="1" t="s">
        <v>94</v>
      </c>
      <c r="H258" t="s">
        <v>496</v>
      </c>
      <c r="I258" t="s">
        <v>87</v>
      </c>
      <c r="J258" t="s">
        <v>84</v>
      </c>
      <c r="K258" t="s">
        <v>84</v>
      </c>
      <c r="L258" t="s">
        <v>84</v>
      </c>
      <c r="M258" t="s">
        <v>87</v>
      </c>
      <c r="N258" t="s">
        <v>84</v>
      </c>
      <c r="O258" t="s">
        <v>84</v>
      </c>
      <c r="Q258" t="s">
        <v>94</v>
      </c>
      <c r="S258" t="s">
        <v>497</v>
      </c>
      <c r="T258" t="s">
        <v>96</v>
      </c>
      <c r="U258" t="s">
        <v>87</v>
      </c>
      <c r="V258" t="s">
        <v>87</v>
      </c>
      <c r="W258" t="s">
        <v>87</v>
      </c>
      <c r="Y258" t="s">
        <v>87</v>
      </c>
      <c r="Z258" t="s">
        <v>87</v>
      </c>
      <c r="AA258" t="s">
        <v>87</v>
      </c>
      <c r="AC258" t="s">
        <v>87</v>
      </c>
      <c r="AD258" t="s">
        <v>84</v>
      </c>
      <c r="AE258" t="s">
        <v>84</v>
      </c>
      <c r="AF258" t="s">
        <v>84</v>
      </c>
      <c r="AG258" t="s">
        <v>87</v>
      </c>
      <c r="AH258" t="s">
        <v>498</v>
      </c>
      <c r="AI258" t="s">
        <v>87</v>
      </c>
      <c r="AJ258" t="s">
        <v>84</v>
      </c>
      <c r="AK258" t="s">
        <v>84</v>
      </c>
      <c r="AL258" t="s">
        <v>84</v>
      </c>
      <c r="AM258" t="s">
        <v>84</v>
      </c>
      <c r="AO258" t="s">
        <v>87</v>
      </c>
      <c r="AP258" t="s">
        <v>87</v>
      </c>
      <c r="AQ258" t="s">
        <v>84</v>
      </c>
      <c r="AS258" t="s">
        <v>87</v>
      </c>
      <c r="AT258" t="s">
        <v>84</v>
      </c>
      <c r="AU258" t="s">
        <v>499</v>
      </c>
      <c r="AW258" t="s">
        <v>89</v>
      </c>
      <c r="AX258" t="s">
        <v>87</v>
      </c>
      <c r="AY258" t="s">
        <v>84</v>
      </c>
      <c r="AZ258" t="s">
        <v>84</v>
      </c>
      <c r="BA258" t="s">
        <v>84</v>
      </c>
      <c r="BB258" t="s">
        <v>87</v>
      </c>
      <c r="BC258" t="s">
        <v>84</v>
      </c>
      <c r="BD258" t="s">
        <v>500</v>
      </c>
      <c r="BE258" t="s">
        <v>94</v>
      </c>
      <c r="BG258" t="s">
        <v>501</v>
      </c>
      <c r="BH258" t="s">
        <v>87</v>
      </c>
      <c r="BI258" t="s">
        <v>87</v>
      </c>
      <c r="BJ258" t="s">
        <v>84</v>
      </c>
      <c r="BL258" t="s">
        <v>87</v>
      </c>
      <c r="BM258" t="s">
        <v>87</v>
      </c>
      <c r="BN258" t="s">
        <v>84</v>
      </c>
      <c r="BP258" t="s">
        <v>87</v>
      </c>
      <c r="BQ258" t="s">
        <v>84</v>
      </c>
      <c r="BR258" t="s">
        <v>84</v>
      </c>
      <c r="BS258" t="s">
        <v>84</v>
      </c>
      <c r="BT258" t="s">
        <v>84</v>
      </c>
      <c r="BV258" t="s">
        <v>87</v>
      </c>
      <c r="BW258" t="s">
        <v>84</v>
      </c>
      <c r="BX258" t="s">
        <v>87</v>
      </c>
      <c r="BY258" t="s">
        <v>84</v>
      </c>
      <c r="BZ258" t="s">
        <v>87</v>
      </c>
      <c r="CA258" t="s">
        <v>502</v>
      </c>
      <c r="CB258" t="s">
        <v>94</v>
      </c>
      <c r="CC258" t="s">
        <v>503</v>
      </c>
      <c r="CD258" t="s">
        <v>94</v>
      </c>
      <c r="CE258" t="s">
        <v>504</v>
      </c>
    </row>
    <row r="259" spans="1:83" x14ac:dyDescent="0.25">
      <c r="A259" t="s">
        <v>1338</v>
      </c>
      <c r="B259" t="s">
        <v>1339</v>
      </c>
      <c r="C259" t="s">
        <v>1340</v>
      </c>
      <c r="D259" t="s">
        <v>120</v>
      </c>
      <c r="E259" t="s">
        <v>1925</v>
      </c>
      <c r="F259" s="1">
        <v>66400</v>
      </c>
      <c r="G259" s="1" t="s">
        <v>94</v>
      </c>
      <c r="H259" t="s">
        <v>1341</v>
      </c>
      <c r="I259" t="s">
        <v>87</v>
      </c>
      <c r="J259" t="s">
        <v>87</v>
      </c>
      <c r="K259" t="s">
        <v>87</v>
      </c>
      <c r="L259" t="s">
        <v>87</v>
      </c>
      <c r="M259" t="s">
        <v>87</v>
      </c>
      <c r="N259" t="s">
        <v>87</v>
      </c>
      <c r="O259" t="s">
        <v>84</v>
      </c>
      <c r="Q259" t="s">
        <v>94</v>
      </c>
      <c r="S259" t="s">
        <v>1342</v>
      </c>
      <c r="T259" t="s">
        <v>96</v>
      </c>
      <c r="U259" t="s">
        <v>87</v>
      </c>
      <c r="V259" t="s">
        <v>87</v>
      </c>
      <c r="W259" t="s">
        <v>87</v>
      </c>
      <c r="Y259" t="s">
        <v>87</v>
      </c>
      <c r="Z259" t="s">
        <v>87</v>
      </c>
      <c r="AA259" t="s">
        <v>87</v>
      </c>
      <c r="AC259" t="s">
        <v>87</v>
      </c>
      <c r="AD259" t="s">
        <v>84</v>
      </c>
      <c r="AE259" t="s">
        <v>84</v>
      </c>
      <c r="AF259" t="s">
        <v>84</v>
      </c>
      <c r="AG259" t="s">
        <v>87</v>
      </c>
      <c r="AH259" t="s">
        <v>1343</v>
      </c>
      <c r="AI259" t="s">
        <v>87</v>
      </c>
      <c r="AJ259" t="s">
        <v>84</v>
      </c>
      <c r="AK259" t="s">
        <v>84</v>
      </c>
      <c r="AL259" t="s">
        <v>84</v>
      </c>
      <c r="AM259" t="s">
        <v>84</v>
      </c>
      <c r="AO259" t="s">
        <v>87</v>
      </c>
      <c r="AP259" t="s">
        <v>87</v>
      </c>
      <c r="AQ259" t="s">
        <v>84</v>
      </c>
      <c r="AS259" t="s">
        <v>87</v>
      </c>
      <c r="AT259" t="s">
        <v>87</v>
      </c>
      <c r="AU259" t="s">
        <v>1344</v>
      </c>
      <c r="AV259" t="s">
        <v>1345</v>
      </c>
      <c r="AW259" t="s">
        <v>89</v>
      </c>
      <c r="AX259" t="s">
        <v>87</v>
      </c>
      <c r="AY259" t="s">
        <v>87</v>
      </c>
      <c r="AZ259" t="s">
        <v>87</v>
      </c>
      <c r="BA259" t="s">
        <v>84</v>
      </c>
      <c r="BB259" t="s">
        <v>84</v>
      </c>
      <c r="BC259" t="s">
        <v>87</v>
      </c>
      <c r="BE259" t="s">
        <v>94</v>
      </c>
      <c r="BG259" t="s">
        <v>1346</v>
      </c>
      <c r="BH259" t="s">
        <v>87</v>
      </c>
      <c r="BI259" t="s">
        <v>84</v>
      </c>
      <c r="BJ259" t="s">
        <v>84</v>
      </c>
      <c r="BL259" t="s">
        <v>87</v>
      </c>
      <c r="BM259" t="s">
        <v>87</v>
      </c>
      <c r="BN259" t="s">
        <v>84</v>
      </c>
      <c r="BP259" t="s">
        <v>87</v>
      </c>
      <c r="BQ259" t="s">
        <v>84</v>
      </c>
      <c r="BR259" t="s">
        <v>84</v>
      </c>
      <c r="BS259" t="s">
        <v>87</v>
      </c>
      <c r="BT259" t="s">
        <v>84</v>
      </c>
      <c r="BV259" t="s">
        <v>87</v>
      </c>
      <c r="BW259" t="s">
        <v>84</v>
      </c>
      <c r="BX259" t="s">
        <v>84</v>
      </c>
      <c r="BY259" t="s">
        <v>84</v>
      </c>
      <c r="BZ259" t="s">
        <v>87</v>
      </c>
      <c r="CB259" t="s">
        <v>84</v>
      </c>
      <c r="CD259" t="s">
        <v>84</v>
      </c>
    </row>
    <row r="260" spans="1:83" x14ac:dyDescent="0.25">
      <c r="A260" t="s">
        <v>1761</v>
      </c>
      <c r="B260" t="s">
        <v>1762</v>
      </c>
      <c r="C260" t="s">
        <v>1763</v>
      </c>
      <c r="D260" t="s">
        <v>156</v>
      </c>
      <c r="E260" t="s">
        <v>1928</v>
      </c>
      <c r="F260" s="1">
        <v>67569</v>
      </c>
      <c r="G260" s="1" t="s">
        <v>94</v>
      </c>
      <c r="H260" t="s">
        <v>1764</v>
      </c>
      <c r="I260" t="s">
        <v>87</v>
      </c>
      <c r="J260" t="s">
        <v>84</v>
      </c>
      <c r="K260" t="s">
        <v>84</v>
      </c>
      <c r="L260" t="s">
        <v>84</v>
      </c>
      <c r="M260" t="s">
        <v>87</v>
      </c>
      <c r="N260" t="s">
        <v>84</v>
      </c>
      <c r="O260" t="s">
        <v>84</v>
      </c>
      <c r="Q260" t="s">
        <v>94</v>
      </c>
      <c r="S260" t="s">
        <v>1765</v>
      </c>
      <c r="T260" t="s">
        <v>86</v>
      </c>
      <c r="U260" t="s">
        <v>87</v>
      </c>
      <c r="V260" t="s">
        <v>87</v>
      </c>
      <c r="W260" t="s">
        <v>87</v>
      </c>
      <c r="Y260" t="s">
        <v>87</v>
      </c>
      <c r="Z260" t="s">
        <v>87</v>
      </c>
      <c r="AA260" t="s">
        <v>84</v>
      </c>
      <c r="AB260" t="s">
        <v>1180</v>
      </c>
      <c r="AC260" t="s">
        <v>87</v>
      </c>
      <c r="AD260" t="s">
        <v>84</v>
      </c>
      <c r="AE260" t="s">
        <v>84</v>
      </c>
      <c r="AF260" t="s">
        <v>84</v>
      </c>
      <c r="AG260" t="s">
        <v>87</v>
      </c>
      <c r="AI260" t="s">
        <v>87</v>
      </c>
      <c r="AJ260" t="s">
        <v>84</v>
      </c>
      <c r="AK260" t="s">
        <v>84</v>
      </c>
      <c r="AL260" t="s">
        <v>87</v>
      </c>
      <c r="AM260" t="s">
        <v>84</v>
      </c>
      <c r="AN260" t="s">
        <v>1124</v>
      </c>
      <c r="AO260" t="s">
        <v>87</v>
      </c>
      <c r="AP260" t="s">
        <v>87</v>
      </c>
      <c r="AQ260" t="s">
        <v>84</v>
      </c>
      <c r="AS260" t="s">
        <v>87</v>
      </c>
      <c r="AT260" t="s">
        <v>87</v>
      </c>
      <c r="AU260" t="s">
        <v>1766</v>
      </c>
      <c r="AV260" t="s">
        <v>1766</v>
      </c>
      <c r="AW260" t="s">
        <v>89</v>
      </c>
      <c r="AX260" t="s">
        <v>87</v>
      </c>
      <c r="AY260" t="s">
        <v>84</v>
      </c>
      <c r="AZ260" t="s">
        <v>84</v>
      </c>
      <c r="BA260" t="s">
        <v>84</v>
      </c>
      <c r="BB260" t="s">
        <v>84</v>
      </c>
      <c r="BC260" t="s">
        <v>87</v>
      </c>
      <c r="BE260" t="s">
        <v>94</v>
      </c>
      <c r="BG260" t="s">
        <v>1767</v>
      </c>
      <c r="BH260" t="s">
        <v>87</v>
      </c>
      <c r="BI260" t="s">
        <v>84</v>
      </c>
      <c r="BJ260" t="s">
        <v>84</v>
      </c>
      <c r="BL260" t="s">
        <v>87</v>
      </c>
      <c r="BM260" t="s">
        <v>84</v>
      </c>
      <c r="BN260" t="s">
        <v>84</v>
      </c>
      <c r="BP260" t="s">
        <v>87</v>
      </c>
      <c r="BQ260" t="s">
        <v>84</v>
      </c>
      <c r="BR260" t="s">
        <v>84</v>
      </c>
      <c r="BS260" t="s">
        <v>87</v>
      </c>
      <c r="BT260" t="s">
        <v>84</v>
      </c>
      <c r="BV260" t="s">
        <v>87</v>
      </c>
      <c r="BW260" t="s">
        <v>84</v>
      </c>
      <c r="BX260" t="s">
        <v>84</v>
      </c>
      <c r="BY260" t="s">
        <v>84</v>
      </c>
      <c r="BZ260" t="s">
        <v>87</v>
      </c>
      <c r="CB260" t="s">
        <v>84</v>
      </c>
      <c r="CD260" t="s">
        <v>84</v>
      </c>
    </row>
    <row r="261" spans="1:83" x14ac:dyDescent="0.25">
      <c r="A261" t="s">
        <v>1390</v>
      </c>
      <c r="B261" t="s">
        <v>1391</v>
      </c>
      <c r="C261" t="s">
        <v>1392</v>
      </c>
      <c r="D261" t="s">
        <v>150</v>
      </c>
      <c r="E261" t="s">
        <v>1929</v>
      </c>
      <c r="F261" s="1">
        <v>100313</v>
      </c>
      <c r="G261" s="1" t="s">
        <v>94</v>
      </c>
      <c r="H261" t="s">
        <v>1393</v>
      </c>
      <c r="I261" t="s">
        <v>87</v>
      </c>
      <c r="J261" t="s">
        <v>84</v>
      </c>
      <c r="K261" t="s">
        <v>84</v>
      </c>
      <c r="L261" t="s">
        <v>84</v>
      </c>
      <c r="M261" t="s">
        <v>87</v>
      </c>
      <c r="N261" t="s">
        <v>84</v>
      </c>
      <c r="O261" t="s">
        <v>84</v>
      </c>
      <c r="Q261" t="s">
        <v>94</v>
      </c>
      <c r="S261" t="s">
        <v>1394</v>
      </c>
      <c r="T261" t="s">
        <v>96</v>
      </c>
      <c r="U261" t="s">
        <v>87</v>
      </c>
      <c r="V261" t="s">
        <v>87</v>
      </c>
      <c r="W261" t="s">
        <v>84</v>
      </c>
      <c r="Y261" t="s">
        <v>87</v>
      </c>
      <c r="Z261" t="s">
        <v>87</v>
      </c>
      <c r="AA261" t="s">
        <v>84</v>
      </c>
      <c r="AB261" t="s">
        <v>957</v>
      </c>
      <c r="AC261" t="s">
        <v>87</v>
      </c>
      <c r="AD261" t="s">
        <v>84</v>
      </c>
      <c r="AE261" t="s">
        <v>84</v>
      </c>
      <c r="AF261" t="s">
        <v>84</v>
      </c>
      <c r="AG261" t="s">
        <v>87</v>
      </c>
      <c r="AI261" t="s">
        <v>84</v>
      </c>
      <c r="AJ261" t="s">
        <v>84</v>
      </c>
      <c r="AK261" t="s">
        <v>84</v>
      </c>
      <c r="AL261" t="s">
        <v>87</v>
      </c>
      <c r="AM261" t="s">
        <v>84</v>
      </c>
      <c r="AO261" t="s">
        <v>87</v>
      </c>
      <c r="AP261" t="s">
        <v>87</v>
      </c>
      <c r="AQ261" t="s">
        <v>87</v>
      </c>
      <c r="AS261" t="s">
        <v>87</v>
      </c>
      <c r="AT261" t="s">
        <v>87</v>
      </c>
      <c r="AU261" t="s">
        <v>1395</v>
      </c>
      <c r="AV261" t="s">
        <v>1396</v>
      </c>
      <c r="AW261" t="s">
        <v>89</v>
      </c>
      <c r="AX261" t="s">
        <v>87</v>
      </c>
      <c r="AY261" t="s">
        <v>87</v>
      </c>
      <c r="AZ261" t="s">
        <v>87</v>
      </c>
      <c r="BA261" t="s">
        <v>84</v>
      </c>
      <c r="BB261" t="s">
        <v>84</v>
      </c>
      <c r="BC261" t="s">
        <v>87</v>
      </c>
      <c r="BE261" t="s">
        <v>94</v>
      </c>
      <c r="BG261" t="s">
        <v>1397</v>
      </c>
      <c r="BH261" t="s">
        <v>87</v>
      </c>
      <c r="BI261" t="s">
        <v>84</v>
      </c>
      <c r="BJ261" t="s">
        <v>84</v>
      </c>
      <c r="BL261" t="s">
        <v>87</v>
      </c>
      <c r="BM261" t="s">
        <v>84</v>
      </c>
      <c r="BN261" t="s">
        <v>84</v>
      </c>
      <c r="BP261" t="s">
        <v>84</v>
      </c>
      <c r="BQ261" t="s">
        <v>84</v>
      </c>
      <c r="BR261" t="s">
        <v>84</v>
      </c>
      <c r="BS261" t="s">
        <v>87</v>
      </c>
      <c r="BT261" t="s">
        <v>84</v>
      </c>
      <c r="BU261" t="s">
        <v>1398</v>
      </c>
      <c r="BV261" t="s">
        <v>87</v>
      </c>
      <c r="BW261" t="s">
        <v>84</v>
      </c>
      <c r="BX261" t="s">
        <v>84</v>
      </c>
      <c r="BY261" t="s">
        <v>84</v>
      </c>
      <c r="BZ261" t="s">
        <v>87</v>
      </c>
      <c r="CB261" t="s">
        <v>84</v>
      </c>
      <c r="CD261" t="s">
        <v>84</v>
      </c>
    </row>
    <row r="262" spans="1:83" x14ac:dyDescent="0.25">
      <c r="A262" t="s">
        <v>835</v>
      </c>
      <c r="B262" t="s">
        <v>836</v>
      </c>
      <c r="C262" t="s">
        <v>837</v>
      </c>
      <c r="D262" t="s">
        <v>299</v>
      </c>
      <c r="E262" t="s">
        <v>1999</v>
      </c>
      <c r="F262" s="1">
        <v>130000</v>
      </c>
      <c r="G262" s="1" t="s">
        <v>84</v>
      </c>
      <c r="I262" t="s">
        <v>85</v>
      </c>
      <c r="J262" t="s">
        <v>85</v>
      </c>
      <c r="K262" t="s">
        <v>85</v>
      </c>
      <c r="L262" t="s">
        <v>85</v>
      </c>
      <c r="M262" t="s">
        <v>85</v>
      </c>
      <c r="N262" t="s">
        <v>85</v>
      </c>
      <c r="O262" t="s">
        <v>85</v>
      </c>
      <c r="Q262" t="s">
        <v>94</v>
      </c>
      <c r="S262" t="s">
        <v>838</v>
      </c>
      <c r="T262" t="s">
        <v>86</v>
      </c>
      <c r="U262" t="s">
        <v>87</v>
      </c>
      <c r="V262" t="s">
        <v>87</v>
      </c>
      <c r="W262" t="s">
        <v>84</v>
      </c>
      <c r="X262" t="s">
        <v>839</v>
      </c>
      <c r="Y262" t="s">
        <v>87</v>
      </c>
      <c r="Z262" t="s">
        <v>87</v>
      </c>
      <c r="AA262" t="s">
        <v>84</v>
      </c>
      <c r="AB262" t="s">
        <v>839</v>
      </c>
      <c r="AC262" t="s">
        <v>84</v>
      </c>
      <c r="AD262" t="s">
        <v>84</v>
      </c>
      <c r="AE262" t="s">
        <v>84</v>
      </c>
      <c r="AF262" t="s">
        <v>84</v>
      </c>
      <c r="AG262" t="s">
        <v>84</v>
      </c>
      <c r="AH262" t="s">
        <v>840</v>
      </c>
      <c r="AI262" t="s">
        <v>87</v>
      </c>
      <c r="AJ262" t="s">
        <v>84</v>
      </c>
      <c r="AK262" t="s">
        <v>84</v>
      </c>
      <c r="AL262" t="s">
        <v>84</v>
      </c>
      <c r="AM262" t="s">
        <v>84</v>
      </c>
      <c r="AN262" t="s">
        <v>841</v>
      </c>
      <c r="AO262" t="s">
        <v>87</v>
      </c>
      <c r="AP262" t="s">
        <v>87</v>
      </c>
      <c r="AQ262" t="s">
        <v>84</v>
      </c>
      <c r="AS262" t="s">
        <v>87</v>
      </c>
      <c r="AT262" t="s">
        <v>87</v>
      </c>
      <c r="AU262" t="s">
        <v>838</v>
      </c>
      <c r="AV262" t="s">
        <v>838</v>
      </c>
      <c r="AW262" t="s">
        <v>89</v>
      </c>
      <c r="AX262" t="s">
        <v>87</v>
      </c>
      <c r="AY262" t="s">
        <v>87</v>
      </c>
      <c r="AZ262" t="s">
        <v>84</v>
      </c>
      <c r="BA262" t="s">
        <v>84</v>
      </c>
      <c r="BB262" t="s">
        <v>84</v>
      </c>
      <c r="BC262" t="s">
        <v>87</v>
      </c>
      <c r="BE262" t="s">
        <v>94</v>
      </c>
      <c r="BG262" t="s">
        <v>838</v>
      </c>
      <c r="BH262" t="s">
        <v>87</v>
      </c>
      <c r="BI262" t="s">
        <v>84</v>
      </c>
      <c r="BJ262" t="s">
        <v>84</v>
      </c>
      <c r="BL262" t="s">
        <v>87</v>
      </c>
      <c r="BM262" t="s">
        <v>84</v>
      </c>
      <c r="BN262" t="s">
        <v>84</v>
      </c>
      <c r="BP262" t="s">
        <v>84</v>
      </c>
      <c r="BQ262" t="s">
        <v>84</v>
      </c>
      <c r="BR262" t="s">
        <v>84</v>
      </c>
      <c r="BS262" t="s">
        <v>84</v>
      </c>
      <c r="BT262" t="s">
        <v>87</v>
      </c>
      <c r="BV262" t="s">
        <v>87</v>
      </c>
      <c r="BW262" t="s">
        <v>84</v>
      </c>
      <c r="BX262" t="s">
        <v>84</v>
      </c>
      <c r="BY262" t="s">
        <v>84</v>
      </c>
      <c r="BZ262" t="s">
        <v>84</v>
      </c>
      <c r="CB262" t="s">
        <v>84</v>
      </c>
      <c r="CD262" t="s">
        <v>84</v>
      </c>
    </row>
    <row r="263" spans="1:83" x14ac:dyDescent="0.25">
      <c r="A263" t="s">
        <v>1308</v>
      </c>
      <c r="B263" t="s">
        <v>1309</v>
      </c>
      <c r="C263" t="s">
        <v>253</v>
      </c>
      <c r="D263" t="s">
        <v>253</v>
      </c>
      <c r="E263" t="s">
        <v>1995</v>
      </c>
      <c r="F263" s="1">
        <v>145468</v>
      </c>
      <c r="G263" s="1" t="s">
        <v>94</v>
      </c>
      <c r="H263" t="s">
        <v>1310</v>
      </c>
      <c r="I263" t="s">
        <v>87</v>
      </c>
      <c r="J263" t="s">
        <v>84</v>
      </c>
      <c r="K263" t="s">
        <v>84</v>
      </c>
      <c r="L263" t="s">
        <v>84</v>
      </c>
      <c r="M263" t="s">
        <v>87</v>
      </c>
      <c r="N263" t="s">
        <v>84</v>
      </c>
      <c r="O263" t="s">
        <v>84</v>
      </c>
      <c r="Q263" t="s">
        <v>94</v>
      </c>
      <c r="S263" t="s">
        <v>1311</v>
      </c>
      <c r="T263" t="s">
        <v>96</v>
      </c>
      <c r="U263" t="s">
        <v>87</v>
      </c>
      <c r="V263" t="s">
        <v>87</v>
      </c>
      <c r="W263" t="s">
        <v>87</v>
      </c>
      <c r="Y263" t="s">
        <v>87</v>
      </c>
      <c r="Z263" t="s">
        <v>87</v>
      </c>
      <c r="AA263" t="s">
        <v>87</v>
      </c>
      <c r="AC263" t="s">
        <v>87</v>
      </c>
      <c r="AD263" t="s">
        <v>87</v>
      </c>
      <c r="AE263" t="s">
        <v>84</v>
      </c>
      <c r="AF263" t="s">
        <v>84</v>
      </c>
      <c r="AG263" t="s">
        <v>87</v>
      </c>
      <c r="AI263" t="s">
        <v>87</v>
      </c>
      <c r="AJ263" t="s">
        <v>84</v>
      </c>
      <c r="AK263" t="s">
        <v>84</v>
      </c>
      <c r="AL263" t="s">
        <v>84</v>
      </c>
      <c r="AM263" t="s">
        <v>84</v>
      </c>
      <c r="AO263" t="s">
        <v>87</v>
      </c>
      <c r="AP263" t="s">
        <v>87</v>
      </c>
      <c r="AQ263" t="s">
        <v>87</v>
      </c>
      <c r="AS263" t="s">
        <v>87</v>
      </c>
      <c r="AT263" t="s">
        <v>87</v>
      </c>
      <c r="AU263" t="s">
        <v>1312</v>
      </c>
      <c r="AV263" t="s">
        <v>1313</v>
      </c>
      <c r="AW263" t="s">
        <v>152</v>
      </c>
      <c r="AX263" t="s">
        <v>87</v>
      </c>
      <c r="AY263" t="s">
        <v>87</v>
      </c>
      <c r="AZ263" t="s">
        <v>87</v>
      </c>
      <c r="BA263" t="s">
        <v>84</v>
      </c>
      <c r="BB263" t="s">
        <v>84</v>
      </c>
      <c r="BC263" t="s">
        <v>87</v>
      </c>
      <c r="BE263" t="s">
        <v>94</v>
      </c>
      <c r="BG263" t="s">
        <v>1314</v>
      </c>
      <c r="BH263" t="s">
        <v>87</v>
      </c>
      <c r="BI263" t="s">
        <v>84</v>
      </c>
      <c r="BJ263" t="s">
        <v>84</v>
      </c>
      <c r="BL263" t="s">
        <v>87</v>
      </c>
      <c r="BM263" t="s">
        <v>87</v>
      </c>
      <c r="BN263" t="s">
        <v>84</v>
      </c>
      <c r="BP263" t="s">
        <v>87</v>
      </c>
      <c r="BQ263" t="s">
        <v>84</v>
      </c>
      <c r="BR263" t="s">
        <v>84</v>
      </c>
      <c r="BS263" t="s">
        <v>84</v>
      </c>
      <c r="BT263" t="s">
        <v>84</v>
      </c>
      <c r="BV263" t="s">
        <v>87</v>
      </c>
      <c r="BW263" t="s">
        <v>84</v>
      </c>
      <c r="BX263" t="s">
        <v>84</v>
      </c>
      <c r="BY263" t="s">
        <v>84</v>
      </c>
      <c r="BZ263" t="s">
        <v>87</v>
      </c>
      <c r="CB263" t="s">
        <v>84</v>
      </c>
      <c r="CD263" t="s">
        <v>84</v>
      </c>
    </row>
    <row r="264" spans="1:83" x14ac:dyDescent="0.25">
      <c r="A264" t="s">
        <v>1836</v>
      </c>
      <c r="B264" t="s">
        <v>1837</v>
      </c>
      <c r="C264" t="s">
        <v>1838</v>
      </c>
      <c r="D264" t="s">
        <v>299</v>
      </c>
      <c r="E264" t="s">
        <v>1999</v>
      </c>
      <c r="F264" s="1">
        <v>169502</v>
      </c>
      <c r="G264" s="1" t="s">
        <v>94</v>
      </c>
      <c r="H264" t="s">
        <v>1839</v>
      </c>
      <c r="I264" t="s">
        <v>87</v>
      </c>
      <c r="J264" t="s">
        <v>84</v>
      </c>
      <c r="K264" t="s">
        <v>84</v>
      </c>
      <c r="L264" t="s">
        <v>84</v>
      </c>
      <c r="M264" t="s">
        <v>87</v>
      </c>
      <c r="N264" t="s">
        <v>84</v>
      </c>
      <c r="O264" t="s">
        <v>84</v>
      </c>
      <c r="Q264" t="s">
        <v>94</v>
      </c>
      <c r="S264" t="s">
        <v>1840</v>
      </c>
      <c r="T264" t="s">
        <v>96</v>
      </c>
      <c r="U264" t="s">
        <v>87</v>
      </c>
      <c r="V264" t="s">
        <v>87</v>
      </c>
      <c r="W264" t="s">
        <v>84</v>
      </c>
      <c r="Y264" t="s">
        <v>87</v>
      </c>
      <c r="Z264" t="s">
        <v>87</v>
      </c>
      <c r="AA264" t="s">
        <v>84</v>
      </c>
      <c r="AC264" t="s">
        <v>87</v>
      </c>
      <c r="AD264" t="s">
        <v>84</v>
      </c>
      <c r="AE264" t="s">
        <v>87</v>
      </c>
      <c r="AF264" t="s">
        <v>84</v>
      </c>
      <c r="AG264" t="s">
        <v>84</v>
      </c>
      <c r="AH264" t="s">
        <v>792</v>
      </c>
      <c r="AI264" t="s">
        <v>84</v>
      </c>
      <c r="AJ264" t="s">
        <v>84</v>
      </c>
      <c r="AK264" t="s">
        <v>84</v>
      </c>
      <c r="AL264" t="s">
        <v>87</v>
      </c>
      <c r="AM264" t="s">
        <v>84</v>
      </c>
      <c r="AO264" t="s">
        <v>87</v>
      </c>
      <c r="AP264" t="s">
        <v>87</v>
      </c>
      <c r="AQ264" t="s">
        <v>84</v>
      </c>
      <c r="AR264" t="s">
        <v>1810</v>
      </c>
      <c r="AS264" t="s">
        <v>87</v>
      </c>
      <c r="AT264" t="s">
        <v>87</v>
      </c>
      <c r="AU264" t="s">
        <v>1841</v>
      </c>
      <c r="AV264" t="s">
        <v>1842</v>
      </c>
      <c r="AW264" t="s">
        <v>89</v>
      </c>
      <c r="AX264" t="s">
        <v>87</v>
      </c>
      <c r="AY264" t="s">
        <v>84</v>
      </c>
      <c r="AZ264" t="s">
        <v>84</v>
      </c>
      <c r="BA264" t="s">
        <v>84</v>
      </c>
      <c r="BB264" t="s">
        <v>84</v>
      </c>
      <c r="BC264" t="s">
        <v>84</v>
      </c>
      <c r="BD264" t="s">
        <v>1843</v>
      </c>
      <c r="BE264" t="s">
        <v>94</v>
      </c>
      <c r="BG264" t="s">
        <v>1844</v>
      </c>
      <c r="BH264" t="s">
        <v>87</v>
      </c>
      <c r="BI264" t="s">
        <v>84</v>
      </c>
      <c r="BJ264" t="s">
        <v>84</v>
      </c>
      <c r="BL264" t="s">
        <v>87</v>
      </c>
      <c r="BM264" t="s">
        <v>84</v>
      </c>
      <c r="BN264" t="s">
        <v>84</v>
      </c>
      <c r="BP264" t="s">
        <v>84</v>
      </c>
      <c r="BQ264" t="s">
        <v>84</v>
      </c>
      <c r="BR264" t="s">
        <v>84</v>
      </c>
      <c r="BS264" t="s">
        <v>87</v>
      </c>
      <c r="BT264" t="s">
        <v>84</v>
      </c>
      <c r="BV264" t="s">
        <v>87</v>
      </c>
      <c r="BW264" t="s">
        <v>84</v>
      </c>
      <c r="BX264" t="s">
        <v>84</v>
      </c>
      <c r="BY264" t="s">
        <v>84</v>
      </c>
      <c r="BZ264" t="s">
        <v>84</v>
      </c>
      <c r="CB264" t="s">
        <v>94</v>
      </c>
      <c r="CC264" t="s">
        <v>1845</v>
      </c>
      <c r="CD264" t="s">
        <v>94</v>
      </c>
      <c r="CE264" t="s">
        <v>1846</v>
      </c>
    </row>
    <row r="265" spans="1:83" x14ac:dyDescent="0.25">
      <c r="A265" t="s">
        <v>1577</v>
      </c>
      <c r="B265" t="s">
        <v>1578</v>
      </c>
      <c r="C265" t="s">
        <v>1579</v>
      </c>
      <c r="D265" t="s">
        <v>299</v>
      </c>
      <c r="E265" t="s">
        <v>1999</v>
      </c>
      <c r="F265" s="1">
        <v>190173</v>
      </c>
      <c r="G265" s="1" t="s">
        <v>94</v>
      </c>
      <c r="H265" t="s">
        <v>1580</v>
      </c>
      <c r="I265" t="s">
        <v>84</v>
      </c>
      <c r="J265" t="s">
        <v>84</v>
      </c>
      <c r="K265" t="s">
        <v>84</v>
      </c>
      <c r="L265" t="s">
        <v>84</v>
      </c>
      <c r="M265" t="s">
        <v>87</v>
      </c>
      <c r="N265" t="s">
        <v>84</v>
      </c>
      <c r="O265" t="s">
        <v>84</v>
      </c>
      <c r="P265" t="s">
        <v>1581</v>
      </c>
      <c r="Q265" t="s">
        <v>94</v>
      </c>
      <c r="S265" t="s">
        <v>1582</v>
      </c>
      <c r="T265" t="s">
        <v>96</v>
      </c>
      <c r="U265" t="s">
        <v>87</v>
      </c>
      <c r="V265" t="s">
        <v>87</v>
      </c>
      <c r="W265" t="s">
        <v>87</v>
      </c>
      <c r="Y265" t="s">
        <v>87</v>
      </c>
      <c r="Z265" t="s">
        <v>87</v>
      </c>
      <c r="AA265" t="s">
        <v>84</v>
      </c>
      <c r="AC265" t="s">
        <v>87</v>
      </c>
      <c r="AD265" t="s">
        <v>84</v>
      </c>
      <c r="AE265" t="s">
        <v>84</v>
      </c>
      <c r="AF265" t="s">
        <v>87</v>
      </c>
      <c r="AG265" t="s">
        <v>84</v>
      </c>
      <c r="AI265" t="s">
        <v>84</v>
      </c>
      <c r="AJ265" t="s">
        <v>84</v>
      </c>
      <c r="AK265" t="s">
        <v>84</v>
      </c>
      <c r="AL265" t="s">
        <v>87</v>
      </c>
      <c r="AM265" t="s">
        <v>84</v>
      </c>
      <c r="AO265" t="s">
        <v>87</v>
      </c>
      <c r="AP265" t="s">
        <v>87</v>
      </c>
      <c r="AQ265" t="s">
        <v>84</v>
      </c>
      <c r="AS265" t="s">
        <v>87</v>
      </c>
      <c r="AT265" t="s">
        <v>87</v>
      </c>
      <c r="AU265" t="s">
        <v>1583</v>
      </c>
      <c r="AV265" t="s">
        <v>1584</v>
      </c>
      <c r="AW265" t="s">
        <v>89</v>
      </c>
      <c r="AX265" t="s">
        <v>87</v>
      </c>
      <c r="AY265" t="s">
        <v>84</v>
      </c>
      <c r="AZ265" t="s">
        <v>84</v>
      </c>
      <c r="BA265" t="s">
        <v>84</v>
      </c>
      <c r="BB265" t="s">
        <v>84</v>
      </c>
      <c r="BC265" t="s">
        <v>87</v>
      </c>
      <c r="BE265" t="s">
        <v>94</v>
      </c>
      <c r="BG265" t="s">
        <v>1585</v>
      </c>
      <c r="BH265" t="s">
        <v>87</v>
      </c>
      <c r="BI265" t="s">
        <v>84</v>
      </c>
      <c r="BJ265" t="s">
        <v>84</v>
      </c>
      <c r="BL265" t="s">
        <v>87</v>
      </c>
      <c r="BM265" t="s">
        <v>87</v>
      </c>
      <c r="BN265" t="s">
        <v>84</v>
      </c>
      <c r="BP265" t="s">
        <v>84</v>
      </c>
      <c r="BQ265" t="s">
        <v>84</v>
      </c>
      <c r="BR265" t="s">
        <v>84</v>
      </c>
      <c r="BS265" t="s">
        <v>84</v>
      </c>
      <c r="BT265" t="s">
        <v>84</v>
      </c>
      <c r="BU265" t="s">
        <v>1586</v>
      </c>
      <c r="BV265" t="s">
        <v>87</v>
      </c>
      <c r="BW265" t="s">
        <v>84</v>
      </c>
      <c r="BX265" t="s">
        <v>84</v>
      </c>
      <c r="BY265" t="s">
        <v>84</v>
      </c>
      <c r="BZ265" t="s">
        <v>84</v>
      </c>
      <c r="CB265" t="s">
        <v>84</v>
      </c>
      <c r="CD265" t="s">
        <v>84</v>
      </c>
    </row>
    <row r="266" spans="1:83" x14ac:dyDescent="0.25">
      <c r="A266" t="s">
        <v>527</v>
      </c>
      <c r="B266" t="s">
        <v>528</v>
      </c>
      <c r="C266" t="s">
        <v>529</v>
      </c>
      <c r="D266" t="s">
        <v>120</v>
      </c>
      <c r="E266" t="s">
        <v>1925</v>
      </c>
      <c r="F266" s="10">
        <v>216077</v>
      </c>
      <c r="G266" s="1" t="s">
        <v>94</v>
      </c>
      <c r="H266" t="s">
        <v>530</v>
      </c>
      <c r="I266" t="s">
        <v>84</v>
      </c>
      <c r="J266" t="s">
        <v>84</v>
      </c>
      <c r="K266" t="s">
        <v>84</v>
      </c>
      <c r="L266" t="s">
        <v>84</v>
      </c>
      <c r="M266" t="s">
        <v>87</v>
      </c>
      <c r="N266" t="s">
        <v>84</v>
      </c>
      <c r="O266" t="s">
        <v>84</v>
      </c>
      <c r="Q266" t="s">
        <v>94</v>
      </c>
      <c r="S266" t="s">
        <v>531</v>
      </c>
      <c r="T266" t="s">
        <v>96</v>
      </c>
      <c r="U266" t="s">
        <v>87</v>
      </c>
      <c r="V266" t="s">
        <v>87</v>
      </c>
      <c r="W266" t="s">
        <v>84</v>
      </c>
      <c r="Y266" t="s">
        <v>87</v>
      </c>
      <c r="Z266" t="s">
        <v>87</v>
      </c>
      <c r="AA266" t="s">
        <v>84</v>
      </c>
      <c r="AC266" t="s">
        <v>87</v>
      </c>
      <c r="AD266" t="s">
        <v>84</v>
      </c>
      <c r="AE266" t="s">
        <v>84</v>
      </c>
      <c r="AF266" t="s">
        <v>84</v>
      </c>
      <c r="AG266" t="s">
        <v>87</v>
      </c>
      <c r="AI266" t="s">
        <v>87</v>
      </c>
      <c r="AJ266" t="s">
        <v>84</v>
      </c>
      <c r="AK266" t="s">
        <v>84</v>
      </c>
      <c r="AL266" t="s">
        <v>84</v>
      </c>
      <c r="AM266" t="s">
        <v>84</v>
      </c>
      <c r="AO266" t="s">
        <v>87</v>
      </c>
      <c r="AP266" t="s">
        <v>87</v>
      </c>
      <c r="AQ266" t="s">
        <v>84</v>
      </c>
      <c r="AS266" t="s">
        <v>87</v>
      </c>
      <c r="AT266" t="s">
        <v>87</v>
      </c>
      <c r="AU266" t="s">
        <v>532</v>
      </c>
      <c r="AV266" t="s">
        <v>533</v>
      </c>
      <c r="AW266" t="s">
        <v>89</v>
      </c>
      <c r="AX266" t="s">
        <v>84</v>
      </c>
      <c r="AY266" t="s">
        <v>87</v>
      </c>
      <c r="AZ266" t="s">
        <v>84</v>
      </c>
      <c r="BA266" t="s">
        <v>84</v>
      </c>
      <c r="BB266" t="s">
        <v>87</v>
      </c>
      <c r="BC266" t="s">
        <v>84</v>
      </c>
      <c r="BE266" t="s">
        <v>94</v>
      </c>
      <c r="BG266" t="s">
        <v>534</v>
      </c>
      <c r="BH266" t="s">
        <v>87</v>
      </c>
      <c r="BI266" t="s">
        <v>84</v>
      </c>
      <c r="BJ266" t="s">
        <v>84</v>
      </c>
      <c r="BL266" t="s">
        <v>84</v>
      </c>
      <c r="BM266" t="s">
        <v>84</v>
      </c>
      <c r="BN266" t="s">
        <v>87</v>
      </c>
      <c r="BP266" t="s">
        <v>87</v>
      </c>
      <c r="BQ266" t="s">
        <v>84</v>
      </c>
      <c r="BR266" t="s">
        <v>84</v>
      </c>
      <c r="BS266" t="s">
        <v>84</v>
      </c>
      <c r="BT266" t="s">
        <v>84</v>
      </c>
      <c r="BV266" t="s">
        <v>87</v>
      </c>
      <c r="BW266" t="s">
        <v>84</v>
      </c>
      <c r="BX266" t="s">
        <v>84</v>
      </c>
      <c r="BY266" t="s">
        <v>84</v>
      </c>
      <c r="BZ266" t="s">
        <v>84</v>
      </c>
      <c r="CB266" t="s">
        <v>84</v>
      </c>
      <c r="CD266" t="s">
        <v>84</v>
      </c>
    </row>
    <row r="267" spans="1:83" x14ac:dyDescent="0.25">
      <c r="A267" t="s">
        <v>1315</v>
      </c>
      <c r="B267" t="s">
        <v>1316</v>
      </c>
      <c r="C267" t="s">
        <v>1317</v>
      </c>
      <c r="D267" t="s">
        <v>120</v>
      </c>
      <c r="E267" t="s">
        <v>1925</v>
      </c>
      <c r="F267" s="1">
        <v>216428</v>
      </c>
      <c r="G267" s="1" t="s">
        <v>94</v>
      </c>
      <c r="H267" t="s">
        <v>1318</v>
      </c>
      <c r="I267" t="s">
        <v>87</v>
      </c>
      <c r="J267" t="s">
        <v>84</v>
      </c>
      <c r="K267" t="s">
        <v>84</v>
      </c>
      <c r="L267" t="s">
        <v>84</v>
      </c>
      <c r="M267" t="s">
        <v>84</v>
      </c>
      <c r="N267" t="s">
        <v>84</v>
      </c>
      <c r="O267" t="s">
        <v>84</v>
      </c>
      <c r="Q267" t="s">
        <v>94</v>
      </c>
      <c r="S267" t="s">
        <v>1319</v>
      </c>
      <c r="T267" t="s">
        <v>96</v>
      </c>
      <c r="U267" t="s">
        <v>87</v>
      </c>
      <c r="V267" t="s">
        <v>87</v>
      </c>
      <c r="W267" t="s">
        <v>87</v>
      </c>
      <c r="Y267" t="s">
        <v>87</v>
      </c>
      <c r="Z267" t="s">
        <v>87</v>
      </c>
      <c r="AA267" t="s">
        <v>87</v>
      </c>
      <c r="AC267" t="s">
        <v>87</v>
      </c>
      <c r="AD267" t="s">
        <v>84</v>
      </c>
      <c r="AE267" t="s">
        <v>84</v>
      </c>
      <c r="AF267" t="s">
        <v>84</v>
      </c>
      <c r="AG267" t="s">
        <v>87</v>
      </c>
      <c r="AH267" t="s">
        <v>1320</v>
      </c>
      <c r="AI267" t="s">
        <v>84</v>
      </c>
      <c r="AJ267" t="s">
        <v>84</v>
      </c>
      <c r="AK267" t="s">
        <v>84</v>
      </c>
      <c r="AL267" t="s">
        <v>84</v>
      </c>
      <c r="AM267" t="s">
        <v>87</v>
      </c>
      <c r="AO267" t="s">
        <v>87</v>
      </c>
      <c r="AP267" t="s">
        <v>87</v>
      </c>
      <c r="AQ267" t="s">
        <v>84</v>
      </c>
      <c r="AS267" t="s">
        <v>87</v>
      </c>
      <c r="AT267" t="s">
        <v>84</v>
      </c>
      <c r="AU267" t="s">
        <v>1321</v>
      </c>
      <c r="AW267" t="s">
        <v>89</v>
      </c>
      <c r="AX267" t="s">
        <v>87</v>
      </c>
      <c r="AY267" t="s">
        <v>87</v>
      </c>
      <c r="AZ267" t="s">
        <v>84</v>
      </c>
      <c r="BA267" t="s">
        <v>84</v>
      </c>
      <c r="BB267" t="s">
        <v>84</v>
      </c>
      <c r="BC267" t="s">
        <v>87</v>
      </c>
      <c r="BE267" t="s">
        <v>94</v>
      </c>
      <c r="BG267" t="s">
        <v>1322</v>
      </c>
      <c r="BH267" t="s">
        <v>87</v>
      </c>
      <c r="BI267" t="s">
        <v>84</v>
      </c>
      <c r="BJ267" t="s">
        <v>84</v>
      </c>
      <c r="BL267" t="s">
        <v>87</v>
      </c>
      <c r="BM267" t="s">
        <v>84</v>
      </c>
      <c r="BN267" t="s">
        <v>84</v>
      </c>
      <c r="BP267" t="s">
        <v>84</v>
      </c>
      <c r="BQ267" t="s">
        <v>84</v>
      </c>
      <c r="BR267" t="s">
        <v>84</v>
      </c>
      <c r="BS267" t="s">
        <v>84</v>
      </c>
      <c r="BT267" t="s">
        <v>87</v>
      </c>
      <c r="BV267" t="s">
        <v>87</v>
      </c>
      <c r="BW267" t="s">
        <v>84</v>
      </c>
      <c r="BX267" t="s">
        <v>84</v>
      </c>
      <c r="BY267" t="s">
        <v>84</v>
      </c>
      <c r="BZ267" t="s">
        <v>87</v>
      </c>
      <c r="CA267" t="s">
        <v>1320</v>
      </c>
      <c r="CB267" t="s">
        <v>94</v>
      </c>
      <c r="CC267" t="s">
        <v>1323</v>
      </c>
      <c r="CD267" t="s">
        <v>84</v>
      </c>
    </row>
    <row r="268" spans="1:83" x14ac:dyDescent="0.25">
      <c r="A268" t="s">
        <v>1403</v>
      </c>
      <c r="B268" t="s">
        <v>1404</v>
      </c>
      <c r="C268" t="s">
        <v>1405</v>
      </c>
      <c r="D268" t="s">
        <v>1406</v>
      </c>
      <c r="E268" t="s">
        <v>1929</v>
      </c>
      <c r="F268" s="10">
        <v>250051</v>
      </c>
      <c r="G268" s="1" t="s">
        <v>94</v>
      </c>
      <c r="H268" t="s">
        <v>1407</v>
      </c>
      <c r="I268" t="s">
        <v>87</v>
      </c>
      <c r="J268" t="s">
        <v>84</v>
      </c>
      <c r="K268" t="s">
        <v>87</v>
      </c>
      <c r="L268" t="s">
        <v>87</v>
      </c>
      <c r="M268" t="s">
        <v>87</v>
      </c>
      <c r="N268" t="s">
        <v>84</v>
      </c>
      <c r="O268" t="s">
        <v>84</v>
      </c>
      <c r="Q268" t="s">
        <v>94</v>
      </c>
      <c r="S268" t="s">
        <v>1408</v>
      </c>
      <c r="T268" t="s">
        <v>96</v>
      </c>
      <c r="U268" t="s">
        <v>87</v>
      </c>
      <c r="V268" t="s">
        <v>87</v>
      </c>
      <c r="W268" t="s">
        <v>87</v>
      </c>
      <c r="Y268" t="s">
        <v>87</v>
      </c>
      <c r="Z268" t="s">
        <v>87</v>
      </c>
      <c r="AA268" t="s">
        <v>87</v>
      </c>
      <c r="AB268" t="s">
        <v>1409</v>
      </c>
      <c r="AC268" t="s">
        <v>87</v>
      </c>
      <c r="AD268" t="s">
        <v>84</v>
      </c>
      <c r="AE268" t="s">
        <v>84</v>
      </c>
      <c r="AF268" t="s">
        <v>87</v>
      </c>
      <c r="AG268" t="s">
        <v>84</v>
      </c>
      <c r="AI268" t="s">
        <v>84</v>
      </c>
      <c r="AJ268" t="s">
        <v>84</v>
      </c>
      <c r="AK268" t="s">
        <v>87</v>
      </c>
      <c r="AL268" t="s">
        <v>84</v>
      </c>
      <c r="AM268" t="s">
        <v>84</v>
      </c>
      <c r="AO268" t="s">
        <v>87</v>
      </c>
      <c r="AP268" t="s">
        <v>87</v>
      </c>
      <c r="AQ268" t="s">
        <v>84</v>
      </c>
      <c r="AR268" t="s">
        <v>1409</v>
      </c>
      <c r="AS268" t="s">
        <v>87</v>
      </c>
      <c r="AT268" t="s">
        <v>87</v>
      </c>
      <c r="AU268" t="s">
        <v>1410</v>
      </c>
      <c r="AV268" t="s">
        <v>1410</v>
      </c>
      <c r="AW268" t="s">
        <v>89</v>
      </c>
      <c r="AX268" t="s">
        <v>87</v>
      </c>
      <c r="AY268" t="s">
        <v>87</v>
      </c>
      <c r="AZ268" t="s">
        <v>87</v>
      </c>
      <c r="BA268" t="s">
        <v>84</v>
      </c>
      <c r="BB268" t="s">
        <v>87</v>
      </c>
      <c r="BC268" t="s">
        <v>87</v>
      </c>
      <c r="BE268" t="s">
        <v>94</v>
      </c>
      <c r="BG268" t="s">
        <v>1410</v>
      </c>
      <c r="BH268" t="s">
        <v>87</v>
      </c>
      <c r="BI268" t="s">
        <v>84</v>
      </c>
      <c r="BJ268" t="s">
        <v>84</v>
      </c>
      <c r="BL268" t="s">
        <v>87</v>
      </c>
      <c r="BM268" t="s">
        <v>84</v>
      </c>
      <c r="BN268" t="s">
        <v>87</v>
      </c>
      <c r="BP268" t="s">
        <v>84</v>
      </c>
      <c r="BQ268" t="s">
        <v>84</v>
      </c>
      <c r="BR268" t="s">
        <v>87</v>
      </c>
      <c r="BS268" t="s">
        <v>84</v>
      </c>
      <c r="BT268" t="s">
        <v>84</v>
      </c>
      <c r="BV268" t="s">
        <v>87</v>
      </c>
      <c r="BW268" t="s">
        <v>84</v>
      </c>
      <c r="BX268" t="s">
        <v>84</v>
      </c>
      <c r="BY268" t="s">
        <v>84</v>
      </c>
      <c r="BZ268" t="s">
        <v>84</v>
      </c>
      <c r="CB268" t="s">
        <v>84</v>
      </c>
      <c r="CD268" t="s">
        <v>84</v>
      </c>
    </row>
    <row r="269" spans="1:83" x14ac:dyDescent="0.25">
      <c r="A269" t="s">
        <v>1894</v>
      </c>
      <c r="B269" t="s">
        <v>1895</v>
      </c>
      <c r="C269" t="s">
        <v>1896</v>
      </c>
      <c r="D269" t="s">
        <v>734</v>
      </c>
      <c r="E269" t="s">
        <v>734</v>
      </c>
      <c r="F269" s="10">
        <v>272365</v>
      </c>
      <c r="G269" s="1" t="s">
        <v>94</v>
      </c>
      <c r="H269" t="s">
        <v>1897</v>
      </c>
      <c r="I269" t="s">
        <v>87</v>
      </c>
      <c r="J269" t="s">
        <v>84</v>
      </c>
      <c r="K269" t="s">
        <v>84</v>
      </c>
      <c r="L269" t="s">
        <v>84</v>
      </c>
      <c r="M269" t="s">
        <v>84</v>
      </c>
      <c r="N269" t="s">
        <v>84</v>
      </c>
      <c r="O269" t="s">
        <v>84</v>
      </c>
      <c r="P269" t="s">
        <v>1898</v>
      </c>
      <c r="Q269" t="s">
        <v>94</v>
      </c>
      <c r="S269" t="s">
        <v>1899</v>
      </c>
      <c r="T269" t="s">
        <v>86</v>
      </c>
      <c r="U269" t="s">
        <v>87</v>
      </c>
      <c r="V269" t="s">
        <v>87</v>
      </c>
      <c r="W269" t="s">
        <v>87</v>
      </c>
      <c r="Y269" t="s">
        <v>87</v>
      </c>
      <c r="Z269" t="s">
        <v>87</v>
      </c>
      <c r="AA269" t="s">
        <v>87</v>
      </c>
      <c r="AC269" t="s">
        <v>87</v>
      </c>
      <c r="AD269" t="s">
        <v>87</v>
      </c>
      <c r="AE269" t="s">
        <v>84</v>
      </c>
      <c r="AF269" t="s">
        <v>84</v>
      </c>
      <c r="AG269" t="s">
        <v>87</v>
      </c>
      <c r="AI269" t="s">
        <v>84</v>
      </c>
      <c r="AJ269" t="s">
        <v>84</v>
      </c>
      <c r="AK269" t="s">
        <v>84</v>
      </c>
      <c r="AL269" t="s">
        <v>84</v>
      </c>
      <c r="AM269" t="s">
        <v>84</v>
      </c>
      <c r="AN269" t="s">
        <v>1900</v>
      </c>
      <c r="AO269" t="s">
        <v>87</v>
      </c>
      <c r="AP269" t="s">
        <v>87</v>
      </c>
      <c r="AQ269" t="s">
        <v>84</v>
      </c>
      <c r="AS269" t="s">
        <v>87</v>
      </c>
      <c r="AT269" t="s">
        <v>87</v>
      </c>
      <c r="AU269" t="s">
        <v>1901</v>
      </c>
      <c r="AV269" t="s">
        <v>1902</v>
      </c>
      <c r="AW269" t="s">
        <v>89</v>
      </c>
      <c r="AX269" t="s">
        <v>87</v>
      </c>
      <c r="AY269" t="s">
        <v>87</v>
      </c>
      <c r="AZ269" t="s">
        <v>84</v>
      </c>
      <c r="BA269" t="s">
        <v>84</v>
      </c>
      <c r="BB269" t="s">
        <v>84</v>
      </c>
      <c r="BC269" t="s">
        <v>87</v>
      </c>
      <c r="BE269" t="s">
        <v>94</v>
      </c>
      <c r="BG269" t="s">
        <v>1903</v>
      </c>
      <c r="BH269" t="s">
        <v>87</v>
      </c>
      <c r="BI269" t="s">
        <v>87</v>
      </c>
      <c r="BJ269" t="s">
        <v>84</v>
      </c>
      <c r="BL269" t="s">
        <v>87</v>
      </c>
      <c r="BM269" t="s">
        <v>87</v>
      </c>
      <c r="BN269" t="s">
        <v>84</v>
      </c>
      <c r="BP269" t="s">
        <v>84</v>
      </c>
      <c r="BQ269" t="s">
        <v>84</v>
      </c>
      <c r="BR269" t="s">
        <v>84</v>
      </c>
      <c r="BS269" t="s">
        <v>87</v>
      </c>
      <c r="BT269" t="s">
        <v>84</v>
      </c>
      <c r="BV269" t="s">
        <v>87</v>
      </c>
      <c r="BW269" t="s">
        <v>84</v>
      </c>
      <c r="BX269" t="s">
        <v>84</v>
      </c>
      <c r="BY269" t="s">
        <v>84</v>
      </c>
      <c r="BZ269" t="s">
        <v>84</v>
      </c>
      <c r="CB269" t="s">
        <v>94</v>
      </c>
      <c r="CC269" t="s">
        <v>1904</v>
      </c>
      <c r="CD269" t="s">
        <v>94</v>
      </c>
      <c r="CE269" t="s">
        <v>1904</v>
      </c>
    </row>
    <row r="270" spans="1:83" x14ac:dyDescent="0.25">
      <c r="A270" t="s">
        <v>1083</v>
      </c>
      <c r="B270" t="s">
        <v>1084</v>
      </c>
      <c r="C270" t="s">
        <v>1085</v>
      </c>
      <c r="D270" t="s">
        <v>150</v>
      </c>
      <c r="E270" t="s">
        <v>1929</v>
      </c>
      <c r="F270" s="1">
        <v>345821</v>
      </c>
      <c r="G270" s="1" t="s">
        <v>94</v>
      </c>
      <c r="H270" t="s">
        <v>270</v>
      </c>
      <c r="I270" t="s">
        <v>87</v>
      </c>
      <c r="J270" t="s">
        <v>84</v>
      </c>
      <c r="K270" t="s">
        <v>84</v>
      </c>
      <c r="L270" t="s">
        <v>84</v>
      </c>
      <c r="M270" t="s">
        <v>87</v>
      </c>
      <c r="N270" t="s">
        <v>84</v>
      </c>
      <c r="O270" t="s">
        <v>84</v>
      </c>
      <c r="Q270" t="s">
        <v>94</v>
      </c>
      <c r="S270" t="s">
        <v>1086</v>
      </c>
      <c r="T270" t="s">
        <v>96</v>
      </c>
      <c r="U270" t="s">
        <v>87</v>
      </c>
      <c r="V270" t="s">
        <v>87</v>
      </c>
      <c r="W270" t="s">
        <v>87</v>
      </c>
      <c r="Y270" t="s">
        <v>87</v>
      </c>
      <c r="Z270" t="s">
        <v>87</v>
      </c>
      <c r="AA270" t="s">
        <v>87</v>
      </c>
      <c r="AC270" t="s">
        <v>87</v>
      </c>
      <c r="AD270" t="s">
        <v>84</v>
      </c>
      <c r="AE270" t="s">
        <v>84</v>
      </c>
      <c r="AF270" t="s">
        <v>87</v>
      </c>
      <c r="AG270" t="s">
        <v>87</v>
      </c>
      <c r="AI270" t="s">
        <v>84</v>
      </c>
      <c r="AJ270" t="s">
        <v>84</v>
      </c>
      <c r="AK270" t="s">
        <v>84</v>
      </c>
      <c r="AL270" t="s">
        <v>84</v>
      </c>
      <c r="AM270" t="s">
        <v>87</v>
      </c>
      <c r="AO270" t="s">
        <v>87</v>
      </c>
      <c r="AP270" t="s">
        <v>87</v>
      </c>
      <c r="AQ270" t="s">
        <v>84</v>
      </c>
      <c r="AS270" t="s">
        <v>87</v>
      </c>
      <c r="AT270" t="s">
        <v>87</v>
      </c>
      <c r="AU270" t="s">
        <v>1086</v>
      </c>
      <c r="AV270" t="s">
        <v>1086</v>
      </c>
      <c r="AW270" t="s">
        <v>89</v>
      </c>
      <c r="AX270" t="s">
        <v>87</v>
      </c>
      <c r="AY270" t="s">
        <v>87</v>
      </c>
      <c r="AZ270" t="s">
        <v>84</v>
      </c>
      <c r="BA270" t="s">
        <v>84</v>
      </c>
      <c r="BB270" t="s">
        <v>84</v>
      </c>
      <c r="BC270" t="s">
        <v>87</v>
      </c>
      <c r="BE270" t="s">
        <v>94</v>
      </c>
      <c r="BG270" t="s">
        <v>1086</v>
      </c>
      <c r="BH270" t="s">
        <v>87</v>
      </c>
      <c r="BI270" t="s">
        <v>84</v>
      </c>
      <c r="BJ270" t="s">
        <v>84</v>
      </c>
      <c r="BL270" t="s">
        <v>87</v>
      </c>
      <c r="BM270" t="s">
        <v>87</v>
      </c>
      <c r="BN270" t="s">
        <v>84</v>
      </c>
      <c r="BP270" t="s">
        <v>84</v>
      </c>
      <c r="BQ270" t="s">
        <v>84</v>
      </c>
      <c r="BR270" t="s">
        <v>84</v>
      </c>
      <c r="BS270" t="s">
        <v>87</v>
      </c>
      <c r="BT270" t="s">
        <v>84</v>
      </c>
      <c r="BV270" t="s">
        <v>87</v>
      </c>
      <c r="BW270" t="s">
        <v>84</v>
      </c>
      <c r="BX270" t="s">
        <v>84</v>
      </c>
      <c r="BY270" t="s">
        <v>87</v>
      </c>
      <c r="BZ270" t="s">
        <v>87</v>
      </c>
      <c r="CB270" t="s">
        <v>94</v>
      </c>
      <c r="CC270" t="s">
        <v>1087</v>
      </c>
      <c r="CD270" t="s">
        <v>94</v>
      </c>
      <c r="CE270" t="s">
        <v>1088</v>
      </c>
    </row>
    <row r="271" spans="1:83" x14ac:dyDescent="0.25">
      <c r="A271" t="s">
        <v>552</v>
      </c>
      <c r="B271" t="s">
        <v>553</v>
      </c>
      <c r="C271" t="s">
        <v>554</v>
      </c>
      <c r="D271" t="s">
        <v>131</v>
      </c>
      <c r="E271" t="s">
        <v>131</v>
      </c>
      <c r="F271" s="1">
        <v>404720</v>
      </c>
      <c r="G271" s="1" t="s">
        <v>94</v>
      </c>
      <c r="H271" t="s">
        <v>556</v>
      </c>
      <c r="I271" t="s">
        <v>87</v>
      </c>
      <c r="J271" t="s">
        <v>84</v>
      </c>
      <c r="K271" t="s">
        <v>84</v>
      </c>
      <c r="L271" t="s">
        <v>84</v>
      </c>
      <c r="M271" t="s">
        <v>84</v>
      </c>
      <c r="N271" t="s">
        <v>84</v>
      </c>
      <c r="O271" t="s">
        <v>84</v>
      </c>
      <c r="Q271" t="s">
        <v>94</v>
      </c>
      <c r="S271" t="s">
        <v>557</v>
      </c>
      <c r="T271" t="s">
        <v>96</v>
      </c>
      <c r="U271" t="s">
        <v>87</v>
      </c>
      <c r="V271" t="s">
        <v>87</v>
      </c>
      <c r="W271" t="s">
        <v>87</v>
      </c>
      <c r="X271" t="s">
        <v>558</v>
      </c>
      <c r="Y271" t="s">
        <v>84</v>
      </c>
      <c r="Z271" t="s">
        <v>87</v>
      </c>
      <c r="AA271" t="s">
        <v>84</v>
      </c>
      <c r="AC271" t="s">
        <v>87</v>
      </c>
      <c r="AD271" t="s">
        <v>84</v>
      </c>
      <c r="AE271" t="s">
        <v>87</v>
      </c>
      <c r="AF271" t="s">
        <v>84</v>
      </c>
      <c r="AG271" t="s">
        <v>84</v>
      </c>
      <c r="AI271" t="s">
        <v>84</v>
      </c>
      <c r="AJ271" t="s">
        <v>87</v>
      </c>
      <c r="AK271" t="s">
        <v>84</v>
      </c>
      <c r="AL271" t="s">
        <v>84</v>
      </c>
      <c r="AM271" t="s">
        <v>84</v>
      </c>
      <c r="AO271" t="s">
        <v>87</v>
      </c>
      <c r="AP271" t="s">
        <v>87</v>
      </c>
      <c r="AQ271" t="s">
        <v>87</v>
      </c>
      <c r="AR271" t="s">
        <v>558</v>
      </c>
      <c r="AS271" t="s">
        <v>87</v>
      </c>
      <c r="AT271" t="s">
        <v>84</v>
      </c>
      <c r="AU271" t="s">
        <v>559</v>
      </c>
      <c r="AW271" t="s">
        <v>560</v>
      </c>
      <c r="AX271" t="s">
        <v>84</v>
      </c>
      <c r="AY271" t="s">
        <v>87</v>
      </c>
      <c r="AZ271" t="s">
        <v>84</v>
      </c>
      <c r="BA271" t="s">
        <v>84</v>
      </c>
      <c r="BB271" t="s">
        <v>87</v>
      </c>
      <c r="BC271" t="s">
        <v>84</v>
      </c>
      <c r="BE271" t="s">
        <v>94</v>
      </c>
      <c r="BG271" t="s">
        <v>557</v>
      </c>
      <c r="BH271" t="s">
        <v>87</v>
      </c>
      <c r="BI271" t="s">
        <v>84</v>
      </c>
      <c r="BJ271" t="s">
        <v>84</v>
      </c>
      <c r="BL271" t="s">
        <v>87</v>
      </c>
      <c r="BM271" t="s">
        <v>87</v>
      </c>
      <c r="BN271" t="s">
        <v>84</v>
      </c>
      <c r="BP271" t="s">
        <v>84</v>
      </c>
      <c r="BQ271" t="s">
        <v>87</v>
      </c>
      <c r="BR271" t="s">
        <v>84</v>
      </c>
      <c r="BS271" t="s">
        <v>87</v>
      </c>
      <c r="BT271" t="s">
        <v>84</v>
      </c>
      <c r="BV271" t="s">
        <v>87</v>
      </c>
      <c r="BW271" t="s">
        <v>84</v>
      </c>
      <c r="BX271" t="s">
        <v>84</v>
      </c>
      <c r="BY271" t="s">
        <v>84</v>
      </c>
      <c r="BZ271" t="s">
        <v>84</v>
      </c>
      <c r="CB271" t="s">
        <v>84</v>
      </c>
      <c r="CD271" t="s">
        <v>84</v>
      </c>
    </row>
    <row r="272" spans="1:83" x14ac:dyDescent="0.25">
      <c r="A272" t="s">
        <v>1524</v>
      </c>
      <c r="B272" t="s">
        <v>1525</v>
      </c>
      <c r="C272" t="s">
        <v>1526</v>
      </c>
      <c r="D272" t="s">
        <v>998</v>
      </c>
      <c r="E272" t="s">
        <v>1997</v>
      </c>
      <c r="F272" s="1">
        <v>856990</v>
      </c>
      <c r="G272" s="1" t="s">
        <v>84</v>
      </c>
      <c r="I272" t="s">
        <v>85</v>
      </c>
      <c r="J272" t="s">
        <v>85</v>
      </c>
      <c r="K272" t="s">
        <v>85</v>
      </c>
      <c r="L272" t="s">
        <v>85</v>
      </c>
      <c r="M272" t="s">
        <v>85</v>
      </c>
      <c r="N272" t="s">
        <v>85</v>
      </c>
      <c r="O272" t="s">
        <v>85</v>
      </c>
      <c r="Q272" t="s">
        <v>94</v>
      </c>
      <c r="S272" t="s">
        <v>1527</v>
      </c>
      <c r="T272" t="s">
        <v>96</v>
      </c>
      <c r="U272" t="s">
        <v>87</v>
      </c>
      <c r="V272" t="s">
        <v>84</v>
      </c>
      <c r="W272" t="s">
        <v>84</v>
      </c>
      <c r="Y272" t="s">
        <v>87</v>
      </c>
      <c r="Z272" t="s">
        <v>84</v>
      </c>
      <c r="AA272" t="s">
        <v>84</v>
      </c>
      <c r="AC272" t="s">
        <v>87</v>
      </c>
      <c r="AD272" t="s">
        <v>84</v>
      </c>
      <c r="AE272" t="s">
        <v>84</v>
      </c>
      <c r="AF272" t="s">
        <v>84</v>
      </c>
      <c r="AG272" t="s">
        <v>84</v>
      </c>
      <c r="AI272" t="s">
        <v>87</v>
      </c>
      <c r="AJ272" t="s">
        <v>84</v>
      </c>
      <c r="AK272" t="s">
        <v>84</v>
      </c>
      <c r="AL272" t="s">
        <v>84</v>
      </c>
      <c r="AM272" t="s">
        <v>84</v>
      </c>
      <c r="AO272" t="s">
        <v>87</v>
      </c>
      <c r="AP272" t="s">
        <v>84</v>
      </c>
      <c r="AQ272" t="s">
        <v>84</v>
      </c>
      <c r="AS272" t="s">
        <v>87</v>
      </c>
      <c r="AT272" t="s">
        <v>87</v>
      </c>
      <c r="AU272" t="s">
        <v>1528</v>
      </c>
      <c r="AV272" t="s">
        <v>1528</v>
      </c>
      <c r="AW272" t="s">
        <v>560</v>
      </c>
      <c r="AX272" t="s">
        <v>87</v>
      </c>
      <c r="AY272" t="s">
        <v>84</v>
      </c>
      <c r="AZ272" t="s">
        <v>84</v>
      </c>
      <c r="BA272" t="s">
        <v>84</v>
      </c>
      <c r="BB272" t="s">
        <v>87</v>
      </c>
      <c r="BC272" t="s">
        <v>84</v>
      </c>
      <c r="BE272" t="s">
        <v>94</v>
      </c>
      <c r="BG272" t="s">
        <v>1528</v>
      </c>
      <c r="BH272" t="s">
        <v>87</v>
      </c>
      <c r="BI272" t="s">
        <v>84</v>
      </c>
      <c r="BJ272" t="s">
        <v>84</v>
      </c>
      <c r="BL272" t="s">
        <v>87</v>
      </c>
      <c r="BM272" t="s">
        <v>84</v>
      </c>
      <c r="BN272" t="s">
        <v>84</v>
      </c>
      <c r="BP272" t="s">
        <v>87</v>
      </c>
      <c r="BQ272" t="s">
        <v>84</v>
      </c>
      <c r="BR272" t="s">
        <v>84</v>
      </c>
      <c r="BS272" t="s">
        <v>84</v>
      </c>
      <c r="BT272" t="s">
        <v>84</v>
      </c>
      <c r="BV272" t="s">
        <v>87</v>
      </c>
      <c r="BW272" t="s">
        <v>84</v>
      </c>
      <c r="BX272" t="s">
        <v>84</v>
      </c>
      <c r="BY272" t="s">
        <v>84</v>
      </c>
      <c r="BZ272" t="s">
        <v>84</v>
      </c>
      <c r="CB272" t="s">
        <v>84</v>
      </c>
      <c r="CD272" t="s">
        <v>84</v>
      </c>
    </row>
    <row r="273" spans="6:8" x14ac:dyDescent="0.25">
      <c r="F273" s="1"/>
      <c r="G273" s="1"/>
    </row>
    <row r="274" spans="6:8" x14ac:dyDescent="0.25">
      <c r="F274" s="1"/>
      <c r="G274" s="1" t="s">
        <v>1909</v>
      </c>
    </row>
    <row r="275" spans="6:8" x14ac:dyDescent="0.25">
      <c r="F275" s="1"/>
      <c r="G275" s="1" t="s">
        <v>1910</v>
      </c>
    </row>
    <row r="277" spans="6:8" x14ac:dyDescent="0.25">
      <c r="H277">
        <f>180*100/271</f>
        <v>66.420664206642073</v>
      </c>
    </row>
  </sheetData>
  <autoFilter ref="A1:CE272" xr:uid="{A9EEC804-68B7-43D1-B3A2-F0CC814D3CEC}">
    <sortState xmlns:xlrd2="http://schemas.microsoft.com/office/spreadsheetml/2017/richdata2" ref="A2:CE272">
      <sortCondition ref="BE1:BE272"/>
    </sortState>
  </autoFilter>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A9040D-1001-4DE7-8362-E88885322360}">
  <dimension ref="A1:D74"/>
  <sheetViews>
    <sheetView topLeftCell="A54" workbookViewId="0">
      <selection activeCell="B75" sqref="B75"/>
    </sheetView>
  </sheetViews>
  <sheetFormatPr baseColWidth="10" defaultRowHeight="15" x14ac:dyDescent="0.25"/>
  <cols>
    <col min="1" max="1" width="21.5703125" bestFit="1" customWidth="1"/>
    <col min="2" max="2" width="8.42578125" bestFit="1" customWidth="1"/>
    <col min="3" max="3" width="13.42578125" bestFit="1" customWidth="1"/>
  </cols>
  <sheetData>
    <row r="1" spans="1:4" x14ac:dyDescent="0.25">
      <c r="A1" s="5" t="s">
        <v>3</v>
      </c>
      <c r="B1" s="5" t="s">
        <v>560</v>
      </c>
      <c r="C1" s="5" t="s">
        <v>152</v>
      </c>
      <c r="D1" s="5" t="s">
        <v>89</v>
      </c>
    </row>
    <row r="2" spans="1:4" x14ac:dyDescent="0.25">
      <c r="A2" t="s">
        <v>156</v>
      </c>
      <c r="B2" s="2">
        <v>0</v>
      </c>
      <c r="C2" s="2">
        <v>0</v>
      </c>
      <c r="D2" s="2">
        <f>8/8</f>
        <v>1</v>
      </c>
    </row>
    <row r="3" spans="1:4" x14ac:dyDescent="0.25">
      <c r="A3" t="s">
        <v>1911</v>
      </c>
      <c r="B3" s="2">
        <v>0</v>
      </c>
      <c r="C3" s="2">
        <v>0</v>
      </c>
      <c r="D3" s="2">
        <f>1/1</f>
        <v>1</v>
      </c>
    </row>
    <row r="4" spans="1:4" x14ac:dyDescent="0.25">
      <c r="A4" t="s">
        <v>137</v>
      </c>
      <c r="B4" s="2">
        <f>1/13</f>
        <v>7.6923076923076927E-2</v>
      </c>
      <c r="C4" s="2">
        <f>1/13</f>
        <v>7.6923076923076927E-2</v>
      </c>
      <c r="D4" s="2">
        <f>11/13</f>
        <v>0.84615384615384615</v>
      </c>
    </row>
    <row r="5" spans="1:4" x14ac:dyDescent="0.25">
      <c r="A5" t="s">
        <v>215</v>
      </c>
      <c r="B5" s="2">
        <v>0</v>
      </c>
      <c r="C5" s="2">
        <v>0</v>
      </c>
      <c r="D5" s="2">
        <f>1/1</f>
        <v>1</v>
      </c>
    </row>
    <row r="6" spans="1:4" x14ac:dyDescent="0.25">
      <c r="A6" t="s">
        <v>1912</v>
      </c>
      <c r="B6" s="2">
        <v>0</v>
      </c>
      <c r="C6" s="2">
        <v>0</v>
      </c>
      <c r="D6" s="2">
        <f>1/1</f>
        <v>1</v>
      </c>
    </row>
    <row r="7" spans="1:4" x14ac:dyDescent="0.25">
      <c r="A7" t="s">
        <v>1913</v>
      </c>
      <c r="B7" s="2">
        <v>0</v>
      </c>
      <c r="C7" s="2">
        <v>0</v>
      </c>
      <c r="D7" s="2">
        <f>5/5</f>
        <v>1</v>
      </c>
    </row>
    <row r="8" spans="1:4" x14ac:dyDescent="0.25">
      <c r="A8" t="s">
        <v>515</v>
      </c>
      <c r="B8" s="2">
        <v>0</v>
      </c>
      <c r="C8" s="2">
        <v>0</v>
      </c>
      <c r="D8" s="2">
        <f>8/8</f>
        <v>1</v>
      </c>
    </row>
    <row r="9" spans="1:4" x14ac:dyDescent="0.25">
      <c r="A9" t="s">
        <v>374</v>
      </c>
      <c r="B9" s="2">
        <v>0</v>
      </c>
      <c r="C9" s="2">
        <v>0</v>
      </c>
      <c r="D9" s="2">
        <f>4/4</f>
        <v>1</v>
      </c>
    </row>
    <row r="10" spans="1:4" x14ac:dyDescent="0.25">
      <c r="A10" t="s">
        <v>120</v>
      </c>
      <c r="B10" s="2">
        <v>0</v>
      </c>
      <c r="C10" s="2">
        <v>0</v>
      </c>
      <c r="D10" s="2">
        <f>20/20</f>
        <v>1</v>
      </c>
    </row>
    <row r="11" spans="1:4" x14ac:dyDescent="0.25">
      <c r="A11" t="s">
        <v>1914</v>
      </c>
      <c r="B11" s="2">
        <v>0</v>
      </c>
      <c r="C11" s="2">
        <f>1/3</f>
        <v>0.33333333333333331</v>
      </c>
      <c r="D11" s="2">
        <f>2/3</f>
        <v>0.66666666666666663</v>
      </c>
    </row>
    <row r="12" spans="1:4" x14ac:dyDescent="0.25">
      <c r="A12" t="s">
        <v>233</v>
      </c>
      <c r="B12" s="2">
        <v>0</v>
      </c>
      <c r="C12" s="2">
        <v>0</v>
      </c>
      <c r="D12" s="2">
        <f>4/4</f>
        <v>1</v>
      </c>
    </row>
    <row r="13" spans="1:4" x14ac:dyDescent="0.25">
      <c r="A13" t="s">
        <v>425</v>
      </c>
      <c r="B13" s="2">
        <v>0</v>
      </c>
      <c r="C13" s="2">
        <v>0</v>
      </c>
      <c r="D13" s="2">
        <f>6/6</f>
        <v>1</v>
      </c>
    </row>
    <row r="14" spans="1:4" x14ac:dyDescent="0.25">
      <c r="A14" t="s">
        <v>727</v>
      </c>
      <c r="B14" s="2">
        <v>0</v>
      </c>
      <c r="C14" s="2">
        <v>0</v>
      </c>
      <c r="D14" s="2">
        <f>5/5</f>
        <v>1</v>
      </c>
    </row>
    <row r="15" spans="1:4" x14ac:dyDescent="0.25">
      <c r="A15" t="s">
        <v>83</v>
      </c>
      <c r="B15" s="2">
        <v>0</v>
      </c>
      <c r="C15" s="2">
        <v>0</v>
      </c>
      <c r="D15" s="2">
        <f>4/4</f>
        <v>1</v>
      </c>
    </row>
    <row r="16" spans="1:4" x14ac:dyDescent="0.25">
      <c r="A16" t="s">
        <v>204</v>
      </c>
      <c r="B16" s="2">
        <v>0</v>
      </c>
      <c r="C16" s="2">
        <v>0</v>
      </c>
      <c r="D16" s="2">
        <f>21/21</f>
        <v>1</v>
      </c>
    </row>
    <row r="17" spans="1:4" x14ac:dyDescent="0.25">
      <c r="A17" t="s">
        <v>319</v>
      </c>
      <c r="B17" s="2">
        <v>0</v>
      </c>
      <c r="C17" s="2">
        <v>0</v>
      </c>
      <c r="D17" s="2">
        <f>4/4</f>
        <v>1</v>
      </c>
    </row>
    <row r="18" spans="1:4" x14ac:dyDescent="0.25">
      <c r="A18" t="s">
        <v>245</v>
      </c>
      <c r="B18" s="2">
        <v>0</v>
      </c>
      <c r="C18" s="2">
        <v>0</v>
      </c>
      <c r="D18" s="2">
        <f>2/2</f>
        <v>1</v>
      </c>
    </row>
    <row r="19" spans="1:4" x14ac:dyDescent="0.25">
      <c r="A19" t="s">
        <v>408</v>
      </c>
      <c r="B19" s="2">
        <v>0</v>
      </c>
      <c r="C19" s="2">
        <v>0</v>
      </c>
      <c r="D19" s="2">
        <f>2/2</f>
        <v>1</v>
      </c>
    </row>
    <row r="20" spans="1:4" x14ac:dyDescent="0.25">
      <c r="A20" t="s">
        <v>1915</v>
      </c>
      <c r="B20" s="2">
        <v>0</v>
      </c>
      <c r="C20" s="2">
        <v>0</v>
      </c>
      <c r="D20" s="2">
        <f>1/1</f>
        <v>1</v>
      </c>
    </row>
    <row r="21" spans="1:4" x14ac:dyDescent="0.25">
      <c r="A21" t="s">
        <v>658</v>
      </c>
      <c r="B21" s="2">
        <v>0</v>
      </c>
      <c r="C21" s="2">
        <v>0</v>
      </c>
      <c r="D21" s="2">
        <f>4/4</f>
        <v>1</v>
      </c>
    </row>
    <row r="22" spans="1:4" x14ac:dyDescent="0.25">
      <c r="A22" t="s">
        <v>198</v>
      </c>
      <c r="B22" s="2">
        <f>1/7</f>
        <v>0.14285714285714285</v>
      </c>
      <c r="C22" s="2">
        <v>0</v>
      </c>
      <c r="D22" s="2">
        <f>6/7</f>
        <v>0.8571428571428571</v>
      </c>
    </row>
    <row r="23" spans="1:4" x14ac:dyDescent="0.25">
      <c r="A23" t="s">
        <v>278</v>
      </c>
      <c r="B23" s="2">
        <v>0</v>
      </c>
      <c r="C23" s="2">
        <v>0</v>
      </c>
      <c r="D23" s="2">
        <f>5/5</f>
        <v>1</v>
      </c>
    </row>
    <row r="24" spans="1:4" x14ac:dyDescent="0.25">
      <c r="A24" t="s">
        <v>253</v>
      </c>
      <c r="B24" s="2">
        <v>0</v>
      </c>
      <c r="C24" s="2">
        <f>1/4</f>
        <v>0.25</v>
      </c>
      <c r="D24" s="2">
        <f>3/4</f>
        <v>0.75</v>
      </c>
    </row>
    <row r="25" spans="1:4" x14ac:dyDescent="0.25">
      <c r="A25" t="s">
        <v>93</v>
      </c>
      <c r="B25" s="2">
        <v>0</v>
      </c>
      <c r="C25" s="2">
        <v>0</v>
      </c>
      <c r="D25" s="2">
        <f>4/4</f>
        <v>1</v>
      </c>
    </row>
    <row r="26" spans="1:4" x14ac:dyDescent="0.25">
      <c r="A26" t="s">
        <v>1916</v>
      </c>
      <c r="B26" s="2">
        <f>1/5</f>
        <v>0.2</v>
      </c>
      <c r="C26" s="2">
        <v>0</v>
      </c>
      <c r="D26" s="2">
        <f>4/5</f>
        <v>0.8</v>
      </c>
    </row>
    <row r="27" spans="1:4" x14ac:dyDescent="0.25">
      <c r="A27" t="s">
        <v>991</v>
      </c>
      <c r="B27" s="2">
        <v>0</v>
      </c>
      <c r="C27" s="2">
        <v>0</v>
      </c>
      <c r="D27" s="2">
        <f>3/3</f>
        <v>1</v>
      </c>
    </row>
    <row r="28" spans="1:4" x14ac:dyDescent="0.25">
      <c r="A28" t="s">
        <v>998</v>
      </c>
      <c r="B28" s="2">
        <f>1/5</f>
        <v>0.2</v>
      </c>
      <c r="C28" s="2">
        <v>0</v>
      </c>
      <c r="D28" s="2">
        <f>4/5</f>
        <v>0.8</v>
      </c>
    </row>
    <row r="29" spans="1:4" x14ac:dyDescent="0.25">
      <c r="A29" t="s">
        <v>952</v>
      </c>
      <c r="B29" s="2">
        <v>0</v>
      </c>
      <c r="C29" s="2">
        <v>0</v>
      </c>
      <c r="D29" s="2">
        <f>4/4</f>
        <v>1</v>
      </c>
    </row>
    <row r="30" spans="1:4" x14ac:dyDescent="0.25">
      <c r="A30" t="s">
        <v>1691</v>
      </c>
      <c r="B30" s="2">
        <v>0</v>
      </c>
      <c r="C30" s="2">
        <v>0</v>
      </c>
      <c r="D30" s="2">
        <f>4/4</f>
        <v>1</v>
      </c>
    </row>
    <row r="31" spans="1:4" x14ac:dyDescent="0.25">
      <c r="A31" t="s">
        <v>284</v>
      </c>
      <c r="B31" s="2">
        <v>0</v>
      </c>
      <c r="C31" s="2">
        <v>0</v>
      </c>
      <c r="D31" s="2">
        <f>3/3</f>
        <v>1</v>
      </c>
    </row>
    <row r="32" spans="1:4" x14ac:dyDescent="0.25">
      <c r="A32" t="s">
        <v>299</v>
      </c>
      <c r="B32" s="2">
        <f>1/15</f>
        <v>6.6666666666666666E-2</v>
      </c>
      <c r="C32" s="2">
        <f>1/15</f>
        <v>6.6666666666666666E-2</v>
      </c>
      <c r="D32" s="2">
        <f>13/15</f>
        <v>0.8666666666666667</v>
      </c>
    </row>
    <row r="33" spans="1:4" x14ac:dyDescent="0.25">
      <c r="A33" t="s">
        <v>1028</v>
      </c>
      <c r="B33" s="2">
        <v>0</v>
      </c>
      <c r="C33" s="2">
        <v>0</v>
      </c>
      <c r="D33" s="2">
        <f>3/3</f>
        <v>1</v>
      </c>
    </row>
    <row r="34" spans="1:4" x14ac:dyDescent="0.25">
      <c r="A34" t="s">
        <v>715</v>
      </c>
      <c r="B34" s="2">
        <v>0</v>
      </c>
      <c r="C34" s="2">
        <v>0</v>
      </c>
      <c r="D34" s="2">
        <f>4/4</f>
        <v>1</v>
      </c>
    </row>
    <row r="35" spans="1:4" x14ac:dyDescent="0.25">
      <c r="A35" t="s">
        <v>222</v>
      </c>
      <c r="B35" s="2">
        <v>0</v>
      </c>
      <c r="C35" s="2">
        <v>0</v>
      </c>
      <c r="D35" s="2">
        <f>8/8</f>
        <v>1</v>
      </c>
    </row>
    <row r="36" spans="1:4" x14ac:dyDescent="0.25">
      <c r="A36" t="s">
        <v>414</v>
      </c>
      <c r="B36" s="2">
        <v>0</v>
      </c>
      <c r="C36" s="2">
        <v>0</v>
      </c>
      <c r="D36" s="2">
        <f>3/3</f>
        <v>1</v>
      </c>
    </row>
    <row r="37" spans="1:4" x14ac:dyDescent="0.25">
      <c r="A37" t="s">
        <v>1917</v>
      </c>
      <c r="B37" s="2">
        <v>0</v>
      </c>
      <c r="C37" s="2">
        <v>0</v>
      </c>
      <c r="D37" s="2">
        <f>1/1</f>
        <v>1</v>
      </c>
    </row>
    <row r="38" spans="1:4" x14ac:dyDescent="0.25">
      <c r="A38" t="s">
        <v>1430</v>
      </c>
      <c r="B38" s="2">
        <v>0</v>
      </c>
      <c r="C38" s="2">
        <v>0</v>
      </c>
      <c r="D38" s="2">
        <f>1/1</f>
        <v>1</v>
      </c>
    </row>
    <row r="39" spans="1:4" x14ac:dyDescent="0.25">
      <c r="A39" t="s">
        <v>1918</v>
      </c>
      <c r="B39" s="2">
        <v>0</v>
      </c>
      <c r="C39" s="2">
        <v>0</v>
      </c>
      <c r="D39" s="2">
        <f>5/5</f>
        <v>1</v>
      </c>
    </row>
    <row r="40" spans="1:4" x14ac:dyDescent="0.25">
      <c r="A40" t="s">
        <v>109</v>
      </c>
      <c r="B40" s="2">
        <v>0</v>
      </c>
      <c r="C40" s="2">
        <v>0</v>
      </c>
      <c r="D40" s="2">
        <f>9/9</f>
        <v>1</v>
      </c>
    </row>
    <row r="41" spans="1:4" x14ac:dyDescent="0.25">
      <c r="A41" t="s">
        <v>334</v>
      </c>
      <c r="B41" s="2">
        <v>0</v>
      </c>
      <c r="C41" s="2">
        <v>0</v>
      </c>
      <c r="D41" s="2">
        <f>3/3</f>
        <v>1</v>
      </c>
    </row>
    <row r="42" spans="1:4" x14ac:dyDescent="0.25">
      <c r="A42" t="s">
        <v>743</v>
      </c>
      <c r="B42" s="2">
        <f>1/4</f>
        <v>0.25</v>
      </c>
      <c r="C42" s="2">
        <v>0</v>
      </c>
      <c r="D42" s="2">
        <f>3/4</f>
        <v>0.75</v>
      </c>
    </row>
    <row r="43" spans="1:4" x14ac:dyDescent="0.25">
      <c r="A43" t="s">
        <v>325</v>
      </c>
      <c r="B43" s="2">
        <v>0</v>
      </c>
      <c r="C43" s="2">
        <v>0</v>
      </c>
      <c r="D43" s="2">
        <f>3/3</f>
        <v>1</v>
      </c>
    </row>
    <row r="44" spans="1:4" x14ac:dyDescent="0.25">
      <c r="A44" t="s">
        <v>264</v>
      </c>
      <c r="B44" s="2">
        <v>0</v>
      </c>
      <c r="C44" s="2">
        <v>0</v>
      </c>
      <c r="D44" s="2">
        <f>5/5</f>
        <v>1</v>
      </c>
    </row>
    <row r="45" spans="1:4" x14ac:dyDescent="0.25">
      <c r="A45" t="s">
        <v>228</v>
      </c>
      <c r="B45" s="2">
        <v>0</v>
      </c>
      <c r="C45" s="2">
        <v>0</v>
      </c>
      <c r="D45" s="2">
        <f>5/5</f>
        <v>1</v>
      </c>
    </row>
    <row r="46" spans="1:4" x14ac:dyDescent="0.25">
      <c r="A46" t="s">
        <v>170</v>
      </c>
      <c r="B46" s="2">
        <v>0</v>
      </c>
      <c r="C46" s="2">
        <v>0</v>
      </c>
      <c r="D46" s="2">
        <f>5/5</f>
        <v>1</v>
      </c>
    </row>
    <row r="47" spans="1:4" x14ac:dyDescent="0.25">
      <c r="A47" t="s">
        <v>1919</v>
      </c>
      <c r="B47" s="2">
        <v>0</v>
      </c>
      <c r="C47" s="2">
        <f>1/20</f>
        <v>0.05</v>
      </c>
      <c r="D47" s="2">
        <f>19/20</f>
        <v>0.95</v>
      </c>
    </row>
    <row r="48" spans="1:4" x14ac:dyDescent="0.25">
      <c r="A48" t="s">
        <v>987</v>
      </c>
      <c r="B48" s="2">
        <v>0</v>
      </c>
      <c r="C48" s="2">
        <v>0</v>
      </c>
      <c r="D48" s="2">
        <f>4/4</f>
        <v>1</v>
      </c>
    </row>
    <row r="49" spans="1:4" x14ac:dyDescent="0.25">
      <c r="A49" t="s">
        <v>191</v>
      </c>
      <c r="B49" s="2">
        <v>0</v>
      </c>
      <c r="C49" s="2">
        <v>0</v>
      </c>
      <c r="D49" s="2">
        <f>3/3</f>
        <v>1</v>
      </c>
    </row>
    <row r="50" spans="1:4" x14ac:dyDescent="0.25">
      <c r="A50" t="s">
        <v>1054</v>
      </c>
      <c r="B50" s="2">
        <v>0</v>
      </c>
      <c r="C50" s="2">
        <v>0</v>
      </c>
      <c r="D50" s="2">
        <f>3/3</f>
        <v>1</v>
      </c>
    </row>
    <row r="51" spans="1:4" x14ac:dyDescent="0.25">
      <c r="A51" t="s">
        <v>1935</v>
      </c>
      <c r="B51" s="2">
        <f>6/270</f>
        <v>2.2222222222222223E-2</v>
      </c>
      <c r="C51" s="2">
        <f>5/270</f>
        <v>1.8518518518518517E-2</v>
      </c>
      <c r="D51" s="2">
        <f>259/270</f>
        <v>0.95925925925925926</v>
      </c>
    </row>
    <row r="52" spans="1:4" x14ac:dyDescent="0.25">
      <c r="B52" s="2"/>
      <c r="C52" s="2"/>
      <c r="D52" s="2"/>
    </row>
    <row r="53" spans="1:4" x14ac:dyDescent="0.25">
      <c r="A53" s="5" t="s">
        <v>1930</v>
      </c>
      <c r="B53" s="7" t="s">
        <v>560</v>
      </c>
      <c r="C53" s="7" t="s">
        <v>152</v>
      </c>
      <c r="D53" s="7" t="s">
        <v>89</v>
      </c>
    </row>
    <row r="54" spans="1:4" x14ac:dyDescent="0.25">
      <c r="A54" t="s">
        <v>1920</v>
      </c>
      <c r="B54" s="2">
        <f>2/29</f>
        <v>6.8965517241379309E-2</v>
      </c>
      <c r="C54" s="2">
        <f>1/29</f>
        <v>3.4482758620689655E-2</v>
      </c>
      <c r="D54" s="2">
        <f>26/29</f>
        <v>0.89655172413793105</v>
      </c>
    </row>
    <row r="55" spans="1:4" x14ac:dyDescent="0.25">
      <c r="A55" t="s">
        <v>1921</v>
      </c>
      <c r="B55" s="2">
        <v>0</v>
      </c>
      <c r="C55" s="2">
        <v>0</v>
      </c>
      <c r="D55" s="2">
        <v>0</v>
      </c>
    </row>
    <row r="56" spans="1:4" x14ac:dyDescent="0.25">
      <c r="A56" t="s">
        <v>734</v>
      </c>
      <c r="B56" s="2">
        <v>0</v>
      </c>
      <c r="C56" s="2">
        <v>0</v>
      </c>
      <c r="D56" s="2">
        <v>0</v>
      </c>
    </row>
    <row r="57" spans="1:4" x14ac:dyDescent="0.25">
      <c r="A57" t="s">
        <v>1922</v>
      </c>
      <c r="B57" s="2">
        <f>1/10</f>
        <v>0.1</v>
      </c>
      <c r="C57" s="2">
        <v>0</v>
      </c>
      <c r="D57" s="2">
        <f>9/10</f>
        <v>0.9</v>
      </c>
    </row>
    <row r="58" spans="1:4" x14ac:dyDescent="0.25">
      <c r="A58" t="s">
        <v>83</v>
      </c>
      <c r="B58" s="2">
        <v>0</v>
      </c>
      <c r="C58" s="2">
        <v>0</v>
      </c>
      <c r="D58" s="2">
        <v>0</v>
      </c>
    </row>
    <row r="59" spans="1:4" x14ac:dyDescent="0.25">
      <c r="A59" t="s">
        <v>1923</v>
      </c>
      <c r="B59" s="2">
        <v>0</v>
      </c>
      <c r="C59" s="2">
        <v>0</v>
      </c>
      <c r="D59" s="2">
        <v>0</v>
      </c>
    </row>
    <row r="60" spans="1:4" x14ac:dyDescent="0.25">
      <c r="A60" t="s">
        <v>1924</v>
      </c>
      <c r="B60" s="2">
        <v>0</v>
      </c>
      <c r="C60" s="2">
        <v>0</v>
      </c>
      <c r="D60" s="2">
        <v>0</v>
      </c>
    </row>
    <row r="61" spans="1:4" x14ac:dyDescent="0.25">
      <c r="A61" t="s">
        <v>1925</v>
      </c>
      <c r="B61" s="2">
        <v>0</v>
      </c>
      <c r="C61" s="2">
        <v>0</v>
      </c>
      <c r="D61" s="2">
        <v>0</v>
      </c>
    </row>
    <row r="62" spans="1:4" x14ac:dyDescent="0.25">
      <c r="A62" t="s">
        <v>1926</v>
      </c>
      <c r="B62" s="2">
        <f>1/54</f>
        <v>1.8518518518518517E-2</v>
      </c>
      <c r="C62" s="2">
        <f>2/54</f>
        <v>3.7037037037037035E-2</v>
      </c>
      <c r="D62" s="2">
        <f>51/54</f>
        <v>0.94444444444444442</v>
      </c>
    </row>
    <row r="63" spans="1:4" x14ac:dyDescent="0.25">
      <c r="A63" t="s">
        <v>1927</v>
      </c>
      <c r="B63" s="2">
        <v>0</v>
      </c>
      <c r="C63" s="2">
        <v>0</v>
      </c>
      <c r="D63" s="2">
        <v>0</v>
      </c>
    </row>
    <row r="64" spans="1:4" x14ac:dyDescent="0.25">
      <c r="A64" t="s">
        <v>1928</v>
      </c>
      <c r="B64" s="2">
        <v>0</v>
      </c>
      <c r="C64" s="2">
        <v>0</v>
      </c>
      <c r="D64" s="2">
        <v>0</v>
      </c>
    </row>
    <row r="65" spans="1:4" x14ac:dyDescent="0.25">
      <c r="A65" t="s">
        <v>131</v>
      </c>
      <c r="B65" s="2">
        <f>1/5</f>
        <v>0.2</v>
      </c>
      <c r="C65" s="2">
        <v>0</v>
      </c>
      <c r="D65" s="2">
        <f>4/5</f>
        <v>0.8</v>
      </c>
    </row>
    <row r="66" spans="1:4" x14ac:dyDescent="0.25">
      <c r="A66" t="s">
        <v>299</v>
      </c>
      <c r="B66" s="2">
        <f>1/15</f>
        <v>6.6666666666666666E-2</v>
      </c>
      <c r="C66" s="2">
        <f>1/15</f>
        <v>6.6666666666666666E-2</v>
      </c>
      <c r="D66" s="2">
        <f>13/15</f>
        <v>0.8666666666666667</v>
      </c>
    </row>
    <row r="67" spans="1:4" x14ac:dyDescent="0.25">
      <c r="A67" t="s">
        <v>715</v>
      </c>
      <c r="B67" s="2">
        <v>0</v>
      </c>
      <c r="C67" s="2">
        <v>0</v>
      </c>
      <c r="D67" s="2">
        <v>0</v>
      </c>
    </row>
    <row r="68" spans="1:4" x14ac:dyDescent="0.25">
      <c r="A68" t="s">
        <v>222</v>
      </c>
      <c r="B68" s="2">
        <v>0</v>
      </c>
      <c r="C68" s="2">
        <v>0</v>
      </c>
      <c r="D68" s="2">
        <v>0</v>
      </c>
    </row>
    <row r="69" spans="1:4" x14ac:dyDescent="0.25">
      <c r="A69" t="s">
        <v>1929</v>
      </c>
      <c r="B69" s="2">
        <v>0</v>
      </c>
      <c r="C69" s="2">
        <f>1/5</f>
        <v>0.2</v>
      </c>
      <c r="D69" s="2">
        <f>4/5</f>
        <v>0.8</v>
      </c>
    </row>
    <row r="71" spans="1:4" x14ac:dyDescent="0.25">
      <c r="A71" s="5" t="s">
        <v>1992</v>
      </c>
      <c r="B71" s="5" t="s">
        <v>560</v>
      </c>
      <c r="C71" s="5" t="s">
        <v>152</v>
      </c>
      <c r="D71" s="5" t="s">
        <v>89</v>
      </c>
    </row>
    <row r="72" spans="1:4" x14ac:dyDescent="0.25">
      <c r="A72" t="s">
        <v>1993</v>
      </c>
      <c r="B72" s="2">
        <f>1/156</f>
        <v>6.41025641025641E-3</v>
      </c>
      <c r="C72" s="2">
        <f>1/156</f>
        <v>6.41025641025641E-3</v>
      </c>
      <c r="D72" s="2">
        <f>154/156</f>
        <v>0.98717948717948723</v>
      </c>
    </row>
    <row r="73" spans="1:4" x14ac:dyDescent="0.25">
      <c r="A73" t="s">
        <v>1990</v>
      </c>
      <c r="B73" s="2">
        <f>1/30</f>
        <v>3.3333333333333333E-2</v>
      </c>
      <c r="C73" s="2">
        <f>0/30</f>
        <v>0</v>
      </c>
      <c r="D73" s="2">
        <f>29/30</f>
        <v>0.96666666666666667</v>
      </c>
    </row>
    <row r="74" spans="1:4" x14ac:dyDescent="0.25">
      <c r="A74" t="s">
        <v>1991</v>
      </c>
      <c r="B74" s="2">
        <f>4/85</f>
        <v>4.7058823529411764E-2</v>
      </c>
      <c r="C74" s="2">
        <f>4/85</f>
        <v>4.7058823529411764E-2</v>
      </c>
      <c r="D74" s="2">
        <f>77/85</f>
        <v>0.90588235294117647</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ABEE5-3679-4596-B8BF-D260A8554C54}">
  <dimension ref="A1:E74"/>
  <sheetViews>
    <sheetView topLeftCell="A54" workbookViewId="0">
      <selection activeCell="B72" sqref="B72"/>
    </sheetView>
  </sheetViews>
  <sheetFormatPr baseColWidth="10" defaultRowHeight="15" x14ac:dyDescent="0.25"/>
  <cols>
    <col min="2" max="2" width="20.140625" bestFit="1" customWidth="1"/>
    <col min="3" max="3" width="23.140625" bestFit="1" customWidth="1"/>
    <col min="4" max="4" width="10.7109375" bestFit="1" customWidth="1"/>
    <col min="5" max="5" width="22.5703125" customWidth="1"/>
  </cols>
  <sheetData>
    <row r="1" spans="1:5" x14ac:dyDescent="0.25">
      <c r="A1" s="5" t="s">
        <v>3</v>
      </c>
      <c r="B1" s="5" t="s">
        <v>1468</v>
      </c>
      <c r="C1" s="5" t="s">
        <v>1891</v>
      </c>
      <c r="D1" s="5" t="s">
        <v>1933</v>
      </c>
      <c r="E1" s="5" t="s">
        <v>1954</v>
      </c>
    </row>
    <row r="2" spans="1:5" x14ac:dyDescent="0.25">
      <c r="A2" t="s">
        <v>156</v>
      </c>
      <c r="B2" s="2">
        <f>8/8</f>
        <v>1</v>
      </c>
      <c r="C2" s="2">
        <f>6/8</f>
        <v>0.75</v>
      </c>
      <c r="D2" s="2">
        <f>2/8</f>
        <v>0.25</v>
      </c>
      <c r="E2" s="2">
        <f>0/8</f>
        <v>0</v>
      </c>
    </row>
    <row r="3" spans="1:5" x14ac:dyDescent="0.25">
      <c r="A3" t="s">
        <v>1911</v>
      </c>
      <c r="B3" s="2">
        <f>0/1</f>
        <v>0</v>
      </c>
      <c r="C3" s="2">
        <f>1/1</f>
        <v>1</v>
      </c>
      <c r="D3" s="2">
        <f>0/1</f>
        <v>0</v>
      </c>
      <c r="E3" s="2">
        <f>0/1</f>
        <v>0</v>
      </c>
    </row>
    <row r="4" spans="1:5" x14ac:dyDescent="0.25">
      <c r="A4" t="s">
        <v>137</v>
      </c>
      <c r="B4" s="2">
        <f>10/13</f>
        <v>0.76923076923076927</v>
      </c>
      <c r="C4" s="2">
        <f>6/13</f>
        <v>0.46153846153846156</v>
      </c>
      <c r="D4" s="2">
        <f>5/13</f>
        <v>0.38461538461538464</v>
      </c>
      <c r="E4" s="2">
        <f>2/13</f>
        <v>0.15384615384615385</v>
      </c>
    </row>
    <row r="5" spans="1:5" x14ac:dyDescent="0.25">
      <c r="A5" t="s">
        <v>215</v>
      </c>
      <c r="B5" s="2">
        <f>1/1</f>
        <v>1</v>
      </c>
      <c r="C5" s="2">
        <f>0/1</f>
        <v>0</v>
      </c>
      <c r="D5" s="2">
        <f>0/1</f>
        <v>0</v>
      </c>
      <c r="E5" s="2">
        <f>0/1</f>
        <v>0</v>
      </c>
    </row>
    <row r="6" spans="1:5" x14ac:dyDescent="0.25">
      <c r="A6" t="s">
        <v>1912</v>
      </c>
      <c r="B6" s="2">
        <f>1/1</f>
        <v>1</v>
      </c>
      <c r="C6" s="2">
        <f>1/1</f>
        <v>1</v>
      </c>
      <c r="D6" s="2">
        <f>1/1</f>
        <v>1</v>
      </c>
      <c r="E6" s="2">
        <f>0/1</f>
        <v>0</v>
      </c>
    </row>
    <row r="7" spans="1:5" x14ac:dyDescent="0.25">
      <c r="A7" t="s">
        <v>1913</v>
      </c>
      <c r="B7" s="2">
        <f>5/5</f>
        <v>1</v>
      </c>
      <c r="C7" s="2">
        <f>4/5</f>
        <v>0.8</v>
      </c>
      <c r="D7" s="2">
        <f>2/5</f>
        <v>0.4</v>
      </c>
      <c r="E7" s="2">
        <f>0/5</f>
        <v>0</v>
      </c>
    </row>
    <row r="8" spans="1:5" x14ac:dyDescent="0.25">
      <c r="A8" t="s">
        <v>515</v>
      </c>
      <c r="B8" s="2">
        <f>7/8</f>
        <v>0.875</v>
      </c>
      <c r="C8" s="2">
        <f>1/8</f>
        <v>0.125</v>
      </c>
      <c r="D8" s="2">
        <f>1/8</f>
        <v>0.125</v>
      </c>
      <c r="E8" s="2">
        <f>0/8</f>
        <v>0</v>
      </c>
    </row>
    <row r="9" spans="1:5" x14ac:dyDescent="0.25">
      <c r="A9" t="s">
        <v>374</v>
      </c>
      <c r="B9" s="2">
        <f>2/4</f>
        <v>0.5</v>
      </c>
      <c r="C9" s="2">
        <f>3/4</f>
        <v>0.75</v>
      </c>
      <c r="D9" s="2">
        <f>3/4</f>
        <v>0.75</v>
      </c>
      <c r="E9" s="2">
        <f>2/4</f>
        <v>0.5</v>
      </c>
    </row>
    <row r="10" spans="1:5" x14ac:dyDescent="0.25">
      <c r="A10" t="s">
        <v>120</v>
      </c>
      <c r="B10" s="2">
        <f>16/20</f>
        <v>0.8</v>
      </c>
      <c r="C10" s="2">
        <f>15/20</f>
        <v>0.75</v>
      </c>
      <c r="D10" s="2">
        <f>9/20</f>
        <v>0.45</v>
      </c>
      <c r="E10" s="2">
        <f>2/20</f>
        <v>0.1</v>
      </c>
    </row>
    <row r="11" spans="1:5" x14ac:dyDescent="0.25">
      <c r="A11" t="s">
        <v>1914</v>
      </c>
      <c r="B11" s="2">
        <f>3/3</f>
        <v>1</v>
      </c>
      <c r="C11" s="2">
        <f>3/3</f>
        <v>1</v>
      </c>
      <c r="D11" s="2">
        <f>2/3</f>
        <v>0.66666666666666663</v>
      </c>
      <c r="E11" s="2">
        <f>0/3</f>
        <v>0</v>
      </c>
    </row>
    <row r="12" spans="1:5" x14ac:dyDescent="0.25">
      <c r="A12" t="s">
        <v>233</v>
      </c>
      <c r="B12" s="2">
        <f>2/4</f>
        <v>0.5</v>
      </c>
      <c r="C12" s="2">
        <f>2/4</f>
        <v>0.5</v>
      </c>
      <c r="D12" s="2">
        <f>1/4</f>
        <v>0.25</v>
      </c>
      <c r="E12" s="2">
        <f>2/4</f>
        <v>0.5</v>
      </c>
    </row>
    <row r="13" spans="1:5" x14ac:dyDescent="0.25">
      <c r="A13" t="s">
        <v>425</v>
      </c>
      <c r="B13" s="2">
        <f>5/6</f>
        <v>0.83333333333333337</v>
      </c>
      <c r="C13" s="2">
        <f>3/6</f>
        <v>0.5</v>
      </c>
      <c r="D13" s="2">
        <f>1/6</f>
        <v>0.16666666666666666</v>
      </c>
      <c r="E13" s="2">
        <f>1/6</f>
        <v>0.16666666666666666</v>
      </c>
    </row>
    <row r="14" spans="1:5" x14ac:dyDescent="0.25">
      <c r="A14" t="s">
        <v>727</v>
      </c>
      <c r="B14" s="2">
        <f>4/5</f>
        <v>0.8</v>
      </c>
      <c r="C14" s="2">
        <f>4/5</f>
        <v>0.8</v>
      </c>
      <c r="D14" s="2">
        <f>2/5</f>
        <v>0.4</v>
      </c>
      <c r="E14" s="2">
        <f>0/5</f>
        <v>0</v>
      </c>
    </row>
    <row r="15" spans="1:5" x14ac:dyDescent="0.25">
      <c r="A15" t="s">
        <v>83</v>
      </c>
      <c r="B15" s="2">
        <f>3/4</f>
        <v>0.75</v>
      </c>
      <c r="C15" s="2">
        <f>2/4</f>
        <v>0.5</v>
      </c>
      <c r="D15" s="2">
        <f>2/4</f>
        <v>0.5</v>
      </c>
      <c r="E15" s="2">
        <f>1/4</f>
        <v>0.25</v>
      </c>
    </row>
    <row r="16" spans="1:5" x14ac:dyDescent="0.25">
      <c r="A16" t="s">
        <v>204</v>
      </c>
      <c r="B16" s="2">
        <f>6/21</f>
        <v>0.2857142857142857</v>
      </c>
      <c r="C16" s="2">
        <f>8/20</f>
        <v>0.4</v>
      </c>
      <c r="D16" s="2">
        <f>12/20</f>
        <v>0.6</v>
      </c>
      <c r="E16" s="2">
        <f>2/20</f>
        <v>0.1</v>
      </c>
    </row>
    <row r="17" spans="1:5" x14ac:dyDescent="0.25">
      <c r="A17" t="s">
        <v>319</v>
      </c>
      <c r="B17" s="2">
        <f>3/4</f>
        <v>0.75</v>
      </c>
      <c r="C17" s="2">
        <f>3/4</f>
        <v>0.75</v>
      </c>
      <c r="D17" s="2">
        <f>2/4</f>
        <v>0.5</v>
      </c>
      <c r="E17" s="2">
        <f>1/4</f>
        <v>0.25</v>
      </c>
    </row>
    <row r="18" spans="1:5" x14ac:dyDescent="0.25">
      <c r="A18" t="s">
        <v>245</v>
      </c>
      <c r="B18" s="2">
        <f>2/8</f>
        <v>0.25</v>
      </c>
      <c r="C18" s="2">
        <f>7/8</f>
        <v>0.875</v>
      </c>
      <c r="D18" s="2">
        <f>3/8</f>
        <v>0.375</v>
      </c>
      <c r="E18" s="2">
        <f>0/8</f>
        <v>0</v>
      </c>
    </row>
    <row r="19" spans="1:5" x14ac:dyDescent="0.25">
      <c r="A19" t="s">
        <v>408</v>
      </c>
      <c r="B19" s="2">
        <f>0/2</f>
        <v>0</v>
      </c>
      <c r="C19" s="2">
        <f>1/2</f>
        <v>0.5</v>
      </c>
      <c r="D19" s="2">
        <f>0/2</f>
        <v>0</v>
      </c>
      <c r="E19" s="2">
        <f>1/2</f>
        <v>0.5</v>
      </c>
    </row>
    <row r="20" spans="1:5" x14ac:dyDescent="0.25">
      <c r="A20" t="s">
        <v>1915</v>
      </c>
      <c r="B20" s="2">
        <f>1/1</f>
        <v>1</v>
      </c>
      <c r="C20" s="2">
        <f>1/1</f>
        <v>1</v>
      </c>
      <c r="D20" s="2">
        <f>0/1</f>
        <v>0</v>
      </c>
      <c r="E20" s="2">
        <f>0/1</f>
        <v>0</v>
      </c>
    </row>
    <row r="21" spans="1:5" x14ac:dyDescent="0.25">
      <c r="A21" t="s">
        <v>658</v>
      </c>
      <c r="B21" s="2">
        <f>3/4</f>
        <v>0.75</v>
      </c>
      <c r="C21" s="2">
        <f>4/4</f>
        <v>1</v>
      </c>
      <c r="D21" s="2">
        <f>0/4</f>
        <v>0</v>
      </c>
      <c r="E21" s="2">
        <f>0/4</f>
        <v>0</v>
      </c>
    </row>
    <row r="22" spans="1:5" x14ac:dyDescent="0.25">
      <c r="A22" t="s">
        <v>198</v>
      </c>
      <c r="B22" s="2">
        <f>6/7</f>
        <v>0.8571428571428571</v>
      </c>
      <c r="C22" s="2">
        <f>6/7</f>
        <v>0.8571428571428571</v>
      </c>
      <c r="D22" s="2">
        <f>5/7</f>
        <v>0.7142857142857143</v>
      </c>
      <c r="E22" s="2">
        <f>1/7</f>
        <v>0.14285714285714285</v>
      </c>
    </row>
    <row r="23" spans="1:5" x14ac:dyDescent="0.25">
      <c r="A23" t="s">
        <v>278</v>
      </c>
      <c r="B23" s="2">
        <f>4/5</f>
        <v>0.8</v>
      </c>
      <c r="C23" s="2">
        <f>3/5</f>
        <v>0.6</v>
      </c>
      <c r="D23" s="2">
        <f>3/5</f>
        <v>0.6</v>
      </c>
      <c r="E23" s="2">
        <f>0/5</f>
        <v>0</v>
      </c>
    </row>
    <row r="24" spans="1:5" x14ac:dyDescent="0.25">
      <c r="A24" t="s">
        <v>253</v>
      </c>
      <c r="B24" s="2">
        <f>4/4</f>
        <v>1</v>
      </c>
      <c r="C24" s="2">
        <f>3/4</f>
        <v>0.75</v>
      </c>
      <c r="D24" s="2">
        <f>3/4</f>
        <v>0.75</v>
      </c>
      <c r="E24" s="2">
        <f>0/4</f>
        <v>0</v>
      </c>
    </row>
    <row r="25" spans="1:5" x14ac:dyDescent="0.25">
      <c r="A25" t="s">
        <v>93</v>
      </c>
      <c r="B25" s="2">
        <f>2/4</f>
        <v>0.5</v>
      </c>
      <c r="C25" s="2">
        <f>0/4</f>
        <v>0</v>
      </c>
      <c r="D25" s="2">
        <f>0/4</f>
        <v>0</v>
      </c>
      <c r="E25" s="2">
        <f>2/4</f>
        <v>0.5</v>
      </c>
    </row>
    <row r="26" spans="1:5" x14ac:dyDescent="0.25">
      <c r="A26" t="s">
        <v>1916</v>
      </c>
      <c r="B26" s="2">
        <f>2/5</f>
        <v>0.4</v>
      </c>
      <c r="C26" s="2">
        <f>4/5</f>
        <v>0.8</v>
      </c>
      <c r="D26" s="2">
        <f>2/5</f>
        <v>0.4</v>
      </c>
      <c r="E26" s="2">
        <f>1/5</f>
        <v>0.2</v>
      </c>
    </row>
    <row r="27" spans="1:5" x14ac:dyDescent="0.25">
      <c r="A27" t="s">
        <v>991</v>
      </c>
      <c r="B27" s="2">
        <f>2/3</f>
        <v>0.66666666666666663</v>
      </c>
      <c r="C27" s="2">
        <f>1/3</f>
        <v>0.33333333333333331</v>
      </c>
      <c r="D27" s="2">
        <f>0/3</f>
        <v>0</v>
      </c>
      <c r="E27" s="2">
        <f>1/3</f>
        <v>0.33333333333333331</v>
      </c>
    </row>
    <row r="28" spans="1:5" x14ac:dyDescent="0.25">
      <c r="A28" t="s">
        <v>998</v>
      </c>
      <c r="B28" s="2">
        <f>5/5</f>
        <v>1</v>
      </c>
      <c r="C28" s="2">
        <f>2/5</f>
        <v>0.4</v>
      </c>
      <c r="D28" s="2">
        <f>2/5</f>
        <v>0.4</v>
      </c>
      <c r="E28" s="2">
        <f>0/5</f>
        <v>0</v>
      </c>
    </row>
    <row r="29" spans="1:5" x14ac:dyDescent="0.25">
      <c r="A29" t="s">
        <v>952</v>
      </c>
      <c r="B29" s="2">
        <f>2/4</f>
        <v>0.5</v>
      </c>
      <c r="C29" s="2">
        <f>1/4</f>
        <v>0.25</v>
      </c>
      <c r="D29" s="2">
        <f>1/4</f>
        <v>0.25</v>
      </c>
      <c r="E29" s="2">
        <f>1/4</f>
        <v>0.25</v>
      </c>
    </row>
    <row r="30" spans="1:5" x14ac:dyDescent="0.25">
      <c r="A30" t="s">
        <v>1691</v>
      </c>
      <c r="B30" s="2">
        <f>3/4</f>
        <v>0.75</v>
      </c>
      <c r="C30" s="2">
        <f>2/4</f>
        <v>0.5</v>
      </c>
      <c r="D30" s="2">
        <f>2/4</f>
        <v>0.5</v>
      </c>
      <c r="E30" s="2">
        <f>0/4</f>
        <v>0</v>
      </c>
    </row>
    <row r="31" spans="1:5" x14ac:dyDescent="0.25">
      <c r="A31" t="s">
        <v>284</v>
      </c>
      <c r="B31" s="2">
        <f>2/3</f>
        <v>0.66666666666666663</v>
      </c>
      <c r="C31" s="2">
        <f>1/3</f>
        <v>0.33333333333333331</v>
      </c>
      <c r="D31" s="2">
        <f>1/3</f>
        <v>0.33333333333333331</v>
      </c>
      <c r="E31" s="2">
        <f>1/3</f>
        <v>0.33333333333333331</v>
      </c>
    </row>
    <row r="32" spans="1:5" x14ac:dyDescent="0.25">
      <c r="A32" t="s">
        <v>299</v>
      </c>
      <c r="B32" s="2">
        <f>14/15</f>
        <v>0.93333333333333335</v>
      </c>
      <c r="C32" s="2">
        <f>9/15</f>
        <v>0.6</v>
      </c>
      <c r="D32" s="2">
        <f>8/15</f>
        <v>0.53333333333333333</v>
      </c>
      <c r="E32" s="2">
        <f>0/15</f>
        <v>0</v>
      </c>
    </row>
    <row r="33" spans="1:5" x14ac:dyDescent="0.25">
      <c r="A33" t="s">
        <v>1028</v>
      </c>
      <c r="B33" s="2">
        <f>1/3</f>
        <v>0.33333333333333331</v>
      </c>
      <c r="C33" s="2">
        <f>3/3</f>
        <v>1</v>
      </c>
      <c r="D33" s="2">
        <f>1/3</f>
        <v>0.33333333333333331</v>
      </c>
      <c r="E33" s="2">
        <f>0/3</f>
        <v>0</v>
      </c>
    </row>
    <row r="34" spans="1:5" x14ac:dyDescent="0.25">
      <c r="A34" t="s">
        <v>715</v>
      </c>
      <c r="B34" s="2">
        <f>3/4</f>
        <v>0.75</v>
      </c>
      <c r="C34" s="2">
        <f>4/4</f>
        <v>1</v>
      </c>
      <c r="D34" s="2">
        <f>3/4</f>
        <v>0.75</v>
      </c>
      <c r="E34" s="2">
        <f>0/4</f>
        <v>0</v>
      </c>
    </row>
    <row r="35" spans="1:5" x14ac:dyDescent="0.25">
      <c r="A35" t="s">
        <v>222</v>
      </c>
      <c r="B35" s="2">
        <f>8/8</f>
        <v>1</v>
      </c>
      <c r="C35" s="2">
        <f>5/8</f>
        <v>0.625</v>
      </c>
      <c r="D35" s="2">
        <f>4/8</f>
        <v>0.5</v>
      </c>
      <c r="E35" s="2">
        <f>0/8</f>
        <v>0</v>
      </c>
    </row>
    <row r="36" spans="1:5" x14ac:dyDescent="0.25">
      <c r="A36" t="s">
        <v>414</v>
      </c>
      <c r="B36" s="2">
        <f>3/3</f>
        <v>1</v>
      </c>
      <c r="C36" s="2">
        <f>2/3</f>
        <v>0.66666666666666663</v>
      </c>
      <c r="D36" s="2">
        <f>2/3</f>
        <v>0.66666666666666663</v>
      </c>
      <c r="E36" s="2">
        <f>0/3</f>
        <v>0</v>
      </c>
    </row>
    <row r="37" spans="1:5" x14ac:dyDescent="0.25">
      <c r="A37" t="s">
        <v>1917</v>
      </c>
      <c r="B37" s="2">
        <f>0/1</f>
        <v>0</v>
      </c>
      <c r="C37" s="2">
        <f>0/1</f>
        <v>0</v>
      </c>
      <c r="D37" s="2">
        <f>1/1</f>
        <v>1</v>
      </c>
      <c r="E37" s="2">
        <f>0/1</f>
        <v>0</v>
      </c>
    </row>
    <row r="38" spans="1:5" x14ac:dyDescent="0.25">
      <c r="A38" t="s">
        <v>1430</v>
      </c>
      <c r="B38" s="2">
        <f>1/1</f>
        <v>1</v>
      </c>
      <c r="C38" s="2">
        <f>1/1</f>
        <v>1</v>
      </c>
      <c r="D38" s="2">
        <f>1/1</f>
        <v>1</v>
      </c>
      <c r="E38" s="2">
        <f>0/1</f>
        <v>0</v>
      </c>
    </row>
    <row r="39" spans="1:5" x14ac:dyDescent="0.25">
      <c r="A39" t="s">
        <v>1918</v>
      </c>
      <c r="B39" s="2">
        <f>5/5</f>
        <v>1</v>
      </c>
      <c r="C39" s="2">
        <f>4/5</f>
        <v>0.8</v>
      </c>
      <c r="D39" s="2">
        <f>2/5</f>
        <v>0.4</v>
      </c>
      <c r="E39" s="2">
        <f>0/5</f>
        <v>0</v>
      </c>
    </row>
    <row r="40" spans="1:5" x14ac:dyDescent="0.25">
      <c r="A40" t="s">
        <v>109</v>
      </c>
      <c r="B40" s="2">
        <f>3/9</f>
        <v>0.33333333333333331</v>
      </c>
      <c r="C40" s="2">
        <f>2/9</f>
        <v>0.22222222222222221</v>
      </c>
      <c r="D40" s="2">
        <f>4/9</f>
        <v>0.44444444444444442</v>
      </c>
      <c r="E40" s="2">
        <f>4/9</f>
        <v>0.44444444444444442</v>
      </c>
    </row>
    <row r="41" spans="1:5" x14ac:dyDescent="0.25">
      <c r="A41" t="s">
        <v>334</v>
      </c>
      <c r="B41" s="2">
        <f>2/3</f>
        <v>0.66666666666666663</v>
      </c>
      <c r="C41" s="2">
        <f>1/3</f>
        <v>0.33333333333333331</v>
      </c>
      <c r="D41" s="2">
        <f>0/3</f>
        <v>0</v>
      </c>
      <c r="E41" s="2">
        <f>1/3</f>
        <v>0.33333333333333331</v>
      </c>
    </row>
    <row r="42" spans="1:5" x14ac:dyDescent="0.25">
      <c r="A42" t="s">
        <v>743</v>
      </c>
      <c r="B42" s="2">
        <f>4/4</f>
        <v>1</v>
      </c>
      <c r="C42" s="2">
        <f>3/4</f>
        <v>0.75</v>
      </c>
      <c r="D42" s="2">
        <f>3/4</f>
        <v>0.75</v>
      </c>
      <c r="E42" s="2">
        <f>0/4</f>
        <v>0</v>
      </c>
    </row>
    <row r="43" spans="1:5" x14ac:dyDescent="0.25">
      <c r="A43" t="s">
        <v>325</v>
      </c>
      <c r="B43" s="2">
        <f>1/3</f>
        <v>0.33333333333333331</v>
      </c>
      <c r="C43" s="2">
        <f>1/3</f>
        <v>0.33333333333333331</v>
      </c>
      <c r="D43" s="2">
        <f>0/3</f>
        <v>0</v>
      </c>
      <c r="E43" s="2">
        <f>1/3</f>
        <v>0.33333333333333331</v>
      </c>
    </row>
    <row r="44" spans="1:5" x14ac:dyDescent="0.25">
      <c r="A44" t="s">
        <v>264</v>
      </c>
      <c r="B44" s="2">
        <f>5/5</f>
        <v>1</v>
      </c>
      <c r="C44" s="2">
        <f>4/5</f>
        <v>0.8</v>
      </c>
      <c r="D44" s="2">
        <f>3/5</f>
        <v>0.6</v>
      </c>
      <c r="E44" s="2">
        <f>0/5</f>
        <v>0</v>
      </c>
    </row>
    <row r="45" spans="1:5" x14ac:dyDescent="0.25">
      <c r="A45" t="s">
        <v>228</v>
      </c>
      <c r="B45" s="2">
        <f>3/5</f>
        <v>0.6</v>
      </c>
      <c r="C45" s="2">
        <f>1/5</f>
        <v>0.2</v>
      </c>
      <c r="D45" s="2">
        <f>1/5</f>
        <v>0.2</v>
      </c>
      <c r="E45" s="2">
        <f>2/5</f>
        <v>0.4</v>
      </c>
    </row>
    <row r="46" spans="1:5" x14ac:dyDescent="0.25">
      <c r="A46" t="s">
        <v>170</v>
      </c>
      <c r="B46" s="2">
        <f>4/5</f>
        <v>0.8</v>
      </c>
      <c r="C46" s="2">
        <f>2/5</f>
        <v>0.4</v>
      </c>
      <c r="D46" s="2">
        <f>1/5</f>
        <v>0.2</v>
      </c>
      <c r="E46" s="2">
        <f>1/5</f>
        <v>0.2</v>
      </c>
    </row>
    <row r="47" spans="1:5" x14ac:dyDescent="0.25">
      <c r="A47" t="s">
        <v>1919</v>
      </c>
      <c r="B47" s="2">
        <f>18/20</f>
        <v>0.9</v>
      </c>
      <c r="C47" s="2">
        <f>11/20</f>
        <v>0.55000000000000004</v>
      </c>
      <c r="D47" s="2">
        <f>10/20</f>
        <v>0.5</v>
      </c>
      <c r="E47" s="2">
        <f>3/20</f>
        <v>0.15</v>
      </c>
    </row>
    <row r="48" spans="1:5" x14ac:dyDescent="0.25">
      <c r="A48" t="s">
        <v>987</v>
      </c>
      <c r="B48" s="2">
        <f>2/4</f>
        <v>0.5</v>
      </c>
      <c r="C48" s="2">
        <f>1/4</f>
        <v>0.25</v>
      </c>
      <c r="D48" s="2">
        <f>0/4</f>
        <v>0</v>
      </c>
      <c r="E48" s="2">
        <f>2/4</f>
        <v>0.5</v>
      </c>
    </row>
    <row r="49" spans="1:5" x14ac:dyDescent="0.25">
      <c r="A49" t="s">
        <v>191</v>
      </c>
      <c r="B49" s="2">
        <f>2/3</f>
        <v>0.66666666666666663</v>
      </c>
      <c r="C49" s="2">
        <f>2/3</f>
        <v>0.66666666666666663</v>
      </c>
      <c r="D49" s="2">
        <f>1/3</f>
        <v>0.33333333333333331</v>
      </c>
      <c r="E49" s="2">
        <f>1/3</f>
        <v>0.33333333333333331</v>
      </c>
    </row>
    <row r="50" spans="1:5" x14ac:dyDescent="0.25">
      <c r="A50" t="s">
        <v>1054</v>
      </c>
      <c r="B50" s="2">
        <f>3/3</f>
        <v>1</v>
      </c>
      <c r="C50" s="2">
        <f>3/3</f>
        <v>1</v>
      </c>
      <c r="D50" s="2">
        <f>1/3</f>
        <v>0.33333333333333331</v>
      </c>
      <c r="E50" s="2">
        <f>0/3</f>
        <v>0</v>
      </c>
    </row>
    <row r="51" spans="1:5" x14ac:dyDescent="0.25">
      <c r="A51" t="s">
        <v>1935</v>
      </c>
      <c r="B51" s="2">
        <f>197/271</f>
        <v>0.72693726937269376</v>
      </c>
      <c r="C51" s="2">
        <f>158/271</f>
        <v>0.58302583025830257</v>
      </c>
      <c r="D51" s="2">
        <f>113/271</f>
        <v>0.41697416974169743</v>
      </c>
      <c r="E51" s="2">
        <f>36/271</f>
        <v>0.13284132841328414</v>
      </c>
    </row>
    <row r="52" spans="1:5" x14ac:dyDescent="0.25">
      <c r="B52" s="2"/>
      <c r="C52" s="3"/>
      <c r="D52" s="2"/>
      <c r="E52" s="2"/>
    </row>
    <row r="53" spans="1:5" x14ac:dyDescent="0.25">
      <c r="A53" s="5" t="s">
        <v>1930</v>
      </c>
      <c r="B53" s="5" t="s">
        <v>1468</v>
      </c>
      <c r="C53" s="5" t="s">
        <v>1891</v>
      </c>
      <c r="D53" s="5" t="s">
        <v>1933</v>
      </c>
      <c r="E53" s="5" t="s">
        <v>1954</v>
      </c>
    </row>
    <row r="54" spans="1:5" x14ac:dyDescent="0.25">
      <c r="A54" t="s">
        <v>1920</v>
      </c>
      <c r="B54" s="2">
        <f>24/29</f>
        <v>0.82758620689655171</v>
      </c>
      <c r="C54" s="2">
        <f>27/29</f>
        <v>0.93103448275862066</v>
      </c>
      <c r="D54" s="2">
        <f>17/29</f>
        <v>0.58620689655172409</v>
      </c>
      <c r="E54" s="2">
        <f>2/29</f>
        <v>6.8965517241379309E-2</v>
      </c>
    </row>
    <row r="55" spans="1:5" x14ac:dyDescent="0.25">
      <c r="A55" t="s">
        <v>1921</v>
      </c>
      <c r="B55" s="2">
        <f>8/12</f>
        <v>0.66666666666666663</v>
      </c>
      <c r="C55" s="2">
        <f>4/12</f>
        <v>0.33333333333333331</v>
      </c>
      <c r="D55" s="2">
        <f>2/12</f>
        <v>0.16666666666666666</v>
      </c>
      <c r="E55" s="2">
        <f>4/12</f>
        <v>0.33333333333333331</v>
      </c>
    </row>
    <row r="56" spans="1:5" x14ac:dyDescent="0.25">
      <c r="A56" t="s">
        <v>734</v>
      </c>
      <c r="B56" s="2">
        <f>5/5</f>
        <v>1</v>
      </c>
      <c r="C56" s="2">
        <f>4/5</f>
        <v>0.8</v>
      </c>
      <c r="D56" s="2">
        <f>2/5</f>
        <v>0.4</v>
      </c>
      <c r="E56" s="2">
        <f>0/5</f>
        <v>0</v>
      </c>
    </row>
    <row r="57" spans="1:5" x14ac:dyDescent="0.25">
      <c r="A57" t="s">
        <v>1922</v>
      </c>
      <c r="B57" s="2">
        <f>10/10</f>
        <v>1</v>
      </c>
      <c r="C57" s="2">
        <f>6/10</f>
        <v>0.6</v>
      </c>
      <c r="D57" s="2">
        <f>4/10</f>
        <v>0.4</v>
      </c>
      <c r="E57" s="2">
        <f>0/10</f>
        <v>0</v>
      </c>
    </row>
    <row r="58" spans="1:5" x14ac:dyDescent="0.25">
      <c r="A58" t="s">
        <v>83</v>
      </c>
      <c r="B58" s="2">
        <f>3/4</f>
        <v>0.75</v>
      </c>
      <c r="C58" s="2">
        <f>2/4</f>
        <v>0.5</v>
      </c>
      <c r="D58" s="2">
        <f>2/4</f>
        <v>0.5</v>
      </c>
      <c r="E58" s="2">
        <f>1/4</f>
        <v>0.25</v>
      </c>
    </row>
    <row r="59" spans="1:5" x14ac:dyDescent="0.25">
      <c r="A59" t="s">
        <v>1923</v>
      </c>
      <c r="B59" s="2">
        <f>11/17</f>
        <v>0.6470588235294118</v>
      </c>
      <c r="C59" s="2">
        <f>10/17</f>
        <v>0.58823529411764708</v>
      </c>
      <c r="D59" s="2">
        <f>6/17</f>
        <v>0.35294117647058826</v>
      </c>
      <c r="E59" s="2">
        <f>3/17</f>
        <v>0.17647058823529413</v>
      </c>
    </row>
    <row r="60" spans="1:5" x14ac:dyDescent="0.25">
      <c r="A60" t="s">
        <v>1924</v>
      </c>
      <c r="B60" s="2">
        <f>21/39</f>
        <v>0.53846153846153844</v>
      </c>
      <c r="C60" s="2">
        <f>11/39</f>
        <v>0.28205128205128205</v>
      </c>
      <c r="D60" s="2">
        <f>10/39</f>
        <v>0.25641025641025639</v>
      </c>
      <c r="E60" s="2">
        <f>13/39</f>
        <v>0.33333333333333331</v>
      </c>
    </row>
    <row r="61" spans="1:5" x14ac:dyDescent="0.25">
      <c r="A61" t="s">
        <v>1925</v>
      </c>
      <c r="B61" s="2">
        <f>27/33</f>
        <v>0.81818181818181823</v>
      </c>
      <c r="C61" s="2">
        <f>25/33</f>
        <v>0.75757575757575757</v>
      </c>
      <c r="D61" s="2">
        <f>14/33</f>
        <v>0.42424242424242425</v>
      </c>
      <c r="E61" s="2">
        <f>2/33</f>
        <v>6.0606060606060608E-2</v>
      </c>
    </row>
    <row r="62" spans="1:5" x14ac:dyDescent="0.25">
      <c r="A62" t="s">
        <v>1926</v>
      </c>
      <c r="B62" s="2">
        <f>34/54</f>
        <v>0.62962962962962965</v>
      </c>
      <c r="C62" s="2">
        <f>25/54</f>
        <v>0.46296296296296297</v>
      </c>
      <c r="D62" s="2">
        <f>27/54</f>
        <v>0.5</v>
      </c>
      <c r="E62" s="2">
        <f>7/54</f>
        <v>0.12962962962962962</v>
      </c>
    </row>
    <row r="63" spans="1:5" x14ac:dyDescent="0.25">
      <c r="A63" t="s">
        <v>1927</v>
      </c>
      <c r="B63" s="2">
        <f>7/10</f>
        <v>0.7</v>
      </c>
      <c r="C63" s="2">
        <f>6/10</f>
        <v>0.6</v>
      </c>
      <c r="D63" s="2">
        <f>4/10</f>
        <v>0.4</v>
      </c>
      <c r="E63" s="2">
        <f>3/10</f>
        <v>0.3</v>
      </c>
    </row>
    <row r="64" spans="1:5" x14ac:dyDescent="0.25">
      <c r="A64" t="s">
        <v>1928</v>
      </c>
      <c r="B64" s="2">
        <f>14/15</f>
        <v>0.93333333333333335</v>
      </c>
      <c r="C64" s="2">
        <f>10/15</f>
        <v>0.66666666666666663</v>
      </c>
      <c r="D64" s="2">
        <f>6/15</f>
        <v>0.4</v>
      </c>
      <c r="E64" s="2">
        <f>1/15</f>
        <v>6.6666666666666666E-2</v>
      </c>
    </row>
    <row r="65" spans="1:5" x14ac:dyDescent="0.25">
      <c r="A65" t="s">
        <v>131</v>
      </c>
      <c r="B65" s="2">
        <f>2/5</f>
        <v>0.4</v>
      </c>
      <c r="C65" s="2">
        <f>4/5</f>
        <v>0.8</v>
      </c>
      <c r="D65" s="2">
        <f>2/5</f>
        <v>0.4</v>
      </c>
      <c r="E65" s="2">
        <f>1/5</f>
        <v>0.2</v>
      </c>
    </row>
    <row r="66" spans="1:5" x14ac:dyDescent="0.25">
      <c r="A66" t="s">
        <v>299</v>
      </c>
      <c r="B66" s="2">
        <f>14/15</f>
        <v>0.93333333333333335</v>
      </c>
      <c r="C66" s="2">
        <f>9/15</f>
        <v>0.6</v>
      </c>
      <c r="D66" s="2">
        <f>8/15</f>
        <v>0.53333333333333333</v>
      </c>
      <c r="E66" s="2">
        <f>0/15</f>
        <v>0</v>
      </c>
    </row>
    <row r="67" spans="1:5" x14ac:dyDescent="0.25">
      <c r="A67" t="s">
        <v>715</v>
      </c>
      <c r="B67" s="2">
        <f>3/4</f>
        <v>0.75</v>
      </c>
      <c r="C67" s="2">
        <f>4/4</f>
        <v>1</v>
      </c>
      <c r="D67" s="2">
        <f>3/4</f>
        <v>0.75</v>
      </c>
      <c r="E67" s="2">
        <f>0/4</f>
        <v>0</v>
      </c>
    </row>
    <row r="68" spans="1:5" x14ac:dyDescent="0.25">
      <c r="A68" t="s">
        <v>222</v>
      </c>
      <c r="B68" s="2">
        <f>8/8</f>
        <v>1</v>
      </c>
      <c r="C68" s="2">
        <f>5/8</f>
        <v>0.625</v>
      </c>
      <c r="D68" s="2">
        <f>4/8</f>
        <v>0.5</v>
      </c>
      <c r="E68" s="2">
        <f>0/8</f>
        <v>0</v>
      </c>
    </row>
    <row r="69" spans="1:5" x14ac:dyDescent="0.25">
      <c r="A69" t="s">
        <v>1929</v>
      </c>
      <c r="B69" s="2">
        <f>5/5</f>
        <v>1</v>
      </c>
      <c r="C69" s="2">
        <f>5/5</f>
        <v>1</v>
      </c>
      <c r="D69" s="2">
        <f>3/5</f>
        <v>0.6</v>
      </c>
      <c r="E69" s="2">
        <f>0/5</f>
        <v>0</v>
      </c>
    </row>
    <row r="71" spans="1:5" x14ac:dyDescent="0.25">
      <c r="A71" s="5" t="s">
        <v>1992</v>
      </c>
      <c r="B71" s="5" t="s">
        <v>1468</v>
      </c>
      <c r="C71" s="5" t="s">
        <v>1891</v>
      </c>
      <c r="D71" s="5" t="s">
        <v>1933</v>
      </c>
      <c r="E71" s="5" t="s">
        <v>1954</v>
      </c>
    </row>
    <row r="72" spans="1:5" x14ac:dyDescent="0.25">
      <c r="A72" t="s">
        <v>1993</v>
      </c>
      <c r="B72" s="2">
        <f>103/156</f>
        <v>0.66025641025641024</v>
      </c>
      <c r="C72" s="2">
        <f>64/156</f>
        <v>0.41025641025641024</v>
      </c>
      <c r="D72" s="2">
        <f>55/156</f>
        <v>0.35256410256410259</v>
      </c>
      <c r="E72" s="2">
        <f>34/156</f>
        <v>0.21794871794871795</v>
      </c>
    </row>
    <row r="73" spans="1:5" x14ac:dyDescent="0.25">
      <c r="A73" t="s">
        <v>1990</v>
      </c>
      <c r="B73" s="2">
        <f>26/30</f>
        <v>0.8666666666666667</v>
      </c>
      <c r="C73" s="2">
        <f>20/30</f>
        <v>0.66666666666666663</v>
      </c>
      <c r="D73" s="2">
        <f>14/30</f>
        <v>0.46666666666666667</v>
      </c>
      <c r="E73" s="2">
        <f>2/30</f>
        <v>6.6666666666666666E-2</v>
      </c>
    </row>
    <row r="74" spans="1:5" x14ac:dyDescent="0.25">
      <c r="A74" t="s">
        <v>1991</v>
      </c>
      <c r="B74" s="2">
        <f>76/85</f>
        <v>0.89411764705882357</v>
      </c>
      <c r="C74" s="2">
        <f>73/85</f>
        <v>0.85882352941176465</v>
      </c>
      <c r="D74" s="2">
        <f>47/85</f>
        <v>0.55294117647058827</v>
      </c>
      <c r="E74" s="2">
        <f>0/85</f>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259696-3B12-4ADD-9CE9-2D95CE6FC40F}">
  <dimension ref="A1:E74"/>
  <sheetViews>
    <sheetView topLeftCell="A54" workbookViewId="0">
      <selection activeCell="D75" sqref="D75"/>
    </sheetView>
  </sheetViews>
  <sheetFormatPr baseColWidth="10" defaultRowHeight="15" x14ac:dyDescent="0.25"/>
  <cols>
    <col min="1" max="1" width="21.5703125" bestFit="1" customWidth="1"/>
  </cols>
  <sheetData>
    <row r="1" spans="1:5" x14ac:dyDescent="0.25">
      <c r="A1" s="5" t="s">
        <v>3</v>
      </c>
      <c r="B1" s="5" t="s">
        <v>1955</v>
      </c>
      <c r="C1" s="5" t="s">
        <v>1956</v>
      </c>
      <c r="D1" s="5" t="s">
        <v>1942</v>
      </c>
      <c r="E1" s="5" t="s">
        <v>1957</v>
      </c>
    </row>
    <row r="2" spans="1:5" x14ac:dyDescent="0.25">
      <c r="A2" t="s">
        <v>156</v>
      </c>
      <c r="B2" s="2">
        <f>8/8</f>
        <v>1</v>
      </c>
      <c r="C2" s="2">
        <f>3/8</f>
        <v>0.375</v>
      </c>
      <c r="D2" s="2">
        <f>6/8</f>
        <v>0.75</v>
      </c>
    </row>
    <row r="3" spans="1:5" x14ac:dyDescent="0.25">
      <c r="A3" t="s">
        <v>1911</v>
      </c>
      <c r="B3" s="2">
        <f>0/1</f>
        <v>0</v>
      </c>
      <c r="C3" s="2">
        <f>0/1</f>
        <v>0</v>
      </c>
      <c r="D3" s="2">
        <f>1/1</f>
        <v>1</v>
      </c>
    </row>
    <row r="4" spans="1:5" x14ac:dyDescent="0.25">
      <c r="A4" t="s">
        <v>137</v>
      </c>
      <c r="B4" s="2">
        <f>5/13</f>
        <v>0.38461538461538464</v>
      </c>
      <c r="C4" s="2">
        <f>4/13</f>
        <v>0.30769230769230771</v>
      </c>
      <c r="D4" s="2">
        <f>6/13</f>
        <v>0.46153846153846156</v>
      </c>
    </row>
    <row r="5" spans="1:5" x14ac:dyDescent="0.25">
      <c r="A5" t="s">
        <v>215</v>
      </c>
      <c r="B5" s="2">
        <f>0/1</f>
        <v>0</v>
      </c>
      <c r="C5" s="2">
        <f>0/1</f>
        <v>0</v>
      </c>
      <c r="D5" s="2">
        <f>0/1</f>
        <v>0</v>
      </c>
    </row>
    <row r="6" spans="1:5" x14ac:dyDescent="0.25">
      <c r="A6" t="s">
        <v>1912</v>
      </c>
      <c r="B6" s="2">
        <f>1/1</f>
        <v>1</v>
      </c>
      <c r="C6" s="2">
        <f>1/1</f>
        <v>1</v>
      </c>
      <c r="D6" s="2">
        <f>0/1</f>
        <v>0</v>
      </c>
    </row>
    <row r="7" spans="1:5" x14ac:dyDescent="0.25">
      <c r="A7" t="s">
        <v>1913</v>
      </c>
      <c r="B7" s="2">
        <f>1/5</f>
        <v>0.2</v>
      </c>
      <c r="C7" s="2">
        <f>4/5</f>
        <v>0.8</v>
      </c>
      <c r="D7" s="2">
        <f>1/5</f>
        <v>0.2</v>
      </c>
    </row>
    <row r="8" spans="1:5" x14ac:dyDescent="0.25">
      <c r="A8" t="s">
        <v>515</v>
      </c>
      <c r="B8" s="2">
        <f>7/8</f>
        <v>0.875</v>
      </c>
      <c r="C8" s="2">
        <f>4/8</f>
        <v>0.5</v>
      </c>
      <c r="D8" s="2">
        <f>3/8</f>
        <v>0.375</v>
      </c>
    </row>
    <row r="9" spans="1:5" x14ac:dyDescent="0.25">
      <c r="A9" t="s">
        <v>374</v>
      </c>
      <c r="B9" s="2">
        <f>2/4</f>
        <v>0.5</v>
      </c>
      <c r="C9" s="2">
        <f>0/4</f>
        <v>0</v>
      </c>
      <c r="D9" s="2">
        <f>2/4</f>
        <v>0.5</v>
      </c>
    </row>
    <row r="10" spans="1:5" x14ac:dyDescent="0.25">
      <c r="A10" t="s">
        <v>120</v>
      </c>
      <c r="B10" s="2">
        <f>6/20</f>
        <v>0.3</v>
      </c>
      <c r="C10" s="2">
        <f>7/20</f>
        <v>0.35</v>
      </c>
      <c r="D10" s="2">
        <f>8/20</f>
        <v>0.4</v>
      </c>
    </row>
    <row r="11" spans="1:5" x14ac:dyDescent="0.25">
      <c r="A11" t="s">
        <v>1914</v>
      </c>
      <c r="B11" s="2">
        <f>0/3</f>
        <v>0</v>
      </c>
      <c r="C11" s="2">
        <f>3/3</f>
        <v>1</v>
      </c>
      <c r="D11" s="2">
        <f>0/3</f>
        <v>0</v>
      </c>
    </row>
    <row r="12" spans="1:5" x14ac:dyDescent="0.25">
      <c r="A12" t="s">
        <v>233</v>
      </c>
      <c r="B12" s="2">
        <f>1/4</f>
        <v>0.25</v>
      </c>
      <c r="C12" s="2">
        <f>0/4</f>
        <v>0</v>
      </c>
      <c r="D12" s="2">
        <f>2/4</f>
        <v>0.5</v>
      </c>
    </row>
    <row r="13" spans="1:5" x14ac:dyDescent="0.25">
      <c r="A13" t="s">
        <v>425</v>
      </c>
      <c r="B13" s="2">
        <f>1/6</f>
        <v>0.16666666666666666</v>
      </c>
      <c r="C13" s="2">
        <f>2/6</f>
        <v>0.33333333333333331</v>
      </c>
      <c r="D13" s="2">
        <f>1/6</f>
        <v>0.16666666666666666</v>
      </c>
    </row>
    <row r="14" spans="1:5" x14ac:dyDescent="0.25">
      <c r="A14" t="s">
        <v>727</v>
      </c>
      <c r="B14" s="2">
        <f>1/5</f>
        <v>0.2</v>
      </c>
      <c r="C14" s="2">
        <f>1/5</f>
        <v>0.2</v>
      </c>
      <c r="D14" s="2">
        <f>3/5</f>
        <v>0.6</v>
      </c>
    </row>
    <row r="15" spans="1:5" x14ac:dyDescent="0.25">
      <c r="A15" t="s">
        <v>83</v>
      </c>
      <c r="B15" s="2">
        <f>2/4</f>
        <v>0.5</v>
      </c>
      <c r="C15" s="2">
        <f>0/4</f>
        <v>0</v>
      </c>
      <c r="D15" s="2">
        <f>1/4</f>
        <v>0.25</v>
      </c>
    </row>
    <row r="16" spans="1:5" x14ac:dyDescent="0.25">
      <c r="A16" t="s">
        <v>204</v>
      </c>
      <c r="B16" s="2">
        <f>8/21</f>
        <v>0.38095238095238093</v>
      </c>
      <c r="C16" s="2">
        <f>7/21</f>
        <v>0.33333333333333331</v>
      </c>
      <c r="D16" s="2">
        <f>5/21</f>
        <v>0.23809523809523808</v>
      </c>
    </row>
    <row r="17" spans="1:4" x14ac:dyDescent="0.25">
      <c r="A17" t="s">
        <v>319</v>
      </c>
      <c r="B17" s="2">
        <f>0/4</f>
        <v>0</v>
      </c>
      <c r="C17" s="2">
        <f>0/4</f>
        <v>0</v>
      </c>
      <c r="D17" s="2">
        <f>3/4</f>
        <v>0.75</v>
      </c>
    </row>
    <row r="18" spans="1:4" x14ac:dyDescent="0.25">
      <c r="A18" t="s">
        <v>245</v>
      </c>
      <c r="B18" s="2">
        <f>3/8</f>
        <v>0.375</v>
      </c>
      <c r="C18" s="2">
        <f>4/8</f>
        <v>0.5</v>
      </c>
      <c r="D18" s="2">
        <f>1/8</f>
        <v>0.125</v>
      </c>
    </row>
    <row r="19" spans="1:4" x14ac:dyDescent="0.25">
      <c r="A19" t="s">
        <v>408</v>
      </c>
      <c r="B19" s="2">
        <f>1/2</f>
        <v>0.5</v>
      </c>
      <c r="C19" s="2">
        <f>1/2</f>
        <v>0.5</v>
      </c>
      <c r="D19" s="2">
        <f>0/2</f>
        <v>0</v>
      </c>
    </row>
    <row r="20" spans="1:4" x14ac:dyDescent="0.25">
      <c r="A20" t="s">
        <v>1915</v>
      </c>
      <c r="B20" s="2">
        <f>1/1</f>
        <v>1</v>
      </c>
      <c r="C20" s="2">
        <f>0/1</f>
        <v>0</v>
      </c>
      <c r="D20" s="2">
        <f>0/1</f>
        <v>0</v>
      </c>
    </row>
    <row r="21" spans="1:4" x14ac:dyDescent="0.25">
      <c r="A21" t="s">
        <v>658</v>
      </c>
      <c r="B21" s="2">
        <f>1/4</f>
        <v>0.25</v>
      </c>
      <c r="C21" s="2">
        <f>1/4</f>
        <v>0.25</v>
      </c>
      <c r="D21" s="2">
        <f>2/4</f>
        <v>0.5</v>
      </c>
    </row>
    <row r="22" spans="1:4" x14ac:dyDescent="0.25">
      <c r="A22" t="s">
        <v>198</v>
      </c>
      <c r="B22" s="2">
        <f>1/7</f>
        <v>0.14285714285714285</v>
      </c>
      <c r="C22" s="2">
        <f>3/7</f>
        <v>0.42857142857142855</v>
      </c>
      <c r="D22" s="2">
        <f>3/7</f>
        <v>0.42857142857142855</v>
      </c>
    </row>
    <row r="23" spans="1:4" x14ac:dyDescent="0.25">
      <c r="A23" t="s">
        <v>278</v>
      </c>
      <c r="B23" s="2">
        <f>0/5</f>
        <v>0</v>
      </c>
      <c r="C23" s="2">
        <f>2/5</f>
        <v>0.4</v>
      </c>
      <c r="D23" s="2">
        <f>2/5</f>
        <v>0.4</v>
      </c>
    </row>
    <row r="24" spans="1:4" x14ac:dyDescent="0.25">
      <c r="A24" t="s">
        <v>253</v>
      </c>
      <c r="B24" s="2">
        <f>1/4</f>
        <v>0.25</v>
      </c>
      <c r="C24" s="2">
        <f>1/4</f>
        <v>0.25</v>
      </c>
      <c r="D24" s="2">
        <f>1/4</f>
        <v>0.25</v>
      </c>
    </row>
    <row r="25" spans="1:4" x14ac:dyDescent="0.25">
      <c r="A25" t="s">
        <v>93</v>
      </c>
      <c r="B25" s="2">
        <f>0/4</f>
        <v>0</v>
      </c>
      <c r="C25" s="2">
        <f>0/4</f>
        <v>0</v>
      </c>
      <c r="D25" s="2">
        <f>2/4</f>
        <v>0.5</v>
      </c>
    </row>
    <row r="26" spans="1:4" x14ac:dyDescent="0.25">
      <c r="A26" t="s">
        <v>1916</v>
      </c>
      <c r="B26" s="2">
        <f>1/4</f>
        <v>0.25</v>
      </c>
      <c r="C26" s="2">
        <f>2/5</f>
        <v>0.4</v>
      </c>
      <c r="D26" s="2">
        <f>1/5</f>
        <v>0.2</v>
      </c>
    </row>
    <row r="27" spans="1:4" x14ac:dyDescent="0.25">
      <c r="A27" t="s">
        <v>991</v>
      </c>
      <c r="B27" s="2">
        <f>2/3</f>
        <v>0.66666666666666663</v>
      </c>
      <c r="C27" s="2">
        <f>0/3</f>
        <v>0</v>
      </c>
      <c r="D27" s="2">
        <f>1/3</f>
        <v>0.33333333333333331</v>
      </c>
    </row>
    <row r="28" spans="1:4" x14ac:dyDescent="0.25">
      <c r="A28" t="s">
        <v>998</v>
      </c>
      <c r="B28" s="2">
        <f>1/5</f>
        <v>0.2</v>
      </c>
      <c r="C28" s="2">
        <f>2/5</f>
        <v>0.4</v>
      </c>
      <c r="D28" s="2">
        <f>0/5</f>
        <v>0</v>
      </c>
    </row>
    <row r="29" spans="1:4" x14ac:dyDescent="0.25">
      <c r="A29" t="s">
        <v>952</v>
      </c>
      <c r="B29" s="2">
        <f>2/4</f>
        <v>0.5</v>
      </c>
      <c r="C29" s="2">
        <f>1/4</f>
        <v>0.25</v>
      </c>
      <c r="D29" s="2">
        <f>1/4</f>
        <v>0.25</v>
      </c>
    </row>
    <row r="30" spans="1:4" x14ac:dyDescent="0.25">
      <c r="A30" t="s">
        <v>1691</v>
      </c>
      <c r="B30" s="2">
        <f>1/4</f>
        <v>0.25</v>
      </c>
      <c r="C30" s="2">
        <f>1/4</f>
        <v>0.25</v>
      </c>
      <c r="D30" s="2">
        <f>1/5</f>
        <v>0.2</v>
      </c>
    </row>
    <row r="31" spans="1:4" x14ac:dyDescent="0.25">
      <c r="A31" t="s">
        <v>284</v>
      </c>
      <c r="B31" s="2">
        <f>0/3</f>
        <v>0</v>
      </c>
      <c r="C31" s="2">
        <f>2/3</f>
        <v>0.66666666666666663</v>
      </c>
      <c r="D31" s="2">
        <f>2/3</f>
        <v>0.66666666666666663</v>
      </c>
    </row>
    <row r="32" spans="1:4" x14ac:dyDescent="0.25">
      <c r="A32" t="s">
        <v>299</v>
      </c>
      <c r="B32" s="2">
        <f>2/15</f>
        <v>0.13333333333333333</v>
      </c>
      <c r="C32" s="2">
        <f>6/15</f>
        <v>0.4</v>
      </c>
      <c r="D32" s="2">
        <f>8/15</f>
        <v>0.53333333333333333</v>
      </c>
    </row>
    <row r="33" spans="1:4" x14ac:dyDescent="0.25">
      <c r="A33" t="s">
        <v>1028</v>
      </c>
      <c r="B33" s="2">
        <f>1/3</f>
        <v>0.33333333333333331</v>
      </c>
      <c r="C33" s="2">
        <f>1/3</f>
        <v>0.33333333333333331</v>
      </c>
      <c r="D33" s="2">
        <f>1/3</f>
        <v>0.33333333333333331</v>
      </c>
    </row>
    <row r="34" spans="1:4" x14ac:dyDescent="0.25">
      <c r="A34" t="s">
        <v>715</v>
      </c>
      <c r="B34" s="2">
        <f>0/4</f>
        <v>0</v>
      </c>
      <c r="C34" s="2">
        <f>2/4</f>
        <v>0.5</v>
      </c>
      <c r="D34" s="2">
        <f>1/4</f>
        <v>0.25</v>
      </c>
    </row>
    <row r="35" spans="1:4" x14ac:dyDescent="0.25">
      <c r="A35" t="s">
        <v>222</v>
      </c>
      <c r="B35" s="2">
        <f>4/8</f>
        <v>0.5</v>
      </c>
      <c r="C35" s="2">
        <f>2/8</f>
        <v>0.25</v>
      </c>
      <c r="D35" s="2">
        <f>3/8</f>
        <v>0.375</v>
      </c>
    </row>
    <row r="36" spans="1:4" x14ac:dyDescent="0.25">
      <c r="A36" t="s">
        <v>414</v>
      </c>
      <c r="B36" s="2">
        <f>2/3</f>
        <v>0.66666666666666663</v>
      </c>
      <c r="C36" s="2">
        <f>1/3</f>
        <v>0.33333333333333331</v>
      </c>
      <c r="D36" s="2">
        <f>0/3</f>
        <v>0</v>
      </c>
    </row>
    <row r="37" spans="1:4" x14ac:dyDescent="0.25">
      <c r="A37" t="s">
        <v>1917</v>
      </c>
      <c r="B37" s="2">
        <f>0/1</f>
        <v>0</v>
      </c>
      <c r="C37" s="2">
        <f>0/1</f>
        <v>0</v>
      </c>
      <c r="D37" s="2">
        <f>0/1</f>
        <v>0</v>
      </c>
    </row>
    <row r="38" spans="1:4" x14ac:dyDescent="0.25">
      <c r="A38" t="s">
        <v>1430</v>
      </c>
      <c r="B38" s="2">
        <f>0/1</f>
        <v>0</v>
      </c>
      <c r="C38" s="2">
        <f>0/1</f>
        <v>0</v>
      </c>
      <c r="D38" s="2">
        <f>1/1</f>
        <v>1</v>
      </c>
    </row>
    <row r="39" spans="1:4" x14ac:dyDescent="0.25">
      <c r="A39" t="s">
        <v>1918</v>
      </c>
      <c r="B39" s="2">
        <f>0/5</f>
        <v>0</v>
      </c>
      <c r="C39" s="2">
        <f>4/5</f>
        <v>0.8</v>
      </c>
      <c r="D39" s="2">
        <f>0/5</f>
        <v>0</v>
      </c>
    </row>
    <row r="40" spans="1:4" x14ac:dyDescent="0.25">
      <c r="A40" t="s">
        <v>109</v>
      </c>
      <c r="B40" s="2">
        <f>1/9</f>
        <v>0.1111111111111111</v>
      </c>
      <c r="C40" s="2">
        <f>4/9</f>
        <v>0.44444444444444442</v>
      </c>
      <c r="D40" s="2">
        <f>2/9</f>
        <v>0.22222222222222221</v>
      </c>
    </row>
    <row r="41" spans="1:4" x14ac:dyDescent="0.25">
      <c r="A41" t="s">
        <v>334</v>
      </c>
      <c r="B41" s="2">
        <f>0/3</f>
        <v>0</v>
      </c>
      <c r="C41" s="2">
        <f>1/3</f>
        <v>0.33333333333333331</v>
      </c>
      <c r="D41" s="2">
        <f>2/3</f>
        <v>0.66666666666666663</v>
      </c>
    </row>
    <row r="42" spans="1:4" x14ac:dyDescent="0.25">
      <c r="A42" t="s">
        <v>743</v>
      </c>
      <c r="B42" s="2">
        <f>0/4</f>
        <v>0</v>
      </c>
      <c r="C42" s="2">
        <f>1/4</f>
        <v>0.25</v>
      </c>
      <c r="D42" s="2">
        <f>1/4</f>
        <v>0.25</v>
      </c>
    </row>
    <row r="43" spans="1:4" x14ac:dyDescent="0.25">
      <c r="A43" t="s">
        <v>325</v>
      </c>
      <c r="B43" s="2">
        <f>0/3</f>
        <v>0</v>
      </c>
      <c r="C43" s="2">
        <f>1/3</f>
        <v>0.33333333333333331</v>
      </c>
      <c r="D43" s="2">
        <f>2/3</f>
        <v>0.66666666666666663</v>
      </c>
    </row>
    <row r="44" spans="1:4" x14ac:dyDescent="0.25">
      <c r="A44" t="s">
        <v>264</v>
      </c>
      <c r="B44" s="2">
        <f>1/5</f>
        <v>0.2</v>
      </c>
      <c r="C44" s="2">
        <f>1/5</f>
        <v>0.2</v>
      </c>
      <c r="D44" s="2">
        <f>1/5</f>
        <v>0.2</v>
      </c>
    </row>
    <row r="45" spans="1:4" x14ac:dyDescent="0.25">
      <c r="A45" t="s">
        <v>228</v>
      </c>
      <c r="B45" s="2">
        <f>0/1</f>
        <v>0</v>
      </c>
      <c r="C45" s="2">
        <f>3/5</f>
        <v>0.6</v>
      </c>
      <c r="D45" s="2">
        <f>1/5</f>
        <v>0.2</v>
      </c>
    </row>
    <row r="46" spans="1:4" x14ac:dyDescent="0.25">
      <c r="A46" t="s">
        <v>170</v>
      </c>
      <c r="B46" s="2">
        <f>1/5</f>
        <v>0.2</v>
      </c>
      <c r="C46" s="2">
        <f>4/5</f>
        <v>0.8</v>
      </c>
      <c r="D46" s="2">
        <f>2/5</f>
        <v>0.4</v>
      </c>
    </row>
    <row r="47" spans="1:4" x14ac:dyDescent="0.25">
      <c r="A47" t="s">
        <v>1919</v>
      </c>
      <c r="B47" s="2">
        <f>3/20</f>
        <v>0.15</v>
      </c>
      <c r="C47" s="2">
        <f>1/20</f>
        <v>0.05</v>
      </c>
      <c r="D47" s="2">
        <f>15/20</f>
        <v>0.75</v>
      </c>
    </row>
    <row r="48" spans="1:4" x14ac:dyDescent="0.25">
      <c r="A48" t="s">
        <v>987</v>
      </c>
      <c r="B48" s="2">
        <f>0/4</f>
        <v>0</v>
      </c>
      <c r="C48" s="2">
        <f>0/4</f>
        <v>0</v>
      </c>
      <c r="D48" s="2">
        <f>2/4</f>
        <v>0.5</v>
      </c>
    </row>
    <row r="49" spans="1:5" x14ac:dyDescent="0.25">
      <c r="A49" t="s">
        <v>191</v>
      </c>
      <c r="B49" s="2">
        <f>0/3</f>
        <v>0</v>
      </c>
      <c r="C49" s="2">
        <f>1/3</f>
        <v>0.33333333333333331</v>
      </c>
      <c r="D49" s="2">
        <f>1/3</f>
        <v>0.33333333333333331</v>
      </c>
    </row>
    <row r="50" spans="1:5" x14ac:dyDescent="0.25">
      <c r="A50" t="s">
        <v>1054</v>
      </c>
      <c r="B50" s="2">
        <f>0</f>
        <v>0</v>
      </c>
      <c r="C50" s="2">
        <f>0/3</f>
        <v>0</v>
      </c>
      <c r="D50" s="2">
        <f>3/3</f>
        <v>1</v>
      </c>
    </row>
    <row r="51" spans="1:5" x14ac:dyDescent="0.25">
      <c r="A51" s="5" t="s">
        <v>1935</v>
      </c>
      <c r="B51" s="7">
        <f>60/271</f>
        <v>0.22140221402214022</v>
      </c>
      <c r="C51" s="7">
        <f>87/271</f>
        <v>0.3210332103321033</v>
      </c>
      <c r="D51" s="7">
        <f>104/270</f>
        <v>0.38518518518518519</v>
      </c>
    </row>
    <row r="52" spans="1:5" x14ac:dyDescent="0.25">
      <c r="B52" s="2"/>
      <c r="C52" s="2"/>
      <c r="D52" s="2"/>
    </row>
    <row r="53" spans="1:5" x14ac:dyDescent="0.25">
      <c r="A53" s="5" t="s">
        <v>1930</v>
      </c>
      <c r="B53" s="5" t="s">
        <v>1955</v>
      </c>
      <c r="C53" s="5" t="s">
        <v>1956</v>
      </c>
      <c r="D53" s="5" t="s">
        <v>1942</v>
      </c>
      <c r="E53" s="5"/>
    </row>
    <row r="54" spans="1:5" x14ac:dyDescent="0.25">
      <c r="A54" t="s">
        <v>1920</v>
      </c>
      <c r="B54" s="2">
        <f>10/29</f>
        <v>0.34482758620689657</v>
      </c>
      <c r="C54" s="2">
        <f>7/29</f>
        <v>0.2413793103448276</v>
      </c>
      <c r="D54" s="2">
        <f>11/29</f>
        <v>0.37931034482758619</v>
      </c>
    </row>
    <row r="55" spans="1:5" x14ac:dyDescent="0.25">
      <c r="A55" t="s">
        <v>1921</v>
      </c>
      <c r="B55" s="2">
        <f>0/12</f>
        <v>0</v>
      </c>
      <c r="C55" s="2">
        <f>3/12</f>
        <v>0.25</v>
      </c>
      <c r="D55" s="2">
        <f>6/12</f>
        <v>0.5</v>
      </c>
    </row>
    <row r="56" spans="1:5" x14ac:dyDescent="0.25">
      <c r="A56" t="s">
        <v>734</v>
      </c>
      <c r="B56" s="2">
        <f>1/5</f>
        <v>0.2</v>
      </c>
      <c r="C56" s="2">
        <f>4/5</f>
        <v>0.8</v>
      </c>
      <c r="D56" s="2">
        <f>1/5</f>
        <v>0.2</v>
      </c>
    </row>
    <row r="57" spans="1:5" x14ac:dyDescent="0.25">
      <c r="A57" t="s">
        <v>1922</v>
      </c>
      <c r="B57" s="2">
        <f>1/10</f>
        <v>0.1</v>
      </c>
      <c r="C57" s="2">
        <f>6/10</f>
        <v>0.6</v>
      </c>
      <c r="D57" s="2">
        <f>0/10</f>
        <v>0</v>
      </c>
    </row>
    <row r="58" spans="1:5" x14ac:dyDescent="0.25">
      <c r="A58" t="s">
        <v>83</v>
      </c>
      <c r="B58" s="2">
        <f>2/4</f>
        <v>0.5</v>
      </c>
      <c r="C58" s="2">
        <f>0/4</f>
        <v>0</v>
      </c>
      <c r="D58" s="2">
        <f>1/4</f>
        <v>0.25</v>
      </c>
    </row>
    <row r="59" spans="1:5" x14ac:dyDescent="0.25">
      <c r="A59" t="s">
        <v>1923</v>
      </c>
      <c r="B59" s="2">
        <f>2/17</f>
        <v>0.11764705882352941</v>
      </c>
      <c r="C59" s="2">
        <f>7/17</f>
        <v>0.41176470588235292</v>
      </c>
      <c r="D59" s="2">
        <f>8/17</f>
        <v>0.47058823529411764</v>
      </c>
    </row>
    <row r="60" spans="1:5" x14ac:dyDescent="0.25">
      <c r="A60" t="s">
        <v>1924</v>
      </c>
      <c r="B60" s="2">
        <f>11/39</f>
        <v>0.28205128205128205</v>
      </c>
      <c r="C60" s="2">
        <f>12/39</f>
        <v>0.30769230769230771</v>
      </c>
      <c r="D60" s="2">
        <f>15/39</f>
        <v>0.38461538461538464</v>
      </c>
    </row>
    <row r="61" spans="1:5" x14ac:dyDescent="0.25">
      <c r="A61" t="s">
        <v>1925</v>
      </c>
      <c r="B61" s="2">
        <f>9/33</f>
        <v>0.27272727272727271</v>
      </c>
      <c r="C61" s="2">
        <f>12/33</f>
        <v>0.36363636363636365</v>
      </c>
      <c r="D61" s="2">
        <f>12/33</f>
        <v>0.36363636363636365</v>
      </c>
    </row>
    <row r="62" spans="1:5" x14ac:dyDescent="0.25">
      <c r="A62" t="s">
        <v>1926</v>
      </c>
      <c r="B62" s="2">
        <f>16/54</f>
        <v>0.29629629629629628</v>
      </c>
      <c r="C62" s="2">
        <f>12/54</f>
        <v>0.22222222222222221</v>
      </c>
      <c r="D62" s="2">
        <f>26/54</f>
        <v>0.48148148148148145</v>
      </c>
    </row>
    <row r="63" spans="1:5" x14ac:dyDescent="0.25">
      <c r="A63" t="s">
        <v>1927</v>
      </c>
      <c r="B63" s="2">
        <f>3/10</f>
        <v>0.3</v>
      </c>
      <c r="C63" s="2">
        <f>2/10</f>
        <v>0.2</v>
      </c>
      <c r="D63" s="2">
        <f>3/10</f>
        <v>0.3</v>
      </c>
    </row>
    <row r="64" spans="1:5" x14ac:dyDescent="0.25">
      <c r="A64" t="s">
        <v>1928</v>
      </c>
      <c r="B64" s="2">
        <f>10/15</f>
        <v>0.66666666666666663</v>
      </c>
      <c r="C64" s="2">
        <f>6/15</f>
        <v>0.4</v>
      </c>
      <c r="D64" s="2">
        <f>9/15</f>
        <v>0.6</v>
      </c>
    </row>
    <row r="65" spans="1:4" x14ac:dyDescent="0.25">
      <c r="A65" t="s">
        <v>131</v>
      </c>
      <c r="B65" s="2">
        <f>1/5</f>
        <v>0.2</v>
      </c>
      <c r="C65" s="2">
        <f>2/5</f>
        <v>0.4</v>
      </c>
      <c r="D65" s="2">
        <f>1/5</f>
        <v>0.2</v>
      </c>
    </row>
    <row r="66" spans="1:4" x14ac:dyDescent="0.25">
      <c r="A66" t="s">
        <v>299</v>
      </c>
      <c r="B66" s="2">
        <f>2/15</f>
        <v>0.13333333333333333</v>
      </c>
      <c r="C66" s="2">
        <f>6/15</f>
        <v>0.4</v>
      </c>
      <c r="D66" s="2">
        <f>8/15</f>
        <v>0.53333333333333333</v>
      </c>
    </row>
    <row r="67" spans="1:4" x14ac:dyDescent="0.25">
      <c r="A67" t="s">
        <v>715</v>
      </c>
      <c r="B67" s="2">
        <f>0/4</f>
        <v>0</v>
      </c>
      <c r="C67" s="2">
        <f>2/4</f>
        <v>0.5</v>
      </c>
      <c r="D67" s="2">
        <f>1/4</f>
        <v>0.25</v>
      </c>
    </row>
    <row r="68" spans="1:4" x14ac:dyDescent="0.25">
      <c r="A68" t="s">
        <v>222</v>
      </c>
      <c r="B68" s="2">
        <f>4/8</f>
        <v>0.5</v>
      </c>
      <c r="C68" s="2">
        <f>2/8</f>
        <v>0.25</v>
      </c>
      <c r="D68" s="2">
        <f>3/8</f>
        <v>0.375</v>
      </c>
    </row>
    <row r="69" spans="1:4" x14ac:dyDescent="0.25">
      <c r="A69" t="s">
        <v>1929</v>
      </c>
      <c r="B69" s="2">
        <f>2/5</f>
        <v>0.4</v>
      </c>
      <c r="C69" s="2">
        <f>4/5</f>
        <v>0.8</v>
      </c>
      <c r="D69" s="2">
        <f>0/5</f>
        <v>0</v>
      </c>
    </row>
    <row r="71" spans="1:4" x14ac:dyDescent="0.25">
      <c r="A71" s="5" t="s">
        <v>1992</v>
      </c>
      <c r="B71" s="5" t="s">
        <v>1955</v>
      </c>
      <c r="C71" s="5" t="s">
        <v>1956</v>
      </c>
      <c r="D71" s="5" t="s">
        <v>1942</v>
      </c>
    </row>
    <row r="72" spans="1:4" x14ac:dyDescent="0.25">
      <c r="A72" t="s">
        <v>1993</v>
      </c>
      <c r="B72" s="2">
        <f>38/156</f>
        <v>0.24358974358974358</v>
      </c>
      <c r="C72" s="2">
        <f>49/156</f>
        <v>0.3141025641025641</v>
      </c>
      <c r="D72" s="2">
        <f>74/156</f>
        <v>0.47435897435897434</v>
      </c>
    </row>
    <row r="73" spans="1:4" x14ac:dyDescent="0.25">
      <c r="A73" t="s">
        <v>1990</v>
      </c>
      <c r="B73" s="2">
        <f>3/30</f>
        <v>0.1</v>
      </c>
      <c r="C73" s="2">
        <f>11/30</f>
        <v>0.36666666666666664</v>
      </c>
      <c r="D73" s="2">
        <f>18/30</f>
        <v>0.6</v>
      </c>
    </row>
    <row r="74" spans="1:4" x14ac:dyDescent="0.25">
      <c r="A74" t="s">
        <v>1991</v>
      </c>
      <c r="B74" s="2">
        <f>19/85</f>
        <v>0.22352941176470589</v>
      </c>
      <c r="C74" s="2">
        <f>29/85</f>
        <v>0.3411764705882353</v>
      </c>
      <c r="D74" s="2">
        <f>47/85</f>
        <v>0.55294117647058827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C78064-D5CF-4987-A8E4-CAD62496F5CD}">
  <dimension ref="A1:C74"/>
  <sheetViews>
    <sheetView topLeftCell="A40" workbookViewId="0">
      <selection activeCell="A74" sqref="A53:A74"/>
    </sheetView>
  </sheetViews>
  <sheetFormatPr baseColWidth="10" defaultRowHeight="15" x14ac:dyDescent="0.25"/>
  <cols>
    <col min="1" max="1" width="24" bestFit="1" customWidth="1"/>
  </cols>
  <sheetData>
    <row r="1" spans="1:3" x14ac:dyDescent="0.25">
      <c r="A1" s="5" t="s">
        <v>3</v>
      </c>
      <c r="B1" s="5" t="s">
        <v>87</v>
      </c>
      <c r="C1" s="5" t="s">
        <v>84</v>
      </c>
    </row>
    <row r="2" spans="1:3" x14ac:dyDescent="0.25">
      <c r="A2" t="s">
        <v>156</v>
      </c>
      <c r="B2" s="2">
        <f>4/8</f>
        <v>0.5</v>
      </c>
      <c r="C2" s="2">
        <f>4/8</f>
        <v>0.5</v>
      </c>
    </row>
    <row r="3" spans="1:3" x14ac:dyDescent="0.25">
      <c r="A3" t="s">
        <v>1911</v>
      </c>
      <c r="B3" s="2">
        <f>0/1</f>
        <v>0</v>
      </c>
      <c r="C3" s="2">
        <f>1/1</f>
        <v>1</v>
      </c>
    </row>
    <row r="4" spans="1:3" x14ac:dyDescent="0.25">
      <c r="A4" t="s">
        <v>137</v>
      </c>
      <c r="B4" s="2">
        <f>3/13</f>
        <v>0.23076923076923078</v>
      </c>
      <c r="C4" s="2">
        <f>10/13</f>
        <v>0.76923076923076927</v>
      </c>
    </row>
    <row r="5" spans="1:3" x14ac:dyDescent="0.25">
      <c r="A5" t="s">
        <v>215</v>
      </c>
      <c r="B5" s="2">
        <f>1/1</f>
        <v>1</v>
      </c>
      <c r="C5" s="2">
        <f>0/1</f>
        <v>0</v>
      </c>
    </row>
    <row r="6" spans="1:3" x14ac:dyDescent="0.25">
      <c r="A6" t="s">
        <v>1912</v>
      </c>
      <c r="B6" s="2">
        <f>1/1</f>
        <v>1</v>
      </c>
      <c r="C6" s="2">
        <f>0/1</f>
        <v>0</v>
      </c>
    </row>
    <row r="7" spans="1:3" x14ac:dyDescent="0.25">
      <c r="A7" t="s">
        <v>1913</v>
      </c>
      <c r="B7" s="2">
        <f>2/5</f>
        <v>0.4</v>
      </c>
      <c r="C7" s="2">
        <f>3/5</f>
        <v>0.6</v>
      </c>
    </row>
    <row r="8" spans="1:3" x14ac:dyDescent="0.25">
      <c r="A8" t="s">
        <v>515</v>
      </c>
      <c r="B8" s="2">
        <f>0/8</f>
        <v>0</v>
      </c>
      <c r="C8" s="2">
        <f>8/8</f>
        <v>1</v>
      </c>
    </row>
    <row r="9" spans="1:3" x14ac:dyDescent="0.25">
      <c r="A9" t="s">
        <v>374</v>
      </c>
      <c r="B9" s="2">
        <f>0/4</f>
        <v>0</v>
      </c>
      <c r="C9" s="2">
        <f>4/4</f>
        <v>1</v>
      </c>
    </row>
    <row r="10" spans="1:3" x14ac:dyDescent="0.25">
      <c r="A10" t="s">
        <v>120</v>
      </c>
      <c r="B10" s="2">
        <f>13/20</f>
        <v>0.65</v>
      </c>
      <c r="C10" s="2">
        <f>7/20</f>
        <v>0.35</v>
      </c>
    </row>
    <row r="11" spans="1:3" x14ac:dyDescent="0.25">
      <c r="A11" t="s">
        <v>1914</v>
      </c>
      <c r="B11" s="2">
        <f>2/3</f>
        <v>0.66666666666666663</v>
      </c>
      <c r="C11" s="2">
        <f>1/3</f>
        <v>0.33333333333333331</v>
      </c>
    </row>
    <row r="12" spans="1:3" x14ac:dyDescent="0.25">
      <c r="A12" t="s">
        <v>233</v>
      </c>
      <c r="B12" s="2">
        <f>0/4</f>
        <v>0</v>
      </c>
      <c r="C12" s="2">
        <f>4/4</f>
        <v>1</v>
      </c>
    </row>
    <row r="13" spans="1:3" x14ac:dyDescent="0.25">
      <c r="A13" t="s">
        <v>425</v>
      </c>
      <c r="B13" s="2">
        <f>0/6</f>
        <v>0</v>
      </c>
      <c r="C13" s="2">
        <f>6/6</f>
        <v>1</v>
      </c>
    </row>
    <row r="14" spans="1:3" x14ac:dyDescent="0.25">
      <c r="A14" t="s">
        <v>727</v>
      </c>
      <c r="B14" s="2">
        <f>2/5</f>
        <v>0.4</v>
      </c>
      <c r="C14" s="2">
        <f>3/5</f>
        <v>0.6</v>
      </c>
    </row>
    <row r="15" spans="1:3" x14ac:dyDescent="0.25">
      <c r="A15" t="s">
        <v>83</v>
      </c>
      <c r="B15" s="2">
        <f>0/4</f>
        <v>0</v>
      </c>
      <c r="C15" s="2">
        <f>4/4</f>
        <v>1</v>
      </c>
    </row>
    <row r="16" spans="1:3" x14ac:dyDescent="0.25">
      <c r="A16" t="s">
        <v>204</v>
      </c>
      <c r="B16" s="2">
        <f>0/21</f>
        <v>0</v>
      </c>
      <c r="C16" s="2">
        <f>21/21</f>
        <v>1</v>
      </c>
    </row>
    <row r="17" spans="1:3" x14ac:dyDescent="0.25">
      <c r="A17" t="s">
        <v>319</v>
      </c>
      <c r="B17" s="2">
        <f>0/4</f>
        <v>0</v>
      </c>
      <c r="C17" s="2">
        <f>4/4</f>
        <v>1</v>
      </c>
    </row>
    <row r="18" spans="1:3" x14ac:dyDescent="0.25">
      <c r="A18" t="s">
        <v>245</v>
      </c>
      <c r="B18" s="2">
        <f>2/8</f>
        <v>0.25</v>
      </c>
      <c r="C18" s="2">
        <f>6/8</f>
        <v>0.75</v>
      </c>
    </row>
    <row r="19" spans="1:3" x14ac:dyDescent="0.25">
      <c r="A19" t="s">
        <v>408</v>
      </c>
      <c r="B19" s="2">
        <f>0/2</f>
        <v>0</v>
      </c>
      <c r="C19" s="2">
        <f>2/2</f>
        <v>1</v>
      </c>
    </row>
    <row r="20" spans="1:3" x14ac:dyDescent="0.25">
      <c r="A20" t="s">
        <v>1915</v>
      </c>
      <c r="B20" s="2">
        <f>0/1</f>
        <v>0</v>
      </c>
      <c r="C20" s="2">
        <f>1/1</f>
        <v>1</v>
      </c>
    </row>
    <row r="21" spans="1:3" x14ac:dyDescent="0.25">
      <c r="A21" t="s">
        <v>658</v>
      </c>
      <c r="B21" s="2">
        <f>1/4</f>
        <v>0.25</v>
      </c>
      <c r="C21" s="2">
        <f>3/4</f>
        <v>0.75</v>
      </c>
    </row>
    <row r="22" spans="1:3" x14ac:dyDescent="0.25">
      <c r="A22" t="s">
        <v>198</v>
      </c>
      <c r="B22" s="2">
        <f>1/7</f>
        <v>0.14285714285714285</v>
      </c>
      <c r="C22" s="2">
        <f>6/7</f>
        <v>0.8571428571428571</v>
      </c>
    </row>
    <row r="23" spans="1:3" x14ac:dyDescent="0.25">
      <c r="A23" t="s">
        <v>278</v>
      </c>
      <c r="B23" s="2">
        <f>1/5</f>
        <v>0.2</v>
      </c>
      <c r="C23" s="2">
        <f>4/5</f>
        <v>0.8</v>
      </c>
    </row>
    <row r="24" spans="1:3" x14ac:dyDescent="0.25">
      <c r="A24" t="s">
        <v>253</v>
      </c>
      <c r="B24" s="2">
        <f>2/4</f>
        <v>0.5</v>
      </c>
      <c r="C24" s="2">
        <f>2/4</f>
        <v>0.5</v>
      </c>
    </row>
    <row r="25" spans="1:3" x14ac:dyDescent="0.25">
      <c r="A25" t="s">
        <v>93</v>
      </c>
      <c r="B25" s="2">
        <f>0/4</f>
        <v>0</v>
      </c>
      <c r="C25" s="2">
        <f>4/4</f>
        <v>1</v>
      </c>
    </row>
    <row r="26" spans="1:3" x14ac:dyDescent="0.25">
      <c r="A26" t="s">
        <v>1916</v>
      </c>
      <c r="B26" s="2">
        <f>3/5</f>
        <v>0.6</v>
      </c>
      <c r="C26" s="2">
        <f>2/5</f>
        <v>0.4</v>
      </c>
    </row>
    <row r="27" spans="1:3" x14ac:dyDescent="0.25">
      <c r="A27" t="s">
        <v>991</v>
      </c>
      <c r="B27" s="2">
        <f>0/3</f>
        <v>0</v>
      </c>
      <c r="C27" s="2">
        <f>3/3</f>
        <v>1</v>
      </c>
    </row>
    <row r="28" spans="1:3" x14ac:dyDescent="0.25">
      <c r="A28" t="s">
        <v>998</v>
      </c>
      <c r="B28" s="2">
        <f>3/5</f>
        <v>0.6</v>
      </c>
      <c r="C28" s="2">
        <f>2/5</f>
        <v>0.4</v>
      </c>
    </row>
    <row r="29" spans="1:3" x14ac:dyDescent="0.25">
      <c r="A29" t="s">
        <v>952</v>
      </c>
      <c r="B29" s="2">
        <f>0/4</f>
        <v>0</v>
      </c>
      <c r="C29" s="2">
        <f>4/4</f>
        <v>1</v>
      </c>
    </row>
    <row r="30" spans="1:3" x14ac:dyDescent="0.25">
      <c r="A30" t="s">
        <v>1691</v>
      </c>
      <c r="B30" s="2">
        <f>0/4</f>
        <v>0</v>
      </c>
      <c r="C30" s="2">
        <f>4/4</f>
        <v>1</v>
      </c>
    </row>
    <row r="31" spans="1:3" x14ac:dyDescent="0.25">
      <c r="A31" t="s">
        <v>284</v>
      </c>
      <c r="B31" s="2">
        <f>2/3</f>
        <v>0.66666666666666663</v>
      </c>
      <c r="C31" s="2">
        <f>1/3</f>
        <v>0.33333333333333331</v>
      </c>
    </row>
    <row r="32" spans="1:3" x14ac:dyDescent="0.25">
      <c r="A32" t="s">
        <v>299</v>
      </c>
      <c r="B32" s="2">
        <f>7/15</f>
        <v>0.46666666666666667</v>
      </c>
      <c r="C32" s="2">
        <f>8/15</f>
        <v>0.53333333333333333</v>
      </c>
    </row>
    <row r="33" spans="1:3" x14ac:dyDescent="0.25">
      <c r="A33" t="s">
        <v>1028</v>
      </c>
      <c r="B33" s="2">
        <f>0/3</f>
        <v>0</v>
      </c>
      <c r="C33" s="2">
        <f>3/3</f>
        <v>1</v>
      </c>
    </row>
    <row r="34" spans="1:3" x14ac:dyDescent="0.25">
      <c r="A34" t="s">
        <v>715</v>
      </c>
      <c r="B34" s="2">
        <f>2/4</f>
        <v>0.5</v>
      </c>
      <c r="C34" s="2">
        <f>2/4</f>
        <v>0.5</v>
      </c>
    </row>
    <row r="35" spans="1:3" x14ac:dyDescent="0.25">
      <c r="A35" t="s">
        <v>222</v>
      </c>
      <c r="B35" s="2">
        <f>0/8</f>
        <v>0</v>
      </c>
      <c r="C35" s="2">
        <f>8/8</f>
        <v>1</v>
      </c>
    </row>
    <row r="36" spans="1:3" x14ac:dyDescent="0.25">
      <c r="A36" t="s">
        <v>414</v>
      </c>
      <c r="B36" s="2">
        <f>0/3</f>
        <v>0</v>
      </c>
      <c r="C36" s="2">
        <f>3/3</f>
        <v>1</v>
      </c>
    </row>
    <row r="37" spans="1:3" x14ac:dyDescent="0.25">
      <c r="A37" t="s">
        <v>1917</v>
      </c>
      <c r="B37" s="2">
        <f>0/1</f>
        <v>0</v>
      </c>
      <c r="C37" s="2">
        <f>1/1</f>
        <v>1</v>
      </c>
    </row>
    <row r="38" spans="1:3" x14ac:dyDescent="0.25">
      <c r="A38" t="s">
        <v>1430</v>
      </c>
      <c r="B38" s="2">
        <f>0/1</f>
        <v>0</v>
      </c>
      <c r="C38" s="2">
        <f>1/1</f>
        <v>1</v>
      </c>
    </row>
    <row r="39" spans="1:3" x14ac:dyDescent="0.25">
      <c r="A39" t="s">
        <v>1918</v>
      </c>
      <c r="B39" s="2">
        <f>4/5</f>
        <v>0.8</v>
      </c>
      <c r="C39" s="2">
        <f>1/5</f>
        <v>0.2</v>
      </c>
    </row>
    <row r="40" spans="1:3" x14ac:dyDescent="0.25">
      <c r="A40" t="s">
        <v>109</v>
      </c>
      <c r="B40" s="2">
        <f>0/9</f>
        <v>0</v>
      </c>
      <c r="C40" s="2">
        <f>9/9</f>
        <v>1</v>
      </c>
    </row>
    <row r="41" spans="1:3" x14ac:dyDescent="0.25">
      <c r="A41" t="s">
        <v>334</v>
      </c>
      <c r="B41" s="2">
        <f>0/3</f>
        <v>0</v>
      </c>
      <c r="C41" s="2">
        <f>3/3</f>
        <v>1</v>
      </c>
    </row>
    <row r="42" spans="1:3" x14ac:dyDescent="0.25">
      <c r="A42" t="s">
        <v>743</v>
      </c>
      <c r="B42" s="2">
        <f>0/4</f>
        <v>0</v>
      </c>
      <c r="C42" s="2">
        <f>4/4</f>
        <v>1</v>
      </c>
    </row>
    <row r="43" spans="1:3" x14ac:dyDescent="0.25">
      <c r="A43" t="s">
        <v>325</v>
      </c>
      <c r="B43" s="2">
        <f>0/3</f>
        <v>0</v>
      </c>
      <c r="C43" s="2">
        <f>3/3</f>
        <v>1</v>
      </c>
    </row>
    <row r="44" spans="1:3" x14ac:dyDescent="0.25">
      <c r="A44" t="s">
        <v>264</v>
      </c>
      <c r="B44" s="2">
        <f>2/5</f>
        <v>0.4</v>
      </c>
      <c r="C44" s="2">
        <f>3/5</f>
        <v>0.6</v>
      </c>
    </row>
    <row r="45" spans="1:3" x14ac:dyDescent="0.25">
      <c r="A45" t="s">
        <v>228</v>
      </c>
      <c r="B45" s="2">
        <f>1/5</f>
        <v>0.2</v>
      </c>
      <c r="C45" s="2">
        <f>4/5</f>
        <v>0.8</v>
      </c>
    </row>
    <row r="46" spans="1:3" x14ac:dyDescent="0.25">
      <c r="A46" t="s">
        <v>170</v>
      </c>
      <c r="B46" s="2">
        <f>2/5</f>
        <v>0.4</v>
      </c>
      <c r="C46" s="2">
        <f>3/5</f>
        <v>0.6</v>
      </c>
    </row>
    <row r="47" spans="1:3" x14ac:dyDescent="0.25">
      <c r="A47" t="s">
        <v>1919</v>
      </c>
      <c r="B47" s="2">
        <f>2/20</f>
        <v>0.1</v>
      </c>
      <c r="C47" s="2">
        <f>18/20</f>
        <v>0.9</v>
      </c>
    </row>
    <row r="48" spans="1:3" x14ac:dyDescent="0.25">
      <c r="A48" t="s">
        <v>987</v>
      </c>
      <c r="B48" s="2">
        <f>0/4</f>
        <v>0</v>
      </c>
      <c r="C48" s="2">
        <f>4/4</f>
        <v>1</v>
      </c>
    </row>
    <row r="49" spans="1:3" x14ac:dyDescent="0.25">
      <c r="A49" t="s">
        <v>191</v>
      </c>
      <c r="B49" s="2">
        <f>1/3</f>
        <v>0.33333333333333331</v>
      </c>
      <c r="C49" s="2">
        <f>2/3</f>
        <v>0.66666666666666663</v>
      </c>
    </row>
    <row r="50" spans="1:3" x14ac:dyDescent="0.25">
      <c r="A50" t="s">
        <v>1054</v>
      </c>
      <c r="B50" s="2">
        <f>2/3</f>
        <v>0.66666666666666663</v>
      </c>
      <c r="C50" s="2">
        <f>1/3</f>
        <v>0.33333333333333331</v>
      </c>
    </row>
    <row r="51" spans="1:3" x14ac:dyDescent="0.25">
      <c r="A51" s="5" t="s">
        <v>1935</v>
      </c>
      <c r="B51" s="2">
        <f>66/271</f>
        <v>0.24354243542435425</v>
      </c>
      <c r="C51" s="2">
        <f>205/271</f>
        <v>0.75645756457564572</v>
      </c>
    </row>
    <row r="52" spans="1:3" x14ac:dyDescent="0.25">
      <c r="B52" s="2"/>
      <c r="C52" s="2"/>
    </row>
    <row r="53" spans="1:3" x14ac:dyDescent="0.25">
      <c r="A53" s="5" t="s">
        <v>1930</v>
      </c>
      <c r="B53" s="7" t="s">
        <v>87</v>
      </c>
      <c r="C53" s="8" t="s">
        <v>84</v>
      </c>
    </row>
    <row r="54" spans="1:3" x14ac:dyDescent="0.25">
      <c r="A54" t="s">
        <v>1958</v>
      </c>
      <c r="B54" s="2">
        <f>8/29</f>
        <v>0.27586206896551724</v>
      </c>
      <c r="C54" s="2">
        <f>21/29</f>
        <v>0.72413793103448276</v>
      </c>
    </row>
    <row r="55" spans="1:3" x14ac:dyDescent="0.25">
      <c r="A55" t="s">
        <v>1959</v>
      </c>
      <c r="B55" s="2">
        <f>3/12</f>
        <v>0.25</v>
      </c>
      <c r="C55" s="2">
        <f>9/12</f>
        <v>0.75</v>
      </c>
    </row>
    <row r="56" spans="1:3" x14ac:dyDescent="0.25">
      <c r="A56" t="s">
        <v>1960</v>
      </c>
      <c r="B56" s="2">
        <f>2/5</f>
        <v>0.4</v>
      </c>
      <c r="C56" s="2">
        <f>3/5</f>
        <v>0.6</v>
      </c>
    </row>
    <row r="57" spans="1:3" x14ac:dyDescent="0.25">
      <c r="A57" t="s">
        <v>1961</v>
      </c>
      <c r="B57" s="2">
        <f>7/10</f>
        <v>0.7</v>
      </c>
      <c r="C57" s="2">
        <f>3/10</f>
        <v>0.3</v>
      </c>
    </row>
    <row r="58" spans="1:3" x14ac:dyDescent="0.25">
      <c r="A58" t="s">
        <v>1962</v>
      </c>
      <c r="B58" s="2">
        <f>0/4</f>
        <v>0</v>
      </c>
      <c r="C58" s="2">
        <f>4/4</f>
        <v>1</v>
      </c>
    </row>
    <row r="59" spans="1:3" x14ac:dyDescent="0.25">
      <c r="A59" t="s">
        <v>1963</v>
      </c>
      <c r="B59" s="2">
        <f>7/17</f>
        <v>0.41176470588235292</v>
      </c>
      <c r="C59" s="2">
        <f>10/17</f>
        <v>0.58823529411764708</v>
      </c>
    </row>
    <row r="60" spans="1:3" x14ac:dyDescent="0.25">
      <c r="A60" t="s">
        <v>1964</v>
      </c>
      <c r="B60" s="2">
        <f>1/39</f>
        <v>2.564102564102564E-2</v>
      </c>
      <c r="C60" s="2">
        <f>38/39</f>
        <v>0.97435897435897434</v>
      </c>
    </row>
    <row r="61" spans="1:3" x14ac:dyDescent="0.25">
      <c r="A61" t="s">
        <v>1965</v>
      </c>
      <c r="B61" s="2">
        <f>16/33</f>
        <v>0.48484848484848486</v>
      </c>
      <c r="C61" s="2">
        <f>17/33</f>
        <v>0.51515151515151514</v>
      </c>
    </row>
    <row r="62" spans="1:3" x14ac:dyDescent="0.25">
      <c r="A62" t="s">
        <v>1966</v>
      </c>
      <c r="B62" s="2">
        <f>5/54</f>
        <v>9.2592592592592587E-2</v>
      </c>
      <c r="C62" s="2">
        <f>49/54</f>
        <v>0.90740740740740744</v>
      </c>
    </row>
    <row r="63" spans="1:3" x14ac:dyDescent="0.25">
      <c r="A63" t="s">
        <v>1967</v>
      </c>
      <c r="B63" s="2">
        <f>0/10</f>
        <v>0</v>
      </c>
      <c r="C63" s="2">
        <f>10/10</f>
        <v>1</v>
      </c>
    </row>
    <row r="64" spans="1:3" x14ac:dyDescent="0.25">
      <c r="A64" t="s">
        <v>1972</v>
      </c>
      <c r="B64" s="2">
        <f>6/15</f>
        <v>0.4</v>
      </c>
      <c r="C64" s="2">
        <f>9/15</f>
        <v>0.6</v>
      </c>
    </row>
    <row r="65" spans="1:3" x14ac:dyDescent="0.25">
      <c r="A65" t="s">
        <v>1973</v>
      </c>
      <c r="B65" s="2">
        <f>3/5</f>
        <v>0.6</v>
      </c>
      <c r="C65" s="2">
        <f>2/5</f>
        <v>0.4</v>
      </c>
    </row>
    <row r="66" spans="1:3" x14ac:dyDescent="0.25">
      <c r="A66" t="s">
        <v>1968</v>
      </c>
      <c r="B66" s="2">
        <f>7/15</f>
        <v>0.46666666666666667</v>
      </c>
      <c r="C66" s="2">
        <f>8/15</f>
        <v>0.53333333333333333</v>
      </c>
    </row>
    <row r="67" spans="1:3" x14ac:dyDescent="0.25">
      <c r="A67" t="s">
        <v>1969</v>
      </c>
      <c r="B67" s="2">
        <f>2/4</f>
        <v>0.5</v>
      </c>
      <c r="C67" s="2">
        <f>2/4</f>
        <v>0.5</v>
      </c>
    </row>
    <row r="68" spans="1:3" x14ac:dyDescent="0.25">
      <c r="A68" t="s">
        <v>1970</v>
      </c>
      <c r="B68" s="2">
        <f>0/8</f>
        <v>0</v>
      </c>
      <c r="C68" s="2">
        <f>8/8</f>
        <v>1</v>
      </c>
    </row>
    <row r="69" spans="1:3" x14ac:dyDescent="0.25">
      <c r="A69" t="s">
        <v>1971</v>
      </c>
      <c r="B69" s="2">
        <f>3/5</f>
        <v>0.6</v>
      </c>
      <c r="C69" s="2">
        <f>2/5</f>
        <v>0.4</v>
      </c>
    </row>
    <row r="71" spans="1:3" x14ac:dyDescent="0.25">
      <c r="A71" s="5" t="s">
        <v>1992</v>
      </c>
      <c r="B71" s="5" t="s">
        <v>87</v>
      </c>
      <c r="C71" s="5" t="s">
        <v>84</v>
      </c>
    </row>
    <row r="72" spans="1:3" x14ac:dyDescent="0.25">
      <c r="A72" t="s">
        <v>1993</v>
      </c>
      <c r="B72" s="2">
        <f>16/156</f>
        <v>0.10256410256410256</v>
      </c>
      <c r="C72" s="2">
        <f>140/156</f>
        <v>0.89743589743589747</v>
      </c>
    </row>
    <row r="73" spans="1:3" x14ac:dyDescent="0.25">
      <c r="A73" t="s">
        <v>1990</v>
      </c>
      <c r="B73" s="2">
        <f>7/30</f>
        <v>0.23333333333333334</v>
      </c>
      <c r="C73" s="2">
        <f>23/30</f>
        <v>0.76666666666666672</v>
      </c>
    </row>
    <row r="74" spans="1:3" x14ac:dyDescent="0.25">
      <c r="A74" t="s">
        <v>1991</v>
      </c>
      <c r="B74" s="2">
        <f>42/85</f>
        <v>0.49411764705882355</v>
      </c>
      <c r="C74" s="2">
        <f>43/85</f>
        <v>0.50588235294117645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FBBE4-925A-4690-8001-DE3E4567DDBB}">
  <dimension ref="A1:E74"/>
  <sheetViews>
    <sheetView topLeftCell="A55" workbookViewId="0">
      <selection activeCell="E73" sqref="E73"/>
    </sheetView>
  </sheetViews>
  <sheetFormatPr baseColWidth="10" defaultRowHeight="15" x14ac:dyDescent="0.25"/>
  <cols>
    <col min="1" max="1" width="24" bestFit="1" customWidth="1"/>
    <col min="3" max="3" width="22.85546875" bestFit="1" customWidth="1"/>
    <col min="4" max="4" width="14.28515625" bestFit="1" customWidth="1"/>
  </cols>
  <sheetData>
    <row r="1" spans="1:5" x14ac:dyDescent="0.25">
      <c r="A1" s="5" t="s">
        <v>3</v>
      </c>
      <c r="B1" s="5" t="s">
        <v>1974</v>
      </c>
      <c r="C1" s="5" t="s">
        <v>1975</v>
      </c>
      <c r="D1" s="5" t="s">
        <v>1976</v>
      </c>
      <c r="E1" s="5" t="s">
        <v>1942</v>
      </c>
    </row>
    <row r="2" spans="1:5" x14ac:dyDescent="0.25">
      <c r="A2" t="s">
        <v>156</v>
      </c>
      <c r="B2" s="2">
        <f>8/8</f>
        <v>1</v>
      </c>
      <c r="C2" s="2">
        <f>0/8</f>
        <v>0</v>
      </c>
      <c r="D2" s="2">
        <f>0/8</f>
        <v>0</v>
      </c>
      <c r="E2" s="2">
        <f>1/8</f>
        <v>0.125</v>
      </c>
    </row>
    <row r="3" spans="1:5" x14ac:dyDescent="0.25">
      <c r="A3" t="s">
        <v>1911</v>
      </c>
      <c r="B3" s="2">
        <f>1/1</f>
        <v>1</v>
      </c>
      <c r="C3" s="2">
        <f>0/1</f>
        <v>0</v>
      </c>
      <c r="D3" s="2">
        <f>0/1</f>
        <v>0</v>
      </c>
      <c r="E3" s="2">
        <f>0/1</f>
        <v>0</v>
      </c>
    </row>
    <row r="4" spans="1:5" x14ac:dyDescent="0.25">
      <c r="A4" t="s">
        <v>137</v>
      </c>
      <c r="B4" s="2">
        <f>13/13</f>
        <v>1</v>
      </c>
      <c r="C4" s="2">
        <f>0/13</f>
        <v>0</v>
      </c>
      <c r="D4" s="2">
        <f>0/13</f>
        <v>0</v>
      </c>
      <c r="E4" s="2">
        <f>0/13</f>
        <v>0</v>
      </c>
    </row>
    <row r="5" spans="1:5" x14ac:dyDescent="0.25">
      <c r="A5" t="s">
        <v>215</v>
      </c>
      <c r="B5" s="2">
        <f>1/1</f>
        <v>1</v>
      </c>
      <c r="C5" s="2">
        <f t="shared" ref="C5:E6" si="0">0/1</f>
        <v>0</v>
      </c>
      <c r="D5" s="2">
        <f t="shared" si="0"/>
        <v>0</v>
      </c>
      <c r="E5" s="2">
        <f t="shared" si="0"/>
        <v>0</v>
      </c>
    </row>
    <row r="6" spans="1:5" x14ac:dyDescent="0.25">
      <c r="A6" t="s">
        <v>1912</v>
      </c>
      <c r="B6" s="2">
        <f>1/1</f>
        <v>1</v>
      </c>
      <c r="C6" s="2">
        <f t="shared" si="0"/>
        <v>0</v>
      </c>
      <c r="D6" s="2">
        <f t="shared" si="0"/>
        <v>0</v>
      </c>
      <c r="E6" s="2">
        <f t="shared" si="0"/>
        <v>0</v>
      </c>
    </row>
    <row r="7" spans="1:5" x14ac:dyDescent="0.25">
      <c r="A7" t="s">
        <v>1913</v>
      </c>
      <c r="B7" s="2">
        <f>5/5</f>
        <v>1</v>
      </c>
      <c r="C7" s="2">
        <f>1/5</f>
        <v>0.2</v>
      </c>
      <c r="D7" s="2">
        <f>0/5</f>
        <v>0</v>
      </c>
      <c r="E7" s="2">
        <f>0/5</f>
        <v>0</v>
      </c>
    </row>
    <row r="8" spans="1:5" x14ac:dyDescent="0.25">
      <c r="A8" t="s">
        <v>515</v>
      </c>
      <c r="B8" s="2">
        <f>8/8</f>
        <v>1</v>
      </c>
      <c r="C8" s="2">
        <f t="shared" ref="C8:E9" si="1">0/8</f>
        <v>0</v>
      </c>
      <c r="D8" s="2">
        <f t="shared" si="1"/>
        <v>0</v>
      </c>
      <c r="E8" s="2">
        <f t="shared" si="1"/>
        <v>0</v>
      </c>
    </row>
    <row r="9" spans="1:5" x14ac:dyDescent="0.25">
      <c r="A9" t="s">
        <v>374</v>
      </c>
      <c r="B9" s="2">
        <f>8/8</f>
        <v>1</v>
      </c>
      <c r="C9" s="2">
        <f t="shared" si="1"/>
        <v>0</v>
      </c>
      <c r="D9" s="2">
        <f t="shared" si="1"/>
        <v>0</v>
      </c>
      <c r="E9" s="2">
        <f t="shared" si="1"/>
        <v>0</v>
      </c>
    </row>
    <row r="10" spans="1:5" x14ac:dyDescent="0.25">
      <c r="A10" t="s">
        <v>120</v>
      </c>
      <c r="B10" s="2">
        <f>20/20</f>
        <v>1</v>
      </c>
      <c r="C10" s="2">
        <f>1/20</f>
        <v>0.05</v>
      </c>
      <c r="D10" s="2">
        <f>0/20</f>
        <v>0</v>
      </c>
      <c r="E10" s="2">
        <f>3/20</f>
        <v>0.15</v>
      </c>
    </row>
    <row r="11" spans="1:5" x14ac:dyDescent="0.25">
      <c r="A11" t="s">
        <v>1914</v>
      </c>
      <c r="B11" s="2">
        <f>3/3</f>
        <v>1</v>
      </c>
      <c r="C11" s="2">
        <f>0/3</f>
        <v>0</v>
      </c>
      <c r="D11" s="2">
        <f>0/3</f>
        <v>0</v>
      </c>
      <c r="E11" s="2">
        <f>0/3</f>
        <v>0</v>
      </c>
    </row>
    <row r="12" spans="1:5" x14ac:dyDescent="0.25">
      <c r="A12" t="s">
        <v>233</v>
      </c>
      <c r="B12" s="2">
        <f>4/4</f>
        <v>1</v>
      </c>
      <c r="C12" s="2">
        <f>0/4</f>
        <v>0</v>
      </c>
      <c r="D12" s="2">
        <f>0/4</f>
        <v>0</v>
      </c>
      <c r="E12" s="2">
        <f>0/4</f>
        <v>0</v>
      </c>
    </row>
    <row r="13" spans="1:5" x14ac:dyDescent="0.25">
      <c r="A13" t="s">
        <v>425</v>
      </c>
      <c r="B13" s="2">
        <f>6/6</f>
        <v>1</v>
      </c>
      <c r="C13" s="2">
        <f>0/6</f>
        <v>0</v>
      </c>
      <c r="D13" s="2">
        <f>0/6</f>
        <v>0</v>
      </c>
      <c r="E13" s="2">
        <f>0/6</f>
        <v>0</v>
      </c>
    </row>
    <row r="14" spans="1:5" x14ac:dyDescent="0.25">
      <c r="A14" t="s">
        <v>727</v>
      </c>
      <c r="B14" s="2">
        <f>5/5</f>
        <v>1</v>
      </c>
      <c r="C14" s="2">
        <f>0/5</f>
        <v>0</v>
      </c>
      <c r="D14" s="2">
        <f>0/5</f>
        <v>0</v>
      </c>
      <c r="E14" s="2">
        <f>0/5</f>
        <v>0</v>
      </c>
    </row>
    <row r="15" spans="1:5" x14ac:dyDescent="0.25">
      <c r="A15" t="s">
        <v>83</v>
      </c>
      <c r="B15" s="2">
        <f>4/4</f>
        <v>1</v>
      </c>
      <c r="C15" s="2">
        <f>0/4</f>
        <v>0</v>
      </c>
      <c r="D15" s="2">
        <f>0/4</f>
        <v>0</v>
      </c>
      <c r="E15" s="2">
        <f>0/4</f>
        <v>0</v>
      </c>
    </row>
    <row r="16" spans="1:5" x14ac:dyDescent="0.25">
      <c r="A16" t="s">
        <v>204</v>
      </c>
      <c r="B16" s="2">
        <f>21/21</f>
        <v>1</v>
      </c>
      <c r="C16" s="2">
        <f>0/21</f>
        <v>0</v>
      </c>
      <c r="D16" s="2">
        <f>0/21</f>
        <v>0</v>
      </c>
      <c r="E16" s="2">
        <f>0/21</f>
        <v>0</v>
      </c>
    </row>
    <row r="17" spans="1:5" x14ac:dyDescent="0.25">
      <c r="A17" t="s">
        <v>319</v>
      </c>
      <c r="B17" s="2">
        <f>4/4</f>
        <v>1</v>
      </c>
      <c r="C17" s="2">
        <f>0/4</f>
        <v>0</v>
      </c>
      <c r="D17" s="2">
        <f>0/4</f>
        <v>0</v>
      </c>
      <c r="E17" s="2">
        <f>1/4</f>
        <v>0.25</v>
      </c>
    </row>
    <row r="18" spans="1:5" x14ac:dyDescent="0.25">
      <c r="A18" t="s">
        <v>245</v>
      </c>
      <c r="B18" s="2">
        <f>8/8</f>
        <v>1</v>
      </c>
      <c r="C18" s="2">
        <f>0/8</f>
        <v>0</v>
      </c>
      <c r="D18" s="2">
        <f>0/8</f>
        <v>0</v>
      </c>
      <c r="E18" s="2">
        <f>0/8</f>
        <v>0</v>
      </c>
    </row>
    <row r="19" spans="1:5" x14ac:dyDescent="0.25">
      <c r="A19" t="s">
        <v>408</v>
      </c>
      <c r="B19" s="2">
        <f>2/2</f>
        <v>1</v>
      </c>
      <c r="C19" s="2">
        <f>0/2</f>
        <v>0</v>
      </c>
      <c r="D19" s="2">
        <f>0/2</f>
        <v>0</v>
      </c>
      <c r="E19" s="2">
        <f>0/2</f>
        <v>0</v>
      </c>
    </row>
    <row r="20" spans="1:5" x14ac:dyDescent="0.25">
      <c r="A20" t="s">
        <v>1915</v>
      </c>
      <c r="B20" s="2">
        <f>1/1</f>
        <v>1</v>
      </c>
      <c r="C20" s="2">
        <f>0/1</f>
        <v>0</v>
      </c>
      <c r="D20" s="2">
        <f>0/1</f>
        <v>0</v>
      </c>
      <c r="E20" s="2">
        <f>0/1</f>
        <v>0</v>
      </c>
    </row>
    <row r="21" spans="1:5" x14ac:dyDescent="0.25">
      <c r="A21" t="s">
        <v>658</v>
      </c>
      <c r="B21" s="2">
        <f>4/4</f>
        <v>1</v>
      </c>
      <c r="C21" s="2">
        <f>0/4</f>
        <v>0</v>
      </c>
      <c r="D21" s="2">
        <f>0/4</f>
        <v>0</v>
      </c>
      <c r="E21" s="2">
        <f>0/4</f>
        <v>0</v>
      </c>
    </row>
    <row r="22" spans="1:5" x14ac:dyDescent="0.25">
      <c r="A22" t="s">
        <v>198</v>
      </c>
      <c r="B22" s="2">
        <f>7/7</f>
        <v>1</v>
      </c>
      <c r="C22" s="2">
        <f>1/7</f>
        <v>0.14285714285714285</v>
      </c>
      <c r="D22" s="2">
        <f>0/7</f>
        <v>0</v>
      </c>
      <c r="E22" s="2">
        <f>0/7</f>
        <v>0</v>
      </c>
    </row>
    <row r="23" spans="1:5" x14ac:dyDescent="0.25">
      <c r="A23" t="s">
        <v>278</v>
      </c>
      <c r="B23" s="2">
        <f>5/5</f>
        <v>1</v>
      </c>
      <c r="C23" s="2">
        <f>0/5</f>
        <v>0</v>
      </c>
      <c r="D23" s="2">
        <f>0/5</f>
        <v>0</v>
      </c>
      <c r="E23" s="2">
        <f>1/5</f>
        <v>0.2</v>
      </c>
    </row>
    <row r="24" spans="1:5" x14ac:dyDescent="0.25">
      <c r="A24" t="s">
        <v>253</v>
      </c>
      <c r="B24" s="2">
        <f>4/4</f>
        <v>1</v>
      </c>
      <c r="C24" s="2">
        <f t="shared" ref="C24:E25" si="2">0/4</f>
        <v>0</v>
      </c>
      <c r="D24" s="2">
        <f t="shared" si="2"/>
        <v>0</v>
      </c>
      <c r="E24" s="2">
        <f t="shared" si="2"/>
        <v>0</v>
      </c>
    </row>
    <row r="25" spans="1:5" x14ac:dyDescent="0.25">
      <c r="A25" t="s">
        <v>93</v>
      </c>
      <c r="B25" s="2">
        <f>4/4</f>
        <v>1</v>
      </c>
      <c r="C25" s="2">
        <f t="shared" si="2"/>
        <v>0</v>
      </c>
      <c r="D25" s="2">
        <f t="shared" si="2"/>
        <v>0</v>
      </c>
      <c r="E25" s="2">
        <f t="shared" si="2"/>
        <v>0</v>
      </c>
    </row>
    <row r="26" spans="1:5" x14ac:dyDescent="0.25">
      <c r="A26" t="s">
        <v>1916</v>
      </c>
      <c r="B26" s="2">
        <f>5/5</f>
        <v>1</v>
      </c>
      <c r="C26" s="2">
        <f>0/5</f>
        <v>0</v>
      </c>
      <c r="D26" s="2">
        <f>0/5</f>
        <v>0</v>
      </c>
      <c r="E26" s="2">
        <f>0/5</f>
        <v>0</v>
      </c>
    </row>
    <row r="27" spans="1:5" x14ac:dyDescent="0.25">
      <c r="A27" t="s">
        <v>991</v>
      </c>
      <c r="B27" s="2">
        <f>3/3</f>
        <v>1</v>
      </c>
      <c r="C27" s="2">
        <f>0/3</f>
        <v>0</v>
      </c>
      <c r="D27" s="2">
        <f>0/3</f>
        <v>0</v>
      </c>
      <c r="E27" s="2">
        <f>0/3</f>
        <v>0</v>
      </c>
    </row>
    <row r="28" spans="1:5" x14ac:dyDescent="0.25">
      <c r="A28" t="s">
        <v>998</v>
      </c>
      <c r="B28" s="2">
        <f>5/5</f>
        <v>1</v>
      </c>
      <c r="C28" s="2">
        <f>1/5</f>
        <v>0.2</v>
      </c>
      <c r="D28" s="2">
        <f>0/5</f>
        <v>0</v>
      </c>
      <c r="E28" s="2">
        <f>0/5</f>
        <v>0</v>
      </c>
    </row>
    <row r="29" spans="1:5" x14ac:dyDescent="0.25">
      <c r="A29" t="s">
        <v>952</v>
      </c>
      <c r="B29" s="2">
        <f>4/4</f>
        <v>1</v>
      </c>
      <c r="C29" s="2">
        <f t="shared" ref="C29:E30" si="3">0/4</f>
        <v>0</v>
      </c>
      <c r="D29" s="2">
        <f t="shared" si="3"/>
        <v>0</v>
      </c>
      <c r="E29" s="2">
        <f t="shared" si="3"/>
        <v>0</v>
      </c>
    </row>
    <row r="30" spans="1:5" x14ac:dyDescent="0.25">
      <c r="A30" t="s">
        <v>1691</v>
      </c>
      <c r="B30" s="2">
        <f>4/4</f>
        <v>1</v>
      </c>
      <c r="C30" s="2">
        <f t="shared" si="3"/>
        <v>0</v>
      </c>
      <c r="D30" s="2">
        <f t="shared" si="3"/>
        <v>0</v>
      </c>
      <c r="E30" s="2">
        <f t="shared" si="3"/>
        <v>0</v>
      </c>
    </row>
    <row r="31" spans="1:5" x14ac:dyDescent="0.25">
      <c r="A31" t="s">
        <v>284</v>
      </c>
      <c r="B31" s="2">
        <f>3/3</f>
        <v>1</v>
      </c>
      <c r="C31" s="2">
        <f>0/3</f>
        <v>0</v>
      </c>
      <c r="D31" s="2">
        <f>0/3</f>
        <v>0</v>
      </c>
      <c r="E31" s="2">
        <f>0/3</f>
        <v>0</v>
      </c>
    </row>
    <row r="32" spans="1:5" x14ac:dyDescent="0.25">
      <c r="A32" t="s">
        <v>299</v>
      </c>
      <c r="B32" s="2">
        <f>15/15</f>
        <v>1</v>
      </c>
      <c r="C32" s="2">
        <f>0/15</f>
        <v>0</v>
      </c>
      <c r="D32" s="2">
        <f>0/15</f>
        <v>0</v>
      </c>
      <c r="E32" s="2">
        <f>0/15</f>
        <v>0</v>
      </c>
    </row>
    <row r="33" spans="1:5" x14ac:dyDescent="0.25">
      <c r="A33" t="s">
        <v>1028</v>
      </c>
      <c r="B33" s="2">
        <v>1</v>
      </c>
      <c r="C33" s="2">
        <v>0</v>
      </c>
      <c r="D33" s="2">
        <v>0</v>
      </c>
      <c r="E33" s="2">
        <v>0</v>
      </c>
    </row>
    <row r="34" spans="1:5" x14ac:dyDescent="0.25">
      <c r="A34" t="s">
        <v>715</v>
      </c>
      <c r="B34" s="2">
        <v>1</v>
      </c>
      <c r="C34" s="2">
        <v>0</v>
      </c>
      <c r="D34" s="2">
        <v>0</v>
      </c>
      <c r="E34" s="2">
        <v>0</v>
      </c>
    </row>
    <row r="35" spans="1:5" x14ac:dyDescent="0.25">
      <c r="A35" t="s">
        <v>222</v>
      </c>
      <c r="B35" s="2">
        <v>1</v>
      </c>
      <c r="C35" s="2">
        <v>0</v>
      </c>
      <c r="D35" s="2">
        <v>0</v>
      </c>
      <c r="E35" s="2">
        <v>0</v>
      </c>
    </row>
    <row r="36" spans="1:5" x14ac:dyDescent="0.25">
      <c r="A36" t="s">
        <v>414</v>
      </c>
      <c r="B36" s="2">
        <v>1</v>
      </c>
      <c r="C36" s="2">
        <v>0</v>
      </c>
      <c r="D36" s="2">
        <v>0</v>
      </c>
      <c r="E36" s="2">
        <v>0</v>
      </c>
    </row>
    <row r="37" spans="1:5" x14ac:dyDescent="0.25">
      <c r="A37" t="s">
        <v>1917</v>
      </c>
      <c r="B37" s="2">
        <v>1</v>
      </c>
      <c r="C37" s="2">
        <v>0</v>
      </c>
      <c r="D37" s="2">
        <v>0</v>
      </c>
      <c r="E37" s="2">
        <v>0</v>
      </c>
    </row>
    <row r="38" spans="1:5" x14ac:dyDescent="0.25">
      <c r="A38" t="s">
        <v>1430</v>
      </c>
      <c r="B38" s="2">
        <v>1</v>
      </c>
      <c r="C38" s="2">
        <v>0</v>
      </c>
      <c r="D38" s="2">
        <v>0</v>
      </c>
      <c r="E38" s="2">
        <v>0</v>
      </c>
    </row>
    <row r="39" spans="1:5" x14ac:dyDescent="0.25">
      <c r="A39" t="s">
        <v>1918</v>
      </c>
      <c r="B39" s="2">
        <v>1</v>
      </c>
      <c r="C39" s="2">
        <v>0</v>
      </c>
      <c r="D39" s="2">
        <v>0</v>
      </c>
      <c r="E39" s="2">
        <v>0</v>
      </c>
    </row>
    <row r="40" spans="1:5" x14ac:dyDescent="0.25">
      <c r="A40" t="s">
        <v>109</v>
      </c>
      <c r="B40" s="2">
        <v>1</v>
      </c>
      <c r="C40" s="2">
        <v>0</v>
      </c>
      <c r="D40" s="2">
        <v>0</v>
      </c>
      <c r="E40" s="2">
        <v>0</v>
      </c>
    </row>
    <row r="41" spans="1:5" x14ac:dyDescent="0.25">
      <c r="A41" t="s">
        <v>334</v>
      </c>
      <c r="B41" s="2">
        <v>1</v>
      </c>
      <c r="C41" s="2">
        <v>0</v>
      </c>
      <c r="D41" s="2">
        <v>0</v>
      </c>
      <c r="E41" s="2">
        <v>0</v>
      </c>
    </row>
    <row r="42" spans="1:5" x14ac:dyDescent="0.25">
      <c r="A42" t="s">
        <v>743</v>
      </c>
      <c r="B42" s="2">
        <v>1</v>
      </c>
      <c r="C42" s="2">
        <v>0</v>
      </c>
      <c r="D42" s="2">
        <v>0</v>
      </c>
      <c r="E42" s="2">
        <v>0</v>
      </c>
    </row>
    <row r="43" spans="1:5" x14ac:dyDescent="0.25">
      <c r="A43" t="s">
        <v>325</v>
      </c>
      <c r="B43" s="2">
        <v>1</v>
      </c>
      <c r="C43" s="2">
        <v>0</v>
      </c>
      <c r="D43" s="2">
        <v>0</v>
      </c>
      <c r="E43" s="2">
        <v>0</v>
      </c>
    </row>
    <row r="44" spans="1:5" x14ac:dyDescent="0.25">
      <c r="A44" t="s">
        <v>264</v>
      </c>
      <c r="B44" s="2">
        <v>1</v>
      </c>
      <c r="C44" s="2">
        <v>0</v>
      </c>
      <c r="D44" s="2">
        <v>0</v>
      </c>
      <c r="E44" s="2">
        <f>1/5</f>
        <v>0.2</v>
      </c>
    </row>
    <row r="45" spans="1:5" x14ac:dyDescent="0.25">
      <c r="A45" t="s">
        <v>228</v>
      </c>
      <c r="B45" s="2">
        <v>1</v>
      </c>
      <c r="C45" s="2">
        <v>0</v>
      </c>
      <c r="D45" s="2">
        <v>0</v>
      </c>
      <c r="E45" s="2">
        <v>0</v>
      </c>
    </row>
    <row r="46" spans="1:5" x14ac:dyDescent="0.25">
      <c r="A46" t="s">
        <v>170</v>
      </c>
      <c r="B46" s="2">
        <v>1</v>
      </c>
      <c r="C46" s="2">
        <v>0</v>
      </c>
      <c r="D46" s="2">
        <v>0</v>
      </c>
      <c r="E46" s="2">
        <v>0</v>
      </c>
    </row>
    <row r="47" spans="1:5" x14ac:dyDescent="0.25">
      <c r="A47" t="s">
        <v>1919</v>
      </c>
      <c r="B47" s="2">
        <v>1</v>
      </c>
      <c r="C47" s="2">
        <v>0</v>
      </c>
      <c r="D47" s="2">
        <v>0</v>
      </c>
      <c r="E47" s="2">
        <f>1/20</f>
        <v>0.05</v>
      </c>
    </row>
    <row r="48" spans="1:5" x14ac:dyDescent="0.25">
      <c r="A48" t="s">
        <v>987</v>
      </c>
      <c r="B48" s="2">
        <v>1</v>
      </c>
      <c r="C48" s="2">
        <v>0</v>
      </c>
      <c r="D48" s="2">
        <v>0</v>
      </c>
      <c r="E48" s="2">
        <v>0</v>
      </c>
    </row>
    <row r="49" spans="1:5" x14ac:dyDescent="0.25">
      <c r="A49" t="s">
        <v>191</v>
      </c>
      <c r="B49" s="2">
        <v>1</v>
      </c>
      <c r="C49" s="2">
        <v>0</v>
      </c>
      <c r="D49" s="2">
        <v>0</v>
      </c>
      <c r="E49" s="2">
        <v>0</v>
      </c>
    </row>
    <row r="50" spans="1:5" x14ac:dyDescent="0.25">
      <c r="A50" t="s">
        <v>1054</v>
      </c>
      <c r="B50" s="2">
        <v>1</v>
      </c>
      <c r="C50" s="2">
        <v>0</v>
      </c>
      <c r="D50" s="2">
        <v>0</v>
      </c>
      <c r="E50" s="2">
        <v>0</v>
      </c>
    </row>
    <row r="51" spans="1:5" x14ac:dyDescent="0.25">
      <c r="A51" s="5" t="s">
        <v>1935</v>
      </c>
      <c r="B51" s="2">
        <v>1</v>
      </c>
      <c r="C51" s="2">
        <f>4/271</f>
        <v>1.4760147601476014E-2</v>
      </c>
      <c r="D51" s="2">
        <v>0</v>
      </c>
      <c r="E51" s="2">
        <f>4/271</f>
        <v>1.4760147601476014E-2</v>
      </c>
    </row>
    <row r="52" spans="1:5" x14ac:dyDescent="0.25">
      <c r="B52" s="2"/>
      <c r="C52" s="2"/>
      <c r="D52" s="2"/>
      <c r="E52" s="2"/>
    </row>
    <row r="53" spans="1:5" x14ac:dyDescent="0.25">
      <c r="A53" s="5" t="s">
        <v>1930</v>
      </c>
      <c r="B53" s="7" t="s">
        <v>1974</v>
      </c>
      <c r="C53" s="7" t="s">
        <v>1975</v>
      </c>
      <c r="D53" s="7" t="s">
        <v>1976</v>
      </c>
      <c r="E53" s="7" t="s">
        <v>1942</v>
      </c>
    </row>
    <row r="54" spans="1:5" x14ac:dyDescent="0.25">
      <c r="A54" t="s">
        <v>1958</v>
      </c>
      <c r="B54" s="2">
        <v>1</v>
      </c>
      <c r="C54" s="2">
        <f>1/29</f>
        <v>3.4482758620689655E-2</v>
      </c>
      <c r="D54" s="2">
        <v>0</v>
      </c>
      <c r="E54" s="2">
        <v>0</v>
      </c>
    </row>
    <row r="55" spans="1:5" x14ac:dyDescent="0.25">
      <c r="A55" t="s">
        <v>1959</v>
      </c>
      <c r="B55" s="2">
        <v>1</v>
      </c>
      <c r="C55" s="2">
        <v>0</v>
      </c>
      <c r="D55" s="2">
        <v>0</v>
      </c>
      <c r="E55" s="2">
        <v>0</v>
      </c>
    </row>
    <row r="56" spans="1:5" x14ac:dyDescent="0.25">
      <c r="A56" t="s">
        <v>1960</v>
      </c>
      <c r="B56" s="2">
        <v>1</v>
      </c>
      <c r="C56" s="2">
        <f>1/5</f>
        <v>0.2</v>
      </c>
      <c r="D56" s="2">
        <v>0</v>
      </c>
      <c r="E56" s="2">
        <v>0</v>
      </c>
    </row>
    <row r="57" spans="1:5" x14ac:dyDescent="0.25">
      <c r="A57" t="s">
        <v>1961</v>
      </c>
      <c r="B57" s="2">
        <v>1</v>
      </c>
      <c r="C57" s="2">
        <f>1/10</f>
        <v>0.1</v>
      </c>
      <c r="D57" s="2">
        <v>0</v>
      </c>
      <c r="E57" s="2">
        <v>0</v>
      </c>
    </row>
    <row r="58" spans="1:5" x14ac:dyDescent="0.25">
      <c r="A58" t="s">
        <v>1962</v>
      </c>
      <c r="B58" s="2">
        <v>1</v>
      </c>
      <c r="C58" s="2">
        <v>0</v>
      </c>
      <c r="D58" s="2">
        <v>0</v>
      </c>
      <c r="E58" s="2">
        <v>0</v>
      </c>
    </row>
    <row r="59" spans="1:5" x14ac:dyDescent="0.25">
      <c r="A59" t="s">
        <v>1963</v>
      </c>
      <c r="B59" s="2">
        <v>1</v>
      </c>
      <c r="C59" s="2">
        <v>0</v>
      </c>
      <c r="D59" s="2">
        <v>0</v>
      </c>
      <c r="E59" s="2">
        <f>2/17</f>
        <v>0.11764705882352941</v>
      </c>
    </row>
    <row r="60" spans="1:5" x14ac:dyDescent="0.25">
      <c r="A60" t="s">
        <v>1964</v>
      </c>
      <c r="B60" s="2">
        <v>1</v>
      </c>
      <c r="C60" s="2">
        <v>0</v>
      </c>
      <c r="D60" s="2">
        <v>0</v>
      </c>
      <c r="E60" s="2">
        <v>0</v>
      </c>
    </row>
    <row r="61" spans="1:5" x14ac:dyDescent="0.25">
      <c r="A61" t="s">
        <v>1965</v>
      </c>
      <c r="B61" s="2">
        <v>1</v>
      </c>
      <c r="C61" s="2">
        <f>1/33</f>
        <v>3.0303030303030304E-2</v>
      </c>
      <c r="D61" s="2">
        <v>0</v>
      </c>
      <c r="E61" s="2">
        <f>4/33</f>
        <v>0.12121212121212122</v>
      </c>
    </row>
    <row r="62" spans="1:5" x14ac:dyDescent="0.25">
      <c r="A62" t="s">
        <v>1966</v>
      </c>
      <c r="B62" s="2">
        <v>1</v>
      </c>
      <c r="C62" s="2">
        <v>0</v>
      </c>
      <c r="D62" s="2">
        <v>0</v>
      </c>
      <c r="E62" s="2">
        <f>1/54</f>
        <v>1.8518518518518517E-2</v>
      </c>
    </row>
    <row r="63" spans="1:5" x14ac:dyDescent="0.25">
      <c r="A63" t="s">
        <v>1967</v>
      </c>
      <c r="B63" s="2">
        <v>1</v>
      </c>
      <c r="C63" s="2">
        <v>0</v>
      </c>
      <c r="D63" s="2">
        <v>0</v>
      </c>
      <c r="E63" s="2">
        <v>0</v>
      </c>
    </row>
    <row r="64" spans="1:5" x14ac:dyDescent="0.25">
      <c r="A64" t="s">
        <v>1972</v>
      </c>
      <c r="B64" s="2">
        <v>1</v>
      </c>
      <c r="C64" s="2">
        <v>0</v>
      </c>
      <c r="D64" s="2">
        <v>0</v>
      </c>
      <c r="E64" s="2">
        <f>1/15</f>
        <v>6.6666666666666666E-2</v>
      </c>
    </row>
    <row r="65" spans="1:5" x14ac:dyDescent="0.25">
      <c r="A65" t="s">
        <v>1973</v>
      </c>
      <c r="B65" s="2">
        <v>1</v>
      </c>
      <c r="C65" s="2">
        <v>0</v>
      </c>
      <c r="D65" s="2">
        <v>0</v>
      </c>
      <c r="E65" s="2">
        <v>0</v>
      </c>
    </row>
    <row r="66" spans="1:5" x14ac:dyDescent="0.25">
      <c r="A66" t="s">
        <v>1968</v>
      </c>
      <c r="B66" s="2">
        <v>1</v>
      </c>
      <c r="C66" s="2">
        <v>0</v>
      </c>
      <c r="D66" s="2">
        <v>0</v>
      </c>
      <c r="E66" s="2">
        <v>0</v>
      </c>
    </row>
    <row r="67" spans="1:5" x14ac:dyDescent="0.25">
      <c r="A67" t="s">
        <v>1969</v>
      </c>
      <c r="B67" s="2">
        <v>1</v>
      </c>
      <c r="C67" s="2">
        <v>0</v>
      </c>
      <c r="D67" s="2">
        <v>0</v>
      </c>
      <c r="E67" s="2">
        <v>0</v>
      </c>
    </row>
    <row r="68" spans="1:5" x14ac:dyDescent="0.25">
      <c r="A68" t="s">
        <v>1970</v>
      </c>
      <c r="B68" s="2">
        <v>1</v>
      </c>
      <c r="C68" s="2">
        <v>0</v>
      </c>
      <c r="D68" s="2">
        <v>0</v>
      </c>
      <c r="E68" s="2">
        <v>0</v>
      </c>
    </row>
    <row r="69" spans="1:5" x14ac:dyDescent="0.25">
      <c r="A69" t="s">
        <v>1971</v>
      </c>
      <c r="B69" s="2">
        <v>1</v>
      </c>
      <c r="C69" s="2">
        <v>0</v>
      </c>
      <c r="D69" s="2">
        <v>0</v>
      </c>
      <c r="E69" s="2">
        <v>0</v>
      </c>
    </row>
    <row r="70" spans="1:5" x14ac:dyDescent="0.25">
      <c r="D70" s="2"/>
    </row>
    <row r="71" spans="1:5" x14ac:dyDescent="0.25">
      <c r="A71" s="5" t="s">
        <v>1992</v>
      </c>
      <c r="B71" s="5" t="s">
        <v>1974</v>
      </c>
      <c r="C71" s="5" t="s">
        <v>1975</v>
      </c>
      <c r="D71" s="7" t="s">
        <v>1976</v>
      </c>
      <c r="E71" s="5" t="s">
        <v>1942</v>
      </c>
    </row>
    <row r="72" spans="1:5" x14ac:dyDescent="0.25">
      <c r="A72" t="s">
        <v>1993</v>
      </c>
      <c r="B72" s="2">
        <f>156/156</f>
        <v>1</v>
      </c>
      <c r="C72" s="2">
        <f>0/156</f>
        <v>0</v>
      </c>
      <c r="D72" s="2">
        <f>0/156</f>
        <v>0</v>
      </c>
      <c r="E72" s="2">
        <f>4/156</f>
        <v>2.564102564102564E-2</v>
      </c>
    </row>
    <row r="73" spans="1:5" x14ac:dyDescent="0.25">
      <c r="A73" t="s">
        <v>1990</v>
      </c>
      <c r="B73" s="2">
        <f>30/30</f>
        <v>1</v>
      </c>
      <c r="C73" s="2">
        <f>1/30</f>
        <v>3.3333333333333333E-2</v>
      </c>
      <c r="D73" s="2">
        <f>0/30</f>
        <v>0</v>
      </c>
      <c r="E73" s="2">
        <f>0/30</f>
        <v>0</v>
      </c>
    </row>
    <row r="74" spans="1:5" x14ac:dyDescent="0.25">
      <c r="A74" t="s">
        <v>1991</v>
      </c>
      <c r="B74" s="2">
        <f>85/85</f>
        <v>1</v>
      </c>
      <c r="C74" s="2">
        <f>3/85</f>
        <v>3.5294117647058823E-2</v>
      </c>
      <c r="D74" s="2">
        <f>0/85</f>
        <v>0</v>
      </c>
      <c r="E74" s="2">
        <f>4/85</f>
        <v>4.7058823529411764E-2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802FC3-A033-4BB1-8AE3-C8B54607FAA0}">
  <dimension ref="A1:E74"/>
  <sheetViews>
    <sheetView topLeftCell="A54" workbookViewId="0">
      <selection activeCell="E75" sqref="E75"/>
    </sheetView>
  </sheetViews>
  <sheetFormatPr baseColWidth="10" defaultRowHeight="15" x14ac:dyDescent="0.25"/>
  <cols>
    <col min="1" max="1" width="24" bestFit="1" customWidth="1"/>
    <col min="4" max="4" width="21.7109375" bestFit="1" customWidth="1"/>
  </cols>
  <sheetData>
    <row r="1" spans="1:5" x14ac:dyDescent="0.25">
      <c r="A1" s="5" t="s">
        <v>3</v>
      </c>
      <c r="B1" s="5" t="s">
        <v>1977</v>
      </c>
      <c r="C1" s="6" t="s">
        <v>1978</v>
      </c>
      <c r="D1" s="5" t="s">
        <v>1979</v>
      </c>
      <c r="E1" s="5" t="s">
        <v>1942</v>
      </c>
    </row>
    <row r="2" spans="1:5" x14ac:dyDescent="0.25">
      <c r="A2" t="s">
        <v>156</v>
      </c>
      <c r="B2" s="2">
        <f>8/8</f>
        <v>1</v>
      </c>
      <c r="C2" s="2">
        <f>4/8</f>
        <v>0.5</v>
      </c>
      <c r="D2" s="2">
        <f>0/8</f>
        <v>0</v>
      </c>
      <c r="E2" s="2">
        <f>0/8</f>
        <v>0</v>
      </c>
    </row>
    <row r="3" spans="1:5" x14ac:dyDescent="0.25">
      <c r="A3" t="s">
        <v>1911</v>
      </c>
      <c r="B3" s="2">
        <f>1/1</f>
        <v>1</v>
      </c>
      <c r="C3" s="2">
        <f>0/1</f>
        <v>0</v>
      </c>
      <c r="D3" s="2">
        <f>0/1</f>
        <v>0</v>
      </c>
      <c r="E3" s="2">
        <f>1/1</f>
        <v>1</v>
      </c>
    </row>
    <row r="4" spans="1:5" x14ac:dyDescent="0.25">
      <c r="A4" t="s">
        <v>137</v>
      </c>
      <c r="B4" s="2">
        <f>11/13</f>
        <v>0.84615384615384615</v>
      </c>
      <c r="C4" s="2">
        <f>4/13</f>
        <v>0.30769230769230771</v>
      </c>
      <c r="D4" s="2">
        <f>1/13</f>
        <v>7.6923076923076927E-2</v>
      </c>
      <c r="E4" s="2">
        <f>1/13</f>
        <v>7.6923076923076927E-2</v>
      </c>
    </row>
    <row r="5" spans="1:5" x14ac:dyDescent="0.25">
      <c r="A5" t="s">
        <v>215</v>
      </c>
      <c r="B5" s="2">
        <f>1/1</f>
        <v>1</v>
      </c>
      <c r="C5" s="2">
        <f>0/1</f>
        <v>0</v>
      </c>
      <c r="D5" s="2">
        <f>0/1</f>
        <v>0</v>
      </c>
      <c r="E5" s="2">
        <f>1/1</f>
        <v>1</v>
      </c>
    </row>
    <row r="6" spans="1:5" x14ac:dyDescent="0.25">
      <c r="A6" t="s">
        <v>1912</v>
      </c>
      <c r="B6" s="2">
        <f>1/1</f>
        <v>1</v>
      </c>
      <c r="C6" s="2">
        <f>0/1</f>
        <v>0</v>
      </c>
      <c r="D6" s="2">
        <f>1/1</f>
        <v>1</v>
      </c>
      <c r="E6" s="2">
        <f>0/1</f>
        <v>0</v>
      </c>
    </row>
    <row r="7" spans="1:5" x14ac:dyDescent="0.25">
      <c r="A7" t="s">
        <v>1913</v>
      </c>
      <c r="B7" s="2">
        <f>5/5</f>
        <v>1</v>
      </c>
      <c r="C7" s="2">
        <f>1/5</f>
        <v>0.2</v>
      </c>
      <c r="D7" s="2">
        <f>0/5</f>
        <v>0</v>
      </c>
      <c r="E7" s="2">
        <f>1/5</f>
        <v>0.2</v>
      </c>
    </row>
    <row r="8" spans="1:5" x14ac:dyDescent="0.25">
      <c r="A8" t="s">
        <v>515</v>
      </c>
      <c r="B8" s="2">
        <f>8/8</f>
        <v>1</v>
      </c>
      <c r="C8" s="2">
        <f>1/8</f>
        <v>0.125</v>
      </c>
      <c r="D8" s="2">
        <f>0/8</f>
        <v>0</v>
      </c>
      <c r="E8" s="2">
        <f>0/8</f>
        <v>0</v>
      </c>
    </row>
    <row r="9" spans="1:5" x14ac:dyDescent="0.25">
      <c r="A9" t="s">
        <v>374</v>
      </c>
      <c r="B9" s="2">
        <f>4/4</f>
        <v>1</v>
      </c>
      <c r="C9" s="2">
        <f>0/4</f>
        <v>0</v>
      </c>
      <c r="D9" s="2">
        <f>1/4</f>
        <v>0.25</v>
      </c>
      <c r="E9" s="2">
        <f>0/4</f>
        <v>0</v>
      </c>
    </row>
    <row r="10" spans="1:5" x14ac:dyDescent="0.25">
      <c r="A10" t="s">
        <v>120</v>
      </c>
      <c r="B10" s="2">
        <f>18/20</f>
        <v>0.9</v>
      </c>
      <c r="C10" s="2">
        <f>9/20</f>
        <v>0.45</v>
      </c>
      <c r="D10" s="2">
        <f>1/20</f>
        <v>0.05</v>
      </c>
      <c r="E10" s="2">
        <f>4/20</f>
        <v>0.2</v>
      </c>
    </row>
    <row r="11" spans="1:5" x14ac:dyDescent="0.25">
      <c r="A11" t="s">
        <v>1914</v>
      </c>
      <c r="B11" s="2">
        <f>3/3</f>
        <v>1</v>
      </c>
      <c r="C11" s="2">
        <f>2/3</f>
        <v>0.66666666666666663</v>
      </c>
      <c r="D11" s="2">
        <f>0/3</f>
        <v>0</v>
      </c>
      <c r="E11" s="2">
        <f>0/3</f>
        <v>0</v>
      </c>
    </row>
    <row r="12" spans="1:5" x14ac:dyDescent="0.25">
      <c r="A12" t="s">
        <v>233</v>
      </c>
      <c r="B12" s="2">
        <f>4/4</f>
        <v>1</v>
      </c>
      <c r="C12" s="2">
        <f>0/4</f>
        <v>0</v>
      </c>
      <c r="D12" s="2">
        <f>0/4</f>
        <v>0</v>
      </c>
      <c r="E12" s="2">
        <f>1/4</f>
        <v>0.25</v>
      </c>
    </row>
    <row r="13" spans="1:5" x14ac:dyDescent="0.25">
      <c r="A13" t="s">
        <v>425</v>
      </c>
      <c r="B13" s="2">
        <f>6/6</f>
        <v>1</v>
      </c>
      <c r="C13" s="2">
        <f>3/6</f>
        <v>0.5</v>
      </c>
      <c r="D13" s="2">
        <f>0/6</f>
        <v>0</v>
      </c>
      <c r="E13" s="2">
        <f>0/6</f>
        <v>0</v>
      </c>
    </row>
    <row r="14" spans="1:5" x14ac:dyDescent="0.25">
      <c r="A14" t="s">
        <v>727</v>
      </c>
      <c r="B14" s="2">
        <f>5/5</f>
        <v>1</v>
      </c>
      <c r="C14" s="2">
        <f>3/5</f>
        <v>0.6</v>
      </c>
      <c r="D14" s="2">
        <f>0/5</f>
        <v>0</v>
      </c>
      <c r="E14" s="2">
        <f>0/5</f>
        <v>0</v>
      </c>
    </row>
    <row r="15" spans="1:5" x14ac:dyDescent="0.25">
      <c r="A15" t="s">
        <v>83</v>
      </c>
      <c r="B15" s="2">
        <f>4/4</f>
        <v>1</v>
      </c>
      <c r="C15" s="2">
        <f>1/4</f>
        <v>0.25</v>
      </c>
      <c r="D15" s="2">
        <f>0/4</f>
        <v>0</v>
      </c>
      <c r="E15" s="2">
        <f>0/4</f>
        <v>0</v>
      </c>
    </row>
    <row r="16" spans="1:5" x14ac:dyDescent="0.25">
      <c r="A16" t="s">
        <v>204</v>
      </c>
      <c r="B16" s="2">
        <f>21/21</f>
        <v>1</v>
      </c>
      <c r="C16" s="2">
        <f>1/21</f>
        <v>4.7619047619047616E-2</v>
      </c>
      <c r="D16" s="2">
        <f>0/21</f>
        <v>0</v>
      </c>
      <c r="E16" s="2">
        <f>1/21</f>
        <v>4.7619047619047616E-2</v>
      </c>
    </row>
    <row r="17" spans="1:5" x14ac:dyDescent="0.25">
      <c r="A17" t="s">
        <v>319</v>
      </c>
      <c r="B17" s="2">
        <f>4/4</f>
        <v>1</v>
      </c>
      <c r="C17" s="2">
        <f>1/4</f>
        <v>0.25</v>
      </c>
      <c r="D17" s="2">
        <f>1/4</f>
        <v>0.25</v>
      </c>
      <c r="E17" s="2">
        <f>1/4</f>
        <v>0.25</v>
      </c>
    </row>
    <row r="18" spans="1:5" x14ac:dyDescent="0.25">
      <c r="A18" t="s">
        <v>245</v>
      </c>
      <c r="B18" s="2">
        <f>8/8</f>
        <v>1</v>
      </c>
      <c r="C18" s="2">
        <f>1/8</f>
        <v>0.125</v>
      </c>
      <c r="D18" s="2">
        <f>0/8</f>
        <v>0</v>
      </c>
      <c r="E18" s="2">
        <f>0/8</f>
        <v>0</v>
      </c>
    </row>
    <row r="19" spans="1:5" x14ac:dyDescent="0.25">
      <c r="A19" t="s">
        <v>408</v>
      </c>
      <c r="B19" s="2">
        <f>2/2</f>
        <v>1</v>
      </c>
      <c r="C19" s="2">
        <f>0/2</f>
        <v>0</v>
      </c>
      <c r="D19" s="2">
        <f>0/2</f>
        <v>0</v>
      </c>
      <c r="E19" s="2">
        <f>0/2</f>
        <v>0</v>
      </c>
    </row>
    <row r="20" spans="1:5" x14ac:dyDescent="0.25">
      <c r="A20" t="s">
        <v>1915</v>
      </c>
      <c r="B20" s="2">
        <f>1/1</f>
        <v>1</v>
      </c>
      <c r="C20" s="2">
        <f>1/1</f>
        <v>1</v>
      </c>
      <c r="D20" s="2">
        <f>0/1</f>
        <v>0</v>
      </c>
      <c r="E20" s="2">
        <f>0/1</f>
        <v>0</v>
      </c>
    </row>
    <row r="21" spans="1:5" x14ac:dyDescent="0.25">
      <c r="A21" t="s">
        <v>658</v>
      </c>
      <c r="B21" s="2">
        <f>3/4</f>
        <v>0.75</v>
      </c>
      <c r="C21" s="2">
        <f>3/4</f>
        <v>0.75</v>
      </c>
      <c r="D21" s="2">
        <f>1/4</f>
        <v>0.25</v>
      </c>
      <c r="E21" s="2">
        <f>0/4</f>
        <v>0</v>
      </c>
    </row>
    <row r="22" spans="1:5" x14ac:dyDescent="0.25">
      <c r="A22" t="s">
        <v>198</v>
      </c>
      <c r="B22" s="2">
        <f>7/7</f>
        <v>1</v>
      </c>
      <c r="C22" s="2">
        <f>4/7</f>
        <v>0.5714285714285714</v>
      </c>
      <c r="D22" s="2">
        <f>0/7</f>
        <v>0</v>
      </c>
      <c r="E22" s="2">
        <f>0/7</f>
        <v>0</v>
      </c>
    </row>
    <row r="23" spans="1:5" x14ac:dyDescent="0.25">
      <c r="A23" t="s">
        <v>278</v>
      </c>
      <c r="B23" s="2">
        <f>4/5</f>
        <v>0.8</v>
      </c>
      <c r="C23" s="2">
        <f>4/5</f>
        <v>0.8</v>
      </c>
      <c r="D23" s="2">
        <f>1/5</f>
        <v>0.2</v>
      </c>
      <c r="E23" s="2">
        <f>0/5</f>
        <v>0</v>
      </c>
    </row>
    <row r="24" spans="1:5" x14ac:dyDescent="0.25">
      <c r="A24" t="s">
        <v>253</v>
      </c>
      <c r="B24" s="2">
        <f>4/4</f>
        <v>1</v>
      </c>
      <c r="C24" s="2">
        <f>2/4</f>
        <v>0.5</v>
      </c>
      <c r="D24" s="2">
        <f>0/4</f>
        <v>0</v>
      </c>
      <c r="E24" s="2">
        <f>0/4</f>
        <v>0</v>
      </c>
    </row>
    <row r="25" spans="1:5" x14ac:dyDescent="0.25">
      <c r="A25" t="s">
        <v>93</v>
      </c>
      <c r="B25" s="2">
        <f>4/4</f>
        <v>1</v>
      </c>
      <c r="C25" s="2">
        <f>0/4</f>
        <v>0</v>
      </c>
      <c r="D25" s="2">
        <f>0/4</f>
        <v>0</v>
      </c>
      <c r="E25" s="2">
        <f>0/4</f>
        <v>0</v>
      </c>
    </row>
    <row r="26" spans="1:5" x14ac:dyDescent="0.25">
      <c r="A26" t="s">
        <v>1916</v>
      </c>
      <c r="B26" s="2">
        <f>5/5</f>
        <v>1</v>
      </c>
      <c r="C26" s="2">
        <f>2/5</f>
        <v>0.4</v>
      </c>
      <c r="D26" s="2">
        <f>1/5</f>
        <v>0.2</v>
      </c>
      <c r="E26" s="2">
        <f>0/5</f>
        <v>0</v>
      </c>
    </row>
    <row r="27" spans="1:5" x14ac:dyDescent="0.25">
      <c r="A27" t="s">
        <v>991</v>
      </c>
      <c r="B27" s="2">
        <f>3/3</f>
        <v>1</v>
      </c>
      <c r="C27" s="2">
        <f>0/3</f>
        <v>0</v>
      </c>
      <c r="D27" s="2">
        <f>0/3</f>
        <v>0</v>
      </c>
      <c r="E27" s="2">
        <f>0/3</f>
        <v>0</v>
      </c>
    </row>
    <row r="28" spans="1:5" x14ac:dyDescent="0.25">
      <c r="A28" t="s">
        <v>998</v>
      </c>
      <c r="B28" s="2">
        <f>5/5</f>
        <v>1</v>
      </c>
      <c r="C28" s="2">
        <f>1/5</f>
        <v>0.2</v>
      </c>
      <c r="D28" s="2">
        <f>0/5</f>
        <v>0</v>
      </c>
      <c r="E28" s="2">
        <f>2/5</f>
        <v>0.4</v>
      </c>
    </row>
    <row r="29" spans="1:5" x14ac:dyDescent="0.25">
      <c r="A29" t="s">
        <v>952</v>
      </c>
      <c r="B29" s="2">
        <f>4/4</f>
        <v>1</v>
      </c>
      <c r="C29" s="2">
        <f>1/4</f>
        <v>0.25</v>
      </c>
      <c r="D29" s="2">
        <f>0/4</f>
        <v>0</v>
      </c>
      <c r="E29" s="2">
        <f>1/4</f>
        <v>0.25</v>
      </c>
    </row>
    <row r="30" spans="1:5" x14ac:dyDescent="0.25">
      <c r="A30" t="s">
        <v>1691</v>
      </c>
      <c r="B30" s="2">
        <f>4/4</f>
        <v>1</v>
      </c>
      <c r="C30" s="2">
        <f>0/4</f>
        <v>0</v>
      </c>
      <c r="D30" s="2">
        <f>0/4</f>
        <v>0</v>
      </c>
      <c r="E30" s="2">
        <f>0/4</f>
        <v>0</v>
      </c>
    </row>
    <row r="31" spans="1:5" x14ac:dyDescent="0.25">
      <c r="A31" t="s">
        <v>284</v>
      </c>
      <c r="B31" s="2">
        <f>2/3</f>
        <v>0.66666666666666663</v>
      </c>
      <c r="C31" s="2">
        <f>0/3</f>
        <v>0</v>
      </c>
      <c r="D31" s="2">
        <f>0/3</f>
        <v>0</v>
      </c>
      <c r="E31" s="2">
        <f>0/3</f>
        <v>0</v>
      </c>
    </row>
    <row r="32" spans="1:5" x14ac:dyDescent="0.25">
      <c r="A32" t="s">
        <v>299</v>
      </c>
      <c r="B32" s="2">
        <f>14/15</f>
        <v>0.93333333333333335</v>
      </c>
      <c r="C32" s="2">
        <f>9/15</f>
        <v>0.6</v>
      </c>
      <c r="D32" s="2">
        <f>0/15</f>
        <v>0</v>
      </c>
      <c r="E32" s="2">
        <f>1/15</f>
        <v>6.6666666666666666E-2</v>
      </c>
    </row>
    <row r="33" spans="1:5" x14ac:dyDescent="0.25">
      <c r="A33" t="s">
        <v>1028</v>
      </c>
      <c r="B33" s="2">
        <f>3/3</f>
        <v>1</v>
      </c>
      <c r="C33" s="2">
        <f>2/3</f>
        <v>0.66666666666666663</v>
      </c>
      <c r="D33" s="2">
        <f>0/3</f>
        <v>0</v>
      </c>
      <c r="E33" s="2">
        <f>0/3</f>
        <v>0</v>
      </c>
    </row>
    <row r="34" spans="1:5" x14ac:dyDescent="0.25">
      <c r="A34" t="s">
        <v>715</v>
      </c>
      <c r="B34" s="2">
        <f>4/4</f>
        <v>1</v>
      </c>
      <c r="C34" s="2">
        <f>1/4</f>
        <v>0.25</v>
      </c>
      <c r="D34" s="2">
        <f>1/4</f>
        <v>0.25</v>
      </c>
      <c r="E34" s="2">
        <f>0/4</f>
        <v>0</v>
      </c>
    </row>
    <row r="35" spans="1:5" x14ac:dyDescent="0.25">
      <c r="A35" t="s">
        <v>222</v>
      </c>
      <c r="B35" s="2">
        <f>8/8</f>
        <v>1</v>
      </c>
      <c r="C35" s="2">
        <f>2/8</f>
        <v>0.25</v>
      </c>
      <c r="D35" s="2">
        <f>0/8</f>
        <v>0</v>
      </c>
      <c r="E35" s="2">
        <f>1/8</f>
        <v>0.125</v>
      </c>
    </row>
    <row r="36" spans="1:5" x14ac:dyDescent="0.25">
      <c r="A36" t="s">
        <v>414</v>
      </c>
      <c r="B36" s="2">
        <f>3/3</f>
        <v>1</v>
      </c>
      <c r="C36" s="2">
        <f>0/3</f>
        <v>0</v>
      </c>
      <c r="D36" s="2">
        <f>0/3</f>
        <v>0</v>
      </c>
      <c r="E36" s="2">
        <f>0/3</f>
        <v>0</v>
      </c>
    </row>
    <row r="37" spans="1:5" x14ac:dyDescent="0.25">
      <c r="A37" t="s">
        <v>1917</v>
      </c>
      <c r="B37" s="2">
        <f>1/1</f>
        <v>1</v>
      </c>
      <c r="C37" s="2">
        <f>0/1</f>
        <v>0</v>
      </c>
      <c r="D37" s="2">
        <f>0/1</f>
        <v>0</v>
      </c>
      <c r="E37" s="2">
        <f>0/1</f>
        <v>0</v>
      </c>
    </row>
    <row r="38" spans="1:5" x14ac:dyDescent="0.25">
      <c r="A38" t="s">
        <v>1430</v>
      </c>
      <c r="B38" s="2">
        <f>1/1</f>
        <v>1</v>
      </c>
      <c r="C38" s="2">
        <f>1/1</f>
        <v>1</v>
      </c>
      <c r="D38" s="2">
        <f>0/1</f>
        <v>0</v>
      </c>
      <c r="E38" s="2">
        <f>0/1</f>
        <v>0</v>
      </c>
    </row>
    <row r="39" spans="1:5" x14ac:dyDescent="0.25">
      <c r="A39" t="s">
        <v>1918</v>
      </c>
      <c r="B39" s="2">
        <f>5/5</f>
        <v>1</v>
      </c>
      <c r="C39" s="2">
        <f>2/5</f>
        <v>0.4</v>
      </c>
      <c r="D39" s="2">
        <f>0/5</f>
        <v>0</v>
      </c>
      <c r="E39" s="2">
        <f>0/5</f>
        <v>0</v>
      </c>
    </row>
    <row r="40" spans="1:5" x14ac:dyDescent="0.25">
      <c r="A40" t="s">
        <v>109</v>
      </c>
      <c r="B40" s="2">
        <f>9/9</f>
        <v>1</v>
      </c>
      <c r="C40" s="2">
        <f>0/9</f>
        <v>0</v>
      </c>
      <c r="D40" s="2">
        <f>0/9</f>
        <v>0</v>
      </c>
      <c r="E40" s="2">
        <f>0/9</f>
        <v>0</v>
      </c>
    </row>
    <row r="41" spans="1:5" x14ac:dyDescent="0.25">
      <c r="A41" t="s">
        <v>334</v>
      </c>
      <c r="B41" s="2">
        <f>3/3</f>
        <v>1</v>
      </c>
      <c r="C41" s="2">
        <f>0/3</f>
        <v>0</v>
      </c>
      <c r="D41" s="2">
        <f>0/3</f>
        <v>0</v>
      </c>
      <c r="E41" s="2">
        <f>0/3</f>
        <v>0</v>
      </c>
    </row>
    <row r="42" spans="1:5" x14ac:dyDescent="0.25">
      <c r="A42" t="s">
        <v>743</v>
      </c>
      <c r="B42" s="2">
        <f>3/4</f>
        <v>0.75</v>
      </c>
      <c r="C42" s="2">
        <f>2/4</f>
        <v>0.5</v>
      </c>
      <c r="D42" s="2">
        <f>0/4</f>
        <v>0</v>
      </c>
      <c r="E42" s="2">
        <f>1/4</f>
        <v>0.25</v>
      </c>
    </row>
    <row r="43" spans="1:5" x14ac:dyDescent="0.25">
      <c r="A43" t="s">
        <v>325</v>
      </c>
      <c r="B43" s="2">
        <f>3/3</f>
        <v>1</v>
      </c>
      <c r="C43" s="2">
        <f>0/3</f>
        <v>0</v>
      </c>
      <c r="D43" s="2">
        <f>0/3</f>
        <v>0</v>
      </c>
      <c r="E43" s="2">
        <f>0/3</f>
        <v>0</v>
      </c>
    </row>
    <row r="44" spans="1:5" x14ac:dyDescent="0.25">
      <c r="A44" t="s">
        <v>264</v>
      </c>
      <c r="B44" s="2">
        <f>5/5</f>
        <v>1</v>
      </c>
      <c r="C44" s="2">
        <f>3/5</f>
        <v>0.6</v>
      </c>
      <c r="D44" s="2">
        <f>0/5</f>
        <v>0</v>
      </c>
      <c r="E44" s="2">
        <f>1/5</f>
        <v>0.2</v>
      </c>
    </row>
    <row r="45" spans="1:5" x14ac:dyDescent="0.25">
      <c r="A45" t="s">
        <v>228</v>
      </c>
      <c r="B45" s="2">
        <f>5/5</f>
        <v>1</v>
      </c>
      <c r="C45" s="2">
        <f>1/5</f>
        <v>0.2</v>
      </c>
      <c r="D45" s="2">
        <f>0/5</f>
        <v>0</v>
      </c>
      <c r="E45" s="2">
        <f>1/5</f>
        <v>0.2</v>
      </c>
    </row>
    <row r="46" spans="1:5" x14ac:dyDescent="0.25">
      <c r="A46" t="s">
        <v>170</v>
      </c>
      <c r="B46" s="2">
        <f>5/5</f>
        <v>1</v>
      </c>
      <c r="C46" s="2">
        <f>1/5</f>
        <v>0.2</v>
      </c>
      <c r="D46" s="2">
        <f>0/5</f>
        <v>0</v>
      </c>
      <c r="E46" s="2">
        <f>0/5</f>
        <v>0</v>
      </c>
    </row>
    <row r="47" spans="1:5" x14ac:dyDescent="0.25">
      <c r="A47" t="s">
        <v>1919</v>
      </c>
      <c r="B47" s="2">
        <f>20/20</f>
        <v>1</v>
      </c>
      <c r="C47" s="2">
        <f>8/20</f>
        <v>0.4</v>
      </c>
      <c r="D47" s="2">
        <f>3/20</f>
        <v>0.15</v>
      </c>
      <c r="E47" s="2">
        <f>4/20</f>
        <v>0.2</v>
      </c>
    </row>
    <row r="48" spans="1:5" x14ac:dyDescent="0.25">
      <c r="A48" t="s">
        <v>987</v>
      </c>
      <c r="B48" s="2">
        <f>4/4</f>
        <v>1</v>
      </c>
      <c r="C48" s="2">
        <f>0/4</f>
        <v>0</v>
      </c>
      <c r="D48" s="2">
        <f>0/4</f>
        <v>0</v>
      </c>
      <c r="E48" s="2">
        <f>0/4</f>
        <v>0</v>
      </c>
    </row>
    <row r="49" spans="1:5" x14ac:dyDescent="0.25">
      <c r="A49" t="s">
        <v>191</v>
      </c>
      <c r="B49" s="2">
        <f>3/3</f>
        <v>1</v>
      </c>
      <c r="C49" s="2">
        <f>1/3</f>
        <v>0.33333333333333331</v>
      </c>
      <c r="D49" s="2">
        <f>0/3</f>
        <v>0</v>
      </c>
      <c r="E49" s="2">
        <f>0/3</f>
        <v>0</v>
      </c>
    </row>
    <row r="50" spans="1:5" x14ac:dyDescent="0.25">
      <c r="A50" t="s">
        <v>1054</v>
      </c>
      <c r="B50" s="2">
        <f>2/3</f>
        <v>0.66666666666666663</v>
      </c>
      <c r="C50" s="2">
        <f>1/3</f>
        <v>0.33333333333333331</v>
      </c>
      <c r="D50" s="2">
        <f>0/3</f>
        <v>0</v>
      </c>
      <c r="E50" s="2">
        <f>1/3</f>
        <v>0.33333333333333331</v>
      </c>
    </row>
    <row r="51" spans="1:5" x14ac:dyDescent="0.25">
      <c r="A51" s="5" t="s">
        <v>1935</v>
      </c>
      <c r="B51" s="2"/>
      <c r="C51" s="2"/>
      <c r="D51" s="2"/>
      <c r="E51" s="2"/>
    </row>
    <row r="52" spans="1:5" x14ac:dyDescent="0.25">
      <c r="B52" s="2"/>
      <c r="C52" s="2"/>
      <c r="D52" s="2"/>
      <c r="E52" s="2"/>
    </row>
    <row r="53" spans="1:5" x14ac:dyDescent="0.25">
      <c r="A53" s="5" t="s">
        <v>1930</v>
      </c>
      <c r="B53" s="7" t="s">
        <v>1977</v>
      </c>
      <c r="C53" s="8" t="s">
        <v>1978</v>
      </c>
      <c r="D53" s="7" t="s">
        <v>1979</v>
      </c>
      <c r="E53" s="7" t="s">
        <v>1942</v>
      </c>
    </row>
    <row r="54" spans="1:5" x14ac:dyDescent="0.25">
      <c r="A54" t="s">
        <v>1958</v>
      </c>
      <c r="B54" s="2">
        <f>28/29</f>
        <v>0.96551724137931039</v>
      </c>
      <c r="C54" s="2">
        <f>14/29</f>
        <v>0.48275862068965519</v>
      </c>
      <c r="D54" s="2">
        <f>0/29</f>
        <v>0</v>
      </c>
      <c r="E54" s="2">
        <f>2/29</f>
        <v>6.8965517241379309E-2</v>
      </c>
    </row>
    <row r="55" spans="1:5" x14ac:dyDescent="0.25">
      <c r="A55" t="s">
        <v>1959</v>
      </c>
      <c r="B55" s="2">
        <f>11/12</f>
        <v>0.91666666666666663</v>
      </c>
      <c r="C55" s="2">
        <f>2/12</f>
        <v>0.16666666666666666</v>
      </c>
      <c r="D55" s="2">
        <f>0/12</f>
        <v>0</v>
      </c>
      <c r="E55" s="2">
        <f>1/12</f>
        <v>8.3333333333333329E-2</v>
      </c>
    </row>
    <row r="56" spans="1:5" x14ac:dyDescent="0.25">
      <c r="A56" t="s">
        <v>1960</v>
      </c>
      <c r="B56" s="2">
        <f>5/5</f>
        <v>1</v>
      </c>
      <c r="C56" s="2">
        <f>1/5</f>
        <v>0.2</v>
      </c>
      <c r="D56" s="2">
        <f>0/5</f>
        <v>0</v>
      </c>
      <c r="E56" s="2">
        <f>1/5</f>
        <v>0.2</v>
      </c>
    </row>
    <row r="57" spans="1:5" x14ac:dyDescent="0.25">
      <c r="A57" t="s">
        <v>1961</v>
      </c>
      <c r="B57" s="2">
        <f>10/10</f>
        <v>1</v>
      </c>
      <c r="C57" s="2">
        <f>3/10</f>
        <v>0.3</v>
      </c>
      <c r="D57" s="2">
        <f>0/10</f>
        <v>0</v>
      </c>
      <c r="E57" s="2">
        <f>2/10</f>
        <v>0.2</v>
      </c>
    </row>
    <row r="58" spans="1:5" x14ac:dyDescent="0.25">
      <c r="A58" t="s">
        <v>1962</v>
      </c>
      <c r="B58" s="2">
        <f>4/4</f>
        <v>1</v>
      </c>
      <c r="C58" s="2">
        <f>1/4</f>
        <v>0.25</v>
      </c>
      <c r="D58" s="2">
        <f>0/4</f>
        <v>0</v>
      </c>
      <c r="E58" s="2">
        <f>0/4</f>
        <v>0</v>
      </c>
    </row>
    <row r="59" spans="1:5" x14ac:dyDescent="0.25">
      <c r="A59" t="s">
        <v>1963</v>
      </c>
      <c r="B59" s="2">
        <f>16/17</f>
        <v>0.94117647058823528</v>
      </c>
      <c r="C59" s="2">
        <f>6/17</f>
        <v>0.35294117647058826</v>
      </c>
      <c r="D59" s="2">
        <f>2/15</f>
        <v>0.13333333333333333</v>
      </c>
      <c r="E59" s="2">
        <f>2/17</f>
        <v>0.11764705882352941</v>
      </c>
    </row>
    <row r="60" spans="1:5" x14ac:dyDescent="0.25">
      <c r="A60" t="s">
        <v>1964</v>
      </c>
      <c r="B60" s="2">
        <f>39/39</f>
        <v>1</v>
      </c>
      <c r="C60" s="2">
        <f>3/39</f>
        <v>7.6923076923076927E-2</v>
      </c>
      <c r="D60" s="2">
        <f>0/10</f>
        <v>0</v>
      </c>
      <c r="E60" s="2">
        <f>2/39</f>
        <v>5.128205128205128E-2</v>
      </c>
    </row>
    <row r="61" spans="1:5" x14ac:dyDescent="0.25">
      <c r="A61" t="s">
        <v>1965</v>
      </c>
      <c r="B61" s="2">
        <f>30/33</f>
        <v>0.90909090909090906</v>
      </c>
      <c r="C61" s="2">
        <f>15/33</f>
        <v>0.45454545454545453</v>
      </c>
      <c r="D61" s="2">
        <f>2/33</f>
        <v>6.0606060606060608E-2</v>
      </c>
      <c r="E61" s="2">
        <f>5/33</f>
        <v>0.15151515151515152</v>
      </c>
    </row>
    <row r="62" spans="1:5" x14ac:dyDescent="0.25">
      <c r="A62" t="s">
        <v>1966</v>
      </c>
      <c r="B62" s="2">
        <f>52/54</f>
        <v>0.96296296296296291</v>
      </c>
      <c r="C62" s="2">
        <f>13/54</f>
        <v>0.24074074074074073</v>
      </c>
      <c r="D62" s="2">
        <f>4/54</f>
        <v>7.407407407407407E-2</v>
      </c>
      <c r="E62" s="2">
        <f>6/54</f>
        <v>0.1111111111111111</v>
      </c>
    </row>
    <row r="63" spans="1:5" x14ac:dyDescent="0.25">
      <c r="A63" t="s">
        <v>1967</v>
      </c>
      <c r="B63" s="2">
        <f>10/10</f>
        <v>1</v>
      </c>
      <c r="C63" s="2">
        <f>3/10</f>
        <v>0.3</v>
      </c>
      <c r="D63" s="2">
        <f>1/10</f>
        <v>0.1</v>
      </c>
      <c r="E63" s="2">
        <f>0/10</f>
        <v>0</v>
      </c>
    </row>
    <row r="64" spans="1:5" x14ac:dyDescent="0.25">
      <c r="A64" t="s">
        <v>1972</v>
      </c>
      <c r="B64" s="2">
        <f>14/15</f>
        <v>0.93333333333333335</v>
      </c>
      <c r="C64" s="2">
        <f>5/15</f>
        <v>0.33333333333333331</v>
      </c>
      <c r="D64" s="2">
        <f>0/15</f>
        <v>0</v>
      </c>
      <c r="E64" s="2">
        <f>0/15</f>
        <v>0</v>
      </c>
    </row>
    <row r="65" spans="1:5" x14ac:dyDescent="0.25">
      <c r="A65" t="s">
        <v>1973</v>
      </c>
      <c r="B65" s="2">
        <f>5/5</f>
        <v>1</v>
      </c>
      <c r="C65" s="2">
        <f>2/5</f>
        <v>0.4</v>
      </c>
      <c r="D65" s="2">
        <f>1/5</f>
        <v>0.2</v>
      </c>
      <c r="E65" s="2">
        <f>0/5</f>
        <v>0</v>
      </c>
    </row>
    <row r="66" spans="1:5" x14ac:dyDescent="0.25">
      <c r="A66" t="s">
        <v>1968</v>
      </c>
      <c r="B66" s="2">
        <f>14/15</f>
        <v>0.93333333333333335</v>
      </c>
      <c r="C66" s="2">
        <f>9/15</f>
        <v>0.6</v>
      </c>
      <c r="D66" s="2">
        <f>0/15</f>
        <v>0</v>
      </c>
      <c r="E66" s="2">
        <f>1/15</f>
        <v>6.6666666666666666E-2</v>
      </c>
    </row>
    <row r="67" spans="1:5" x14ac:dyDescent="0.25">
      <c r="A67" t="s">
        <v>1969</v>
      </c>
      <c r="B67" s="2">
        <f>4/4</f>
        <v>1</v>
      </c>
      <c r="C67" s="2">
        <f>1/4</f>
        <v>0.25</v>
      </c>
      <c r="D67" s="2">
        <f>1/4</f>
        <v>0.25</v>
      </c>
      <c r="E67" s="2">
        <f>0/4</f>
        <v>0</v>
      </c>
    </row>
    <row r="68" spans="1:5" x14ac:dyDescent="0.25">
      <c r="A68" t="s">
        <v>1970</v>
      </c>
      <c r="B68" s="2">
        <f>8/8</f>
        <v>1</v>
      </c>
      <c r="C68" s="2">
        <f>2/8</f>
        <v>0.25</v>
      </c>
      <c r="D68" s="2">
        <f>0/8</f>
        <v>0</v>
      </c>
      <c r="E68" s="2">
        <f>1/8</f>
        <v>0.125</v>
      </c>
    </row>
    <row r="69" spans="1:5" x14ac:dyDescent="0.25">
      <c r="A69" t="s">
        <v>1971</v>
      </c>
      <c r="B69" s="2">
        <f>5/5</f>
        <v>1</v>
      </c>
      <c r="C69" s="2">
        <f>3/5</f>
        <v>0.6</v>
      </c>
      <c r="D69" s="2">
        <f>1/5</f>
        <v>0.2</v>
      </c>
      <c r="E69" s="2">
        <f>0/5</f>
        <v>0</v>
      </c>
    </row>
    <row r="71" spans="1:5" x14ac:dyDescent="0.25">
      <c r="A71" s="5" t="s">
        <v>1992</v>
      </c>
      <c r="B71" s="5" t="s">
        <v>1977</v>
      </c>
      <c r="C71" s="5" t="s">
        <v>1978</v>
      </c>
      <c r="D71" s="5" t="s">
        <v>1979</v>
      </c>
      <c r="E71" s="5" t="s">
        <v>1942</v>
      </c>
    </row>
    <row r="72" spans="1:5" x14ac:dyDescent="0.25">
      <c r="A72" t="s">
        <v>1993</v>
      </c>
      <c r="B72" s="2">
        <f>155/156</f>
        <v>0.99358974358974361</v>
      </c>
      <c r="C72" s="2">
        <f>22/156</f>
        <v>0.14102564102564102</v>
      </c>
      <c r="D72" s="2">
        <f>2/156</f>
        <v>1.282051282051282E-2</v>
      </c>
      <c r="E72" s="2">
        <f>11/156</f>
        <v>7.0512820512820512E-2</v>
      </c>
    </row>
    <row r="73" spans="1:5" x14ac:dyDescent="0.25">
      <c r="A73" t="s">
        <v>1990</v>
      </c>
      <c r="B73" s="2">
        <f>28/30</f>
        <v>0.93333333333333335</v>
      </c>
      <c r="C73" s="2">
        <f>16/30</f>
        <v>0.53333333333333333</v>
      </c>
      <c r="D73" s="2">
        <f>2/30</f>
        <v>6.6666666666666666E-2</v>
      </c>
      <c r="E73" s="2">
        <f>3/30</f>
        <v>0.1</v>
      </c>
    </row>
    <row r="74" spans="1:5" x14ac:dyDescent="0.25">
      <c r="A74" t="s">
        <v>1991</v>
      </c>
      <c r="B74" s="2">
        <f>78/85</f>
        <v>0.91764705882352937</v>
      </c>
      <c r="C74" s="2">
        <f>45/85</f>
        <v>0.52941176470588236</v>
      </c>
      <c r="D74" s="2">
        <f>8/85</f>
        <v>9.4117647058823528E-2</v>
      </c>
      <c r="E74" s="2">
        <f>13/85</f>
        <v>0.15294117647058825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29377-F711-4FE6-BDC0-ADFF9D46B26B}">
  <dimension ref="A1:G74"/>
  <sheetViews>
    <sheetView topLeftCell="A54" workbookViewId="0">
      <selection activeCell="G75" sqref="G75"/>
    </sheetView>
  </sheetViews>
  <sheetFormatPr baseColWidth="10" defaultRowHeight="15" x14ac:dyDescent="0.25"/>
  <sheetData>
    <row r="1" spans="1:7" x14ac:dyDescent="0.25">
      <c r="A1" s="5" t="s">
        <v>3</v>
      </c>
      <c r="B1" s="5" t="s">
        <v>1943</v>
      </c>
      <c r="C1" s="5" t="s">
        <v>1944</v>
      </c>
      <c r="D1" s="5" t="s">
        <v>1980</v>
      </c>
      <c r="E1" s="5" t="s">
        <v>1946</v>
      </c>
      <c r="F1" s="5" t="s">
        <v>780</v>
      </c>
      <c r="G1" s="5" t="s">
        <v>1934</v>
      </c>
    </row>
    <row r="2" spans="1:7" x14ac:dyDescent="0.25">
      <c r="A2" t="s">
        <v>156</v>
      </c>
      <c r="B2" s="2">
        <f>2/8</f>
        <v>0.25</v>
      </c>
      <c r="C2" s="2">
        <f>0/8</f>
        <v>0</v>
      </c>
      <c r="D2" s="2">
        <f>1/8</f>
        <v>0.125</v>
      </c>
      <c r="E2" s="2">
        <f>3/8</f>
        <v>0.375</v>
      </c>
      <c r="F2" s="2">
        <f>4/8</f>
        <v>0.5</v>
      </c>
      <c r="G2" s="2">
        <f>0/8</f>
        <v>0</v>
      </c>
    </row>
    <row r="3" spans="1:7" x14ac:dyDescent="0.25">
      <c r="A3" t="s">
        <v>1911</v>
      </c>
      <c r="B3" s="2">
        <f>0/1</f>
        <v>0</v>
      </c>
      <c r="C3" s="2">
        <f>0/1</f>
        <v>0</v>
      </c>
      <c r="D3" s="2">
        <f>0/1</f>
        <v>0</v>
      </c>
      <c r="E3" s="2">
        <f>0/1</f>
        <v>0</v>
      </c>
      <c r="F3" s="2">
        <f>1/1</f>
        <v>1</v>
      </c>
      <c r="G3" s="2">
        <f>0/1</f>
        <v>0</v>
      </c>
    </row>
    <row r="4" spans="1:7" x14ac:dyDescent="0.25">
      <c r="A4" t="s">
        <v>137</v>
      </c>
      <c r="B4" s="2">
        <f>4/13</f>
        <v>0.30769230769230771</v>
      </c>
      <c r="C4" s="2">
        <f>0/13</f>
        <v>0</v>
      </c>
      <c r="D4" s="2">
        <f>0/13</f>
        <v>0</v>
      </c>
      <c r="E4" s="2">
        <f>4/13</f>
        <v>0.30769230769230771</v>
      </c>
      <c r="F4" s="2">
        <f>5/13</f>
        <v>0.38461538461538464</v>
      </c>
      <c r="G4" s="2">
        <f>0/13</f>
        <v>0</v>
      </c>
    </row>
    <row r="5" spans="1:7" x14ac:dyDescent="0.25">
      <c r="A5" t="s">
        <v>215</v>
      </c>
      <c r="B5" s="2">
        <f>0/1</f>
        <v>0</v>
      </c>
      <c r="C5" s="2">
        <f>0/1</f>
        <v>0</v>
      </c>
      <c r="D5" s="2">
        <f>0/1</f>
        <v>0</v>
      </c>
      <c r="E5" s="2">
        <f>0/1</f>
        <v>0</v>
      </c>
      <c r="F5" s="2">
        <f>1/1</f>
        <v>1</v>
      </c>
      <c r="G5" s="2">
        <f>0/1</f>
        <v>0</v>
      </c>
    </row>
    <row r="6" spans="1:7" x14ac:dyDescent="0.25">
      <c r="A6" t="s">
        <v>1912</v>
      </c>
      <c r="B6" s="2">
        <f>0/1</f>
        <v>0</v>
      </c>
      <c r="C6" s="2">
        <f>0/1</f>
        <v>0</v>
      </c>
      <c r="D6" s="2">
        <f>1/1</f>
        <v>1</v>
      </c>
      <c r="E6" s="2">
        <f>0/1</f>
        <v>0</v>
      </c>
      <c r="F6" s="2">
        <f>0/1</f>
        <v>0</v>
      </c>
      <c r="G6" s="2">
        <f>0/1</f>
        <v>0</v>
      </c>
    </row>
    <row r="7" spans="1:7" x14ac:dyDescent="0.25">
      <c r="A7" t="s">
        <v>1913</v>
      </c>
      <c r="B7" s="2">
        <f>0/5</f>
        <v>0</v>
      </c>
      <c r="C7" s="2">
        <f>0/5</f>
        <v>0</v>
      </c>
      <c r="D7" s="2">
        <f>0/5</f>
        <v>0</v>
      </c>
      <c r="E7" s="2">
        <f>3/5</f>
        <v>0.6</v>
      </c>
      <c r="F7" s="2">
        <f>2/5</f>
        <v>0.4</v>
      </c>
      <c r="G7" s="2">
        <f>1/5</f>
        <v>0.2</v>
      </c>
    </row>
    <row r="8" spans="1:7" x14ac:dyDescent="0.25">
      <c r="A8" t="s">
        <v>515</v>
      </c>
      <c r="B8" s="2">
        <f>0/8</f>
        <v>0</v>
      </c>
      <c r="C8" s="2">
        <f>0/8</f>
        <v>0</v>
      </c>
      <c r="D8" s="2">
        <f>0/8</f>
        <v>0</v>
      </c>
      <c r="E8" s="2">
        <f>7/8</f>
        <v>0.875</v>
      </c>
      <c r="F8" s="2">
        <f>1/8</f>
        <v>0.125</v>
      </c>
      <c r="G8" s="2">
        <f>0/8</f>
        <v>0</v>
      </c>
    </row>
    <row r="9" spans="1:7" x14ac:dyDescent="0.25">
      <c r="A9" t="s">
        <v>374</v>
      </c>
      <c r="B9" s="2">
        <f>2/4</f>
        <v>0.5</v>
      </c>
      <c r="C9" s="2">
        <f>0/4</f>
        <v>0</v>
      </c>
      <c r="D9" s="2">
        <f>0/4</f>
        <v>0</v>
      </c>
      <c r="E9" s="2">
        <f>1/4</f>
        <v>0.25</v>
      </c>
      <c r="F9" s="2">
        <f>2/4</f>
        <v>0.5</v>
      </c>
      <c r="G9" s="2">
        <f>0/4</f>
        <v>0</v>
      </c>
    </row>
    <row r="10" spans="1:7" x14ac:dyDescent="0.25">
      <c r="A10" t="s">
        <v>120</v>
      </c>
      <c r="B10" s="2">
        <f>10/20</f>
        <v>0.5</v>
      </c>
      <c r="C10" s="2">
        <f>0/20</f>
        <v>0</v>
      </c>
      <c r="D10" s="2">
        <f>3/20</f>
        <v>0.15</v>
      </c>
      <c r="E10" s="2">
        <f>7/20</f>
        <v>0.35</v>
      </c>
      <c r="F10" s="2">
        <f>4/20</f>
        <v>0.2</v>
      </c>
      <c r="G10" s="2">
        <f>3/20</f>
        <v>0.15</v>
      </c>
    </row>
    <row r="11" spans="1:7" x14ac:dyDescent="0.25">
      <c r="A11" t="s">
        <v>1914</v>
      </c>
      <c r="B11" s="2">
        <f>0/3</f>
        <v>0</v>
      </c>
      <c r="C11" s="2">
        <f>0/3</f>
        <v>0</v>
      </c>
      <c r="D11" s="2">
        <f>1/3</f>
        <v>0.33333333333333331</v>
      </c>
      <c r="E11" s="2">
        <f>3/3</f>
        <v>1</v>
      </c>
      <c r="F11" s="2">
        <f>0/3</f>
        <v>0</v>
      </c>
      <c r="G11" s="2">
        <f>1/3</f>
        <v>0.33333333333333331</v>
      </c>
    </row>
    <row r="12" spans="1:7" x14ac:dyDescent="0.25">
      <c r="A12" t="s">
        <v>233</v>
      </c>
      <c r="B12" s="2">
        <f>3/4</f>
        <v>0.75</v>
      </c>
      <c r="C12" s="2">
        <f>0/4</f>
        <v>0</v>
      </c>
      <c r="D12" s="2">
        <f>0/4</f>
        <v>0</v>
      </c>
      <c r="E12" s="2">
        <f>2/4</f>
        <v>0.5</v>
      </c>
      <c r="F12" s="2">
        <f>0/4</f>
        <v>0</v>
      </c>
      <c r="G12" s="2">
        <f>0/4</f>
        <v>0</v>
      </c>
    </row>
    <row r="13" spans="1:7" x14ac:dyDescent="0.25">
      <c r="A13" t="s">
        <v>425</v>
      </c>
      <c r="B13" s="2">
        <f>2/6</f>
        <v>0.33333333333333331</v>
      </c>
      <c r="C13" s="2">
        <f>0/6</f>
        <v>0</v>
      </c>
      <c r="D13" s="2">
        <f>0/6</f>
        <v>0</v>
      </c>
      <c r="E13" s="2">
        <f>1/6</f>
        <v>0.16666666666666666</v>
      </c>
      <c r="F13" s="2">
        <f>3/6</f>
        <v>0.5</v>
      </c>
      <c r="G13" s="2">
        <f>0/6</f>
        <v>0</v>
      </c>
    </row>
    <row r="14" spans="1:7" x14ac:dyDescent="0.25">
      <c r="A14" t="s">
        <v>727</v>
      </c>
      <c r="B14" s="2">
        <f>0/5</f>
        <v>0</v>
      </c>
      <c r="C14" s="2">
        <f>0/5</f>
        <v>0</v>
      </c>
      <c r="D14" s="2">
        <f>0/5</f>
        <v>0</v>
      </c>
      <c r="E14" s="2">
        <f>1/5</f>
        <v>0.2</v>
      </c>
      <c r="F14" s="2">
        <f>4/5</f>
        <v>0.8</v>
      </c>
      <c r="G14" s="2">
        <f>0/5</f>
        <v>0</v>
      </c>
    </row>
    <row r="15" spans="1:7" x14ac:dyDescent="0.25">
      <c r="A15" t="s">
        <v>83</v>
      </c>
      <c r="B15" s="2">
        <f>1/4</f>
        <v>0.25</v>
      </c>
      <c r="C15" s="2">
        <f>0/4</f>
        <v>0</v>
      </c>
      <c r="D15" s="2">
        <f>0/4</f>
        <v>0</v>
      </c>
      <c r="E15" s="2">
        <f>1/4</f>
        <v>0.25</v>
      </c>
      <c r="F15" s="2">
        <f>2/4</f>
        <v>0.5</v>
      </c>
      <c r="G15" s="2">
        <f>0/4</f>
        <v>0</v>
      </c>
    </row>
    <row r="16" spans="1:7" x14ac:dyDescent="0.25">
      <c r="A16" t="s">
        <v>204</v>
      </c>
      <c r="B16" s="2">
        <f>7/21</f>
        <v>0.33333333333333331</v>
      </c>
      <c r="C16" s="2">
        <f>0/21</f>
        <v>0</v>
      </c>
      <c r="D16" s="2">
        <f>1/21</f>
        <v>4.7619047619047616E-2</v>
      </c>
      <c r="E16" s="2">
        <f>4/21</f>
        <v>0.19047619047619047</v>
      </c>
      <c r="F16" s="2">
        <f>10/21</f>
        <v>0.47619047619047616</v>
      </c>
      <c r="G16" s="2">
        <f>10/21</f>
        <v>0.47619047619047616</v>
      </c>
    </row>
    <row r="17" spans="1:7" x14ac:dyDescent="0.25">
      <c r="A17" t="s">
        <v>319</v>
      </c>
      <c r="B17" s="2">
        <f>2/4</f>
        <v>0.5</v>
      </c>
      <c r="C17" s="2">
        <f>0/4</f>
        <v>0</v>
      </c>
      <c r="D17" s="2">
        <f>0/4</f>
        <v>0</v>
      </c>
      <c r="E17" s="2">
        <f>1/4</f>
        <v>0.25</v>
      </c>
      <c r="F17" s="2">
        <f>2/4</f>
        <v>0.5</v>
      </c>
      <c r="G17" s="2">
        <f>0/8</f>
        <v>0</v>
      </c>
    </row>
    <row r="18" spans="1:7" x14ac:dyDescent="0.25">
      <c r="A18" t="s">
        <v>245</v>
      </c>
      <c r="B18" s="2">
        <f>2/8</f>
        <v>0.25</v>
      </c>
      <c r="C18" s="2">
        <f>0/8</f>
        <v>0</v>
      </c>
      <c r="D18" s="2">
        <f>0/8</f>
        <v>0</v>
      </c>
      <c r="E18" s="2">
        <f>2/8</f>
        <v>0.25</v>
      </c>
      <c r="F18" s="2">
        <f>5/8</f>
        <v>0.625</v>
      </c>
      <c r="G18" s="2">
        <f>0/8</f>
        <v>0</v>
      </c>
    </row>
    <row r="19" spans="1:7" x14ac:dyDescent="0.25">
      <c r="A19" t="s">
        <v>408</v>
      </c>
      <c r="B19" s="2">
        <f>0/2</f>
        <v>0</v>
      </c>
      <c r="C19" s="2">
        <f>0/2</f>
        <v>0</v>
      </c>
      <c r="D19" s="2">
        <f>0/2</f>
        <v>0</v>
      </c>
      <c r="E19" s="2">
        <f>0/2</f>
        <v>0</v>
      </c>
      <c r="F19" s="2">
        <f>2/2</f>
        <v>1</v>
      </c>
      <c r="G19" s="2">
        <f>0/2</f>
        <v>0</v>
      </c>
    </row>
    <row r="20" spans="1:7" x14ac:dyDescent="0.25">
      <c r="A20" t="s">
        <v>1915</v>
      </c>
      <c r="B20" s="2">
        <f>0/1</f>
        <v>0</v>
      </c>
      <c r="C20" s="2">
        <f>0/1</f>
        <v>0</v>
      </c>
      <c r="D20" s="2">
        <f>0/1</f>
        <v>0</v>
      </c>
      <c r="E20" s="2">
        <f>0/1</f>
        <v>0</v>
      </c>
      <c r="F20" s="2">
        <f>1/1</f>
        <v>1</v>
      </c>
      <c r="G20" s="2">
        <f>1/1</f>
        <v>1</v>
      </c>
    </row>
    <row r="21" spans="1:7" x14ac:dyDescent="0.25">
      <c r="A21" t="s">
        <v>658</v>
      </c>
      <c r="B21" s="2">
        <f>0/4</f>
        <v>0</v>
      </c>
      <c r="C21" s="2">
        <f>0/4</f>
        <v>0</v>
      </c>
      <c r="D21" s="2">
        <f>1/4</f>
        <v>0.25</v>
      </c>
      <c r="E21" s="2">
        <f>1/4</f>
        <v>0.25</v>
      </c>
      <c r="F21" s="2">
        <f>2/4</f>
        <v>0.5</v>
      </c>
      <c r="G21" s="2">
        <f>1/4</f>
        <v>0.25</v>
      </c>
    </row>
    <row r="22" spans="1:7" x14ac:dyDescent="0.25">
      <c r="A22" t="s">
        <v>198</v>
      </c>
      <c r="B22" s="2">
        <f>4/7</f>
        <v>0.5714285714285714</v>
      </c>
      <c r="C22" s="2">
        <f>1/7</f>
        <v>0.14285714285714285</v>
      </c>
      <c r="D22" s="2">
        <f>0/7</f>
        <v>0</v>
      </c>
      <c r="E22" s="2">
        <f>0/7</f>
        <v>0</v>
      </c>
      <c r="F22" s="2">
        <f>3/7</f>
        <v>0.42857142857142855</v>
      </c>
      <c r="G22" s="2">
        <f>0/7</f>
        <v>0</v>
      </c>
    </row>
    <row r="23" spans="1:7" x14ac:dyDescent="0.25">
      <c r="A23" t="s">
        <v>278</v>
      </c>
      <c r="B23" s="2">
        <f>1/5</f>
        <v>0.2</v>
      </c>
      <c r="C23" s="2">
        <f>0/5</f>
        <v>0</v>
      </c>
      <c r="D23" s="2">
        <f>2/5</f>
        <v>0.4</v>
      </c>
      <c r="E23" s="2">
        <f>3/5</f>
        <v>0.6</v>
      </c>
      <c r="F23" s="2">
        <f>2/5</f>
        <v>0.4</v>
      </c>
      <c r="G23" s="2">
        <f>0/5</f>
        <v>0</v>
      </c>
    </row>
    <row r="24" spans="1:7" x14ac:dyDescent="0.25">
      <c r="A24" t="s">
        <v>253</v>
      </c>
      <c r="B24" s="2">
        <f>3/4</f>
        <v>0.75</v>
      </c>
      <c r="C24" s="2">
        <f>0/4</f>
        <v>0</v>
      </c>
      <c r="D24" s="2">
        <f>0/4</f>
        <v>0</v>
      </c>
      <c r="E24" s="2">
        <f>2/4</f>
        <v>0.5</v>
      </c>
      <c r="F24" s="2">
        <f>0/4</f>
        <v>0</v>
      </c>
      <c r="G24" s="2">
        <f>0/4</f>
        <v>0</v>
      </c>
    </row>
    <row r="25" spans="1:7" x14ac:dyDescent="0.25">
      <c r="A25" t="s">
        <v>93</v>
      </c>
      <c r="B25" s="2">
        <f>2/4</f>
        <v>0.5</v>
      </c>
      <c r="C25" s="2">
        <f>0/4</f>
        <v>0</v>
      </c>
      <c r="D25" s="2">
        <f>0/4</f>
        <v>0</v>
      </c>
      <c r="E25" s="2">
        <f>1/4</f>
        <v>0.25</v>
      </c>
      <c r="F25" s="2">
        <f>1/4</f>
        <v>0.25</v>
      </c>
      <c r="G25" s="2">
        <f>0/4</f>
        <v>0</v>
      </c>
    </row>
    <row r="26" spans="1:7" x14ac:dyDescent="0.25">
      <c r="A26" t="s">
        <v>1916</v>
      </c>
      <c r="B26" s="2">
        <f>2/5</f>
        <v>0.4</v>
      </c>
      <c r="C26" s="2">
        <f>1/5</f>
        <v>0.2</v>
      </c>
      <c r="D26" s="2">
        <f>0/5</f>
        <v>0</v>
      </c>
      <c r="E26" s="2">
        <f>2/5</f>
        <v>0.4</v>
      </c>
      <c r="F26" s="2">
        <f>2/5</f>
        <v>0.4</v>
      </c>
      <c r="G26" s="2">
        <f>0/5</f>
        <v>0</v>
      </c>
    </row>
    <row r="27" spans="1:7" x14ac:dyDescent="0.25">
      <c r="A27" t="s">
        <v>991</v>
      </c>
      <c r="B27" s="2">
        <f>2/3</f>
        <v>0.66666666666666663</v>
      </c>
      <c r="C27" s="2">
        <f>0/3</f>
        <v>0</v>
      </c>
      <c r="D27" s="2">
        <f>0/3</f>
        <v>0</v>
      </c>
      <c r="E27" s="2">
        <f>1/3</f>
        <v>0.33333333333333331</v>
      </c>
      <c r="F27" s="2">
        <f>0/3</f>
        <v>0</v>
      </c>
      <c r="G27" s="2">
        <f>0/3</f>
        <v>0</v>
      </c>
    </row>
    <row r="28" spans="1:7" x14ac:dyDescent="0.25">
      <c r="A28" t="s">
        <v>998</v>
      </c>
      <c r="B28" s="2">
        <f>1/5</f>
        <v>0.2</v>
      </c>
      <c r="C28" s="2">
        <f>0/5</f>
        <v>0</v>
      </c>
      <c r="D28" s="2">
        <f>2/5</f>
        <v>0.4</v>
      </c>
      <c r="E28" s="2">
        <f>1/5</f>
        <v>0.2</v>
      </c>
      <c r="F28" s="2">
        <f>1/5</f>
        <v>0.2</v>
      </c>
      <c r="G28" s="2">
        <f>1/5</f>
        <v>0.2</v>
      </c>
    </row>
    <row r="29" spans="1:7" x14ac:dyDescent="0.25">
      <c r="A29" t="s">
        <v>952</v>
      </c>
      <c r="B29" s="2">
        <f>2/4</f>
        <v>0.5</v>
      </c>
      <c r="C29" s="2">
        <f>0/4</f>
        <v>0</v>
      </c>
      <c r="D29" s="2">
        <f>0/4</f>
        <v>0</v>
      </c>
      <c r="E29" s="2">
        <f>3/4</f>
        <v>0.75</v>
      </c>
      <c r="F29" s="2">
        <f>0/4</f>
        <v>0</v>
      </c>
      <c r="G29" s="2">
        <f>0/4</f>
        <v>0</v>
      </c>
    </row>
    <row r="30" spans="1:7" x14ac:dyDescent="0.25">
      <c r="A30" t="s">
        <v>1691</v>
      </c>
      <c r="B30" s="2">
        <f>1/4</f>
        <v>0.25</v>
      </c>
      <c r="C30" s="2">
        <f>0/4</f>
        <v>0</v>
      </c>
      <c r="D30" s="2">
        <f>0/4</f>
        <v>0</v>
      </c>
      <c r="E30" s="2">
        <f>0/4</f>
        <v>0</v>
      </c>
      <c r="F30" s="2">
        <f>3/4</f>
        <v>0.75</v>
      </c>
      <c r="G30" s="2">
        <f>0/4</f>
        <v>0</v>
      </c>
    </row>
    <row r="31" spans="1:7" x14ac:dyDescent="0.25">
      <c r="A31" t="s">
        <v>284</v>
      </c>
      <c r="B31" s="2">
        <f>1/3</f>
        <v>0.33333333333333331</v>
      </c>
      <c r="C31" s="2">
        <f>0/3</f>
        <v>0</v>
      </c>
      <c r="D31" s="2">
        <f>0/3</f>
        <v>0</v>
      </c>
      <c r="E31" s="2">
        <f>0/3</f>
        <v>0</v>
      </c>
      <c r="F31" s="2">
        <f>3/4</f>
        <v>0.75</v>
      </c>
      <c r="G31" s="2">
        <f>0/4</f>
        <v>0</v>
      </c>
    </row>
    <row r="32" spans="1:7" x14ac:dyDescent="0.25">
      <c r="A32" t="s">
        <v>299</v>
      </c>
      <c r="B32" s="2">
        <f>3/15</f>
        <v>0.2</v>
      </c>
      <c r="C32" s="2">
        <f>0/15</f>
        <v>0</v>
      </c>
      <c r="D32" s="2">
        <f>2/15</f>
        <v>0.13333333333333333</v>
      </c>
      <c r="E32" s="2">
        <f>4/15</f>
        <v>0.26666666666666666</v>
      </c>
      <c r="F32" s="2">
        <f>5/15</f>
        <v>0.33333333333333331</v>
      </c>
      <c r="G32" s="2">
        <f>2/15</f>
        <v>0.13333333333333333</v>
      </c>
    </row>
    <row r="33" spans="1:7" x14ac:dyDescent="0.25">
      <c r="A33" t="s">
        <v>1028</v>
      </c>
      <c r="B33" s="2">
        <f>0/3</f>
        <v>0</v>
      </c>
      <c r="C33" s="2">
        <f>0/3</f>
        <v>0</v>
      </c>
      <c r="D33" s="2">
        <f>0/3</f>
        <v>0</v>
      </c>
      <c r="E33" s="2">
        <f>2/3</f>
        <v>0.66666666666666663</v>
      </c>
      <c r="F33" s="2">
        <f>1/3</f>
        <v>0.33333333333333331</v>
      </c>
      <c r="G33" s="2">
        <f>0/3</f>
        <v>0</v>
      </c>
    </row>
    <row r="34" spans="1:7" x14ac:dyDescent="0.25">
      <c r="A34" t="s">
        <v>715</v>
      </c>
      <c r="B34" s="2">
        <f>0/4</f>
        <v>0</v>
      </c>
      <c r="C34" s="2">
        <f>0/4</f>
        <v>0</v>
      </c>
      <c r="D34" s="2">
        <f>0/4</f>
        <v>0</v>
      </c>
      <c r="E34" s="2">
        <f>0/4</f>
        <v>0</v>
      </c>
      <c r="F34" s="2">
        <f>4/4</f>
        <v>1</v>
      </c>
      <c r="G34" s="2">
        <f>0/4</f>
        <v>0</v>
      </c>
    </row>
    <row r="35" spans="1:7" x14ac:dyDescent="0.25">
      <c r="A35" t="s">
        <v>222</v>
      </c>
      <c r="B35" s="2">
        <f>4/8</f>
        <v>0.5</v>
      </c>
      <c r="C35" s="2">
        <f>0/8</f>
        <v>0</v>
      </c>
      <c r="D35" s="2">
        <f>1/8</f>
        <v>0.125</v>
      </c>
      <c r="E35" s="2">
        <f>1/8</f>
        <v>0.125</v>
      </c>
      <c r="F35" s="2">
        <f>4/8</f>
        <v>0.5</v>
      </c>
      <c r="G35" s="2">
        <f>0/8</f>
        <v>0</v>
      </c>
    </row>
    <row r="36" spans="1:7" x14ac:dyDescent="0.25">
      <c r="A36" t="s">
        <v>414</v>
      </c>
      <c r="B36" s="2">
        <f>3/3</f>
        <v>1</v>
      </c>
      <c r="C36" s="2">
        <f>0/3</f>
        <v>0</v>
      </c>
      <c r="D36" s="2">
        <f>0/3</f>
        <v>0</v>
      </c>
      <c r="E36" s="2">
        <f>0/3</f>
        <v>0</v>
      </c>
      <c r="F36" s="2">
        <f>0/3</f>
        <v>0</v>
      </c>
      <c r="G36" s="2">
        <f>0/3</f>
        <v>0</v>
      </c>
    </row>
    <row r="37" spans="1:7" x14ac:dyDescent="0.25">
      <c r="A37" t="s">
        <v>1917</v>
      </c>
      <c r="B37" s="2">
        <f>1/1</f>
        <v>1</v>
      </c>
      <c r="C37" s="2">
        <f t="shared" ref="C37:G38" si="0">0/1</f>
        <v>0</v>
      </c>
      <c r="D37" s="2">
        <f t="shared" si="0"/>
        <v>0</v>
      </c>
      <c r="E37" s="2">
        <f t="shared" si="0"/>
        <v>0</v>
      </c>
      <c r="F37" s="2">
        <f t="shared" si="0"/>
        <v>0</v>
      </c>
      <c r="G37" s="2">
        <f t="shared" si="0"/>
        <v>0</v>
      </c>
    </row>
    <row r="38" spans="1:7" x14ac:dyDescent="0.25">
      <c r="A38" t="s">
        <v>1430</v>
      </c>
      <c r="B38" s="2">
        <f>1/1</f>
        <v>1</v>
      </c>
      <c r="C38" s="2">
        <f t="shared" si="0"/>
        <v>0</v>
      </c>
      <c r="D38" s="2">
        <f t="shared" si="0"/>
        <v>0</v>
      </c>
      <c r="E38" s="2">
        <f t="shared" si="0"/>
        <v>0</v>
      </c>
      <c r="F38" s="2">
        <f t="shared" si="0"/>
        <v>0</v>
      </c>
      <c r="G38" s="2">
        <f t="shared" si="0"/>
        <v>0</v>
      </c>
    </row>
    <row r="39" spans="1:7" x14ac:dyDescent="0.25">
      <c r="A39" t="s">
        <v>1918</v>
      </c>
      <c r="B39" s="2">
        <f>3/5</f>
        <v>0.6</v>
      </c>
      <c r="C39" s="2">
        <f>0/5</f>
        <v>0</v>
      </c>
      <c r="D39" s="2">
        <f>1/5</f>
        <v>0.2</v>
      </c>
      <c r="E39" s="2">
        <f>1/5</f>
        <v>0.2</v>
      </c>
      <c r="F39" s="2">
        <f>1/5</f>
        <v>0.2</v>
      </c>
      <c r="G39" s="2">
        <f>0/5</f>
        <v>0</v>
      </c>
    </row>
    <row r="40" spans="1:7" x14ac:dyDescent="0.25">
      <c r="A40" t="s">
        <v>109</v>
      </c>
      <c r="B40" s="2">
        <f>5/9</f>
        <v>0.55555555555555558</v>
      </c>
      <c r="C40" s="2">
        <f>0/9</f>
        <v>0</v>
      </c>
      <c r="D40" s="2">
        <f>0/9</f>
        <v>0</v>
      </c>
      <c r="E40" s="2">
        <f>3/9</f>
        <v>0.33333333333333331</v>
      </c>
      <c r="F40" s="2">
        <f>1/9</f>
        <v>0.1111111111111111</v>
      </c>
      <c r="G40" s="2">
        <f>0/9</f>
        <v>0</v>
      </c>
    </row>
    <row r="41" spans="1:7" x14ac:dyDescent="0.25">
      <c r="A41" t="s">
        <v>334</v>
      </c>
      <c r="B41" s="2">
        <f>1/3</f>
        <v>0.33333333333333331</v>
      </c>
      <c r="C41" s="2">
        <f>0/3</f>
        <v>0</v>
      </c>
      <c r="D41" s="2">
        <f>0/3</f>
        <v>0</v>
      </c>
      <c r="E41" s="2">
        <f>0/3</f>
        <v>0</v>
      </c>
      <c r="F41" s="2">
        <f>2/3</f>
        <v>0.66666666666666663</v>
      </c>
      <c r="G41" s="2">
        <f>0/3</f>
        <v>0</v>
      </c>
    </row>
    <row r="42" spans="1:7" x14ac:dyDescent="0.25">
      <c r="A42" t="s">
        <v>743</v>
      </c>
      <c r="B42" s="2">
        <f>1/4</f>
        <v>0.25</v>
      </c>
      <c r="C42" s="2">
        <f>1/4</f>
        <v>0.25</v>
      </c>
      <c r="D42" s="2">
        <f>0/4</f>
        <v>0</v>
      </c>
      <c r="E42" s="2">
        <f>2/4</f>
        <v>0.5</v>
      </c>
      <c r="F42" s="2">
        <f>0/4</f>
        <v>0</v>
      </c>
      <c r="G42" s="2">
        <f>1/4</f>
        <v>0.25</v>
      </c>
    </row>
    <row r="43" spans="1:7" x14ac:dyDescent="0.25">
      <c r="A43" t="s">
        <v>325</v>
      </c>
      <c r="B43" s="2">
        <f>1/3</f>
        <v>0.33333333333333331</v>
      </c>
      <c r="C43" s="2">
        <f>0/3</f>
        <v>0</v>
      </c>
      <c r="D43" s="2">
        <f>0/3</f>
        <v>0</v>
      </c>
      <c r="E43" s="2">
        <f>1/3</f>
        <v>0.33333333333333331</v>
      </c>
      <c r="F43" s="2">
        <f>1/3</f>
        <v>0.33333333333333331</v>
      </c>
      <c r="G43" s="2">
        <f>0/3</f>
        <v>0</v>
      </c>
    </row>
    <row r="44" spans="1:7" x14ac:dyDescent="0.25">
      <c r="A44" t="s">
        <v>264</v>
      </c>
      <c r="B44" s="2">
        <f>1/5</f>
        <v>0.2</v>
      </c>
      <c r="C44" s="2">
        <f>0</f>
        <v>0</v>
      </c>
      <c r="D44" s="2">
        <f>0/5</f>
        <v>0</v>
      </c>
      <c r="E44" s="2">
        <f>3/5</f>
        <v>0.6</v>
      </c>
      <c r="F44" s="2">
        <f>1/5</f>
        <v>0.2</v>
      </c>
      <c r="G44" s="2">
        <f>1/5</f>
        <v>0.2</v>
      </c>
    </row>
    <row r="45" spans="1:7" x14ac:dyDescent="0.25">
      <c r="A45" t="s">
        <v>228</v>
      </c>
      <c r="B45" s="2">
        <f>1/5</f>
        <v>0.2</v>
      </c>
      <c r="C45" s="2">
        <f>0/5</f>
        <v>0</v>
      </c>
      <c r="D45" s="2">
        <f>1/5</f>
        <v>0.2</v>
      </c>
      <c r="E45" s="2">
        <f>1/5</f>
        <v>0.2</v>
      </c>
      <c r="F45" s="2">
        <f>3/5</f>
        <v>0.6</v>
      </c>
      <c r="G45" s="2">
        <f>0/5</f>
        <v>0</v>
      </c>
    </row>
    <row r="46" spans="1:7" x14ac:dyDescent="0.25">
      <c r="A46" t="s">
        <v>170</v>
      </c>
      <c r="B46" s="2">
        <f>1/5</f>
        <v>0.2</v>
      </c>
      <c r="C46" s="2">
        <f>0/5</f>
        <v>0</v>
      </c>
      <c r="D46" s="2">
        <f>0/5</f>
        <v>0</v>
      </c>
      <c r="E46" s="2">
        <f>2/5</f>
        <v>0.4</v>
      </c>
      <c r="F46" s="2">
        <f>3/5</f>
        <v>0.6</v>
      </c>
      <c r="G46" s="2">
        <f>0/5</f>
        <v>0</v>
      </c>
    </row>
    <row r="47" spans="1:7" x14ac:dyDescent="0.25">
      <c r="A47" t="s">
        <v>1919</v>
      </c>
      <c r="B47" s="2">
        <f>6/20</f>
        <v>0.3</v>
      </c>
      <c r="C47" s="2">
        <f>1/20</f>
        <v>0.05</v>
      </c>
      <c r="D47" s="2">
        <f>0/20</f>
        <v>0</v>
      </c>
      <c r="E47" s="2">
        <f>6/20</f>
        <v>0.3</v>
      </c>
      <c r="F47" s="2">
        <f>7/20</f>
        <v>0.35</v>
      </c>
      <c r="G47" s="2">
        <f>2/20</f>
        <v>0.1</v>
      </c>
    </row>
    <row r="48" spans="1:7" x14ac:dyDescent="0.25">
      <c r="A48" t="s">
        <v>987</v>
      </c>
      <c r="B48" s="2">
        <f>1/4</f>
        <v>0.25</v>
      </c>
      <c r="C48" s="2">
        <f>0/4</f>
        <v>0</v>
      </c>
      <c r="D48" s="2">
        <f>0/4</f>
        <v>0</v>
      </c>
      <c r="E48" s="2">
        <f>0/4</f>
        <v>0</v>
      </c>
      <c r="F48" s="2">
        <f>3/4</f>
        <v>0.75</v>
      </c>
      <c r="G48" s="2">
        <f>0/4</f>
        <v>0</v>
      </c>
    </row>
    <row r="49" spans="1:7" x14ac:dyDescent="0.25">
      <c r="A49" t="s">
        <v>191</v>
      </c>
      <c r="B49" s="2">
        <f>2/3</f>
        <v>0.66666666666666663</v>
      </c>
      <c r="C49" s="2">
        <f>0/3</f>
        <v>0</v>
      </c>
      <c r="D49" s="2">
        <f>0/3</f>
        <v>0</v>
      </c>
      <c r="E49" s="2">
        <f>0/3</f>
        <v>0</v>
      </c>
      <c r="F49" s="2">
        <f>1/3</f>
        <v>0.33333333333333331</v>
      </c>
      <c r="G49" s="2">
        <f>0/3</f>
        <v>0</v>
      </c>
    </row>
    <row r="50" spans="1:7" x14ac:dyDescent="0.25">
      <c r="A50" t="s">
        <v>1054</v>
      </c>
      <c r="B50" s="2">
        <f>0/3</f>
        <v>0</v>
      </c>
      <c r="C50" s="2">
        <f>0/3</f>
        <v>0</v>
      </c>
      <c r="D50" s="2">
        <f>0/3</f>
        <v>0</v>
      </c>
      <c r="E50" s="2">
        <f>1/3</f>
        <v>0.33333333333333331</v>
      </c>
      <c r="F50" s="2">
        <f>2/3</f>
        <v>0.66666666666666663</v>
      </c>
      <c r="G50" s="2">
        <f>0/3</f>
        <v>0</v>
      </c>
    </row>
    <row r="51" spans="1:7" x14ac:dyDescent="0.25">
      <c r="A51" s="5" t="s">
        <v>1935</v>
      </c>
      <c r="B51" s="7">
        <f>89/271</f>
        <v>0.32841328413284132</v>
      </c>
      <c r="C51" s="7">
        <f>3/271</f>
        <v>1.107011070110701E-2</v>
      </c>
      <c r="D51" s="7">
        <f>16/271</f>
        <v>5.9040590405904057E-2</v>
      </c>
      <c r="E51" s="7">
        <f>79/271</f>
        <v>0.29151291512915128</v>
      </c>
      <c r="F51" s="7">
        <f>105/271</f>
        <v>0.38745387453874541</v>
      </c>
      <c r="G51" s="7">
        <f>24/271</f>
        <v>8.8560885608856083E-2</v>
      </c>
    </row>
    <row r="52" spans="1:7" x14ac:dyDescent="0.25">
      <c r="B52" s="2"/>
      <c r="C52" s="2"/>
      <c r="D52" s="2"/>
      <c r="E52" s="2"/>
      <c r="F52" s="2"/>
      <c r="G52" s="2"/>
    </row>
    <row r="53" spans="1:7" x14ac:dyDescent="0.25">
      <c r="A53" s="5" t="s">
        <v>1930</v>
      </c>
      <c r="B53" s="7" t="s">
        <v>1943</v>
      </c>
      <c r="C53" s="7" t="s">
        <v>1944</v>
      </c>
      <c r="D53" s="7" t="s">
        <v>1980</v>
      </c>
      <c r="E53" s="7" t="s">
        <v>1946</v>
      </c>
      <c r="F53" s="7" t="s">
        <v>780</v>
      </c>
      <c r="G53" s="7" t="s">
        <v>1934</v>
      </c>
    </row>
    <row r="54" spans="1:7" x14ac:dyDescent="0.25">
      <c r="A54" t="s">
        <v>1958</v>
      </c>
      <c r="B54" s="2">
        <f>12/29</f>
        <v>0.41379310344827586</v>
      </c>
      <c r="C54" s="2">
        <f>2/29</f>
        <v>6.8965517241379309E-2</v>
      </c>
      <c r="D54" s="2">
        <f>0/29</f>
        <v>0</v>
      </c>
      <c r="E54" s="2">
        <f>10/29</f>
        <v>0.34482758620689657</v>
      </c>
      <c r="F54" s="2">
        <f>14/29</f>
        <v>0.48275862068965519</v>
      </c>
      <c r="G54" s="2">
        <f>1/29</f>
        <v>3.4482758620689655E-2</v>
      </c>
    </row>
    <row r="55" spans="1:7" x14ac:dyDescent="0.25">
      <c r="A55" t="s">
        <v>1959</v>
      </c>
      <c r="B55" s="2">
        <f>3/12</f>
        <v>0.25</v>
      </c>
      <c r="C55" s="2">
        <f>0/12</f>
        <v>0</v>
      </c>
      <c r="D55" s="2">
        <f>1/12</f>
        <v>8.3333333333333329E-2</v>
      </c>
      <c r="E55" s="2">
        <f>3/12</f>
        <v>0.25</v>
      </c>
      <c r="F55" s="2">
        <f>6/12</f>
        <v>0.5</v>
      </c>
      <c r="G55" s="2">
        <f>0/12</f>
        <v>0</v>
      </c>
    </row>
    <row r="56" spans="1:7" x14ac:dyDescent="0.25">
      <c r="A56" t="s">
        <v>1960</v>
      </c>
      <c r="B56" s="2">
        <f>0/5</f>
        <v>0</v>
      </c>
      <c r="C56" s="2">
        <f>0/5</f>
        <v>0</v>
      </c>
      <c r="D56" s="2">
        <f>0/5</f>
        <v>0</v>
      </c>
      <c r="E56" s="2">
        <f>3/5</f>
        <v>0.6</v>
      </c>
      <c r="F56" s="2">
        <f>2/5</f>
        <v>0.4</v>
      </c>
      <c r="G56" s="2">
        <f>1/5</f>
        <v>0.2</v>
      </c>
    </row>
    <row r="57" spans="1:7" x14ac:dyDescent="0.25">
      <c r="A57" t="s">
        <v>1961</v>
      </c>
      <c r="B57" s="2">
        <f>4/10</f>
        <v>0.4</v>
      </c>
      <c r="C57" s="2">
        <f>0/10</f>
        <v>0</v>
      </c>
      <c r="D57" s="2">
        <f>3/10</f>
        <v>0.3</v>
      </c>
      <c r="E57" s="2">
        <f>2/10</f>
        <v>0.2</v>
      </c>
      <c r="F57" s="2">
        <f>2/10</f>
        <v>0.2</v>
      </c>
      <c r="G57" s="2">
        <f>1/10</f>
        <v>0.1</v>
      </c>
    </row>
    <row r="58" spans="1:7" x14ac:dyDescent="0.25">
      <c r="A58" t="s">
        <v>1962</v>
      </c>
      <c r="B58" s="2">
        <f>1/4</f>
        <v>0.25</v>
      </c>
      <c r="C58" s="2">
        <f>0/4</f>
        <v>0</v>
      </c>
      <c r="D58" s="2">
        <f>0/4</f>
        <v>0</v>
      </c>
      <c r="E58" s="2">
        <f>1/4</f>
        <v>0.25</v>
      </c>
      <c r="F58" s="2">
        <f>2/4</f>
        <v>0.5</v>
      </c>
      <c r="G58" s="2">
        <f>0/4</f>
        <v>0</v>
      </c>
    </row>
    <row r="59" spans="1:7" x14ac:dyDescent="0.25">
      <c r="A59" t="s">
        <v>1963</v>
      </c>
      <c r="B59" s="2">
        <f>4/17</f>
        <v>0.23529411764705882</v>
      </c>
      <c r="C59" s="2">
        <f>0/17</f>
        <v>0</v>
      </c>
      <c r="D59" s="2">
        <f>2/17</f>
        <v>0.11764705882352941</v>
      </c>
      <c r="E59" s="2">
        <f>6/17</f>
        <v>0.35294117647058826</v>
      </c>
      <c r="F59" s="2">
        <f>10/17</f>
        <v>0.58823529411764708</v>
      </c>
      <c r="G59" s="2">
        <f>0/17</f>
        <v>0</v>
      </c>
    </row>
    <row r="60" spans="1:7" x14ac:dyDescent="0.25">
      <c r="A60" t="s">
        <v>1964</v>
      </c>
      <c r="B60" s="2">
        <f>16/39</f>
        <v>0.41025641025641024</v>
      </c>
      <c r="C60" s="2">
        <f>0/39</f>
        <v>0</v>
      </c>
      <c r="D60" s="2">
        <f>0/39</f>
        <v>0</v>
      </c>
      <c r="E60" s="2">
        <f>16/39</f>
        <v>0.41025641025641024</v>
      </c>
      <c r="F60" s="2">
        <f>9/39</f>
        <v>0.23076923076923078</v>
      </c>
      <c r="G60" s="2">
        <f>0/39</f>
        <v>0</v>
      </c>
    </row>
    <row r="61" spans="1:7" x14ac:dyDescent="0.25">
      <c r="A61" t="s">
        <v>1965</v>
      </c>
      <c r="B61" s="2">
        <f>12/33</f>
        <v>0.36363636363636365</v>
      </c>
      <c r="C61" s="2">
        <f>0/33</f>
        <v>0</v>
      </c>
      <c r="D61" s="2">
        <f>4/33</f>
        <v>0.12121212121212122</v>
      </c>
      <c r="E61" s="2">
        <f>11/33</f>
        <v>0.33333333333333331</v>
      </c>
      <c r="F61" s="2">
        <f>10/33</f>
        <v>0.30303030303030304</v>
      </c>
      <c r="G61" s="2">
        <f>5/33</f>
        <v>0.15151515151515152</v>
      </c>
    </row>
    <row r="62" spans="1:7" x14ac:dyDescent="0.25">
      <c r="A62" t="s">
        <v>1966</v>
      </c>
      <c r="B62" s="2">
        <f>17/54</f>
        <v>0.31481481481481483</v>
      </c>
      <c r="C62" s="2">
        <f>1/54</f>
        <v>1.8518518518518517E-2</v>
      </c>
      <c r="D62" s="2">
        <f>1/54</f>
        <v>1.8518518518518517E-2</v>
      </c>
      <c r="E62" s="2">
        <f>14/54</f>
        <v>0.25925925925925924</v>
      </c>
      <c r="F62" s="2">
        <f>22/54</f>
        <v>0.40740740740740738</v>
      </c>
      <c r="G62" s="2">
        <f>12/54</f>
        <v>0.22222222222222221</v>
      </c>
    </row>
    <row r="63" spans="1:7" x14ac:dyDescent="0.25">
      <c r="A63" t="s">
        <v>1967</v>
      </c>
      <c r="B63" s="2">
        <f>4/10</f>
        <v>0.4</v>
      </c>
      <c r="C63" s="2">
        <f>0/10</f>
        <v>0</v>
      </c>
      <c r="D63" s="2">
        <f>0/10</f>
        <v>0</v>
      </c>
      <c r="E63" s="2">
        <f>2/10</f>
        <v>0.2</v>
      </c>
      <c r="F63" s="2">
        <f>5/10</f>
        <v>0.5</v>
      </c>
      <c r="G63" s="2">
        <f>0/10</f>
        <v>0</v>
      </c>
    </row>
    <row r="64" spans="1:7" x14ac:dyDescent="0.25">
      <c r="A64" t="s">
        <v>1972</v>
      </c>
      <c r="B64" s="2">
        <f>7/15</f>
        <v>0.46666666666666667</v>
      </c>
      <c r="C64" s="2">
        <f>0/15</f>
        <v>0</v>
      </c>
      <c r="D64" s="2">
        <f>1/15</f>
        <v>6.6666666666666666E-2</v>
      </c>
      <c r="E64" s="2">
        <f>3/15</f>
        <v>0.2</v>
      </c>
      <c r="F64" s="2">
        <f>7/15</f>
        <v>0.46666666666666667</v>
      </c>
      <c r="G64" s="2">
        <f>0/15</f>
        <v>0</v>
      </c>
    </row>
    <row r="65" spans="1:7" x14ac:dyDescent="0.25">
      <c r="A65" t="s">
        <v>1973</v>
      </c>
      <c r="B65" s="2">
        <f>2/5</f>
        <v>0.4</v>
      </c>
      <c r="C65" s="2">
        <f>1/5</f>
        <v>0.2</v>
      </c>
      <c r="D65" s="2">
        <f>0/5</f>
        <v>0</v>
      </c>
      <c r="E65" s="2">
        <f>2/5</f>
        <v>0.4</v>
      </c>
      <c r="F65" s="2">
        <f>2/5</f>
        <v>0.4</v>
      </c>
      <c r="G65" s="2">
        <f>0/5</f>
        <v>0</v>
      </c>
    </row>
    <row r="66" spans="1:7" x14ac:dyDescent="0.25">
      <c r="A66" t="s">
        <v>1968</v>
      </c>
      <c r="B66" s="2">
        <f>3/15</f>
        <v>0.2</v>
      </c>
      <c r="C66" s="2">
        <f>0/15</f>
        <v>0</v>
      </c>
      <c r="D66" s="2">
        <f>2/15</f>
        <v>0.13333333333333333</v>
      </c>
      <c r="E66" s="2">
        <f>2/14</f>
        <v>0.14285714285714285</v>
      </c>
      <c r="F66" s="2">
        <f>5/15</f>
        <v>0.33333333333333331</v>
      </c>
      <c r="G66" s="2">
        <f>2/15</f>
        <v>0.13333333333333333</v>
      </c>
    </row>
    <row r="67" spans="1:7" x14ac:dyDescent="0.25">
      <c r="A67" t="s">
        <v>1969</v>
      </c>
      <c r="B67" s="2">
        <f>0/4</f>
        <v>0</v>
      </c>
      <c r="C67" s="2">
        <f>0/4</f>
        <v>0</v>
      </c>
      <c r="D67" s="2">
        <f>0/4</f>
        <v>0</v>
      </c>
      <c r="E67" s="2">
        <f>0/4</f>
        <v>0</v>
      </c>
      <c r="F67" s="2">
        <f>4/4</f>
        <v>1</v>
      </c>
      <c r="G67" s="2">
        <f>0/4</f>
        <v>0</v>
      </c>
    </row>
    <row r="68" spans="1:7" x14ac:dyDescent="0.25">
      <c r="A68" t="s">
        <v>1970</v>
      </c>
      <c r="B68" s="2">
        <f>4/8</f>
        <v>0.5</v>
      </c>
      <c r="C68" s="2">
        <f>0/8</f>
        <v>0</v>
      </c>
      <c r="D68" s="2">
        <f>1/8</f>
        <v>0.125</v>
      </c>
      <c r="E68" s="2">
        <f>1/8</f>
        <v>0.125</v>
      </c>
      <c r="F68" s="2">
        <f>4/8</f>
        <v>0.5</v>
      </c>
      <c r="G68" s="2">
        <f>0/8</f>
        <v>0</v>
      </c>
    </row>
    <row r="69" spans="1:7" x14ac:dyDescent="0.25">
      <c r="A69" t="s">
        <v>1971</v>
      </c>
      <c r="B69" s="2">
        <f>0/5</f>
        <v>0</v>
      </c>
      <c r="C69" s="2">
        <f>0/5</f>
        <v>0</v>
      </c>
      <c r="D69" s="2">
        <f>2/5</f>
        <v>0.4</v>
      </c>
      <c r="E69" s="2">
        <f>3/5</f>
        <v>0.6</v>
      </c>
      <c r="F69" s="2">
        <f>1/5</f>
        <v>0.2</v>
      </c>
      <c r="G69" s="2">
        <f>2/5</f>
        <v>0.4</v>
      </c>
    </row>
    <row r="71" spans="1:7" x14ac:dyDescent="0.25">
      <c r="A71" s="5" t="s">
        <v>1992</v>
      </c>
      <c r="B71" s="7" t="s">
        <v>1943</v>
      </c>
      <c r="C71" s="7" t="s">
        <v>1944</v>
      </c>
      <c r="D71" s="7" t="s">
        <v>1980</v>
      </c>
      <c r="E71" s="7" t="s">
        <v>1946</v>
      </c>
      <c r="F71" s="7" t="s">
        <v>780</v>
      </c>
      <c r="G71" s="7" t="s">
        <v>1934</v>
      </c>
    </row>
    <row r="72" spans="1:7" x14ac:dyDescent="0.25">
      <c r="A72" t="s">
        <v>1993</v>
      </c>
      <c r="B72" s="2">
        <f>61/156</f>
        <v>0.39102564102564102</v>
      </c>
      <c r="C72" s="2">
        <f>1/156</f>
        <v>6.41025641025641E-3</v>
      </c>
      <c r="D72" s="2">
        <f>9/156</f>
        <v>5.7692307692307696E-2</v>
      </c>
      <c r="E72" s="2">
        <f>45/156</f>
        <v>0.28846153846153844</v>
      </c>
      <c r="F72" s="2">
        <f>57/156</f>
        <v>0.36538461538461536</v>
      </c>
      <c r="G72" s="2">
        <f>0/156</f>
        <v>0</v>
      </c>
    </row>
    <row r="73" spans="1:7" x14ac:dyDescent="0.25">
      <c r="A73" t="s">
        <v>1990</v>
      </c>
      <c r="B73" s="2">
        <f>9/30</f>
        <v>0.3</v>
      </c>
      <c r="C73" s="2">
        <f>1/30</f>
        <v>3.3333333333333333E-2</v>
      </c>
      <c r="D73" s="2">
        <f>0/30</f>
        <v>0</v>
      </c>
      <c r="E73" s="2">
        <f>8/30</f>
        <v>0.26666666666666666</v>
      </c>
      <c r="F73" s="2">
        <f>14/30</f>
        <v>0.46666666666666667</v>
      </c>
      <c r="G73" s="2">
        <f>2/30</f>
        <v>6.6666666666666666E-2</v>
      </c>
    </row>
    <row r="74" spans="1:7" x14ac:dyDescent="0.25">
      <c r="A74" t="s">
        <v>1991</v>
      </c>
      <c r="B74" s="2">
        <f>20/85</f>
        <v>0.23529411764705882</v>
      </c>
      <c r="C74" s="2">
        <f>2/85</f>
        <v>2.3529411764705882E-2</v>
      </c>
      <c r="D74" s="2">
        <f>8/85</f>
        <v>9.4117647058823528E-2</v>
      </c>
      <c r="E74" s="2">
        <f>29/85</f>
        <v>0.3411764705882353</v>
      </c>
      <c r="F74" s="2">
        <f>32/85</f>
        <v>0.37647058823529411</v>
      </c>
      <c r="G74" s="2">
        <f>12/85</f>
        <v>0.14117647058823529</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1E928-6DA5-46F8-99D2-61E22CEBC088}">
  <dimension ref="A1:G74"/>
  <sheetViews>
    <sheetView topLeftCell="A54" workbookViewId="0">
      <selection activeCell="G75" sqref="G75"/>
    </sheetView>
  </sheetViews>
  <sheetFormatPr baseColWidth="10" defaultRowHeight="15" x14ac:dyDescent="0.25"/>
  <sheetData>
    <row r="1" spans="1:7" x14ac:dyDescent="0.25">
      <c r="A1" s="5" t="s">
        <v>3</v>
      </c>
      <c r="B1" s="5" t="s">
        <v>1981</v>
      </c>
      <c r="C1" s="5" t="s">
        <v>1982</v>
      </c>
      <c r="D1" s="5" t="s">
        <v>1983</v>
      </c>
      <c r="E1" s="5" t="s">
        <v>1940</v>
      </c>
      <c r="F1" s="5" t="s">
        <v>1984</v>
      </c>
      <c r="G1" s="5" t="s">
        <v>1934</v>
      </c>
    </row>
    <row r="2" spans="1:7" x14ac:dyDescent="0.25">
      <c r="A2" t="s">
        <v>156</v>
      </c>
      <c r="B2" s="2">
        <f>7/8</f>
        <v>0.875</v>
      </c>
      <c r="C2" s="2">
        <f>0/8</f>
        <v>0</v>
      </c>
      <c r="D2" s="2">
        <f>2/8</f>
        <v>0.25</v>
      </c>
      <c r="E2" s="2">
        <f>0/8</f>
        <v>0</v>
      </c>
      <c r="F2" s="2">
        <f>7/8</f>
        <v>0.875</v>
      </c>
      <c r="G2" s="2">
        <f>0/8</f>
        <v>0</v>
      </c>
    </row>
    <row r="3" spans="1:7" x14ac:dyDescent="0.25">
      <c r="A3" t="s">
        <v>1911</v>
      </c>
      <c r="B3" s="2">
        <f>1/1</f>
        <v>1</v>
      </c>
      <c r="C3" s="2">
        <f>0/1</f>
        <v>0</v>
      </c>
      <c r="D3" s="2">
        <f>0/1</f>
        <v>0</v>
      </c>
      <c r="E3" s="2">
        <f>0/1</f>
        <v>0</v>
      </c>
      <c r="F3" s="2">
        <f>0/1</f>
        <v>0</v>
      </c>
      <c r="G3" s="2">
        <f>0/1</f>
        <v>0</v>
      </c>
    </row>
    <row r="4" spans="1:7" x14ac:dyDescent="0.25">
      <c r="A4" t="s">
        <v>137</v>
      </c>
      <c r="B4" s="2">
        <f>3/13</f>
        <v>0.23076923076923078</v>
      </c>
      <c r="C4" s="2">
        <f>1/13</f>
        <v>7.6923076923076927E-2</v>
      </c>
      <c r="D4" s="2">
        <f>2/13</f>
        <v>0.15384615384615385</v>
      </c>
      <c r="E4" s="2">
        <f>1/13</f>
        <v>7.6923076923076927E-2</v>
      </c>
      <c r="F4" s="2">
        <f>5/13</f>
        <v>0.38461538461538464</v>
      </c>
      <c r="G4" s="2">
        <f>1/13</f>
        <v>7.6923076923076927E-2</v>
      </c>
    </row>
    <row r="5" spans="1:7" x14ac:dyDescent="0.25">
      <c r="A5" t="s">
        <v>215</v>
      </c>
      <c r="B5" s="2">
        <f>1/1</f>
        <v>1</v>
      </c>
      <c r="C5" s="2">
        <f t="shared" ref="C5:G6" si="0">0/1</f>
        <v>0</v>
      </c>
      <c r="D5" s="2">
        <f t="shared" si="0"/>
        <v>0</v>
      </c>
      <c r="E5" s="2">
        <f t="shared" si="0"/>
        <v>0</v>
      </c>
      <c r="F5" s="2">
        <f t="shared" si="0"/>
        <v>0</v>
      </c>
      <c r="G5" s="2">
        <f t="shared" si="0"/>
        <v>0</v>
      </c>
    </row>
    <row r="6" spans="1:7" x14ac:dyDescent="0.25">
      <c r="A6" t="s">
        <v>1912</v>
      </c>
      <c r="B6" s="2">
        <f>1/1</f>
        <v>1</v>
      </c>
      <c r="C6" s="2">
        <f t="shared" si="0"/>
        <v>0</v>
      </c>
      <c r="D6" s="2">
        <f t="shared" si="0"/>
        <v>0</v>
      </c>
      <c r="E6" s="2">
        <f t="shared" si="0"/>
        <v>0</v>
      </c>
      <c r="F6" s="2">
        <f t="shared" si="0"/>
        <v>0</v>
      </c>
      <c r="G6" s="2">
        <f t="shared" si="0"/>
        <v>0</v>
      </c>
    </row>
    <row r="7" spans="1:7" x14ac:dyDescent="0.25">
      <c r="A7" t="s">
        <v>1913</v>
      </c>
      <c r="B7" s="2">
        <f>5/5</f>
        <v>1</v>
      </c>
      <c r="C7" s="2">
        <f>1/5</f>
        <v>0.2</v>
      </c>
      <c r="D7" s="2">
        <f>0/5</f>
        <v>0</v>
      </c>
      <c r="E7" s="2">
        <f>0/5</f>
        <v>0</v>
      </c>
      <c r="F7" s="2">
        <f>2/5</f>
        <v>0.4</v>
      </c>
      <c r="G7" s="2">
        <f>0/5</f>
        <v>0</v>
      </c>
    </row>
    <row r="8" spans="1:7" x14ac:dyDescent="0.25">
      <c r="A8" t="s">
        <v>515</v>
      </c>
      <c r="B8" s="2">
        <f>7/8</f>
        <v>0.875</v>
      </c>
      <c r="C8" s="2">
        <f>0/8</f>
        <v>0</v>
      </c>
      <c r="D8" s="2">
        <f>0/8</f>
        <v>0</v>
      </c>
      <c r="E8" s="2">
        <f>0/8</f>
        <v>0</v>
      </c>
      <c r="F8" s="2">
        <f>6/8</f>
        <v>0.75</v>
      </c>
      <c r="G8" s="2">
        <f>1/8</f>
        <v>0.125</v>
      </c>
    </row>
    <row r="9" spans="1:7" x14ac:dyDescent="0.25">
      <c r="A9" t="s">
        <v>374</v>
      </c>
      <c r="B9" s="2">
        <f>3/4</f>
        <v>0.75</v>
      </c>
      <c r="C9" s="2">
        <f>2/4</f>
        <v>0.5</v>
      </c>
      <c r="D9" s="2">
        <f>0/4</f>
        <v>0</v>
      </c>
      <c r="E9" s="2">
        <f>0/4</f>
        <v>0</v>
      </c>
      <c r="F9" s="2">
        <f>4/4</f>
        <v>1</v>
      </c>
      <c r="G9" s="2">
        <f>0/4</f>
        <v>0</v>
      </c>
    </row>
    <row r="10" spans="1:7" x14ac:dyDescent="0.25">
      <c r="A10" t="s">
        <v>120</v>
      </c>
      <c r="B10" s="2">
        <f>19/20</f>
        <v>0.95</v>
      </c>
      <c r="C10" s="2">
        <f>1/20</f>
        <v>0.05</v>
      </c>
      <c r="D10" s="2">
        <f>2/20</f>
        <v>0.1</v>
      </c>
      <c r="E10" s="2">
        <f>0/20</f>
        <v>0</v>
      </c>
      <c r="F10" s="2">
        <f>7/20</f>
        <v>0.35</v>
      </c>
      <c r="G10" s="2">
        <f>7/20</f>
        <v>0.35</v>
      </c>
    </row>
    <row r="11" spans="1:7" x14ac:dyDescent="0.25">
      <c r="A11" t="s">
        <v>1914</v>
      </c>
      <c r="B11" s="2">
        <f>3/3</f>
        <v>1</v>
      </c>
      <c r="C11" s="2">
        <f>0/3</f>
        <v>0</v>
      </c>
      <c r="D11" s="2">
        <f>0/3</f>
        <v>0</v>
      </c>
      <c r="E11" s="2">
        <f>1/3</f>
        <v>0.33333333333333331</v>
      </c>
      <c r="F11" s="2">
        <f>2/3</f>
        <v>0.66666666666666663</v>
      </c>
      <c r="G11" s="2">
        <f>0/3</f>
        <v>0</v>
      </c>
    </row>
    <row r="12" spans="1:7" x14ac:dyDescent="0.25">
      <c r="A12" t="s">
        <v>233</v>
      </c>
      <c r="B12" s="2">
        <f>2/4</f>
        <v>0.5</v>
      </c>
      <c r="C12" s="2">
        <f>0/4</f>
        <v>0</v>
      </c>
      <c r="D12" s="2">
        <f>0/4</f>
        <v>0</v>
      </c>
      <c r="E12" s="2">
        <f>0/4</f>
        <v>0</v>
      </c>
      <c r="F12" s="2">
        <f>3/4</f>
        <v>0.75</v>
      </c>
      <c r="G12" s="2">
        <f>0/4</f>
        <v>0</v>
      </c>
    </row>
    <row r="13" spans="1:7" x14ac:dyDescent="0.25">
      <c r="A13" t="s">
        <v>425</v>
      </c>
      <c r="B13" s="2">
        <f>4/6</f>
        <v>0.66666666666666663</v>
      </c>
      <c r="C13" s="2">
        <f>0/6</f>
        <v>0</v>
      </c>
      <c r="D13" s="2">
        <f>3/6</f>
        <v>0.5</v>
      </c>
      <c r="E13" s="2">
        <f>2/6</f>
        <v>0.33333333333333331</v>
      </c>
      <c r="F13" s="2">
        <f>5/6</f>
        <v>0.83333333333333337</v>
      </c>
      <c r="G13" s="2">
        <f>0/6</f>
        <v>0</v>
      </c>
    </row>
    <row r="14" spans="1:7" x14ac:dyDescent="0.25">
      <c r="A14" t="s">
        <v>727</v>
      </c>
      <c r="B14" s="2">
        <f>5/5</f>
        <v>1</v>
      </c>
      <c r="C14" s="2">
        <f>0/5</f>
        <v>0</v>
      </c>
      <c r="D14" s="2">
        <f>2/5</f>
        <v>0.4</v>
      </c>
      <c r="E14" s="2">
        <f>0/5</f>
        <v>0</v>
      </c>
      <c r="F14" s="2">
        <f>3/5</f>
        <v>0.6</v>
      </c>
      <c r="G14" s="2">
        <f>0/5</f>
        <v>0</v>
      </c>
    </row>
    <row r="15" spans="1:7" x14ac:dyDescent="0.25">
      <c r="A15" t="s">
        <v>83</v>
      </c>
      <c r="B15" s="2">
        <f>3/4</f>
        <v>0.75</v>
      </c>
      <c r="C15" s="2">
        <f>1/4</f>
        <v>0.25</v>
      </c>
      <c r="D15" s="2">
        <f>2/4</f>
        <v>0.5</v>
      </c>
      <c r="E15" s="2">
        <f>1/4</f>
        <v>0.25</v>
      </c>
      <c r="F15" s="2">
        <f>3/4</f>
        <v>0.75</v>
      </c>
      <c r="G15" s="2">
        <f>1/4</f>
        <v>0.25</v>
      </c>
    </row>
    <row r="16" spans="1:7" x14ac:dyDescent="0.25">
      <c r="A16" t="s">
        <v>204</v>
      </c>
      <c r="B16" s="2">
        <f>12/21</f>
        <v>0.5714285714285714</v>
      </c>
      <c r="C16" s="2">
        <f>0/21</f>
        <v>0</v>
      </c>
      <c r="D16" s="2">
        <f>1/21</f>
        <v>4.7619047619047616E-2</v>
      </c>
      <c r="E16" s="2">
        <f>0/21</f>
        <v>0</v>
      </c>
      <c r="F16" s="2">
        <f>14/21</f>
        <v>0.66666666666666663</v>
      </c>
      <c r="G16" s="2">
        <f>5/21</f>
        <v>0.23809523809523808</v>
      </c>
    </row>
    <row r="17" spans="1:7" x14ac:dyDescent="0.25">
      <c r="A17" t="s">
        <v>319</v>
      </c>
      <c r="B17" s="2">
        <f>4/4</f>
        <v>1</v>
      </c>
      <c r="C17" s="2">
        <f>1/4</f>
        <v>0.25</v>
      </c>
      <c r="D17" s="2">
        <f>0/4</f>
        <v>0</v>
      </c>
      <c r="E17" s="2">
        <f>0/4</f>
        <v>0</v>
      </c>
      <c r="F17" s="2">
        <f>3/4</f>
        <v>0.75</v>
      </c>
      <c r="G17" s="2">
        <f>0/4</f>
        <v>0</v>
      </c>
    </row>
    <row r="18" spans="1:7" x14ac:dyDescent="0.25">
      <c r="A18" t="s">
        <v>245</v>
      </c>
      <c r="B18" s="2">
        <f>7/8</f>
        <v>0.875</v>
      </c>
      <c r="C18" s="2">
        <f>0/8</f>
        <v>0</v>
      </c>
      <c r="D18" s="2">
        <f>0/8</f>
        <v>0</v>
      </c>
      <c r="E18" s="2">
        <f>0/8</f>
        <v>0</v>
      </c>
      <c r="F18" s="2">
        <f>4/8</f>
        <v>0.5</v>
      </c>
      <c r="G18" s="2">
        <f>0/8</f>
        <v>0</v>
      </c>
    </row>
    <row r="19" spans="1:7" x14ac:dyDescent="0.25">
      <c r="A19" t="s">
        <v>408</v>
      </c>
      <c r="B19" s="2">
        <f>2/2</f>
        <v>1</v>
      </c>
      <c r="C19" s="2">
        <f>0/2</f>
        <v>0</v>
      </c>
      <c r="D19" s="2">
        <f>0/2</f>
        <v>0</v>
      </c>
      <c r="E19" s="2">
        <f>0/2</f>
        <v>0</v>
      </c>
      <c r="F19" s="2">
        <f>2/2</f>
        <v>1</v>
      </c>
      <c r="G19" s="2">
        <f>0/2</f>
        <v>0</v>
      </c>
    </row>
    <row r="20" spans="1:7" x14ac:dyDescent="0.25">
      <c r="A20" t="s">
        <v>1915</v>
      </c>
      <c r="B20" s="2">
        <f>1/1</f>
        <v>1</v>
      </c>
      <c r="C20" s="2">
        <f>0/1</f>
        <v>0</v>
      </c>
      <c r="D20" s="2">
        <f>0/1</f>
        <v>0</v>
      </c>
      <c r="E20" s="2">
        <f>0/1</f>
        <v>0</v>
      </c>
      <c r="F20" s="2">
        <f>1/1</f>
        <v>1</v>
      </c>
      <c r="G20" s="2">
        <f>0/1</f>
        <v>0</v>
      </c>
    </row>
    <row r="21" spans="1:7" x14ac:dyDescent="0.25">
      <c r="A21" t="s">
        <v>658</v>
      </c>
      <c r="B21" s="2">
        <f>3/4</f>
        <v>0.75</v>
      </c>
      <c r="C21" s="2">
        <f>0/4</f>
        <v>0</v>
      </c>
      <c r="D21" s="2">
        <f>0/4</f>
        <v>0</v>
      </c>
      <c r="E21" s="2">
        <f>0/4</f>
        <v>0</v>
      </c>
      <c r="F21" s="2">
        <f>0/4</f>
        <v>0</v>
      </c>
      <c r="G21" s="2">
        <f>1/4</f>
        <v>0.25</v>
      </c>
    </row>
    <row r="22" spans="1:7" x14ac:dyDescent="0.25">
      <c r="A22" t="s">
        <v>198</v>
      </c>
      <c r="B22" s="2">
        <f>4/7</f>
        <v>0.5714285714285714</v>
      </c>
      <c r="C22" s="2">
        <f>0/7</f>
        <v>0</v>
      </c>
      <c r="D22" s="2">
        <f>0/7</f>
        <v>0</v>
      </c>
      <c r="E22" s="2">
        <f>1/7</f>
        <v>0.14285714285714285</v>
      </c>
      <c r="F22" s="2">
        <f>2/7</f>
        <v>0.2857142857142857</v>
      </c>
      <c r="G22" s="2">
        <f>2/7</f>
        <v>0.2857142857142857</v>
      </c>
    </row>
    <row r="23" spans="1:7" x14ac:dyDescent="0.25">
      <c r="A23" t="s">
        <v>278</v>
      </c>
      <c r="B23" s="2">
        <f>4/5</f>
        <v>0.8</v>
      </c>
      <c r="C23" s="2">
        <f>0/5</f>
        <v>0</v>
      </c>
      <c r="D23" s="2">
        <f>0/5</f>
        <v>0</v>
      </c>
      <c r="E23" s="2">
        <f>0/5</f>
        <v>0</v>
      </c>
      <c r="F23" s="2">
        <f>3/5</f>
        <v>0.6</v>
      </c>
      <c r="G23" s="2">
        <f>2/5</f>
        <v>0.4</v>
      </c>
    </row>
    <row r="24" spans="1:7" x14ac:dyDescent="0.25">
      <c r="A24" t="s">
        <v>253</v>
      </c>
      <c r="B24" s="2">
        <f>4/4</f>
        <v>1</v>
      </c>
      <c r="C24" s="2">
        <f>0/4</f>
        <v>0</v>
      </c>
      <c r="D24" s="2">
        <f>0/4</f>
        <v>0</v>
      </c>
      <c r="E24" s="2">
        <f>0/4</f>
        <v>0</v>
      </c>
      <c r="F24" s="2">
        <f>2/4</f>
        <v>0.5</v>
      </c>
      <c r="G24" s="2">
        <f>0/4</f>
        <v>0</v>
      </c>
    </row>
    <row r="25" spans="1:7" x14ac:dyDescent="0.25">
      <c r="A25" t="s">
        <v>93</v>
      </c>
      <c r="B25" s="2">
        <f>2/4</f>
        <v>0.5</v>
      </c>
      <c r="C25" s="2">
        <f>1/4</f>
        <v>0.25</v>
      </c>
      <c r="D25" s="2">
        <f>1/4</f>
        <v>0.25</v>
      </c>
      <c r="E25" s="2">
        <f>0/4</f>
        <v>0</v>
      </c>
      <c r="F25" s="2">
        <f>4/4</f>
        <v>1</v>
      </c>
      <c r="G25" s="2">
        <f>1/4</f>
        <v>0.25</v>
      </c>
    </row>
    <row r="26" spans="1:7" x14ac:dyDescent="0.25">
      <c r="A26" t="s">
        <v>1916</v>
      </c>
      <c r="B26" s="2">
        <f>5/5</f>
        <v>1</v>
      </c>
      <c r="C26" s="2">
        <f>1/5</f>
        <v>0.2</v>
      </c>
      <c r="D26" s="2">
        <f>0/5</f>
        <v>0</v>
      </c>
      <c r="E26" s="2">
        <f>1/5</f>
        <v>0.2</v>
      </c>
      <c r="F26" s="2">
        <f>1/5</f>
        <v>0.2</v>
      </c>
      <c r="G26" s="2">
        <f>0/5</f>
        <v>0</v>
      </c>
    </row>
    <row r="27" spans="1:7" x14ac:dyDescent="0.25">
      <c r="A27" t="s">
        <v>991</v>
      </c>
      <c r="B27" s="2">
        <f>3/3</f>
        <v>1</v>
      </c>
      <c r="C27" s="2">
        <f>0/3</f>
        <v>0</v>
      </c>
      <c r="D27" s="2">
        <f>0/3</f>
        <v>0</v>
      </c>
      <c r="E27" s="2">
        <f>0/3</f>
        <v>0</v>
      </c>
      <c r="F27" s="2">
        <f>1/3</f>
        <v>0.33333333333333331</v>
      </c>
      <c r="G27" s="2">
        <f>0/3</f>
        <v>0</v>
      </c>
    </row>
    <row r="28" spans="1:7" x14ac:dyDescent="0.25">
      <c r="A28" t="s">
        <v>998</v>
      </c>
      <c r="B28" s="2">
        <f>3/5</f>
        <v>0.6</v>
      </c>
      <c r="C28" s="2">
        <f>0/5</f>
        <v>0</v>
      </c>
      <c r="D28" s="2">
        <f>1/5</f>
        <v>0.2</v>
      </c>
      <c r="E28" s="2">
        <f>0/5</f>
        <v>0</v>
      </c>
      <c r="F28" s="2">
        <f>0/5</f>
        <v>0</v>
      </c>
      <c r="G28" s="2">
        <f>3/5</f>
        <v>0.6</v>
      </c>
    </row>
    <row r="29" spans="1:7" x14ac:dyDescent="0.25">
      <c r="A29" t="s">
        <v>952</v>
      </c>
      <c r="B29" s="2">
        <f>1/4</f>
        <v>0.25</v>
      </c>
      <c r="C29" s="2">
        <f>0/4</f>
        <v>0</v>
      </c>
      <c r="D29" s="2">
        <f>0/4</f>
        <v>0</v>
      </c>
      <c r="E29" s="2">
        <f>0/4</f>
        <v>0</v>
      </c>
      <c r="F29" s="2">
        <f>3/4</f>
        <v>0.75</v>
      </c>
      <c r="G29" s="2">
        <f>2/4</f>
        <v>0.5</v>
      </c>
    </row>
    <row r="30" spans="1:7" x14ac:dyDescent="0.25">
      <c r="A30" t="s">
        <v>1691</v>
      </c>
      <c r="B30" s="2">
        <f>3/4</f>
        <v>0.75</v>
      </c>
      <c r="C30" s="2">
        <f>2/4</f>
        <v>0.5</v>
      </c>
      <c r="D30" s="2">
        <f>0/4</f>
        <v>0</v>
      </c>
      <c r="E30" s="2">
        <f>0/4</f>
        <v>0</v>
      </c>
      <c r="F30" s="2">
        <f>2/4</f>
        <v>0.5</v>
      </c>
      <c r="G30" s="2">
        <f>0/4</f>
        <v>0</v>
      </c>
    </row>
    <row r="31" spans="1:7" x14ac:dyDescent="0.25">
      <c r="A31" t="s">
        <v>284</v>
      </c>
      <c r="B31" s="2">
        <f>2/3</f>
        <v>0.66666666666666663</v>
      </c>
      <c r="C31" s="2">
        <f>0/3</f>
        <v>0</v>
      </c>
      <c r="D31" s="2">
        <f>0/3</f>
        <v>0</v>
      </c>
      <c r="E31" s="2">
        <f>0/3</f>
        <v>0</v>
      </c>
      <c r="F31" s="2">
        <f>1/3</f>
        <v>0.33333333333333331</v>
      </c>
      <c r="G31" s="2">
        <f>0/3</f>
        <v>0</v>
      </c>
    </row>
    <row r="32" spans="1:7" x14ac:dyDescent="0.25">
      <c r="A32" t="s">
        <v>299</v>
      </c>
      <c r="B32" s="2">
        <f>15/15</f>
        <v>1</v>
      </c>
      <c r="C32" s="2">
        <f>0/15</f>
        <v>0</v>
      </c>
      <c r="D32" s="2">
        <f>3/15</f>
        <v>0.2</v>
      </c>
      <c r="E32" s="2">
        <f>0/15</f>
        <v>0</v>
      </c>
      <c r="F32" s="2">
        <f>7/15</f>
        <v>0.46666666666666667</v>
      </c>
      <c r="G32" s="2">
        <f>1/15</f>
        <v>6.6666666666666666E-2</v>
      </c>
    </row>
    <row r="33" spans="1:7" x14ac:dyDescent="0.25">
      <c r="A33" t="s">
        <v>1028</v>
      </c>
      <c r="B33" s="2">
        <f>2/3</f>
        <v>0.66666666666666663</v>
      </c>
      <c r="C33" s="2">
        <f>1/3</f>
        <v>0.33333333333333331</v>
      </c>
      <c r="D33" s="2">
        <f>1/3</f>
        <v>0.33333333333333331</v>
      </c>
      <c r="E33" s="2">
        <f>0/3</f>
        <v>0</v>
      </c>
      <c r="F33" s="2">
        <f>2/3</f>
        <v>0.66666666666666663</v>
      </c>
      <c r="G33" s="2">
        <f>1/3</f>
        <v>0.33333333333333331</v>
      </c>
    </row>
    <row r="34" spans="1:7" x14ac:dyDescent="0.25">
      <c r="A34" t="s">
        <v>715</v>
      </c>
      <c r="B34" s="2">
        <f>4/4</f>
        <v>1</v>
      </c>
      <c r="C34" s="2">
        <f>0/4</f>
        <v>0</v>
      </c>
      <c r="D34" s="2">
        <f>1/4</f>
        <v>0.25</v>
      </c>
      <c r="E34" s="2">
        <f>0/4</f>
        <v>0</v>
      </c>
      <c r="F34" s="2">
        <f>0/4</f>
        <v>0</v>
      </c>
      <c r="G34" s="2">
        <f>0/4</f>
        <v>0</v>
      </c>
    </row>
    <row r="35" spans="1:7" x14ac:dyDescent="0.25">
      <c r="A35" t="s">
        <v>222</v>
      </c>
      <c r="B35" s="2">
        <f>6/8</f>
        <v>0.75</v>
      </c>
      <c r="C35" s="2">
        <f>1/8</f>
        <v>0.125</v>
      </c>
      <c r="D35" s="2">
        <f>1/8</f>
        <v>0.125</v>
      </c>
      <c r="E35" s="2">
        <f>0/8</f>
        <v>0</v>
      </c>
      <c r="F35" s="2">
        <f>6/8</f>
        <v>0.75</v>
      </c>
      <c r="G35" s="2">
        <f>0/8</f>
        <v>0</v>
      </c>
    </row>
    <row r="36" spans="1:7" x14ac:dyDescent="0.25">
      <c r="A36" t="s">
        <v>414</v>
      </c>
      <c r="B36" s="2">
        <f>2/3</f>
        <v>0.66666666666666663</v>
      </c>
      <c r="C36" s="2">
        <f>1/3</f>
        <v>0.33333333333333331</v>
      </c>
      <c r="D36" s="2">
        <f>0/3</f>
        <v>0</v>
      </c>
      <c r="E36" s="2">
        <f>1/3</f>
        <v>0.33333333333333331</v>
      </c>
      <c r="F36" s="2">
        <f>0/3</f>
        <v>0</v>
      </c>
      <c r="G36" s="2">
        <f>0/3</f>
        <v>0</v>
      </c>
    </row>
    <row r="37" spans="1:7" x14ac:dyDescent="0.25">
      <c r="A37" t="s">
        <v>1917</v>
      </c>
      <c r="B37" s="2">
        <f>1/1</f>
        <v>1</v>
      </c>
      <c r="C37" s="2">
        <f t="shared" ref="C37:G38" si="1">0/1</f>
        <v>0</v>
      </c>
      <c r="D37" s="2">
        <f t="shared" si="1"/>
        <v>0</v>
      </c>
      <c r="E37" s="2">
        <f t="shared" si="1"/>
        <v>0</v>
      </c>
      <c r="F37" s="2">
        <f t="shared" si="1"/>
        <v>0</v>
      </c>
      <c r="G37" s="2">
        <f t="shared" si="1"/>
        <v>0</v>
      </c>
    </row>
    <row r="38" spans="1:7" x14ac:dyDescent="0.25">
      <c r="A38" t="s">
        <v>1430</v>
      </c>
      <c r="B38" s="2">
        <f>1/1</f>
        <v>1</v>
      </c>
      <c r="C38" s="2">
        <f t="shared" si="1"/>
        <v>0</v>
      </c>
      <c r="D38" s="2">
        <f t="shared" si="1"/>
        <v>0</v>
      </c>
      <c r="E38" s="2">
        <f t="shared" si="1"/>
        <v>0</v>
      </c>
      <c r="F38" s="2">
        <f t="shared" si="1"/>
        <v>0</v>
      </c>
      <c r="G38" s="2">
        <f t="shared" si="1"/>
        <v>0</v>
      </c>
    </row>
    <row r="39" spans="1:7" x14ac:dyDescent="0.25">
      <c r="A39" t="s">
        <v>1918</v>
      </c>
      <c r="B39" s="2">
        <f>3/5</f>
        <v>0.6</v>
      </c>
      <c r="C39" s="2">
        <f>0/5</f>
        <v>0</v>
      </c>
      <c r="D39" s="2">
        <f>0/5</f>
        <v>0</v>
      </c>
      <c r="E39" s="2">
        <f>0/5</f>
        <v>0</v>
      </c>
      <c r="F39" s="2">
        <f>3/5</f>
        <v>0.6</v>
      </c>
      <c r="G39" s="2">
        <f>1/5</f>
        <v>0.2</v>
      </c>
    </row>
    <row r="40" spans="1:7" x14ac:dyDescent="0.25">
      <c r="A40" t="s">
        <v>109</v>
      </c>
      <c r="B40" s="2">
        <f>6/9</f>
        <v>0.66666666666666663</v>
      </c>
      <c r="C40" s="2">
        <f>0/9</f>
        <v>0</v>
      </c>
      <c r="D40" s="2">
        <f>0/9</f>
        <v>0</v>
      </c>
      <c r="E40" s="2">
        <f>0/9</f>
        <v>0</v>
      </c>
      <c r="F40" s="2">
        <f>5/9</f>
        <v>0.55555555555555558</v>
      </c>
      <c r="G40" s="2">
        <f>3/9</f>
        <v>0.33333333333333331</v>
      </c>
    </row>
    <row r="41" spans="1:7" x14ac:dyDescent="0.25">
      <c r="A41" t="s">
        <v>334</v>
      </c>
      <c r="B41" s="2">
        <f>2/3</f>
        <v>0.66666666666666663</v>
      </c>
      <c r="C41" s="2">
        <f>1/3</f>
        <v>0.33333333333333331</v>
      </c>
      <c r="D41" s="2">
        <f>0/3</f>
        <v>0</v>
      </c>
      <c r="E41" s="2">
        <f>0/3</f>
        <v>0</v>
      </c>
      <c r="F41" s="2">
        <f>3/3</f>
        <v>1</v>
      </c>
      <c r="G41" s="2">
        <f>0/3</f>
        <v>0</v>
      </c>
    </row>
    <row r="42" spans="1:7" x14ac:dyDescent="0.25">
      <c r="A42" t="s">
        <v>743</v>
      </c>
      <c r="B42" s="2">
        <f>1/4</f>
        <v>0.25</v>
      </c>
      <c r="C42" s="2">
        <f>0/4</f>
        <v>0</v>
      </c>
      <c r="D42" s="2">
        <f>0/4</f>
        <v>0</v>
      </c>
      <c r="E42" s="2">
        <f>0/4</f>
        <v>0</v>
      </c>
      <c r="F42" s="2">
        <f>2/4</f>
        <v>0.5</v>
      </c>
      <c r="G42" s="2">
        <f>1/4</f>
        <v>0.25</v>
      </c>
    </row>
    <row r="43" spans="1:7" x14ac:dyDescent="0.25">
      <c r="A43" t="s">
        <v>325</v>
      </c>
      <c r="B43" s="2">
        <f>3/3</f>
        <v>1</v>
      </c>
      <c r="C43" s="2">
        <f>0/3</f>
        <v>0</v>
      </c>
      <c r="D43" s="2">
        <f>0</f>
        <v>0</v>
      </c>
      <c r="E43" s="2">
        <f>0/3</f>
        <v>0</v>
      </c>
      <c r="F43" s="2">
        <f>2/3</f>
        <v>0.66666666666666663</v>
      </c>
      <c r="G43" s="2">
        <f>0/3</f>
        <v>0</v>
      </c>
    </row>
    <row r="44" spans="1:7" x14ac:dyDescent="0.25">
      <c r="A44" t="s">
        <v>264</v>
      </c>
      <c r="B44" s="2">
        <f>3/5</f>
        <v>0.6</v>
      </c>
      <c r="C44" s="2">
        <f>0/5</f>
        <v>0</v>
      </c>
      <c r="D44" s="2">
        <f>1/5</f>
        <v>0.2</v>
      </c>
      <c r="E44" s="2">
        <f>0/5</f>
        <v>0</v>
      </c>
      <c r="F44" s="2">
        <f>2/5</f>
        <v>0.4</v>
      </c>
      <c r="G44" s="2">
        <f>3/5</f>
        <v>0.6</v>
      </c>
    </row>
    <row r="45" spans="1:7" x14ac:dyDescent="0.25">
      <c r="A45" t="s">
        <v>228</v>
      </c>
      <c r="B45" s="2">
        <f>3/5</f>
        <v>0.6</v>
      </c>
      <c r="C45" s="2">
        <f>0/5</f>
        <v>0</v>
      </c>
      <c r="D45" s="2">
        <f>0/5</f>
        <v>0</v>
      </c>
      <c r="E45" s="2">
        <f>0/5</f>
        <v>0</v>
      </c>
      <c r="F45" s="2">
        <f>2/5</f>
        <v>0.4</v>
      </c>
      <c r="G45" s="2">
        <f>2/5</f>
        <v>0.4</v>
      </c>
    </row>
    <row r="46" spans="1:7" x14ac:dyDescent="0.25">
      <c r="A46" t="s">
        <v>170</v>
      </c>
      <c r="B46" s="2">
        <f>5/5</f>
        <v>1</v>
      </c>
      <c r="C46" s="2">
        <f>0/5</f>
        <v>0</v>
      </c>
      <c r="D46" s="2">
        <f>0/5</f>
        <v>0</v>
      </c>
      <c r="E46" s="2">
        <f>0/5</f>
        <v>0</v>
      </c>
      <c r="F46" s="2">
        <f>2/5</f>
        <v>0.4</v>
      </c>
      <c r="G46" s="2">
        <f>1/5</f>
        <v>0.2</v>
      </c>
    </row>
    <row r="47" spans="1:7" x14ac:dyDescent="0.25">
      <c r="A47" t="s">
        <v>1919</v>
      </c>
      <c r="B47" s="2">
        <f>18/20</f>
        <v>0.9</v>
      </c>
      <c r="C47" s="2">
        <f>1/20</f>
        <v>0.05</v>
      </c>
      <c r="D47" s="2">
        <f>2/20</f>
        <v>0.1</v>
      </c>
      <c r="E47" s="2">
        <f>1/20</f>
        <v>0.05</v>
      </c>
      <c r="F47" s="2">
        <f>5/20</f>
        <v>0.25</v>
      </c>
      <c r="G47" s="2">
        <f>1/20</f>
        <v>0.05</v>
      </c>
    </row>
    <row r="48" spans="1:7" x14ac:dyDescent="0.25">
      <c r="A48" t="s">
        <v>987</v>
      </c>
      <c r="B48" s="2">
        <f>2/4</f>
        <v>0.5</v>
      </c>
      <c r="C48" s="2">
        <f>0/4</f>
        <v>0</v>
      </c>
      <c r="D48" s="2">
        <f>0/4</f>
        <v>0</v>
      </c>
      <c r="E48" s="2">
        <f>0/4</f>
        <v>0</v>
      </c>
      <c r="F48" s="2">
        <f>2/4</f>
        <v>0.5</v>
      </c>
      <c r="G48" s="2">
        <f>0/4</f>
        <v>0</v>
      </c>
    </row>
    <row r="49" spans="1:7" x14ac:dyDescent="0.25">
      <c r="A49" t="s">
        <v>191</v>
      </c>
      <c r="B49" s="2">
        <f>1/3</f>
        <v>0.33333333333333331</v>
      </c>
      <c r="C49" s="2">
        <f>0/3</f>
        <v>0</v>
      </c>
      <c r="D49" s="2">
        <f>0/3</f>
        <v>0</v>
      </c>
      <c r="E49" s="2">
        <f>0/3</f>
        <v>0</v>
      </c>
      <c r="F49" s="2">
        <f>2/3</f>
        <v>0.66666666666666663</v>
      </c>
      <c r="G49" s="2">
        <f>0/3</f>
        <v>0</v>
      </c>
    </row>
    <row r="50" spans="1:7" x14ac:dyDescent="0.25">
      <c r="A50" t="s">
        <v>1054</v>
      </c>
      <c r="B50" s="2">
        <f>3/3</f>
        <v>1</v>
      </c>
      <c r="C50" s="2">
        <f>0/3</f>
        <v>0</v>
      </c>
      <c r="D50" s="2">
        <f>1/3</f>
        <v>0.33333333333333331</v>
      </c>
      <c r="E50" s="2">
        <f>0/3</f>
        <v>0</v>
      </c>
      <c r="F50" s="2">
        <f>2/3</f>
        <v>0.66666666666666663</v>
      </c>
      <c r="G50" s="2">
        <f>0/3</f>
        <v>0</v>
      </c>
    </row>
    <row r="51" spans="1:7" x14ac:dyDescent="0.25">
      <c r="A51" s="5" t="s">
        <v>1935</v>
      </c>
      <c r="B51" s="7">
        <f>219/271</f>
        <v>0.80811808118081185</v>
      </c>
      <c r="C51" s="7">
        <f>16/271</f>
        <v>5.9040590405904057E-2</v>
      </c>
      <c r="D51" s="7">
        <f>26/271</f>
        <v>9.5940959409594101E-2</v>
      </c>
      <c r="E51" s="7">
        <f>10/271</f>
        <v>3.6900369003690037E-2</v>
      </c>
      <c r="F51" s="7">
        <f>135/271</f>
        <v>0.49815498154981552</v>
      </c>
      <c r="G51" s="7">
        <f>40/271</f>
        <v>0.14760147601476015</v>
      </c>
    </row>
    <row r="52" spans="1:7" x14ac:dyDescent="0.25">
      <c r="B52" s="9"/>
      <c r="C52" s="2"/>
      <c r="D52" s="2"/>
      <c r="E52" s="2"/>
      <c r="F52" s="2"/>
      <c r="G52" s="2"/>
    </row>
    <row r="53" spans="1:7" x14ac:dyDescent="0.25">
      <c r="A53" s="5" t="s">
        <v>1930</v>
      </c>
      <c r="B53" s="5" t="s">
        <v>1981</v>
      </c>
      <c r="C53" s="5" t="s">
        <v>1982</v>
      </c>
      <c r="D53" s="5" t="s">
        <v>1983</v>
      </c>
      <c r="E53" s="5" t="s">
        <v>1940</v>
      </c>
      <c r="F53" s="5" t="s">
        <v>1984</v>
      </c>
      <c r="G53" s="5" t="s">
        <v>1934</v>
      </c>
    </row>
    <row r="54" spans="1:7" x14ac:dyDescent="0.25">
      <c r="A54" t="s">
        <v>1958</v>
      </c>
      <c r="B54" s="2">
        <f>27/29</f>
        <v>0.93103448275862066</v>
      </c>
      <c r="C54" s="2">
        <f>1/29</f>
        <v>3.4482758620689655E-2</v>
      </c>
      <c r="D54" s="2">
        <f>3/29</f>
        <v>0.10344827586206896</v>
      </c>
      <c r="E54" s="2">
        <f>1/29</f>
        <v>3.4482758620689655E-2</v>
      </c>
      <c r="F54" s="2">
        <f>16/29</f>
        <v>0.55172413793103448</v>
      </c>
      <c r="G54" s="2">
        <f>4/29</f>
        <v>0.13793103448275862</v>
      </c>
    </row>
    <row r="55" spans="1:7" x14ac:dyDescent="0.25">
      <c r="A55" t="s">
        <v>1959</v>
      </c>
      <c r="B55" s="2">
        <f>8/12</f>
        <v>0.66666666666666663</v>
      </c>
      <c r="C55" s="2">
        <f>1/12</f>
        <v>8.3333333333333329E-2</v>
      </c>
      <c r="D55" s="2">
        <f>2/12</f>
        <v>0.16666666666666666</v>
      </c>
      <c r="E55" s="2">
        <f>1/12</f>
        <v>8.3333333333333329E-2</v>
      </c>
      <c r="F55" s="2">
        <f>5/12</f>
        <v>0.41666666666666669</v>
      </c>
      <c r="G55" s="2">
        <f>3/12</f>
        <v>0.25</v>
      </c>
    </row>
    <row r="56" spans="1:7" x14ac:dyDescent="0.25">
      <c r="A56" t="s">
        <v>1960</v>
      </c>
      <c r="B56" s="2">
        <f>5/5</f>
        <v>1</v>
      </c>
      <c r="C56" s="2">
        <f>1/5</f>
        <v>0.2</v>
      </c>
      <c r="D56" s="2">
        <f>0/5</f>
        <v>0</v>
      </c>
      <c r="E56" s="2">
        <f>0/5</f>
        <v>0</v>
      </c>
      <c r="F56" s="2">
        <f>2/5</f>
        <v>0.4</v>
      </c>
      <c r="G56" s="2">
        <f>0/5</f>
        <v>0</v>
      </c>
    </row>
    <row r="57" spans="1:7" x14ac:dyDescent="0.25">
      <c r="A57" t="s">
        <v>1961</v>
      </c>
      <c r="B57" s="2">
        <f>6/10</f>
        <v>0.6</v>
      </c>
      <c r="C57" s="2">
        <f>0/10</f>
        <v>0</v>
      </c>
      <c r="D57" s="2">
        <f>1/10</f>
        <v>0.1</v>
      </c>
      <c r="E57" s="2">
        <f>0/10</f>
        <v>0</v>
      </c>
      <c r="F57" s="2">
        <f>3/10</f>
        <v>0.3</v>
      </c>
      <c r="G57" s="2">
        <f>4/10</f>
        <v>0.4</v>
      </c>
    </row>
    <row r="58" spans="1:7" x14ac:dyDescent="0.25">
      <c r="A58" t="s">
        <v>1962</v>
      </c>
      <c r="B58" s="2">
        <f>3/4</f>
        <v>0.75</v>
      </c>
      <c r="C58" s="2">
        <f>1/4</f>
        <v>0.25</v>
      </c>
      <c r="D58" s="2">
        <f>2/4</f>
        <v>0.5</v>
      </c>
      <c r="E58" s="2">
        <f>1/4</f>
        <v>0.25</v>
      </c>
      <c r="F58" s="2">
        <f>3/4</f>
        <v>0.75</v>
      </c>
      <c r="G58" s="2">
        <f>1/4</f>
        <v>0.25</v>
      </c>
    </row>
    <row r="59" spans="1:7" x14ac:dyDescent="0.25">
      <c r="A59" t="s">
        <v>1963</v>
      </c>
      <c r="B59" s="2">
        <f>16/17</f>
        <v>0.94117647058823528</v>
      </c>
      <c r="C59" s="2">
        <f>1/17</f>
        <v>5.8823529411764705E-2</v>
      </c>
      <c r="D59" s="2">
        <f>0/17</f>
        <v>0</v>
      </c>
      <c r="E59" s="2">
        <f>0/17</f>
        <v>0</v>
      </c>
      <c r="F59" s="2">
        <f>10/17</f>
        <v>0.58823529411764708</v>
      </c>
      <c r="G59" s="2">
        <f>3/17</f>
        <v>0.17647058823529413</v>
      </c>
    </row>
    <row r="60" spans="1:7" x14ac:dyDescent="0.25">
      <c r="A60" t="s">
        <v>1964</v>
      </c>
      <c r="B60" s="2">
        <f>23/39</f>
        <v>0.58974358974358976</v>
      </c>
      <c r="C60" s="2">
        <f>1/39</f>
        <v>2.564102564102564E-2</v>
      </c>
      <c r="D60" s="2">
        <f>0/39</f>
        <v>0</v>
      </c>
      <c r="E60" s="2">
        <f>0/39</f>
        <v>0</v>
      </c>
      <c r="F60" s="2">
        <f>26/39</f>
        <v>0.66666666666666663</v>
      </c>
      <c r="G60" s="2">
        <f>6/39</f>
        <v>0.15384615384615385</v>
      </c>
    </row>
    <row r="61" spans="1:7" x14ac:dyDescent="0.25">
      <c r="A61" t="s">
        <v>1965</v>
      </c>
      <c r="B61" s="2">
        <f>28/33</f>
        <v>0.84848484848484851</v>
      </c>
      <c r="C61" s="2">
        <f>3/33</f>
        <v>9.0909090909090912E-2</v>
      </c>
      <c r="D61" s="2">
        <f>3/33</f>
        <v>9.0909090909090912E-2</v>
      </c>
      <c r="E61" s="2">
        <f>0/33</f>
        <v>0</v>
      </c>
      <c r="F61" s="2">
        <f>11/33</f>
        <v>0.33333333333333331</v>
      </c>
      <c r="G61" s="2">
        <f>11/33</f>
        <v>0.33333333333333331</v>
      </c>
    </row>
    <row r="62" spans="1:7" x14ac:dyDescent="0.25">
      <c r="A62" t="s">
        <v>1966</v>
      </c>
      <c r="B62" s="2">
        <f>33/54</f>
        <v>0.61111111111111116</v>
      </c>
      <c r="C62" s="2">
        <f>2/54</f>
        <v>3.7037037037037035E-2</v>
      </c>
      <c r="D62" s="2">
        <f>5/54</f>
        <v>9.2592592592592587E-2</v>
      </c>
      <c r="E62" s="2">
        <f>2/54</f>
        <v>3.7037037037037035E-2</v>
      </c>
      <c r="F62" s="2">
        <f>24/54</f>
        <v>0.44444444444444442</v>
      </c>
      <c r="G62" s="2">
        <f>7/54</f>
        <v>0.12962962962962962</v>
      </c>
    </row>
    <row r="63" spans="1:7" x14ac:dyDescent="0.25">
      <c r="A63" t="s">
        <v>1967</v>
      </c>
      <c r="B63" s="2">
        <f>7/10</f>
        <v>0.7</v>
      </c>
      <c r="C63" s="2">
        <f>2/10</f>
        <v>0.2</v>
      </c>
      <c r="D63" s="2">
        <f>3/10</f>
        <v>0.3</v>
      </c>
      <c r="E63" s="2">
        <f>2/10</f>
        <v>0.2</v>
      </c>
      <c r="F63" s="2">
        <f>9/10</f>
        <v>0.9</v>
      </c>
      <c r="G63" s="2">
        <f>0/10</f>
        <v>0</v>
      </c>
    </row>
    <row r="64" spans="1:7" x14ac:dyDescent="0.25">
      <c r="A64" t="s">
        <v>1972</v>
      </c>
      <c r="B64" s="2">
        <f>12/15</f>
        <v>0.8</v>
      </c>
      <c r="C64" s="2">
        <f>1/15</f>
        <v>6.6666666666666666E-2</v>
      </c>
      <c r="D64" s="2">
        <f>2/15</f>
        <v>0.13333333333333333</v>
      </c>
      <c r="E64" s="2">
        <f>1/15</f>
        <v>6.6666666666666666E-2</v>
      </c>
      <c r="F64" s="2">
        <f>8/15</f>
        <v>0.53333333333333333</v>
      </c>
      <c r="G64" s="2">
        <f>0/15</f>
        <v>0</v>
      </c>
    </row>
    <row r="65" spans="1:7" x14ac:dyDescent="0.25">
      <c r="A65" t="s">
        <v>1973</v>
      </c>
      <c r="B65" s="2">
        <f>5/5</f>
        <v>1</v>
      </c>
      <c r="C65" s="2">
        <f>1/5</f>
        <v>0.2</v>
      </c>
      <c r="D65" s="2">
        <f>0/5</f>
        <v>0</v>
      </c>
      <c r="E65" s="2">
        <f>1/5</f>
        <v>0.2</v>
      </c>
      <c r="F65" s="2">
        <f>1/5</f>
        <v>0.2</v>
      </c>
      <c r="G65" s="2">
        <f>0/5</f>
        <v>0</v>
      </c>
    </row>
    <row r="66" spans="1:7" x14ac:dyDescent="0.25">
      <c r="A66" t="s">
        <v>1968</v>
      </c>
      <c r="B66" s="2">
        <f>15/15</f>
        <v>1</v>
      </c>
      <c r="C66" s="2">
        <f>0/15</f>
        <v>0</v>
      </c>
      <c r="D66" s="2">
        <f>3/15</f>
        <v>0.2</v>
      </c>
      <c r="E66" s="2">
        <f>0/15</f>
        <v>0</v>
      </c>
      <c r="F66" s="2">
        <f>7/15</f>
        <v>0.46666666666666667</v>
      </c>
      <c r="G66" s="2">
        <f>1/15</f>
        <v>6.6666666666666666E-2</v>
      </c>
    </row>
    <row r="67" spans="1:7" x14ac:dyDescent="0.25">
      <c r="A67" t="s">
        <v>1969</v>
      </c>
      <c r="B67" s="2">
        <f>4/4</f>
        <v>1</v>
      </c>
      <c r="C67" s="2">
        <f>0/4</f>
        <v>0</v>
      </c>
      <c r="D67" s="2">
        <f>1/4</f>
        <v>0.25</v>
      </c>
      <c r="E67" s="2">
        <f>0/4</f>
        <v>0</v>
      </c>
      <c r="F67" s="2">
        <f>0/4</f>
        <v>0</v>
      </c>
      <c r="G67" s="2">
        <f>0/4</f>
        <v>0</v>
      </c>
    </row>
    <row r="68" spans="1:7" x14ac:dyDescent="0.25">
      <c r="A68" t="s">
        <v>1970</v>
      </c>
      <c r="B68" s="2">
        <f>6/8</f>
        <v>0.75</v>
      </c>
      <c r="C68" s="2">
        <f>1/8</f>
        <v>0.125</v>
      </c>
      <c r="D68" s="2">
        <f>1/8</f>
        <v>0.125</v>
      </c>
      <c r="E68" s="2">
        <f>0/8</f>
        <v>0</v>
      </c>
      <c r="F68" s="2">
        <f>6/8</f>
        <v>0.75</v>
      </c>
      <c r="G68" s="2">
        <f>0/8</f>
        <v>0</v>
      </c>
    </row>
    <row r="69" spans="1:7" x14ac:dyDescent="0.25">
      <c r="A69" t="s">
        <v>1971</v>
      </c>
      <c r="B69" s="2">
        <f>5/5</f>
        <v>1</v>
      </c>
      <c r="C69" s="2">
        <f>0/5</f>
        <v>0</v>
      </c>
      <c r="D69" s="2">
        <f>0/5</f>
        <v>0</v>
      </c>
      <c r="E69" s="2">
        <f>1/5</f>
        <v>0.2</v>
      </c>
      <c r="F69" s="2">
        <f>4/5</f>
        <v>0.8</v>
      </c>
      <c r="G69" s="2">
        <f>0/5</f>
        <v>0</v>
      </c>
    </row>
    <row r="71" spans="1:7" x14ac:dyDescent="0.25">
      <c r="A71" s="5" t="s">
        <v>1992</v>
      </c>
      <c r="B71" s="5" t="s">
        <v>1981</v>
      </c>
      <c r="C71" s="5" t="s">
        <v>1982</v>
      </c>
      <c r="D71" s="5" t="s">
        <v>1983</v>
      </c>
      <c r="E71" s="5" t="s">
        <v>1940</v>
      </c>
      <c r="F71" s="5" t="s">
        <v>1984</v>
      </c>
      <c r="G71" s="5" t="s">
        <v>1934</v>
      </c>
    </row>
    <row r="72" spans="1:7" x14ac:dyDescent="0.25">
      <c r="A72" t="s">
        <v>1993</v>
      </c>
      <c r="B72" s="2">
        <f>106/156</f>
        <v>0.67948717948717952</v>
      </c>
      <c r="C72" s="2">
        <f>9/156</f>
        <v>5.7692307692307696E-2</v>
      </c>
      <c r="D72" s="2">
        <f>11/156</f>
        <v>7.0512820512820512E-2</v>
      </c>
      <c r="E72" s="2">
        <f>5/156</f>
        <v>3.2051282051282048E-2</v>
      </c>
      <c r="F72" s="2">
        <f>96/156</f>
        <v>0.61538461538461542</v>
      </c>
      <c r="G72" s="2">
        <f>22/156</f>
        <v>0.14102564102564102</v>
      </c>
    </row>
    <row r="73" spans="1:7" x14ac:dyDescent="0.25">
      <c r="A73" t="s">
        <v>1990</v>
      </c>
      <c r="B73" s="2">
        <f>24/30</f>
        <v>0.8</v>
      </c>
      <c r="C73" s="2">
        <f>2/30</f>
        <v>6.6666666666666666E-2</v>
      </c>
      <c r="D73" s="2">
        <f>3/30</f>
        <v>0.1</v>
      </c>
      <c r="E73" s="2">
        <f>0/30</f>
        <v>0</v>
      </c>
      <c r="F73" s="2">
        <f>8/30</f>
        <v>0.26666666666666666</v>
      </c>
      <c r="G73" s="2">
        <f>4/30</f>
        <v>0.13333333333333333</v>
      </c>
    </row>
    <row r="74" spans="1:7" x14ac:dyDescent="0.25">
      <c r="A74" t="s">
        <v>1991</v>
      </c>
      <c r="B74" s="2">
        <f>83/85</f>
        <v>0.97647058823529409</v>
      </c>
      <c r="C74" s="2">
        <f>2/85</f>
        <v>2.3529411764705882E-2</v>
      </c>
      <c r="D74" s="2">
        <f>8/85</f>
        <v>9.4117647058823528E-2</v>
      </c>
      <c r="E74" s="2">
        <f>2/85</f>
        <v>2.3529411764705882E-2</v>
      </c>
      <c r="F74" s="2">
        <f>19/85</f>
        <v>0.22352941176470589</v>
      </c>
      <c r="G74" s="2">
        <f>9/85</f>
        <v>0.10588235294117647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EE29B-8229-410A-935A-A62C70B3976A}">
  <dimension ref="A1:F74"/>
  <sheetViews>
    <sheetView topLeftCell="A56" workbookViewId="0">
      <selection activeCell="F77" sqref="F77"/>
    </sheetView>
  </sheetViews>
  <sheetFormatPr baseColWidth="10" defaultRowHeight="15" x14ac:dyDescent="0.25"/>
  <sheetData>
    <row r="1" spans="1:6" x14ac:dyDescent="0.25">
      <c r="A1" s="5" t="s">
        <v>3</v>
      </c>
      <c r="B1" s="5" t="s">
        <v>1985</v>
      </c>
      <c r="C1" s="5" t="s">
        <v>84</v>
      </c>
      <c r="E1" s="5"/>
      <c r="F1" s="5"/>
    </row>
    <row r="2" spans="1:6" x14ac:dyDescent="0.25">
      <c r="A2" t="s">
        <v>156</v>
      </c>
      <c r="B2" s="2">
        <f>0/8</f>
        <v>0</v>
      </c>
      <c r="C2" s="2">
        <f>8/8</f>
        <v>1</v>
      </c>
      <c r="E2" s="2"/>
      <c r="F2" s="2"/>
    </row>
    <row r="3" spans="1:6" x14ac:dyDescent="0.25">
      <c r="A3" t="s">
        <v>1911</v>
      </c>
      <c r="B3" s="2">
        <f>0/1</f>
        <v>0</v>
      </c>
      <c r="C3" s="2">
        <f>1/1</f>
        <v>1</v>
      </c>
      <c r="E3" s="2"/>
      <c r="F3" s="2"/>
    </row>
    <row r="4" spans="1:6" x14ac:dyDescent="0.25">
      <c r="A4" t="s">
        <v>137</v>
      </c>
      <c r="B4" s="2">
        <f>2/13</f>
        <v>0.15384615384615385</v>
      </c>
      <c r="C4" s="2">
        <f>11/13</f>
        <v>0.84615384615384615</v>
      </c>
      <c r="E4" s="2"/>
      <c r="F4" s="2"/>
    </row>
    <row r="5" spans="1:6" x14ac:dyDescent="0.25">
      <c r="A5" t="s">
        <v>215</v>
      </c>
      <c r="B5" s="2">
        <f>0/1</f>
        <v>0</v>
      </c>
      <c r="C5" s="2">
        <f>1/1</f>
        <v>1</v>
      </c>
      <c r="E5" s="2"/>
      <c r="F5" s="2"/>
    </row>
    <row r="6" spans="1:6" x14ac:dyDescent="0.25">
      <c r="A6" t="s">
        <v>1912</v>
      </c>
      <c r="B6" s="2">
        <f>0/1</f>
        <v>0</v>
      </c>
      <c r="C6" s="2">
        <f>1/1</f>
        <v>1</v>
      </c>
      <c r="E6" s="2"/>
      <c r="F6" s="2"/>
    </row>
    <row r="7" spans="1:6" x14ac:dyDescent="0.25">
      <c r="A7" t="s">
        <v>1913</v>
      </c>
      <c r="B7" s="2">
        <f>3/5</f>
        <v>0.6</v>
      </c>
      <c r="C7" s="2">
        <f>2/5</f>
        <v>0.4</v>
      </c>
      <c r="E7" s="2"/>
      <c r="F7" s="2"/>
    </row>
    <row r="8" spans="1:6" x14ac:dyDescent="0.25">
      <c r="A8" t="s">
        <v>515</v>
      </c>
      <c r="B8" s="2">
        <f>2/8</f>
        <v>0.25</v>
      </c>
      <c r="C8" s="2">
        <f>6/8</f>
        <v>0.75</v>
      </c>
      <c r="E8" s="2"/>
      <c r="F8" s="2"/>
    </row>
    <row r="9" spans="1:6" x14ac:dyDescent="0.25">
      <c r="A9" t="s">
        <v>374</v>
      </c>
      <c r="B9" s="2">
        <f>0/4</f>
        <v>0</v>
      </c>
      <c r="C9" s="2">
        <f>4/4</f>
        <v>1</v>
      </c>
      <c r="E9" s="2"/>
      <c r="F9" s="2"/>
    </row>
    <row r="10" spans="1:6" x14ac:dyDescent="0.25">
      <c r="A10" t="s">
        <v>120</v>
      </c>
      <c r="B10" s="2">
        <f>6/20</f>
        <v>0.3</v>
      </c>
      <c r="C10" s="2">
        <f>14/20</f>
        <v>0.7</v>
      </c>
      <c r="E10" s="2"/>
      <c r="F10" s="2"/>
    </row>
    <row r="11" spans="1:6" x14ac:dyDescent="0.25">
      <c r="A11" t="s">
        <v>1914</v>
      </c>
      <c r="B11" s="2">
        <f>1/3</f>
        <v>0.33333333333333331</v>
      </c>
      <c r="C11" s="2">
        <f>2/3</f>
        <v>0.66666666666666663</v>
      </c>
      <c r="E11" s="2"/>
      <c r="F11" s="2"/>
    </row>
    <row r="12" spans="1:6" x14ac:dyDescent="0.25">
      <c r="A12" t="s">
        <v>233</v>
      </c>
      <c r="B12" s="2">
        <f>0/4</f>
        <v>0</v>
      </c>
      <c r="C12" s="2">
        <f>4/4</f>
        <v>1</v>
      </c>
      <c r="E12" s="2"/>
      <c r="F12" s="2"/>
    </row>
    <row r="13" spans="1:6" x14ac:dyDescent="0.25">
      <c r="A13" t="s">
        <v>425</v>
      </c>
      <c r="B13" s="2">
        <f>1/6</f>
        <v>0.16666666666666666</v>
      </c>
      <c r="C13" s="2">
        <f>5/6</f>
        <v>0.83333333333333337</v>
      </c>
      <c r="E13" s="2"/>
      <c r="F13" s="2"/>
    </row>
    <row r="14" spans="1:6" x14ac:dyDescent="0.25">
      <c r="A14" t="s">
        <v>727</v>
      </c>
      <c r="B14" s="2">
        <f>0/5</f>
        <v>0</v>
      </c>
      <c r="C14" s="2">
        <f>5/5</f>
        <v>1</v>
      </c>
      <c r="E14" s="2"/>
      <c r="F14" s="2"/>
    </row>
    <row r="15" spans="1:6" x14ac:dyDescent="0.25">
      <c r="A15" t="s">
        <v>83</v>
      </c>
      <c r="B15" s="2">
        <f>2/4</f>
        <v>0.5</v>
      </c>
      <c r="C15" s="2">
        <f>2/4</f>
        <v>0.5</v>
      </c>
      <c r="E15" s="2"/>
      <c r="F15" s="2"/>
    </row>
    <row r="16" spans="1:6" x14ac:dyDescent="0.25">
      <c r="A16" t="s">
        <v>204</v>
      </c>
      <c r="B16" s="2">
        <f>1/21</f>
        <v>4.7619047619047616E-2</v>
      </c>
      <c r="C16" s="2">
        <f>20/21</f>
        <v>0.95238095238095233</v>
      </c>
      <c r="E16" s="2"/>
      <c r="F16" s="2"/>
    </row>
    <row r="17" spans="1:6" x14ac:dyDescent="0.25">
      <c r="A17" t="s">
        <v>319</v>
      </c>
      <c r="B17" s="2">
        <f>0/4</f>
        <v>0</v>
      </c>
      <c r="C17" s="2">
        <f>4/4</f>
        <v>1</v>
      </c>
      <c r="E17" s="2"/>
      <c r="F17" s="2"/>
    </row>
    <row r="18" spans="1:6" x14ac:dyDescent="0.25">
      <c r="A18" t="s">
        <v>245</v>
      </c>
      <c r="B18" s="2">
        <f>0/4</f>
        <v>0</v>
      </c>
      <c r="C18" s="2">
        <f>4/4</f>
        <v>1</v>
      </c>
      <c r="E18" s="2"/>
      <c r="F18" s="2"/>
    </row>
    <row r="19" spans="1:6" x14ac:dyDescent="0.25">
      <c r="A19" t="s">
        <v>408</v>
      </c>
      <c r="B19" s="2">
        <f>0/2</f>
        <v>0</v>
      </c>
      <c r="C19" s="2">
        <f>2/2</f>
        <v>1</v>
      </c>
      <c r="E19" s="2"/>
      <c r="F19" s="2"/>
    </row>
    <row r="20" spans="1:6" x14ac:dyDescent="0.25">
      <c r="A20" t="s">
        <v>1915</v>
      </c>
      <c r="B20" s="2">
        <f>0/1</f>
        <v>0</v>
      </c>
      <c r="C20" s="2">
        <f>1/1</f>
        <v>1</v>
      </c>
      <c r="E20" s="2"/>
      <c r="F20" s="2"/>
    </row>
    <row r="21" spans="1:6" x14ac:dyDescent="0.25">
      <c r="A21" t="s">
        <v>658</v>
      </c>
      <c r="B21" s="2">
        <f>1/4</f>
        <v>0.25</v>
      </c>
      <c r="C21" s="2">
        <f>3/4</f>
        <v>0.75</v>
      </c>
      <c r="E21" s="2"/>
      <c r="F21" s="2"/>
    </row>
    <row r="22" spans="1:6" x14ac:dyDescent="0.25">
      <c r="A22" t="s">
        <v>198</v>
      </c>
      <c r="B22" s="2">
        <f>1/7</f>
        <v>0.14285714285714285</v>
      </c>
      <c r="C22" s="2">
        <f>6/7</f>
        <v>0.8571428571428571</v>
      </c>
      <c r="E22" s="2"/>
      <c r="F22" s="2"/>
    </row>
    <row r="23" spans="1:6" x14ac:dyDescent="0.25">
      <c r="A23" t="s">
        <v>278</v>
      </c>
      <c r="B23" s="2">
        <f>1/5</f>
        <v>0.2</v>
      </c>
      <c r="C23" s="2">
        <f>4/5</f>
        <v>0.8</v>
      </c>
      <c r="E23" s="2"/>
      <c r="F23" s="2"/>
    </row>
    <row r="24" spans="1:6" x14ac:dyDescent="0.25">
      <c r="A24" t="s">
        <v>253</v>
      </c>
      <c r="B24" s="2">
        <f>1/4</f>
        <v>0.25</v>
      </c>
      <c r="C24" s="2">
        <f>3/4</f>
        <v>0.75</v>
      </c>
      <c r="E24" s="2"/>
      <c r="F24" s="2"/>
    </row>
    <row r="25" spans="1:6" x14ac:dyDescent="0.25">
      <c r="A25" t="s">
        <v>93</v>
      </c>
      <c r="B25" s="2">
        <f>0/4</f>
        <v>0</v>
      </c>
      <c r="C25" s="2">
        <f>4/4</f>
        <v>1</v>
      </c>
      <c r="E25" s="2"/>
      <c r="F25" s="2"/>
    </row>
    <row r="26" spans="1:6" x14ac:dyDescent="0.25">
      <c r="A26" t="s">
        <v>1916</v>
      </c>
      <c r="B26" s="2">
        <f>0/5</f>
        <v>0</v>
      </c>
      <c r="C26" s="2">
        <f>5/5</f>
        <v>1</v>
      </c>
      <c r="E26" s="2"/>
      <c r="F26" s="2"/>
    </row>
    <row r="27" spans="1:6" x14ac:dyDescent="0.25">
      <c r="A27" t="s">
        <v>991</v>
      </c>
      <c r="B27" s="2">
        <f>0/3</f>
        <v>0</v>
      </c>
      <c r="C27" s="2">
        <f>3/3</f>
        <v>1</v>
      </c>
      <c r="E27" s="2"/>
      <c r="F27" s="2"/>
    </row>
    <row r="28" spans="1:6" x14ac:dyDescent="0.25">
      <c r="A28" t="s">
        <v>998</v>
      </c>
      <c r="B28" s="2">
        <f>3/5</f>
        <v>0.6</v>
      </c>
      <c r="C28" s="2">
        <f>2/5</f>
        <v>0.4</v>
      </c>
      <c r="E28" s="2"/>
      <c r="F28" s="2"/>
    </row>
    <row r="29" spans="1:6" x14ac:dyDescent="0.25">
      <c r="A29" t="s">
        <v>952</v>
      </c>
      <c r="B29" s="2">
        <f>2/4</f>
        <v>0.5</v>
      </c>
      <c r="C29" s="2">
        <f>2/4</f>
        <v>0.5</v>
      </c>
      <c r="E29" s="2"/>
      <c r="F29" s="2"/>
    </row>
    <row r="30" spans="1:6" x14ac:dyDescent="0.25">
      <c r="A30" t="s">
        <v>1691</v>
      </c>
      <c r="B30" s="2">
        <f>1/4</f>
        <v>0.25</v>
      </c>
      <c r="C30" s="2">
        <f>3/4</f>
        <v>0.75</v>
      </c>
      <c r="E30" s="2"/>
      <c r="F30" s="2"/>
    </row>
    <row r="31" spans="1:6" x14ac:dyDescent="0.25">
      <c r="A31" t="s">
        <v>284</v>
      </c>
      <c r="B31" s="2">
        <f>0/3</f>
        <v>0</v>
      </c>
      <c r="C31" s="2">
        <f>3/3</f>
        <v>1</v>
      </c>
      <c r="E31" s="2"/>
      <c r="F31" s="2"/>
    </row>
    <row r="32" spans="1:6" x14ac:dyDescent="0.25">
      <c r="A32" t="s">
        <v>299</v>
      </c>
      <c r="B32" s="2">
        <f>6/15</f>
        <v>0.4</v>
      </c>
      <c r="C32" s="2">
        <f>9/15</f>
        <v>0.6</v>
      </c>
      <c r="E32" s="2"/>
      <c r="F32" s="2"/>
    </row>
    <row r="33" spans="1:6" x14ac:dyDescent="0.25">
      <c r="A33" t="s">
        <v>1028</v>
      </c>
      <c r="B33" s="2">
        <f>1/3</f>
        <v>0.33333333333333331</v>
      </c>
      <c r="C33" s="2">
        <f>2/3</f>
        <v>0.66666666666666663</v>
      </c>
      <c r="E33" s="2"/>
      <c r="F33" s="2"/>
    </row>
    <row r="34" spans="1:6" x14ac:dyDescent="0.25">
      <c r="A34" t="s">
        <v>715</v>
      </c>
      <c r="B34" s="2">
        <f>1/4</f>
        <v>0.25</v>
      </c>
      <c r="C34" s="2">
        <f>3/4</f>
        <v>0.75</v>
      </c>
      <c r="E34" s="2"/>
      <c r="F34" s="2"/>
    </row>
    <row r="35" spans="1:6" x14ac:dyDescent="0.25">
      <c r="A35" t="s">
        <v>222</v>
      </c>
      <c r="B35" s="2">
        <f>0/8</f>
        <v>0</v>
      </c>
      <c r="C35" s="2">
        <f>8/8</f>
        <v>1</v>
      </c>
      <c r="E35" s="2"/>
      <c r="F35" s="2"/>
    </row>
    <row r="36" spans="1:6" x14ac:dyDescent="0.25">
      <c r="A36" t="s">
        <v>414</v>
      </c>
      <c r="B36" s="2">
        <f>0/3</f>
        <v>0</v>
      </c>
      <c r="C36" s="2">
        <f>3/3</f>
        <v>1</v>
      </c>
      <c r="E36" s="2"/>
      <c r="F36" s="2"/>
    </row>
    <row r="37" spans="1:6" x14ac:dyDescent="0.25">
      <c r="A37" t="s">
        <v>1917</v>
      </c>
      <c r="B37" s="2">
        <f>0/1</f>
        <v>0</v>
      </c>
      <c r="C37" s="2">
        <f>1/1</f>
        <v>1</v>
      </c>
      <c r="E37" s="2"/>
      <c r="F37" s="2"/>
    </row>
    <row r="38" spans="1:6" x14ac:dyDescent="0.25">
      <c r="A38" t="s">
        <v>1430</v>
      </c>
      <c r="B38" s="2">
        <f>1/1</f>
        <v>1</v>
      </c>
      <c r="C38" s="2">
        <f>0/1</f>
        <v>0</v>
      </c>
      <c r="E38" s="2"/>
      <c r="F38" s="2"/>
    </row>
    <row r="39" spans="1:6" x14ac:dyDescent="0.25">
      <c r="A39" t="s">
        <v>1918</v>
      </c>
      <c r="B39" s="2">
        <f>0/5</f>
        <v>0</v>
      </c>
      <c r="C39" s="2">
        <f>5/5</f>
        <v>1</v>
      </c>
      <c r="E39" s="2"/>
      <c r="F39" s="2"/>
    </row>
    <row r="40" spans="1:6" x14ac:dyDescent="0.25">
      <c r="A40" t="s">
        <v>109</v>
      </c>
      <c r="B40" s="2">
        <f>1/9</f>
        <v>0.1111111111111111</v>
      </c>
      <c r="C40" s="2">
        <f>8/9</f>
        <v>0.88888888888888884</v>
      </c>
      <c r="E40" s="2"/>
      <c r="F40" s="2"/>
    </row>
    <row r="41" spans="1:6" x14ac:dyDescent="0.25">
      <c r="A41" t="s">
        <v>334</v>
      </c>
      <c r="B41" s="2">
        <f>0/3</f>
        <v>0</v>
      </c>
      <c r="C41" s="2">
        <f>3/3</f>
        <v>1</v>
      </c>
      <c r="E41" s="2"/>
      <c r="F41" s="2"/>
    </row>
    <row r="42" spans="1:6" x14ac:dyDescent="0.25">
      <c r="A42" t="s">
        <v>743</v>
      </c>
      <c r="B42" s="2">
        <f>0/4</f>
        <v>0</v>
      </c>
      <c r="C42" s="2">
        <f>4/4</f>
        <v>1</v>
      </c>
      <c r="E42" s="2"/>
      <c r="F42" s="2"/>
    </row>
    <row r="43" spans="1:6" x14ac:dyDescent="0.25">
      <c r="A43" t="s">
        <v>325</v>
      </c>
      <c r="B43" s="2">
        <f>0/3</f>
        <v>0</v>
      </c>
      <c r="C43" s="2">
        <f>3/3</f>
        <v>1</v>
      </c>
      <c r="E43" s="2"/>
      <c r="F43" s="2"/>
    </row>
    <row r="44" spans="1:6" x14ac:dyDescent="0.25">
      <c r="A44" t="s">
        <v>264</v>
      </c>
      <c r="B44" s="2">
        <f>1/5</f>
        <v>0.2</v>
      </c>
      <c r="C44" s="2">
        <f>4/5</f>
        <v>0.8</v>
      </c>
      <c r="E44" s="2"/>
      <c r="F44" s="2"/>
    </row>
    <row r="45" spans="1:6" x14ac:dyDescent="0.25">
      <c r="A45" t="s">
        <v>228</v>
      </c>
      <c r="B45" s="2">
        <f>1/5</f>
        <v>0.2</v>
      </c>
      <c r="C45" s="2">
        <f>4/5</f>
        <v>0.8</v>
      </c>
      <c r="E45" s="2"/>
      <c r="F45" s="2"/>
    </row>
    <row r="46" spans="1:6" x14ac:dyDescent="0.25">
      <c r="A46" t="s">
        <v>170</v>
      </c>
      <c r="B46" s="2">
        <f>1/5</f>
        <v>0.2</v>
      </c>
      <c r="C46" s="2">
        <f>4/5</f>
        <v>0.8</v>
      </c>
      <c r="E46" s="2"/>
      <c r="F46" s="2"/>
    </row>
    <row r="47" spans="1:6" x14ac:dyDescent="0.25">
      <c r="A47" t="s">
        <v>1919</v>
      </c>
      <c r="B47" s="2">
        <f>3/20</f>
        <v>0.15</v>
      </c>
      <c r="C47" s="2">
        <f>17/20</f>
        <v>0.85</v>
      </c>
      <c r="E47" s="2"/>
      <c r="F47" s="2"/>
    </row>
    <row r="48" spans="1:6" x14ac:dyDescent="0.25">
      <c r="A48" t="s">
        <v>987</v>
      </c>
      <c r="B48" s="2">
        <f>0/4</f>
        <v>0</v>
      </c>
      <c r="C48" s="2">
        <f>4/4</f>
        <v>1</v>
      </c>
      <c r="E48" s="2"/>
      <c r="F48" s="2"/>
    </row>
    <row r="49" spans="1:6" x14ac:dyDescent="0.25">
      <c r="A49" t="s">
        <v>191</v>
      </c>
      <c r="B49" s="2">
        <f>0/3</f>
        <v>0</v>
      </c>
      <c r="C49" s="2">
        <f>3/3</f>
        <v>1</v>
      </c>
      <c r="E49" s="2"/>
      <c r="F49" s="2"/>
    </row>
    <row r="50" spans="1:6" x14ac:dyDescent="0.25">
      <c r="A50" t="s">
        <v>1054</v>
      </c>
      <c r="B50" s="2">
        <f>1/3</f>
        <v>0.33333333333333331</v>
      </c>
      <c r="C50" s="2">
        <f>2/3</f>
        <v>0.66666666666666663</v>
      </c>
      <c r="E50" s="2"/>
      <c r="F50" s="2"/>
    </row>
    <row r="51" spans="1:6" x14ac:dyDescent="0.25">
      <c r="A51" s="5" t="s">
        <v>1935</v>
      </c>
      <c r="B51" s="2">
        <f>45/271</f>
        <v>0.16605166051660517</v>
      </c>
      <c r="C51" s="2">
        <f>226/271</f>
        <v>0.83394833948339486</v>
      </c>
      <c r="E51" s="2"/>
      <c r="F51" s="2"/>
    </row>
    <row r="52" spans="1:6" x14ac:dyDescent="0.25">
      <c r="B52" s="2"/>
      <c r="C52" s="2"/>
      <c r="E52" s="2"/>
      <c r="F52" s="2"/>
    </row>
    <row r="53" spans="1:6" x14ac:dyDescent="0.25">
      <c r="A53" s="5" t="s">
        <v>1930</v>
      </c>
      <c r="B53" s="7" t="s">
        <v>87</v>
      </c>
      <c r="C53" s="7" t="s">
        <v>84</v>
      </c>
      <c r="E53" s="7"/>
      <c r="F53" s="7"/>
    </row>
    <row r="54" spans="1:6" x14ac:dyDescent="0.25">
      <c r="A54" t="s">
        <v>1958</v>
      </c>
      <c r="B54" s="2">
        <f>3/29</f>
        <v>0.10344827586206896</v>
      </c>
      <c r="C54" s="2">
        <f>26/29</f>
        <v>0.89655172413793105</v>
      </c>
      <c r="E54" s="2"/>
      <c r="F54" s="2"/>
    </row>
    <row r="55" spans="1:6" x14ac:dyDescent="0.25">
      <c r="A55" t="s">
        <v>1959</v>
      </c>
      <c r="B55" s="2">
        <f>2/12</f>
        <v>0.16666666666666666</v>
      </c>
      <c r="C55" s="2">
        <f>10/12</f>
        <v>0.83333333333333337</v>
      </c>
      <c r="E55" s="2"/>
      <c r="F55" s="2"/>
    </row>
    <row r="56" spans="1:6" x14ac:dyDescent="0.25">
      <c r="A56" t="s">
        <v>1960</v>
      </c>
      <c r="B56" s="2">
        <f>3/5</f>
        <v>0.6</v>
      </c>
      <c r="C56" s="2">
        <f>2/5</f>
        <v>0.4</v>
      </c>
      <c r="E56" s="2"/>
      <c r="F56" s="2"/>
    </row>
    <row r="57" spans="1:6" x14ac:dyDescent="0.25">
      <c r="A57" t="s">
        <v>1961</v>
      </c>
      <c r="B57" s="2">
        <f>3/10</f>
        <v>0.3</v>
      </c>
      <c r="C57" s="2">
        <f>7/10</f>
        <v>0.7</v>
      </c>
      <c r="E57" s="2"/>
      <c r="F57" s="2"/>
    </row>
    <row r="58" spans="1:6" x14ac:dyDescent="0.25">
      <c r="A58" t="s">
        <v>1962</v>
      </c>
      <c r="B58" s="2">
        <f>2/4</f>
        <v>0.5</v>
      </c>
      <c r="C58" s="2">
        <f>2/4</f>
        <v>0.5</v>
      </c>
      <c r="E58" s="2"/>
      <c r="F58" s="2"/>
    </row>
    <row r="59" spans="1:6" x14ac:dyDescent="0.25">
      <c r="A59" t="s">
        <v>1963</v>
      </c>
      <c r="B59" s="2">
        <f>2/17</f>
        <v>0.11764705882352941</v>
      </c>
      <c r="C59" s="2">
        <f>15/17</f>
        <v>0.88235294117647056</v>
      </c>
      <c r="E59" s="2"/>
      <c r="F59" s="2"/>
    </row>
    <row r="60" spans="1:6" x14ac:dyDescent="0.25">
      <c r="A60" t="s">
        <v>1964</v>
      </c>
      <c r="B60" s="2">
        <f>5/39</f>
        <v>0.12820512820512819</v>
      </c>
      <c r="C60" s="2">
        <f>34/39</f>
        <v>0.87179487179487181</v>
      </c>
      <c r="E60" s="2"/>
      <c r="F60" s="2"/>
    </row>
    <row r="61" spans="1:6" x14ac:dyDescent="0.25">
      <c r="A61" t="s">
        <v>1965</v>
      </c>
      <c r="B61" s="2">
        <f>9/33</f>
        <v>0.27272727272727271</v>
      </c>
      <c r="C61" s="2">
        <f>24/33</f>
        <v>0.72727272727272729</v>
      </c>
      <c r="E61" s="2"/>
      <c r="F61" s="2"/>
    </row>
    <row r="62" spans="1:6" x14ac:dyDescent="0.25">
      <c r="A62" t="s">
        <v>1966</v>
      </c>
      <c r="B62" s="2">
        <f>6/54</f>
        <v>0.1111111111111111</v>
      </c>
      <c r="C62" s="2">
        <f>48/54</f>
        <v>0.88888888888888884</v>
      </c>
      <c r="E62" s="2"/>
      <c r="F62" s="2"/>
    </row>
    <row r="63" spans="1:6" x14ac:dyDescent="0.25">
      <c r="A63" t="s">
        <v>1967</v>
      </c>
      <c r="B63" s="2">
        <f>1/10</f>
        <v>0.1</v>
      </c>
      <c r="C63" s="2">
        <f>9/10</f>
        <v>0.9</v>
      </c>
      <c r="E63" s="2"/>
      <c r="F63" s="2"/>
    </row>
    <row r="64" spans="1:6" x14ac:dyDescent="0.25">
      <c r="A64" t="s">
        <v>1972</v>
      </c>
      <c r="B64" s="2">
        <f>1/15</f>
        <v>6.6666666666666666E-2</v>
      </c>
      <c r="C64" s="2">
        <f>14/15</f>
        <v>0.93333333333333335</v>
      </c>
      <c r="E64" s="2"/>
      <c r="F64" s="2"/>
    </row>
    <row r="65" spans="1:6" x14ac:dyDescent="0.25">
      <c r="A65" t="s">
        <v>1973</v>
      </c>
      <c r="B65" s="2">
        <f>0/5</f>
        <v>0</v>
      </c>
      <c r="C65" s="2">
        <f>5/5</f>
        <v>1</v>
      </c>
      <c r="E65" s="2"/>
      <c r="F65" s="2"/>
    </row>
    <row r="66" spans="1:6" x14ac:dyDescent="0.25">
      <c r="A66" t="s">
        <v>1968</v>
      </c>
      <c r="B66" s="2">
        <f>6/15</f>
        <v>0.4</v>
      </c>
      <c r="C66" s="2">
        <f>9/15</f>
        <v>0.6</v>
      </c>
      <c r="E66" s="2"/>
      <c r="F66" s="2"/>
    </row>
    <row r="67" spans="1:6" x14ac:dyDescent="0.25">
      <c r="A67" t="s">
        <v>1969</v>
      </c>
      <c r="B67" s="2">
        <f>1/4</f>
        <v>0.25</v>
      </c>
      <c r="C67" s="2">
        <f>3/4</f>
        <v>0.75</v>
      </c>
      <c r="E67" s="2"/>
      <c r="F67" s="2"/>
    </row>
    <row r="68" spans="1:6" x14ac:dyDescent="0.25">
      <c r="A68" t="s">
        <v>1970</v>
      </c>
      <c r="B68" s="2">
        <f>0/8</f>
        <v>0</v>
      </c>
      <c r="C68" s="2">
        <f>8/8</f>
        <v>1</v>
      </c>
      <c r="E68" s="2"/>
      <c r="F68" s="2"/>
    </row>
    <row r="69" spans="1:6" x14ac:dyDescent="0.25">
      <c r="A69" t="s">
        <v>1971</v>
      </c>
      <c r="B69" s="2">
        <f>1/5</f>
        <v>0.2</v>
      </c>
      <c r="C69" s="2">
        <f>4/5</f>
        <v>0.8</v>
      </c>
      <c r="E69" s="2"/>
      <c r="F69" s="2"/>
    </row>
    <row r="71" spans="1:6" x14ac:dyDescent="0.25">
      <c r="A71" s="5" t="s">
        <v>1992</v>
      </c>
      <c r="B71" s="5" t="s">
        <v>87</v>
      </c>
      <c r="C71" s="5" t="s">
        <v>84</v>
      </c>
      <c r="D71" s="5"/>
      <c r="E71" s="5"/>
      <c r="F71" s="5"/>
    </row>
    <row r="72" spans="1:6" x14ac:dyDescent="0.25">
      <c r="A72" t="s">
        <v>1993</v>
      </c>
      <c r="B72" s="2">
        <f>20/156</f>
        <v>0.12820512820512819</v>
      </c>
      <c r="C72" s="2">
        <f>136/156</f>
        <v>0.87179487179487181</v>
      </c>
      <c r="E72" s="2"/>
      <c r="F72" s="2"/>
    </row>
    <row r="73" spans="1:6" x14ac:dyDescent="0.25">
      <c r="A73" t="s">
        <v>1990</v>
      </c>
      <c r="B73" s="2">
        <f>6/30</f>
        <v>0.2</v>
      </c>
      <c r="C73" s="2">
        <f>24/30</f>
        <v>0.8</v>
      </c>
      <c r="E73" s="2"/>
      <c r="F73" s="2"/>
    </row>
    <row r="74" spans="1:6" x14ac:dyDescent="0.25">
      <c r="A74" t="s">
        <v>1991</v>
      </c>
      <c r="B74" s="2">
        <f>20/85</f>
        <v>0.23529411764705882</v>
      </c>
      <c r="C74" s="2">
        <f>65/85</f>
        <v>0.76470588235294112</v>
      </c>
      <c r="E74" s="2"/>
      <c r="F74" s="2"/>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76158-2701-482B-B26A-1C269D5A6DA6}">
  <dimension ref="A1:C74"/>
  <sheetViews>
    <sheetView topLeftCell="A53" workbookViewId="0">
      <selection sqref="A1:A74"/>
    </sheetView>
  </sheetViews>
  <sheetFormatPr baseColWidth="10" defaultRowHeight="15" x14ac:dyDescent="0.25"/>
  <sheetData>
    <row r="1" spans="1:3" x14ac:dyDescent="0.25">
      <c r="A1" s="5" t="s">
        <v>3</v>
      </c>
      <c r="B1" s="5" t="s">
        <v>87</v>
      </c>
      <c r="C1" s="5" t="s">
        <v>84</v>
      </c>
    </row>
    <row r="2" spans="1:3" x14ac:dyDescent="0.25">
      <c r="A2" t="s">
        <v>156</v>
      </c>
      <c r="B2" s="2">
        <f>0/8</f>
        <v>0</v>
      </c>
      <c r="C2" s="2">
        <f>8/8</f>
        <v>1</v>
      </c>
    </row>
    <row r="3" spans="1:3" x14ac:dyDescent="0.25">
      <c r="A3" t="s">
        <v>1911</v>
      </c>
      <c r="B3" s="2">
        <f>0/8</f>
        <v>0</v>
      </c>
      <c r="C3" s="2">
        <f>8/8</f>
        <v>1</v>
      </c>
    </row>
    <row r="4" spans="1:3" x14ac:dyDescent="0.25">
      <c r="A4" t="s">
        <v>137</v>
      </c>
      <c r="B4" s="2">
        <f>0/13</f>
        <v>0</v>
      </c>
      <c r="C4" s="2">
        <f>13/13</f>
        <v>1</v>
      </c>
    </row>
    <row r="5" spans="1:3" x14ac:dyDescent="0.25">
      <c r="A5" t="s">
        <v>215</v>
      </c>
      <c r="B5" s="2">
        <f>1/1</f>
        <v>1</v>
      </c>
      <c r="C5" s="2">
        <f>0/1</f>
        <v>0</v>
      </c>
    </row>
    <row r="6" spans="1:3" x14ac:dyDescent="0.25">
      <c r="A6" t="s">
        <v>1912</v>
      </c>
      <c r="B6" s="2">
        <f>0/1</f>
        <v>0</v>
      </c>
      <c r="C6" s="2">
        <f>1/1</f>
        <v>1</v>
      </c>
    </row>
    <row r="7" spans="1:3" x14ac:dyDescent="0.25">
      <c r="A7" t="s">
        <v>1913</v>
      </c>
      <c r="B7" s="2">
        <f>2/5</f>
        <v>0.4</v>
      </c>
      <c r="C7" s="2">
        <f>3/5</f>
        <v>0.6</v>
      </c>
    </row>
    <row r="8" spans="1:3" x14ac:dyDescent="0.25">
      <c r="A8" t="s">
        <v>515</v>
      </c>
      <c r="B8" s="2">
        <f>4/8</f>
        <v>0.5</v>
      </c>
      <c r="C8" s="2">
        <f>4/8</f>
        <v>0.5</v>
      </c>
    </row>
    <row r="9" spans="1:3" x14ac:dyDescent="0.25">
      <c r="A9" t="s">
        <v>374</v>
      </c>
      <c r="B9" s="2">
        <f>0/4</f>
        <v>0</v>
      </c>
      <c r="C9" s="2">
        <f>4/4</f>
        <v>1</v>
      </c>
    </row>
    <row r="10" spans="1:3" x14ac:dyDescent="0.25">
      <c r="A10" t="s">
        <v>120</v>
      </c>
      <c r="B10" s="2">
        <f>7/20</f>
        <v>0.35</v>
      </c>
      <c r="C10" s="2">
        <f>13/20</f>
        <v>0.65</v>
      </c>
    </row>
    <row r="11" spans="1:3" x14ac:dyDescent="0.25">
      <c r="A11" t="s">
        <v>1914</v>
      </c>
      <c r="B11" s="2">
        <f>1/3</f>
        <v>0.33333333333333331</v>
      </c>
      <c r="C11" s="2">
        <f>2/3</f>
        <v>0.66666666666666663</v>
      </c>
    </row>
    <row r="12" spans="1:3" x14ac:dyDescent="0.25">
      <c r="A12" t="s">
        <v>233</v>
      </c>
      <c r="B12" s="2">
        <f>0/4</f>
        <v>0</v>
      </c>
      <c r="C12" s="2">
        <f>4/4</f>
        <v>1</v>
      </c>
    </row>
    <row r="13" spans="1:3" x14ac:dyDescent="0.25">
      <c r="A13" t="s">
        <v>425</v>
      </c>
      <c r="B13" s="2">
        <f>0/6</f>
        <v>0</v>
      </c>
      <c r="C13" s="2">
        <f>6/6</f>
        <v>1</v>
      </c>
    </row>
    <row r="14" spans="1:3" x14ac:dyDescent="0.25">
      <c r="A14" t="s">
        <v>727</v>
      </c>
      <c r="B14" s="2">
        <f>0/5</f>
        <v>0</v>
      </c>
      <c r="C14" s="2">
        <f>5/5</f>
        <v>1</v>
      </c>
    </row>
    <row r="15" spans="1:3" x14ac:dyDescent="0.25">
      <c r="A15" t="s">
        <v>83</v>
      </c>
      <c r="B15" s="2">
        <f>0/4</f>
        <v>0</v>
      </c>
      <c r="C15" s="2">
        <f>4/4</f>
        <v>1</v>
      </c>
    </row>
    <row r="16" spans="1:3" x14ac:dyDescent="0.25">
      <c r="A16" t="s">
        <v>204</v>
      </c>
      <c r="B16" s="2">
        <f>0/21</f>
        <v>0</v>
      </c>
      <c r="C16" s="2">
        <f>21/21</f>
        <v>1</v>
      </c>
    </row>
    <row r="17" spans="1:3" x14ac:dyDescent="0.25">
      <c r="A17" t="s">
        <v>319</v>
      </c>
      <c r="B17" s="2">
        <f>0/4</f>
        <v>0</v>
      </c>
      <c r="C17" s="2">
        <f>4/4</f>
        <v>1</v>
      </c>
    </row>
    <row r="18" spans="1:3" x14ac:dyDescent="0.25">
      <c r="A18" t="s">
        <v>245</v>
      </c>
      <c r="B18" s="2">
        <f>0/4</f>
        <v>0</v>
      </c>
      <c r="C18" s="2">
        <f>4/4</f>
        <v>1</v>
      </c>
    </row>
    <row r="19" spans="1:3" x14ac:dyDescent="0.25">
      <c r="A19" t="s">
        <v>408</v>
      </c>
      <c r="B19" s="2">
        <f>0/2</f>
        <v>0</v>
      </c>
      <c r="C19" s="2">
        <f>2/2</f>
        <v>1</v>
      </c>
    </row>
    <row r="20" spans="1:3" x14ac:dyDescent="0.25">
      <c r="A20" t="s">
        <v>1915</v>
      </c>
      <c r="B20" s="2">
        <f>0/1</f>
        <v>0</v>
      </c>
      <c r="C20" s="2">
        <f>1/1</f>
        <v>1</v>
      </c>
    </row>
    <row r="21" spans="1:3" x14ac:dyDescent="0.25">
      <c r="A21" t="s">
        <v>658</v>
      </c>
      <c r="B21" s="2">
        <f>0/4</f>
        <v>0</v>
      </c>
      <c r="C21" s="2">
        <f>4/4</f>
        <v>1</v>
      </c>
    </row>
    <row r="22" spans="1:3" x14ac:dyDescent="0.25">
      <c r="A22" t="s">
        <v>198</v>
      </c>
      <c r="B22" s="2">
        <f>2/7</f>
        <v>0.2857142857142857</v>
      </c>
      <c r="C22" s="2">
        <f>5/7</f>
        <v>0.7142857142857143</v>
      </c>
    </row>
    <row r="23" spans="1:3" x14ac:dyDescent="0.25">
      <c r="A23" t="s">
        <v>278</v>
      </c>
      <c r="B23" s="2">
        <f>0/5</f>
        <v>0</v>
      </c>
      <c r="C23" s="2">
        <f>5/5</f>
        <v>1</v>
      </c>
    </row>
    <row r="24" spans="1:3" x14ac:dyDescent="0.25">
      <c r="A24" t="s">
        <v>253</v>
      </c>
      <c r="B24" s="2">
        <f>1/4</f>
        <v>0.25</v>
      </c>
      <c r="C24" s="2">
        <f>3/4</f>
        <v>0.75</v>
      </c>
    </row>
    <row r="25" spans="1:3" x14ac:dyDescent="0.25">
      <c r="A25" t="s">
        <v>93</v>
      </c>
      <c r="B25" s="2">
        <f>0/4</f>
        <v>0</v>
      </c>
      <c r="C25" s="2">
        <f>4/4</f>
        <v>1</v>
      </c>
    </row>
    <row r="26" spans="1:3" x14ac:dyDescent="0.25">
      <c r="A26" t="s">
        <v>1916</v>
      </c>
      <c r="B26" s="2">
        <f>0/5</f>
        <v>0</v>
      </c>
      <c r="C26" s="2">
        <f>5/5</f>
        <v>1</v>
      </c>
    </row>
    <row r="27" spans="1:3" x14ac:dyDescent="0.25">
      <c r="A27" t="s">
        <v>991</v>
      </c>
      <c r="B27" s="2">
        <f>0/3</f>
        <v>0</v>
      </c>
      <c r="C27" s="2">
        <f>3/3</f>
        <v>1</v>
      </c>
    </row>
    <row r="28" spans="1:3" x14ac:dyDescent="0.25">
      <c r="A28" t="s">
        <v>998</v>
      </c>
      <c r="B28" s="2">
        <f>1/5</f>
        <v>0.2</v>
      </c>
      <c r="C28" s="2">
        <f>4/5</f>
        <v>0.8</v>
      </c>
    </row>
    <row r="29" spans="1:3" x14ac:dyDescent="0.25">
      <c r="A29" t="s">
        <v>952</v>
      </c>
      <c r="B29" s="2">
        <f>0/4</f>
        <v>0</v>
      </c>
      <c r="C29" s="2">
        <f>4/4</f>
        <v>1</v>
      </c>
    </row>
    <row r="30" spans="1:3" x14ac:dyDescent="0.25">
      <c r="A30" t="s">
        <v>1691</v>
      </c>
      <c r="B30" s="2">
        <f>0/4</f>
        <v>0</v>
      </c>
      <c r="C30" s="2">
        <f>4/4</f>
        <v>1</v>
      </c>
    </row>
    <row r="31" spans="1:3" x14ac:dyDescent="0.25">
      <c r="A31" t="s">
        <v>284</v>
      </c>
      <c r="B31" s="2">
        <f>0/3</f>
        <v>0</v>
      </c>
      <c r="C31" s="2">
        <f>3/3</f>
        <v>1</v>
      </c>
    </row>
    <row r="32" spans="1:3" x14ac:dyDescent="0.25">
      <c r="A32" t="s">
        <v>299</v>
      </c>
      <c r="B32" s="2">
        <f>5/15</f>
        <v>0.33333333333333331</v>
      </c>
      <c r="C32" s="2">
        <f>10/15</f>
        <v>0.66666666666666663</v>
      </c>
    </row>
    <row r="33" spans="1:3" x14ac:dyDescent="0.25">
      <c r="A33" t="s">
        <v>1028</v>
      </c>
      <c r="B33" s="2">
        <f>1/3</f>
        <v>0.33333333333333331</v>
      </c>
      <c r="C33" s="2">
        <f>2/3</f>
        <v>0.66666666666666663</v>
      </c>
    </row>
    <row r="34" spans="1:3" x14ac:dyDescent="0.25">
      <c r="A34" t="s">
        <v>715</v>
      </c>
      <c r="B34" s="2">
        <f>1/4</f>
        <v>0.25</v>
      </c>
      <c r="C34" s="2">
        <f>3/4</f>
        <v>0.75</v>
      </c>
    </row>
    <row r="35" spans="1:3" x14ac:dyDescent="0.25">
      <c r="A35" t="s">
        <v>222</v>
      </c>
      <c r="B35" s="2">
        <f>0/8</f>
        <v>0</v>
      </c>
      <c r="C35" s="2">
        <f>8/8</f>
        <v>1</v>
      </c>
    </row>
    <row r="36" spans="1:3" x14ac:dyDescent="0.25">
      <c r="A36" t="s">
        <v>414</v>
      </c>
      <c r="B36" s="2">
        <f>0/3</f>
        <v>0</v>
      </c>
      <c r="C36" s="2">
        <f>3/3</f>
        <v>1</v>
      </c>
    </row>
    <row r="37" spans="1:3" x14ac:dyDescent="0.25">
      <c r="A37" t="s">
        <v>1917</v>
      </c>
      <c r="B37" s="2">
        <f>0/1</f>
        <v>0</v>
      </c>
      <c r="C37" s="2">
        <f>1/1</f>
        <v>1</v>
      </c>
    </row>
    <row r="38" spans="1:3" x14ac:dyDescent="0.25">
      <c r="A38" t="s">
        <v>1430</v>
      </c>
      <c r="B38" s="2">
        <f>0/1</f>
        <v>0</v>
      </c>
      <c r="C38" s="2">
        <f>1/1</f>
        <v>1</v>
      </c>
    </row>
    <row r="39" spans="1:3" x14ac:dyDescent="0.25">
      <c r="A39" t="s">
        <v>1918</v>
      </c>
      <c r="B39" s="2">
        <f>1/5</f>
        <v>0.2</v>
      </c>
      <c r="C39" s="2">
        <f>4/5</f>
        <v>0.8</v>
      </c>
    </row>
    <row r="40" spans="1:3" x14ac:dyDescent="0.25">
      <c r="A40" t="s">
        <v>109</v>
      </c>
      <c r="B40" s="2">
        <f>1/9</f>
        <v>0.1111111111111111</v>
      </c>
      <c r="C40" s="2">
        <f>8/9</f>
        <v>0.88888888888888884</v>
      </c>
    </row>
    <row r="41" spans="1:3" x14ac:dyDescent="0.25">
      <c r="A41" t="s">
        <v>334</v>
      </c>
      <c r="B41" s="2">
        <f>0/3</f>
        <v>0</v>
      </c>
      <c r="C41" s="2">
        <f>3/3</f>
        <v>1</v>
      </c>
    </row>
    <row r="42" spans="1:3" x14ac:dyDescent="0.25">
      <c r="A42" t="s">
        <v>743</v>
      </c>
      <c r="B42" s="2">
        <f>0/4</f>
        <v>0</v>
      </c>
      <c r="C42" s="2">
        <f>4/4</f>
        <v>1</v>
      </c>
    </row>
    <row r="43" spans="1:3" x14ac:dyDescent="0.25">
      <c r="A43" t="s">
        <v>325</v>
      </c>
      <c r="B43" s="2">
        <f>0/3</f>
        <v>0</v>
      </c>
      <c r="C43" s="2">
        <f>3/3</f>
        <v>1</v>
      </c>
    </row>
    <row r="44" spans="1:3" x14ac:dyDescent="0.25">
      <c r="A44" t="s">
        <v>264</v>
      </c>
      <c r="B44" s="2">
        <f>1/5</f>
        <v>0.2</v>
      </c>
      <c r="C44" s="2">
        <f>4/5</f>
        <v>0.8</v>
      </c>
    </row>
    <row r="45" spans="1:3" x14ac:dyDescent="0.25">
      <c r="A45" t="s">
        <v>228</v>
      </c>
      <c r="B45" s="2">
        <f>1/5</f>
        <v>0.2</v>
      </c>
      <c r="C45" s="2">
        <f>4/5</f>
        <v>0.8</v>
      </c>
    </row>
    <row r="46" spans="1:3" x14ac:dyDescent="0.25">
      <c r="A46" t="s">
        <v>170</v>
      </c>
      <c r="B46" s="2">
        <f>1/5</f>
        <v>0.2</v>
      </c>
      <c r="C46" s="2">
        <f>4/5</f>
        <v>0.8</v>
      </c>
    </row>
    <row r="47" spans="1:3" x14ac:dyDescent="0.25">
      <c r="A47" t="s">
        <v>1919</v>
      </c>
      <c r="B47" s="2">
        <f>3/20</f>
        <v>0.15</v>
      </c>
      <c r="C47" s="2">
        <f>17/20</f>
        <v>0.85</v>
      </c>
    </row>
    <row r="48" spans="1:3" x14ac:dyDescent="0.25">
      <c r="A48" t="s">
        <v>987</v>
      </c>
      <c r="B48" s="2">
        <f>0/4</f>
        <v>0</v>
      </c>
      <c r="C48" s="2">
        <f>4/4</f>
        <v>1</v>
      </c>
    </row>
    <row r="49" spans="1:3" x14ac:dyDescent="0.25">
      <c r="A49" t="s">
        <v>191</v>
      </c>
      <c r="B49" s="2">
        <f>0/3</f>
        <v>0</v>
      </c>
      <c r="C49" s="2">
        <f>3/3</f>
        <v>1</v>
      </c>
    </row>
    <row r="50" spans="1:3" x14ac:dyDescent="0.25">
      <c r="A50" t="s">
        <v>1054</v>
      </c>
      <c r="B50" s="2">
        <f>0/3</f>
        <v>0</v>
      </c>
      <c r="C50" s="2">
        <f>3/3</f>
        <v>1</v>
      </c>
    </row>
    <row r="51" spans="1:3" x14ac:dyDescent="0.25">
      <c r="A51" s="5" t="s">
        <v>1935</v>
      </c>
      <c r="B51" s="2">
        <f>30/271</f>
        <v>0.11070110701107011</v>
      </c>
      <c r="C51" s="2">
        <f>241/271</f>
        <v>0.88929889298892983</v>
      </c>
    </row>
    <row r="52" spans="1:3" x14ac:dyDescent="0.25">
      <c r="B52" s="2"/>
      <c r="C52" s="2"/>
    </row>
    <row r="53" spans="1:3" x14ac:dyDescent="0.25">
      <c r="A53" s="5" t="s">
        <v>1930</v>
      </c>
      <c r="B53" s="7" t="s">
        <v>87</v>
      </c>
      <c r="C53" s="7" t="s">
        <v>84</v>
      </c>
    </row>
    <row r="54" spans="1:3" x14ac:dyDescent="0.25">
      <c r="A54" t="s">
        <v>1958</v>
      </c>
      <c r="B54" s="2">
        <f>5/29</f>
        <v>0.17241379310344829</v>
      </c>
      <c r="C54" s="2">
        <f>24/29</f>
        <v>0.82758620689655171</v>
      </c>
    </row>
    <row r="55" spans="1:3" x14ac:dyDescent="0.25">
      <c r="A55" t="s">
        <v>1959</v>
      </c>
      <c r="B55" s="2">
        <f>1/12</f>
        <v>8.3333333333333329E-2</v>
      </c>
      <c r="C55" s="2">
        <f>11/12</f>
        <v>0.91666666666666663</v>
      </c>
    </row>
    <row r="56" spans="1:3" x14ac:dyDescent="0.25">
      <c r="A56" t="s">
        <v>1960</v>
      </c>
      <c r="B56" s="2">
        <f>2/5</f>
        <v>0.4</v>
      </c>
      <c r="C56" s="2">
        <f>3/5</f>
        <v>0.6</v>
      </c>
    </row>
    <row r="57" spans="1:3" x14ac:dyDescent="0.25">
      <c r="A57" t="s">
        <v>1961</v>
      </c>
      <c r="B57" s="2">
        <f>2/10</f>
        <v>0.2</v>
      </c>
      <c r="C57" s="2">
        <f>8/10</f>
        <v>0.8</v>
      </c>
    </row>
    <row r="58" spans="1:3" x14ac:dyDescent="0.25">
      <c r="A58" t="s">
        <v>1962</v>
      </c>
      <c r="B58" s="2">
        <f>0/4</f>
        <v>0</v>
      </c>
      <c r="C58" s="2">
        <f>4/4</f>
        <v>1</v>
      </c>
    </row>
    <row r="59" spans="1:3" x14ac:dyDescent="0.25">
      <c r="A59" t="s">
        <v>1963</v>
      </c>
      <c r="B59" s="2">
        <f>1/17</f>
        <v>5.8823529411764705E-2</v>
      </c>
      <c r="C59" s="2">
        <f>16/17</f>
        <v>0.94117647058823528</v>
      </c>
    </row>
    <row r="60" spans="1:3" x14ac:dyDescent="0.25">
      <c r="A60" t="s">
        <v>1964</v>
      </c>
      <c r="B60" s="2">
        <f>1/39</f>
        <v>2.564102564102564E-2</v>
      </c>
      <c r="C60" s="2">
        <f>38/39</f>
        <v>0.97435897435897434</v>
      </c>
    </row>
    <row r="61" spans="1:3" x14ac:dyDescent="0.25">
      <c r="A61" t="s">
        <v>1965</v>
      </c>
      <c r="B61" s="2">
        <f>8/33</f>
        <v>0.24242424242424243</v>
      </c>
      <c r="C61" s="2">
        <f>25/33</f>
        <v>0.75757575757575757</v>
      </c>
    </row>
    <row r="62" spans="1:3" x14ac:dyDescent="0.25">
      <c r="A62" t="s">
        <v>1966</v>
      </c>
      <c r="B62" s="2">
        <f>3/54</f>
        <v>5.5555555555555552E-2</v>
      </c>
      <c r="C62" s="2">
        <f>51/54</f>
        <v>0.94444444444444442</v>
      </c>
    </row>
    <row r="63" spans="1:3" x14ac:dyDescent="0.25">
      <c r="A63" t="s">
        <v>1967</v>
      </c>
      <c r="B63" s="2">
        <f>0/10</f>
        <v>0</v>
      </c>
      <c r="C63" s="2">
        <f>10/10</f>
        <v>1</v>
      </c>
    </row>
    <row r="64" spans="1:3" x14ac:dyDescent="0.25">
      <c r="A64" t="s">
        <v>1972</v>
      </c>
      <c r="B64" s="2">
        <f>0/15</f>
        <v>0</v>
      </c>
      <c r="C64" s="2">
        <f>15/15</f>
        <v>1</v>
      </c>
    </row>
    <row r="65" spans="1:3" x14ac:dyDescent="0.25">
      <c r="A65" t="s">
        <v>1973</v>
      </c>
      <c r="B65" s="2">
        <f>0/5</f>
        <v>0</v>
      </c>
      <c r="C65" s="2">
        <f>5/5</f>
        <v>1</v>
      </c>
    </row>
    <row r="66" spans="1:3" x14ac:dyDescent="0.25">
      <c r="A66" t="s">
        <v>1968</v>
      </c>
      <c r="B66" s="2">
        <f>5/15</f>
        <v>0.33333333333333331</v>
      </c>
      <c r="C66" s="2">
        <f>10/15</f>
        <v>0.66666666666666663</v>
      </c>
    </row>
    <row r="67" spans="1:3" x14ac:dyDescent="0.25">
      <c r="A67" t="s">
        <v>1969</v>
      </c>
      <c r="B67" s="2">
        <f>1/4</f>
        <v>0.25</v>
      </c>
      <c r="C67" s="2">
        <f>3/4</f>
        <v>0.75</v>
      </c>
    </row>
    <row r="68" spans="1:3" x14ac:dyDescent="0.25">
      <c r="A68" t="s">
        <v>1970</v>
      </c>
      <c r="B68" s="2">
        <f>0/8</f>
        <v>0</v>
      </c>
      <c r="C68" s="2">
        <f>8/8</f>
        <v>1</v>
      </c>
    </row>
    <row r="69" spans="1:3" x14ac:dyDescent="0.25">
      <c r="A69" t="s">
        <v>1971</v>
      </c>
      <c r="B69" s="2">
        <f>1/5</f>
        <v>0.2</v>
      </c>
      <c r="C69" s="2">
        <f>4/5</f>
        <v>0.8</v>
      </c>
    </row>
    <row r="71" spans="1:3" x14ac:dyDescent="0.25">
      <c r="A71" s="5" t="s">
        <v>1992</v>
      </c>
      <c r="B71" s="5" t="s">
        <v>1985</v>
      </c>
      <c r="C71" s="5" t="s">
        <v>84</v>
      </c>
    </row>
    <row r="72" spans="1:3" x14ac:dyDescent="0.25">
      <c r="A72" t="s">
        <v>1993</v>
      </c>
      <c r="B72" s="2">
        <f>17/156</f>
        <v>0.10897435897435898</v>
      </c>
      <c r="C72" s="2">
        <f>139/156</f>
        <v>0.89102564102564108</v>
      </c>
    </row>
    <row r="73" spans="1:3" x14ac:dyDescent="0.25">
      <c r="A73" t="s">
        <v>1990</v>
      </c>
      <c r="B73" s="2">
        <f>4/30</f>
        <v>0.13333333333333333</v>
      </c>
      <c r="C73" s="2">
        <f>26/30</f>
        <v>0.8666666666666667</v>
      </c>
    </row>
    <row r="74" spans="1:3" x14ac:dyDescent="0.25">
      <c r="A74" t="s">
        <v>1991</v>
      </c>
      <c r="B74" s="2">
        <f>13/85</f>
        <v>0.15294117647058825</v>
      </c>
      <c r="C74" s="2">
        <f>72/85</f>
        <v>0.84705882352941175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ECF84-CDD9-4E4D-89F9-A3E949163052}">
  <dimension ref="A1:F69"/>
  <sheetViews>
    <sheetView workbookViewId="0">
      <selection activeCell="C12" sqref="C12"/>
    </sheetView>
  </sheetViews>
  <sheetFormatPr baseColWidth="10" defaultRowHeight="15" x14ac:dyDescent="0.25"/>
  <sheetData>
    <row r="1" spans="1:6" x14ac:dyDescent="0.25">
      <c r="A1" s="5" t="s">
        <v>1989</v>
      </c>
      <c r="B1" s="5" t="s">
        <v>87</v>
      </c>
      <c r="C1" s="5" t="s">
        <v>84</v>
      </c>
    </row>
    <row r="2" spans="1:6" x14ac:dyDescent="0.25">
      <c r="A2" t="s">
        <v>2001</v>
      </c>
      <c r="B2" s="2">
        <f>17/151</f>
        <v>0.11258278145695365</v>
      </c>
      <c r="C2" s="2">
        <f>139/156</f>
        <v>0.89102564102564108</v>
      </c>
      <c r="E2">
        <v>20</v>
      </c>
    </row>
    <row r="3" spans="1:6" x14ac:dyDescent="0.25">
      <c r="A3" t="s">
        <v>2000</v>
      </c>
      <c r="B3" s="2">
        <f>8/30</f>
        <v>0.26666666666666666</v>
      </c>
      <c r="C3" s="2">
        <f>22/30</f>
        <v>0.73333333333333328</v>
      </c>
      <c r="E3">
        <v>20</v>
      </c>
    </row>
    <row r="4" spans="1:6" x14ac:dyDescent="0.25">
      <c r="A4" t="s">
        <v>2002</v>
      </c>
      <c r="B4" s="2">
        <f>64/85</f>
        <v>0.75294117647058822</v>
      </c>
      <c r="C4" s="2">
        <f>21/85</f>
        <v>0.24705882352941178</v>
      </c>
      <c r="E4">
        <v>20</v>
      </c>
    </row>
    <row r="11" spans="1:6" x14ac:dyDescent="0.25">
      <c r="A11" t="s">
        <v>2013</v>
      </c>
      <c r="B11" t="s">
        <v>2014</v>
      </c>
      <c r="C11" t="s">
        <v>2015</v>
      </c>
      <c r="D11" t="s">
        <v>2016</v>
      </c>
      <c r="E11" t="s">
        <v>2012</v>
      </c>
      <c r="F11" t="s">
        <v>2017</v>
      </c>
    </row>
    <row r="12" spans="1:6" x14ac:dyDescent="0.25">
      <c r="A12" t="s">
        <v>2003</v>
      </c>
      <c r="B12" t="s">
        <v>2004</v>
      </c>
      <c r="C12" t="s">
        <v>2005</v>
      </c>
      <c r="D12" t="s">
        <v>2006</v>
      </c>
      <c r="E12" t="s">
        <v>2007</v>
      </c>
      <c r="F12" t="s">
        <v>2008</v>
      </c>
    </row>
    <row r="13" spans="1:6" x14ac:dyDescent="0.25">
      <c r="A13" t="s">
        <v>2009</v>
      </c>
      <c r="B13" t="s">
        <v>2010</v>
      </c>
      <c r="C13" t="s">
        <v>2011</v>
      </c>
    </row>
    <row r="17" spans="1:4" x14ac:dyDescent="0.25">
      <c r="A17" t="s">
        <v>2018</v>
      </c>
      <c r="B17" t="s">
        <v>2019</v>
      </c>
      <c r="C17" t="s">
        <v>2020</v>
      </c>
      <c r="D17" t="s">
        <v>2021</v>
      </c>
    </row>
    <row r="51" spans="1:3" x14ac:dyDescent="0.25">
      <c r="A51" s="5"/>
    </row>
    <row r="53" spans="1:3" x14ac:dyDescent="0.25">
      <c r="A53" s="5" t="s">
        <v>1930</v>
      </c>
      <c r="B53" s="5" t="s">
        <v>87</v>
      </c>
      <c r="C53" s="5" t="s">
        <v>84</v>
      </c>
    </row>
    <row r="54" spans="1:3" x14ac:dyDescent="0.25">
      <c r="A54" t="s">
        <v>1958</v>
      </c>
    </row>
    <row r="55" spans="1:3" x14ac:dyDescent="0.25">
      <c r="A55" t="s">
        <v>1959</v>
      </c>
    </row>
    <row r="56" spans="1:3" x14ac:dyDescent="0.25">
      <c r="A56" t="s">
        <v>1960</v>
      </c>
    </row>
    <row r="57" spans="1:3" x14ac:dyDescent="0.25">
      <c r="A57" t="s">
        <v>1961</v>
      </c>
    </row>
    <row r="58" spans="1:3" x14ac:dyDescent="0.25">
      <c r="A58" t="s">
        <v>1962</v>
      </c>
    </row>
    <row r="59" spans="1:3" x14ac:dyDescent="0.25">
      <c r="A59" t="s">
        <v>1963</v>
      </c>
    </row>
    <row r="60" spans="1:3" x14ac:dyDescent="0.25">
      <c r="A60" t="s">
        <v>1964</v>
      </c>
    </row>
    <row r="61" spans="1:3" x14ac:dyDescent="0.25">
      <c r="A61" t="s">
        <v>1965</v>
      </c>
    </row>
    <row r="62" spans="1:3" x14ac:dyDescent="0.25">
      <c r="A62" t="s">
        <v>1966</v>
      </c>
    </row>
    <row r="63" spans="1:3" x14ac:dyDescent="0.25">
      <c r="A63" t="s">
        <v>1967</v>
      </c>
    </row>
    <row r="64" spans="1:3" x14ac:dyDescent="0.25">
      <c r="A64" t="s">
        <v>1972</v>
      </c>
    </row>
    <row r="65" spans="1:1" x14ac:dyDescent="0.25">
      <c r="A65" t="s">
        <v>1973</v>
      </c>
    </row>
    <row r="66" spans="1:1" x14ac:dyDescent="0.25">
      <c r="A66" t="s">
        <v>1968</v>
      </c>
    </row>
    <row r="67" spans="1:1" x14ac:dyDescent="0.25">
      <c r="A67" t="s">
        <v>1969</v>
      </c>
    </row>
    <row r="68" spans="1:1" x14ac:dyDescent="0.25">
      <c r="A68" t="s">
        <v>1970</v>
      </c>
    </row>
    <row r="69" spans="1:1" x14ac:dyDescent="0.25">
      <c r="A69" t="s">
        <v>1971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79EC1-A218-451C-BA8C-D68091A96943}">
  <dimension ref="A1:I53"/>
  <sheetViews>
    <sheetView workbookViewId="0">
      <selection activeCell="A5" sqref="A5"/>
    </sheetView>
  </sheetViews>
  <sheetFormatPr baseColWidth="10" defaultRowHeight="15" x14ac:dyDescent="0.25"/>
  <sheetData>
    <row r="1" spans="1:9" x14ac:dyDescent="0.25">
      <c r="A1" s="5" t="s">
        <v>1992</v>
      </c>
      <c r="B1" s="5" t="s">
        <v>1986</v>
      </c>
      <c r="C1" s="6" t="s">
        <v>1987</v>
      </c>
      <c r="D1" s="5" t="s">
        <v>1988</v>
      </c>
    </row>
    <row r="2" spans="1:9" x14ac:dyDescent="0.25">
      <c r="A2" t="s">
        <v>1993</v>
      </c>
      <c r="B2" s="2">
        <f>81/156</f>
        <v>0.51923076923076927</v>
      </c>
      <c r="C2" s="2">
        <f>75/156</f>
        <v>0.48076923076923078</v>
      </c>
      <c r="D2" s="2">
        <f>0/156</f>
        <v>0</v>
      </c>
    </row>
    <row r="3" spans="1:9" x14ac:dyDescent="0.25">
      <c r="A3" t="s">
        <v>1990</v>
      </c>
      <c r="B3" s="2">
        <f>20/30</f>
        <v>0.66666666666666663</v>
      </c>
      <c r="C3" s="2">
        <f>10/30</f>
        <v>0.33333333333333331</v>
      </c>
      <c r="D3" s="2">
        <f>0/30</f>
        <v>0</v>
      </c>
      <c r="G3" s="2"/>
      <c r="H3" s="2"/>
      <c r="I3" s="2"/>
    </row>
    <row r="4" spans="1:9" x14ac:dyDescent="0.25">
      <c r="A4" t="s">
        <v>1991</v>
      </c>
      <c r="B4" s="2">
        <f>66/85</f>
        <v>0.77647058823529413</v>
      </c>
      <c r="C4" s="2">
        <f>18/85</f>
        <v>0.21176470588235294</v>
      </c>
      <c r="D4" s="2">
        <f>1/85</f>
        <v>1.1764705882352941E-2</v>
      </c>
      <c r="G4" s="2"/>
      <c r="H4" s="2"/>
      <c r="I4" s="2"/>
    </row>
    <row r="5" spans="1:9" x14ac:dyDescent="0.25">
      <c r="G5" s="2"/>
      <c r="H5" s="2"/>
      <c r="I5" s="2"/>
    </row>
    <row r="51" spans="1:1" x14ac:dyDescent="0.25">
      <c r="A51" s="5"/>
    </row>
    <row r="53" spans="1:1" x14ac:dyDescent="0.25">
      <c r="A53" s="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B8429-B2DC-4D99-B56A-2DBCB0C2981D}">
  <dimension ref="A1:E74"/>
  <sheetViews>
    <sheetView topLeftCell="A53" workbookViewId="0">
      <selection activeCell="B70" sqref="B70"/>
    </sheetView>
  </sheetViews>
  <sheetFormatPr baseColWidth="10" defaultRowHeight="15" x14ac:dyDescent="0.25"/>
  <cols>
    <col min="1" max="1" width="21" bestFit="1" customWidth="1"/>
    <col min="2" max="2" width="17" bestFit="1" customWidth="1"/>
  </cols>
  <sheetData>
    <row r="1" spans="1:5" x14ac:dyDescent="0.25">
      <c r="A1" s="5" t="s">
        <v>3</v>
      </c>
      <c r="B1" s="5" t="s">
        <v>1931</v>
      </c>
      <c r="C1" s="5" t="s">
        <v>1932</v>
      </c>
      <c r="D1" s="5" t="s">
        <v>1933</v>
      </c>
      <c r="E1" s="5" t="s">
        <v>1934</v>
      </c>
    </row>
    <row r="2" spans="1:5" x14ac:dyDescent="0.25">
      <c r="A2" t="s">
        <v>156</v>
      </c>
      <c r="B2" s="2">
        <f>8/8</f>
        <v>1</v>
      </c>
      <c r="C2" s="2">
        <f>4/8</f>
        <v>0.5</v>
      </c>
      <c r="D2" s="2">
        <f>2/8</f>
        <v>0.25</v>
      </c>
      <c r="E2" s="2"/>
    </row>
    <row r="3" spans="1:5" x14ac:dyDescent="0.25">
      <c r="A3" t="s">
        <v>1911</v>
      </c>
      <c r="B3" s="2">
        <f>1/1</f>
        <v>1</v>
      </c>
      <c r="C3" s="2">
        <f>0/1</f>
        <v>0</v>
      </c>
      <c r="D3" s="2">
        <f>0/1</f>
        <v>0</v>
      </c>
      <c r="E3" s="2"/>
    </row>
    <row r="4" spans="1:5" x14ac:dyDescent="0.25">
      <c r="A4" t="s">
        <v>137</v>
      </c>
      <c r="B4" s="2">
        <f>13/13</f>
        <v>1</v>
      </c>
      <c r="C4" s="2">
        <f>11/13</f>
        <v>0.84615384615384615</v>
      </c>
      <c r="D4" s="2">
        <f>4/13</f>
        <v>0.30769230769230771</v>
      </c>
      <c r="E4" s="2"/>
    </row>
    <row r="5" spans="1:5" x14ac:dyDescent="0.25">
      <c r="A5" t="s">
        <v>215</v>
      </c>
      <c r="B5" s="2">
        <f>1/1</f>
        <v>1</v>
      </c>
      <c r="C5" s="2">
        <f>1/1</f>
        <v>1</v>
      </c>
      <c r="D5" s="2">
        <f>0/1</f>
        <v>0</v>
      </c>
      <c r="E5" s="2"/>
    </row>
    <row r="6" spans="1:5" x14ac:dyDescent="0.25">
      <c r="A6" t="s">
        <v>1912</v>
      </c>
      <c r="B6" s="2">
        <f>1/1</f>
        <v>1</v>
      </c>
      <c r="C6" s="2">
        <f>1/1</f>
        <v>1</v>
      </c>
      <c r="D6" s="2">
        <f>1/1</f>
        <v>1</v>
      </c>
      <c r="E6" s="2"/>
    </row>
    <row r="7" spans="1:5" x14ac:dyDescent="0.25">
      <c r="A7" t="s">
        <v>1913</v>
      </c>
      <c r="B7" s="2">
        <f>5/5</f>
        <v>1</v>
      </c>
      <c r="C7" s="2">
        <f>5/5</f>
        <v>1</v>
      </c>
      <c r="D7" s="2">
        <f>2/5</f>
        <v>0.4</v>
      </c>
      <c r="E7" s="2"/>
    </row>
    <row r="8" spans="1:5" x14ac:dyDescent="0.25">
      <c r="A8" t="s">
        <v>515</v>
      </c>
      <c r="B8" s="2">
        <f>8/8</f>
        <v>1</v>
      </c>
      <c r="C8" s="2">
        <f>5/8</f>
        <v>0.625</v>
      </c>
      <c r="D8" s="2">
        <f>0/8</f>
        <v>0</v>
      </c>
      <c r="E8" s="2"/>
    </row>
    <row r="9" spans="1:5" x14ac:dyDescent="0.25">
      <c r="A9" t="s">
        <v>374</v>
      </c>
      <c r="B9" s="2">
        <f>4/4</f>
        <v>1</v>
      </c>
      <c r="C9" s="2">
        <f>1/4</f>
        <v>0.25</v>
      </c>
      <c r="D9" s="2">
        <f>1/4</f>
        <v>0.25</v>
      </c>
      <c r="E9" s="2"/>
    </row>
    <row r="10" spans="1:5" x14ac:dyDescent="0.25">
      <c r="A10" t="s">
        <v>120</v>
      </c>
      <c r="B10" s="2">
        <f>20/20</f>
        <v>1</v>
      </c>
      <c r="C10" s="2">
        <f>18/20</f>
        <v>0.9</v>
      </c>
      <c r="D10" s="2">
        <f>7/20</f>
        <v>0.35</v>
      </c>
      <c r="E10" s="2"/>
    </row>
    <row r="11" spans="1:5" x14ac:dyDescent="0.25">
      <c r="A11" t="s">
        <v>1914</v>
      </c>
      <c r="B11" s="2">
        <f>3/3</f>
        <v>1</v>
      </c>
      <c r="C11" s="2">
        <f>3/3</f>
        <v>1</v>
      </c>
      <c r="D11" s="2">
        <f>2/3</f>
        <v>0.66666666666666663</v>
      </c>
      <c r="E11" s="2"/>
    </row>
    <row r="12" spans="1:5" x14ac:dyDescent="0.25">
      <c r="A12" t="s">
        <v>233</v>
      </c>
      <c r="B12" s="2">
        <f>4/4</f>
        <v>1</v>
      </c>
      <c r="C12" s="2">
        <f>2/4</f>
        <v>0.5</v>
      </c>
      <c r="D12" s="2">
        <f>0/4</f>
        <v>0</v>
      </c>
      <c r="E12" s="2"/>
    </row>
    <row r="13" spans="1:5" x14ac:dyDescent="0.25">
      <c r="A13" t="s">
        <v>425</v>
      </c>
      <c r="B13" s="2">
        <f>6/6</f>
        <v>1</v>
      </c>
      <c r="C13" s="2">
        <f>3/6</f>
        <v>0.5</v>
      </c>
      <c r="D13" s="2">
        <f>1/6</f>
        <v>0.16666666666666666</v>
      </c>
      <c r="E13" s="2"/>
    </row>
    <row r="14" spans="1:5" x14ac:dyDescent="0.25">
      <c r="A14" t="s">
        <v>727</v>
      </c>
      <c r="B14" s="2">
        <f>4/5</f>
        <v>0.8</v>
      </c>
      <c r="C14" s="2">
        <f>5/5</f>
        <v>1</v>
      </c>
      <c r="D14" s="2">
        <f>3/5</f>
        <v>0.6</v>
      </c>
      <c r="E14" s="2"/>
    </row>
    <row r="15" spans="1:5" x14ac:dyDescent="0.25">
      <c r="A15" t="s">
        <v>83</v>
      </c>
      <c r="B15" s="2">
        <f>4/4</f>
        <v>1</v>
      </c>
      <c r="C15" s="2">
        <f>4/4</f>
        <v>1</v>
      </c>
      <c r="D15" s="2">
        <f>2/4</f>
        <v>0.5</v>
      </c>
      <c r="E15" s="2"/>
    </row>
    <row r="16" spans="1:5" x14ac:dyDescent="0.25">
      <c r="A16" t="s">
        <v>204</v>
      </c>
      <c r="B16" s="2">
        <f>19/21</f>
        <v>0.90476190476190477</v>
      </c>
      <c r="C16" s="2">
        <f>12/21</f>
        <v>0.5714285714285714</v>
      </c>
      <c r="D16" s="2">
        <f>0/21</f>
        <v>0</v>
      </c>
      <c r="E16" s="2"/>
    </row>
    <row r="17" spans="1:5" x14ac:dyDescent="0.25">
      <c r="A17" t="s">
        <v>319</v>
      </c>
      <c r="B17" s="2">
        <f>4/4</f>
        <v>1</v>
      </c>
      <c r="C17" s="2">
        <f>3/4</f>
        <v>0.75</v>
      </c>
      <c r="D17" s="2">
        <f>0/4</f>
        <v>0</v>
      </c>
      <c r="E17" s="2"/>
    </row>
    <row r="18" spans="1:5" x14ac:dyDescent="0.25">
      <c r="A18" t="s">
        <v>245</v>
      </c>
      <c r="B18" s="2">
        <f>8/8</f>
        <v>1</v>
      </c>
      <c r="C18" s="2">
        <f>2/8</f>
        <v>0.25</v>
      </c>
      <c r="D18" s="2">
        <f>0/8</f>
        <v>0</v>
      </c>
      <c r="E18" s="2"/>
    </row>
    <row r="19" spans="1:5" x14ac:dyDescent="0.25">
      <c r="A19" t="s">
        <v>408</v>
      </c>
      <c r="B19" s="2">
        <f>2/2</f>
        <v>1</v>
      </c>
      <c r="C19" s="2">
        <f>2/2</f>
        <v>1</v>
      </c>
      <c r="D19" s="2">
        <f>0/2</f>
        <v>0</v>
      </c>
      <c r="E19" s="2"/>
    </row>
    <row r="20" spans="1:5" x14ac:dyDescent="0.25">
      <c r="A20" t="s">
        <v>1915</v>
      </c>
      <c r="B20" s="2">
        <f>0/1</f>
        <v>0</v>
      </c>
      <c r="C20" s="2">
        <f>0/1</f>
        <v>0</v>
      </c>
      <c r="D20" s="2">
        <f>1/1</f>
        <v>1</v>
      </c>
      <c r="E20" s="2"/>
    </row>
    <row r="21" spans="1:5" x14ac:dyDescent="0.25">
      <c r="A21" t="s">
        <v>658</v>
      </c>
      <c r="B21" s="2">
        <f>4/4</f>
        <v>1</v>
      </c>
      <c r="C21" s="2">
        <f>3/4</f>
        <v>0.75</v>
      </c>
      <c r="D21" s="2">
        <f>1/4</f>
        <v>0.25</v>
      </c>
      <c r="E21" s="2"/>
    </row>
    <row r="22" spans="1:5" x14ac:dyDescent="0.25">
      <c r="A22" t="s">
        <v>198</v>
      </c>
      <c r="B22" s="2">
        <f>7/7</f>
        <v>1</v>
      </c>
      <c r="C22" s="2">
        <f>6/7</f>
        <v>0.8571428571428571</v>
      </c>
      <c r="D22" s="2">
        <f>1/7</f>
        <v>0.14285714285714285</v>
      </c>
      <c r="E22" s="2"/>
    </row>
    <row r="23" spans="1:5" x14ac:dyDescent="0.25">
      <c r="A23" t="s">
        <v>278</v>
      </c>
      <c r="B23" s="2">
        <f>5/5</f>
        <v>1</v>
      </c>
      <c r="C23" s="2">
        <f>2/5</f>
        <v>0.4</v>
      </c>
      <c r="D23" s="2">
        <f>0/5</f>
        <v>0</v>
      </c>
      <c r="E23" s="2"/>
    </row>
    <row r="24" spans="1:5" x14ac:dyDescent="0.25">
      <c r="A24" t="s">
        <v>253</v>
      </c>
      <c r="B24" s="2">
        <f>4/4</f>
        <v>1</v>
      </c>
      <c r="C24" s="2">
        <f>4/4</f>
        <v>1</v>
      </c>
      <c r="D24" s="2">
        <f>2/4</f>
        <v>0.5</v>
      </c>
      <c r="E24" s="2"/>
    </row>
    <row r="25" spans="1:5" x14ac:dyDescent="0.25">
      <c r="A25" t="s">
        <v>93</v>
      </c>
      <c r="B25" s="2">
        <f>4/4</f>
        <v>1</v>
      </c>
      <c r="C25" s="2">
        <f>1/4</f>
        <v>0.25</v>
      </c>
      <c r="D25" s="2">
        <f>0/4</f>
        <v>0</v>
      </c>
      <c r="E25" s="2"/>
    </row>
    <row r="26" spans="1:5" x14ac:dyDescent="0.25">
      <c r="A26" t="s">
        <v>1916</v>
      </c>
      <c r="B26" s="2">
        <f>5/5</f>
        <v>1</v>
      </c>
      <c r="C26" s="2">
        <f>4/5</f>
        <v>0.8</v>
      </c>
      <c r="D26" s="2">
        <f>1/5</f>
        <v>0.2</v>
      </c>
      <c r="E26" s="2"/>
    </row>
    <row r="27" spans="1:5" x14ac:dyDescent="0.25">
      <c r="A27" t="s">
        <v>991</v>
      </c>
      <c r="B27" s="2">
        <f>3/3</f>
        <v>1</v>
      </c>
      <c r="C27" s="2">
        <f>2/3</f>
        <v>0.66666666666666663</v>
      </c>
      <c r="D27" s="2">
        <f>0/3</f>
        <v>0</v>
      </c>
      <c r="E27" s="2"/>
    </row>
    <row r="28" spans="1:5" x14ac:dyDescent="0.25">
      <c r="A28" t="s">
        <v>998</v>
      </c>
      <c r="B28" s="2">
        <f>5/5</f>
        <v>1</v>
      </c>
      <c r="C28" s="2">
        <f>2/5</f>
        <v>0.4</v>
      </c>
      <c r="D28" s="2">
        <f>1/5</f>
        <v>0.2</v>
      </c>
      <c r="E28" s="2"/>
    </row>
    <row r="29" spans="1:5" x14ac:dyDescent="0.25">
      <c r="A29" t="s">
        <v>952</v>
      </c>
      <c r="B29" s="2">
        <f>4/4</f>
        <v>1</v>
      </c>
      <c r="C29" s="2">
        <f>2/4</f>
        <v>0.5</v>
      </c>
      <c r="D29" s="2">
        <f>0/4</f>
        <v>0</v>
      </c>
      <c r="E29" s="2"/>
    </row>
    <row r="30" spans="1:5" x14ac:dyDescent="0.25">
      <c r="A30" t="s">
        <v>1691</v>
      </c>
      <c r="B30" s="2">
        <f>4/4</f>
        <v>1</v>
      </c>
      <c r="C30" s="2">
        <f>2/4</f>
        <v>0.5</v>
      </c>
      <c r="D30" s="2">
        <f>0/4</f>
        <v>0</v>
      </c>
      <c r="E30" s="2"/>
    </row>
    <row r="31" spans="1:5" x14ac:dyDescent="0.25">
      <c r="A31" t="s">
        <v>284</v>
      </c>
      <c r="B31" s="2">
        <f>3/3</f>
        <v>1</v>
      </c>
      <c r="C31" s="2">
        <f>2/3</f>
        <v>0.66666666666666663</v>
      </c>
      <c r="D31" s="2">
        <f>2/3</f>
        <v>0.66666666666666663</v>
      </c>
      <c r="E31" s="2"/>
    </row>
    <row r="32" spans="1:5" x14ac:dyDescent="0.25">
      <c r="A32" t="s">
        <v>299</v>
      </c>
      <c r="B32" s="2">
        <f>15/15</f>
        <v>1</v>
      </c>
      <c r="C32" s="2">
        <f>11/15</f>
        <v>0.73333333333333328</v>
      </c>
      <c r="D32" s="2">
        <f>5/15</f>
        <v>0.33333333333333331</v>
      </c>
      <c r="E32" s="2"/>
    </row>
    <row r="33" spans="1:5" x14ac:dyDescent="0.25">
      <c r="A33" t="s">
        <v>1028</v>
      </c>
      <c r="B33" s="2">
        <f>3/3</f>
        <v>1</v>
      </c>
      <c r="C33" s="2">
        <f>2/3</f>
        <v>0.66666666666666663</v>
      </c>
      <c r="D33" s="2">
        <f>0/3</f>
        <v>0</v>
      </c>
      <c r="E33" s="2"/>
    </row>
    <row r="34" spans="1:5" x14ac:dyDescent="0.25">
      <c r="A34" t="s">
        <v>715</v>
      </c>
      <c r="B34" s="2">
        <f>4/4</f>
        <v>1</v>
      </c>
      <c r="C34" s="2">
        <f>3/4</f>
        <v>0.75</v>
      </c>
      <c r="D34" s="2">
        <f>2/4</f>
        <v>0.5</v>
      </c>
      <c r="E34" s="2"/>
    </row>
    <row r="35" spans="1:5" x14ac:dyDescent="0.25">
      <c r="A35" t="s">
        <v>222</v>
      </c>
      <c r="B35" s="2">
        <f>8/8</f>
        <v>1</v>
      </c>
      <c r="C35" s="2">
        <f>7/8</f>
        <v>0.875</v>
      </c>
      <c r="D35" s="2">
        <f>6/8</f>
        <v>0.75</v>
      </c>
      <c r="E35" s="2"/>
    </row>
    <row r="36" spans="1:5" x14ac:dyDescent="0.25">
      <c r="A36" t="s">
        <v>414</v>
      </c>
      <c r="B36" s="2">
        <f>3/3</f>
        <v>1</v>
      </c>
      <c r="C36" s="2">
        <f>2/3</f>
        <v>0.66666666666666663</v>
      </c>
      <c r="D36" s="2">
        <f>0/3</f>
        <v>0</v>
      </c>
      <c r="E36" s="2"/>
    </row>
    <row r="37" spans="1:5" x14ac:dyDescent="0.25">
      <c r="A37" t="s">
        <v>1917</v>
      </c>
      <c r="B37" s="2">
        <f>1/1</f>
        <v>1</v>
      </c>
      <c r="C37" s="2">
        <f>0/1</f>
        <v>0</v>
      </c>
      <c r="D37" s="2">
        <f>0/1</f>
        <v>0</v>
      </c>
      <c r="E37" s="2"/>
    </row>
    <row r="38" spans="1:5" x14ac:dyDescent="0.25">
      <c r="A38" t="s">
        <v>1430</v>
      </c>
      <c r="B38" s="2">
        <f>1/1</f>
        <v>1</v>
      </c>
      <c r="C38" s="2">
        <f>1/1</f>
        <v>1</v>
      </c>
      <c r="D38" s="2">
        <f>0/1</f>
        <v>0</v>
      </c>
      <c r="E38" s="2"/>
    </row>
    <row r="39" spans="1:5" x14ac:dyDescent="0.25">
      <c r="A39" t="s">
        <v>1918</v>
      </c>
      <c r="B39" s="2">
        <f>5/5</f>
        <v>1</v>
      </c>
      <c r="C39" s="2">
        <f>4/5</f>
        <v>0.8</v>
      </c>
      <c r="D39" s="2">
        <f>1/5</f>
        <v>0.2</v>
      </c>
      <c r="E39" s="2"/>
    </row>
    <row r="40" spans="1:5" x14ac:dyDescent="0.25">
      <c r="A40" t="s">
        <v>109</v>
      </c>
      <c r="B40" s="2">
        <f>9/9</f>
        <v>1</v>
      </c>
      <c r="C40" s="2">
        <f>4/9</f>
        <v>0.44444444444444442</v>
      </c>
      <c r="D40" s="2">
        <f>3/9</f>
        <v>0.33333333333333331</v>
      </c>
      <c r="E40" s="2"/>
    </row>
    <row r="41" spans="1:5" x14ac:dyDescent="0.25">
      <c r="A41" t="s">
        <v>334</v>
      </c>
      <c r="B41" s="2">
        <f>3/3</f>
        <v>1</v>
      </c>
      <c r="C41" s="2">
        <f>3/3</f>
        <v>1</v>
      </c>
      <c r="D41" s="2">
        <f>0/3</f>
        <v>0</v>
      </c>
      <c r="E41" s="2"/>
    </row>
    <row r="42" spans="1:5" x14ac:dyDescent="0.25">
      <c r="A42" t="s">
        <v>743</v>
      </c>
      <c r="B42" s="2">
        <f>4/4</f>
        <v>1</v>
      </c>
      <c r="C42" s="2">
        <f>3/4</f>
        <v>0.75</v>
      </c>
      <c r="D42" s="2">
        <f>1/4</f>
        <v>0.25</v>
      </c>
      <c r="E42" s="2"/>
    </row>
    <row r="43" spans="1:5" x14ac:dyDescent="0.25">
      <c r="A43" t="s">
        <v>325</v>
      </c>
      <c r="B43" s="2">
        <f>3/3</f>
        <v>1</v>
      </c>
      <c r="C43" s="2">
        <f>1/3</f>
        <v>0.33333333333333331</v>
      </c>
      <c r="D43" s="2">
        <f>0/3</f>
        <v>0</v>
      </c>
      <c r="E43" s="2"/>
    </row>
    <row r="44" spans="1:5" x14ac:dyDescent="0.25">
      <c r="A44" t="s">
        <v>264</v>
      </c>
      <c r="B44" s="2">
        <f>5/5</f>
        <v>1</v>
      </c>
      <c r="C44" s="2">
        <f>5/5</f>
        <v>1</v>
      </c>
      <c r="D44" s="2">
        <f>1/5</f>
        <v>0.2</v>
      </c>
      <c r="E44" s="2"/>
    </row>
    <row r="45" spans="1:5" x14ac:dyDescent="0.25">
      <c r="A45" t="s">
        <v>228</v>
      </c>
      <c r="B45" s="2">
        <f>5/5</f>
        <v>1</v>
      </c>
      <c r="C45" s="2">
        <f>1/5</f>
        <v>0.2</v>
      </c>
      <c r="D45" s="2">
        <f>0/5</f>
        <v>0</v>
      </c>
      <c r="E45" s="2"/>
    </row>
    <row r="46" spans="1:5" x14ac:dyDescent="0.25">
      <c r="A46" t="s">
        <v>170</v>
      </c>
      <c r="B46" s="2">
        <f>5/5</f>
        <v>1</v>
      </c>
      <c r="C46" s="2">
        <f>3/5</f>
        <v>0.6</v>
      </c>
      <c r="D46" s="2">
        <f>0/5</f>
        <v>0</v>
      </c>
      <c r="E46" s="2"/>
    </row>
    <row r="47" spans="1:5" x14ac:dyDescent="0.25">
      <c r="A47" t="s">
        <v>1919</v>
      </c>
      <c r="B47" s="2">
        <f>20/20</f>
        <v>1</v>
      </c>
      <c r="C47" s="2">
        <f>14/20</f>
        <v>0.7</v>
      </c>
      <c r="D47" s="2">
        <f>2/20</f>
        <v>0.1</v>
      </c>
      <c r="E47" s="2"/>
    </row>
    <row r="48" spans="1:5" x14ac:dyDescent="0.25">
      <c r="A48" t="s">
        <v>987</v>
      </c>
      <c r="B48" s="2">
        <f>4/4</f>
        <v>1</v>
      </c>
      <c r="C48" s="2">
        <f>2/4</f>
        <v>0.5</v>
      </c>
      <c r="D48" s="2">
        <f>0/4</f>
        <v>0</v>
      </c>
      <c r="E48" s="2"/>
    </row>
    <row r="49" spans="1:5" x14ac:dyDescent="0.25">
      <c r="A49" t="s">
        <v>191</v>
      </c>
      <c r="B49" s="2">
        <f>3/3</f>
        <v>1</v>
      </c>
      <c r="C49" s="2">
        <f>1/3</f>
        <v>0.33333333333333331</v>
      </c>
      <c r="D49" s="2">
        <f>0/3</f>
        <v>0</v>
      </c>
      <c r="E49" s="2"/>
    </row>
    <row r="50" spans="1:5" x14ac:dyDescent="0.25">
      <c r="A50" t="s">
        <v>1054</v>
      </c>
      <c r="B50" s="2">
        <f>3/3</f>
        <v>1</v>
      </c>
      <c r="C50" s="2">
        <f>2/3</f>
        <v>0.66666666666666663</v>
      </c>
      <c r="D50" s="2">
        <f>1/3</f>
        <v>0.33333333333333331</v>
      </c>
      <c r="E50" s="2"/>
    </row>
    <row r="51" spans="1:5" x14ac:dyDescent="0.25">
      <c r="A51" t="s">
        <v>1935</v>
      </c>
      <c r="B51" s="2">
        <f>267/271</f>
        <v>0.98523985239852396</v>
      </c>
      <c r="C51" s="2">
        <f>181/271</f>
        <v>0.66789667896678961</v>
      </c>
      <c r="D51" s="2">
        <f>56/271</f>
        <v>0.20664206642066421</v>
      </c>
      <c r="E51" s="2"/>
    </row>
    <row r="53" spans="1:5" x14ac:dyDescent="0.25">
      <c r="A53" s="5" t="s">
        <v>1930</v>
      </c>
      <c r="B53" s="5" t="s">
        <v>1931</v>
      </c>
      <c r="C53" s="5" t="s">
        <v>1932</v>
      </c>
      <c r="D53" s="5" t="s">
        <v>1933</v>
      </c>
      <c r="E53" s="5"/>
    </row>
    <row r="54" spans="1:5" x14ac:dyDescent="0.25">
      <c r="A54" t="s">
        <v>1958</v>
      </c>
      <c r="B54" s="2">
        <f>28/29</f>
        <v>0.96551724137931039</v>
      </c>
      <c r="C54" s="2">
        <f>19/19</f>
        <v>1</v>
      </c>
      <c r="D54" s="2">
        <f>7/29</f>
        <v>0.2413793103448276</v>
      </c>
      <c r="E54" s="2"/>
    </row>
    <row r="55" spans="1:5" x14ac:dyDescent="0.25">
      <c r="A55" t="s">
        <v>1959</v>
      </c>
      <c r="B55" s="2">
        <f>12/12</f>
        <v>1</v>
      </c>
      <c r="C55" s="2">
        <f>4/12</f>
        <v>0.33333333333333331</v>
      </c>
      <c r="D55" s="2">
        <f>1/12</f>
        <v>8.3333333333333329E-2</v>
      </c>
      <c r="E55" s="2"/>
    </row>
    <row r="56" spans="1:5" x14ac:dyDescent="0.25">
      <c r="A56" t="s">
        <v>1960</v>
      </c>
      <c r="B56" s="2">
        <f>5/5</f>
        <v>1</v>
      </c>
      <c r="C56" s="2">
        <f>5/5</f>
        <v>1</v>
      </c>
      <c r="D56" s="2">
        <f>2/5</f>
        <v>0.4</v>
      </c>
      <c r="E56" s="2"/>
    </row>
    <row r="57" spans="1:5" x14ac:dyDescent="0.25">
      <c r="A57" t="s">
        <v>1961</v>
      </c>
      <c r="B57" s="2">
        <f>10/10</f>
        <v>1</v>
      </c>
      <c r="C57" s="2">
        <f>6/10</f>
        <v>0.6</v>
      </c>
      <c r="D57" s="2">
        <f>2/10</f>
        <v>0.2</v>
      </c>
      <c r="E57" s="2"/>
    </row>
    <row r="58" spans="1:5" x14ac:dyDescent="0.25">
      <c r="A58" t="s">
        <v>1962</v>
      </c>
      <c r="B58" s="2">
        <f>4/4</f>
        <v>1</v>
      </c>
      <c r="C58" s="2">
        <f>4/4</f>
        <v>1</v>
      </c>
      <c r="D58" s="2">
        <f>2/4</f>
        <v>0.5</v>
      </c>
      <c r="E58" s="2"/>
    </row>
    <row r="59" spans="1:5" x14ac:dyDescent="0.25">
      <c r="A59" t="s">
        <v>1963</v>
      </c>
      <c r="B59" s="2">
        <f>17/17</f>
        <v>1</v>
      </c>
      <c r="C59" s="2">
        <f>10/17</f>
        <v>0.58823529411764708</v>
      </c>
      <c r="D59" s="2">
        <f>0/17</f>
        <v>0</v>
      </c>
      <c r="E59" s="2"/>
    </row>
    <row r="60" spans="1:5" x14ac:dyDescent="0.25">
      <c r="A60" t="s">
        <v>1964</v>
      </c>
      <c r="B60" s="2">
        <f>39/39</f>
        <v>1</v>
      </c>
      <c r="C60" s="2">
        <f>20/39</f>
        <v>0.51282051282051277</v>
      </c>
      <c r="D60" s="2">
        <f>3/39</f>
        <v>7.6923076923076927E-2</v>
      </c>
      <c r="E60" s="2"/>
    </row>
    <row r="61" spans="1:5" x14ac:dyDescent="0.25">
      <c r="A61" t="s">
        <v>1965</v>
      </c>
      <c r="B61" s="2">
        <f>33/33</f>
        <v>1</v>
      </c>
      <c r="C61" s="2">
        <f>28/33</f>
        <v>0.84848484848484851</v>
      </c>
      <c r="D61" s="2">
        <f>9/33</f>
        <v>0.27272727272727271</v>
      </c>
      <c r="E61" s="2"/>
    </row>
    <row r="62" spans="1:5" x14ac:dyDescent="0.25">
      <c r="A62" t="s">
        <v>1966</v>
      </c>
      <c r="B62" s="2">
        <f>52/54</f>
        <v>0.96296296296296291</v>
      </c>
      <c r="C62" s="2">
        <f>47/54</f>
        <v>0.87037037037037035</v>
      </c>
      <c r="D62" s="2">
        <f>6/54</f>
        <v>0.1111111111111111</v>
      </c>
      <c r="E62" s="2"/>
    </row>
    <row r="63" spans="1:5" x14ac:dyDescent="0.25">
      <c r="A63" t="s">
        <v>1967</v>
      </c>
      <c r="B63" s="2">
        <f>10/10</f>
        <v>1</v>
      </c>
      <c r="C63" s="2">
        <f>4/10</f>
        <v>0.4</v>
      </c>
      <c r="D63" s="2">
        <f>1/10</f>
        <v>0.1</v>
      </c>
      <c r="E63" s="2"/>
    </row>
    <row r="64" spans="1:5" x14ac:dyDescent="0.25">
      <c r="A64" t="s">
        <v>1972</v>
      </c>
      <c r="B64" s="2">
        <f>15/15</f>
        <v>1</v>
      </c>
      <c r="C64" s="2">
        <f>9/15</f>
        <v>0.6</v>
      </c>
      <c r="D64" s="2">
        <f>4/15</f>
        <v>0.26666666666666666</v>
      </c>
      <c r="E64" s="2"/>
    </row>
    <row r="65" spans="1:5" x14ac:dyDescent="0.25">
      <c r="A65" t="s">
        <v>1973</v>
      </c>
      <c r="B65" s="2">
        <f>5/5</f>
        <v>1</v>
      </c>
      <c r="C65" s="2">
        <f>4/5</f>
        <v>0.8</v>
      </c>
      <c r="D65" s="2">
        <f>1/5</f>
        <v>0.2</v>
      </c>
      <c r="E65" s="2"/>
    </row>
    <row r="66" spans="1:5" x14ac:dyDescent="0.25">
      <c r="A66" t="s">
        <v>1968</v>
      </c>
      <c r="B66" s="2">
        <f>15/15</f>
        <v>1</v>
      </c>
      <c r="C66" s="2">
        <f>11/15</f>
        <v>0.73333333333333328</v>
      </c>
      <c r="D66" s="2">
        <f>5/15</f>
        <v>0.33333333333333331</v>
      </c>
      <c r="E66" s="2"/>
    </row>
    <row r="67" spans="1:5" x14ac:dyDescent="0.25">
      <c r="A67" t="s">
        <v>1969</v>
      </c>
      <c r="B67" s="2">
        <f>4/4</f>
        <v>1</v>
      </c>
      <c r="C67" s="2">
        <f>3/4</f>
        <v>0.75</v>
      </c>
      <c r="D67" s="2">
        <f>2/4</f>
        <v>0.5</v>
      </c>
      <c r="E67" s="2"/>
    </row>
    <row r="68" spans="1:5" x14ac:dyDescent="0.25">
      <c r="A68" t="s">
        <v>1970</v>
      </c>
      <c r="B68" s="2">
        <f>8/8</f>
        <v>1</v>
      </c>
      <c r="C68" s="2">
        <f>7/8</f>
        <v>0.875</v>
      </c>
      <c r="D68" s="2">
        <f>6/8</f>
        <v>0.75</v>
      </c>
      <c r="E68" s="2"/>
    </row>
    <row r="69" spans="1:5" x14ac:dyDescent="0.25">
      <c r="A69" t="s">
        <v>1971</v>
      </c>
      <c r="B69" s="2">
        <f>4/5</f>
        <v>0.8</v>
      </c>
      <c r="C69" s="2">
        <f>4/5</f>
        <v>0.8</v>
      </c>
      <c r="D69" s="2">
        <f>4/5</f>
        <v>0.8</v>
      </c>
      <c r="E69" s="2"/>
    </row>
    <row r="70" spans="1:5" x14ac:dyDescent="0.25">
      <c r="B70" s="2"/>
      <c r="C70" s="2"/>
      <c r="D70" s="2"/>
      <c r="E70" s="2"/>
    </row>
    <row r="71" spans="1:5" x14ac:dyDescent="0.25">
      <c r="A71" s="5" t="s">
        <v>1992</v>
      </c>
      <c r="B71" s="5" t="s">
        <v>1931</v>
      </c>
      <c r="C71" s="5" t="s">
        <v>1932</v>
      </c>
      <c r="D71" s="5" t="s">
        <v>1933</v>
      </c>
      <c r="E71" s="2"/>
    </row>
    <row r="72" spans="1:5" x14ac:dyDescent="0.25">
      <c r="A72" t="s">
        <v>1993</v>
      </c>
      <c r="B72" s="2">
        <f>153/156</f>
        <v>0.98076923076923073</v>
      </c>
      <c r="C72" s="2">
        <f>86/156</f>
        <v>0.55128205128205132</v>
      </c>
      <c r="D72" s="2">
        <f>27/156</f>
        <v>0.17307692307692307</v>
      </c>
      <c r="E72" s="2"/>
    </row>
    <row r="73" spans="1:5" x14ac:dyDescent="0.25">
      <c r="A73" t="s">
        <v>1990</v>
      </c>
      <c r="B73" s="2">
        <f>30/30</f>
        <v>1</v>
      </c>
      <c r="C73" s="2">
        <f>21/30</f>
        <v>0.7</v>
      </c>
      <c r="D73" s="2">
        <f>5/30</f>
        <v>0.16666666666666666</v>
      </c>
      <c r="E73" s="2"/>
    </row>
    <row r="74" spans="1:5" x14ac:dyDescent="0.25">
      <c r="A74" t="s">
        <v>1991</v>
      </c>
      <c r="B74" s="2">
        <f>82/85</f>
        <v>0.96470588235294119</v>
      </c>
      <c r="C74" s="2">
        <f>72/85</f>
        <v>0.84705882352941175</v>
      </c>
      <c r="D74" s="2">
        <f>24/85</f>
        <v>0.28235294117647058</v>
      </c>
      <c r="E74" s="2"/>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D82116-5B8D-4AD0-BB87-F143A364EEF3}">
  <dimension ref="A1:H74"/>
  <sheetViews>
    <sheetView topLeftCell="A50" zoomScale="90" zoomScaleNormal="90" workbookViewId="0">
      <selection activeCell="B70" sqref="B70"/>
    </sheetView>
  </sheetViews>
  <sheetFormatPr baseColWidth="10" defaultRowHeight="15" x14ac:dyDescent="0.25"/>
  <cols>
    <col min="1" max="1" width="21" bestFit="1" customWidth="1"/>
  </cols>
  <sheetData>
    <row r="1" spans="1:8" x14ac:dyDescent="0.25">
      <c r="A1" s="5" t="s">
        <v>3</v>
      </c>
      <c r="B1" s="5" t="s">
        <v>1931</v>
      </c>
      <c r="C1" s="5" t="s">
        <v>1932</v>
      </c>
      <c r="D1" s="5" t="s">
        <v>1933</v>
      </c>
      <c r="E1" s="5" t="s">
        <v>1934</v>
      </c>
      <c r="F1" s="5" t="s">
        <v>1936</v>
      </c>
      <c r="G1" s="5" t="s">
        <v>1937</v>
      </c>
      <c r="H1" s="5" t="s">
        <v>1938</v>
      </c>
    </row>
    <row r="2" spans="1:8" x14ac:dyDescent="0.25">
      <c r="A2" t="s">
        <v>156</v>
      </c>
      <c r="B2" s="2">
        <f>7/8</f>
        <v>0.875</v>
      </c>
      <c r="C2" s="2">
        <f>4/8</f>
        <v>0.5</v>
      </c>
      <c r="D2" s="2">
        <f>1/8</f>
        <v>0.125</v>
      </c>
      <c r="E2" s="2"/>
      <c r="F2">
        <v>7</v>
      </c>
      <c r="G2">
        <v>4</v>
      </c>
      <c r="H2">
        <v>1</v>
      </c>
    </row>
    <row r="3" spans="1:8" x14ac:dyDescent="0.25">
      <c r="A3" t="s">
        <v>1911</v>
      </c>
      <c r="B3" s="2">
        <f>1/1</f>
        <v>1</v>
      </c>
      <c r="C3" s="2">
        <f>0/1</f>
        <v>0</v>
      </c>
      <c r="D3" s="2">
        <f>0/1</f>
        <v>0</v>
      </c>
      <c r="E3" s="2"/>
      <c r="F3">
        <v>1</v>
      </c>
      <c r="G3">
        <v>0</v>
      </c>
      <c r="H3">
        <v>0</v>
      </c>
    </row>
    <row r="4" spans="1:8" x14ac:dyDescent="0.25">
      <c r="A4" t="s">
        <v>137</v>
      </c>
      <c r="B4" s="2">
        <f>10/13</f>
        <v>0.76923076923076927</v>
      </c>
      <c r="C4" s="2">
        <f>11/13</f>
        <v>0.84615384615384615</v>
      </c>
      <c r="D4" s="2">
        <f>3/13</f>
        <v>0.23076923076923078</v>
      </c>
      <c r="E4" s="2"/>
      <c r="F4">
        <v>10</v>
      </c>
      <c r="G4">
        <v>11</v>
      </c>
      <c r="H4">
        <v>3</v>
      </c>
    </row>
    <row r="5" spans="1:8" x14ac:dyDescent="0.25">
      <c r="A5" t="s">
        <v>215</v>
      </c>
      <c r="B5" s="2">
        <f>1/1</f>
        <v>1</v>
      </c>
      <c r="C5" s="2">
        <f>1/1</f>
        <v>1</v>
      </c>
      <c r="D5" s="2">
        <f>0/1</f>
        <v>0</v>
      </c>
      <c r="E5" s="2"/>
      <c r="F5">
        <v>1</v>
      </c>
      <c r="G5">
        <v>1</v>
      </c>
      <c r="H5">
        <v>0</v>
      </c>
    </row>
    <row r="6" spans="1:8" x14ac:dyDescent="0.25">
      <c r="A6" t="s">
        <v>1912</v>
      </c>
      <c r="B6" s="2">
        <f>1/1</f>
        <v>1</v>
      </c>
      <c r="C6" s="2">
        <f>1/1</f>
        <v>1</v>
      </c>
      <c r="D6" s="2">
        <f>1/1</f>
        <v>1</v>
      </c>
      <c r="E6" s="2"/>
      <c r="F6">
        <v>1</v>
      </c>
      <c r="G6">
        <v>1</v>
      </c>
      <c r="H6">
        <v>1</v>
      </c>
    </row>
    <row r="7" spans="1:8" x14ac:dyDescent="0.25">
      <c r="A7" t="s">
        <v>1913</v>
      </c>
      <c r="B7" s="2">
        <f>4/5</f>
        <v>0.8</v>
      </c>
      <c r="C7" s="2">
        <f>4/5</f>
        <v>0.8</v>
      </c>
      <c r="D7" s="4">
        <f>2/5</f>
        <v>0.4</v>
      </c>
      <c r="E7" s="2"/>
      <c r="F7">
        <v>4</v>
      </c>
      <c r="G7">
        <v>4</v>
      </c>
      <c r="H7">
        <v>2</v>
      </c>
    </row>
    <row r="8" spans="1:8" x14ac:dyDescent="0.25">
      <c r="A8" t="s">
        <v>515</v>
      </c>
      <c r="B8" s="2">
        <f>8/8</f>
        <v>1</v>
      </c>
      <c r="C8" s="2">
        <f>5/8</f>
        <v>0.625</v>
      </c>
      <c r="D8" s="2">
        <f>1/8</f>
        <v>0.125</v>
      </c>
      <c r="E8" s="2"/>
      <c r="F8">
        <v>8</v>
      </c>
      <c r="G8">
        <v>5</v>
      </c>
      <c r="H8">
        <v>1</v>
      </c>
    </row>
    <row r="9" spans="1:8" x14ac:dyDescent="0.25">
      <c r="A9" t="s">
        <v>374</v>
      </c>
      <c r="B9" s="2">
        <f>4/4</f>
        <v>1</v>
      </c>
      <c r="C9" s="2">
        <f>2/4</f>
        <v>0.5</v>
      </c>
      <c r="D9" s="2">
        <f>3/4</f>
        <v>0.75</v>
      </c>
      <c r="E9" s="2"/>
      <c r="F9">
        <v>4</v>
      </c>
      <c r="G9">
        <v>2</v>
      </c>
      <c r="H9">
        <v>3</v>
      </c>
    </row>
    <row r="10" spans="1:8" x14ac:dyDescent="0.25">
      <c r="A10" t="s">
        <v>120</v>
      </c>
      <c r="B10" s="2">
        <f>18/20</f>
        <v>0.9</v>
      </c>
      <c r="C10" s="2">
        <f>19/20</f>
        <v>0.95</v>
      </c>
      <c r="D10" s="2">
        <f>7/20</f>
        <v>0.35</v>
      </c>
      <c r="E10" s="2"/>
      <c r="F10">
        <v>18</v>
      </c>
      <c r="G10">
        <v>19</v>
      </c>
      <c r="H10">
        <v>7</v>
      </c>
    </row>
    <row r="11" spans="1:8" x14ac:dyDescent="0.25">
      <c r="A11" t="s">
        <v>1914</v>
      </c>
      <c r="B11" s="2">
        <f>3/3</f>
        <v>1</v>
      </c>
      <c r="C11" s="2">
        <f>3/3</f>
        <v>1</v>
      </c>
      <c r="D11" s="2">
        <f>2/3</f>
        <v>0.66666666666666663</v>
      </c>
      <c r="E11" s="2"/>
      <c r="F11">
        <v>3</v>
      </c>
      <c r="G11">
        <v>3</v>
      </c>
      <c r="H11">
        <v>2</v>
      </c>
    </row>
    <row r="12" spans="1:8" x14ac:dyDescent="0.25">
      <c r="A12" t="s">
        <v>233</v>
      </c>
      <c r="B12" s="2">
        <f>3/4</f>
        <v>0.75</v>
      </c>
      <c r="C12" s="2">
        <f>1/4</f>
        <v>0.25</v>
      </c>
      <c r="D12" s="2">
        <f>0/4</f>
        <v>0</v>
      </c>
      <c r="E12" s="2"/>
      <c r="F12">
        <v>3</v>
      </c>
      <c r="G12">
        <v>1</v>
      </c>
      <c r="H12">
        <v>0</v>
      </c>
    </row>
    <row r="13" spans="1:8" x14ac:dyDescent="0.25">
      <c r="A13" t="s">
        <v>425</v>
      </c>
      <c r="B13" s="2">
        <f>5/6</f>
        <v>0.83333333333333337</v>
      </c>
      <c r="C13" s="2">
        <f>2/6</f>
        <v>0.33333333333333331</v>
      </c>
      <c r="D13" s="2">
        <f>1/6</f>
        <v>0.16666666666666666</v>
      </c>
      <c r="E13" s="2"/>
      <c r="F13">
        <v>5</v>
      </c>
      <c r="G13">
        <v>2</v>
      </c>
      <c r="H13">
        <v>1</v>
      </c>
    </row>
    <row r="14" spans="1:8" x14ac:dyDescent="0.25">
      <c r="A14" t="s">
        <v>727</v>
      </c>
      <c r="B14" s="2">
        <f>2/5</f>
        <v>0.4</v>
      </c>
      <c r="C14" s="2">
        <f>3/5</f>
        <v>0.6</v>
      </c>
      <c r="D14" s="2">
        <f>1/5</f>
        <v>0.2</v>
      </c>
      <c r="E14" s="2"/>
      <c r="F14">
        <v>2</v>
      </c>
      <c r="G14">
        <v>3</v>
      </c>
      <c r="H14">
        <v>1</v>
      </c>
    </row>
    <row r="15" spans="1:8" x14ac:dyDescent="0.25">
      <c r="A15" t="s">
        <v>83</v>
      </c>
      <c r="B15" s="2">
        <f>4/4</f>
        <v>1</v>
      </c>
      <c r="C15" s="2">
        <f>4/4</f>
        <v>1</v>
      </c>
      <c r="D15" s="2">
        <f>2/4</f>
        <v>0.5</v>
      </c>
      <c r="E15" s="2"/>
      <c r="F15">
        <v>4</v>
      </c>
      <c r="G15">
        <v>4</v>
      </c>
      <c r="H15">
        <v>2</v>
      </c>
    </row>
    <row r="16" spans="1:8" x14ac:dyDescent="0.25">
      <c r="A16" t="s">
        <v>204</v>
      </c>
      <c r="B16" s="2">
        <f>17/21</f>
        <v>0.80952380952380953</v>
      </c>
      <c r="C16" s="2">
        <f>11/21</f>
        <v>0.52380952380952384</v>
      </c>
      <c r="D16" s="2">
        <f>0/21</f>
        <v>0</v>
      </c>
      <c r="E16" s="2"/>
      <c r="F16">
        <v>17</v>
      </c>
      <c r="G16">
        <v>11</v>
      </c>
      <c r="H16">
        <v>0</v>
      </c>
    </row>
    <row r="17" spans="1:8" x14ac:dyDescent="0.25">
      <c r="A17" t="s">
        <v>319</v>
      </c>
      <c r="B17" s="2">
        <f>3/4</f>
        <v>0.75</v>
      </c>
      <c r="C17" s="2">
        <f>2/4</f>
        <v>0.5</v>
      </c>
      <c r="D17" s="2">
        <f>0/4</f>
        <v>0</v>
      </c>
      <c r="E17" s="2"/>
      <c r="F17">
        <v>3</v>
      </c>
      <c r="G17">
        <v>2</v>
      </c>
      <c r="H17">
        <v>0</v>
      </c>
    </row>
    <row r="18" spans="1:8" x14ac:dyDescent="0.25">
      <c r="A18" t="s">
        <v>245</v>
      </c>
      <c r="B18" s="2">
        <f>6/8</f>
        <v>0.75</v>
      </c>
      <c r="C18" s="2">
        <f>6/8</f>
        <v>0.75</v>
      </c>
      <c r="D18" s="2">
        <f>3/8</f>
        <v>0.375</v>
      </c>
      <c r="E18" s="2"/>
      <c r="F18">
        <v>6</v>
      </c>
      <c r="G18">
        <v>6</v>
      </c>
      <c r="H18">
        <v>3</v>
      </c>
    </row>
    <row r="19" spans="1:8" x14ac:dyDescent="0.25">
      <c r="A19" t="s">
        <v>408</v>
      </c>
      <c r="B19" s="2">
        <f>2/2</f>
        <v>1</v>
      </c>
      <c r="C19" s="2">
        <f>2/2</f>
        <v>1</v>
      </c>
      <c r="D19" s="2">
        <f>1/2</f>
        <v>0.5</v>
      </c>
      <c r="E19" s="2"/>
      <c r="F19">
        <v>2</v>
      </c>
      <c r="G19">
        <v>2</v>
      </c>
      <c r="H19">
        <v>1</v>
      </c>
    </row>
    <row r="20" spans="1:8" x14ac:dyDescent="0.25">
      <c r="A20" t="s">
        <v>1915</v>
      </c>
      <c r="B20" s="2">
        <f>0/1</f>
        <v>0</v>
      </c>
      <c r="C20" s="2">
        <f>0/1</f>
        <v>0</v>
      </c>
      <c r="D20" s="2">
        <f>0/1</f>
        <v>0</v>
      </c>
      <c r="E20" s="2"/>
      <c r="F20">
        <v>0</v>
      </c>
      <c r="G20">
        <v>0</v>
      </c>
      <c r="H20">
        <v>0</v>
      </c>
    </row>
    <row r="21" spans="1:8" x14ac:dyDescent="0.25">
      <c r="A21" t="s">
        <v>658</v>
      </c>
      <c r="B21" s="2">
        <f>4/4</f>
        <v>1</v>
      </c>
      <c r="C21" s="2">
        <f>4/4</f>
        <v>1</v>
      </c>
      <c r="D21" s="2">
        <f>1/4</f>
        <v>0.25</v>
      </c>
      <c r="E21" s="2"/>
      <c r="F21">
        <v>4</v>
      </c>
      <c r="G21">
        <v>4</v>
      </c>
      <c r="H21">
        <v>4</v>
      </c>
    </row>
    <row r="22" spans="1:8" x14ac:dyDescent="0.25">
      <c r="A22" t="s">
        <v>198</v>
      </c>
      <c r="B22" s="2">
        <f>5/7</f>
        <v>0.7142857142857143</v>
      </c>
      <c r="C22" s="2">
        <f>6/7</f>
        <v>0.8571428571428571</v>
      </c>
      <c r="D22" s="2">
        <f>2/7</f>
        <v>0.2857142857142857</v>
      </c>
      <c r="E22" s="2"/>
      <c r="F22">
        <v>5</v>
      </c>
      <c r="G22">
        <v>6</v>
      </c>
      <c r="H22">
        <v>2</v>
      </c>
    </row>
    <row r="23" spans="1:8" x14ac:dyDescent="0.25">
      <c r="A23" t="s">
        <v>278</v>
      </c>
      <c r="B23" s="2">
        <f>4/5</f>
        <v>0.8</v>
      </c>
      <c r="C23" s="2">
        <f>2/5</f>
        <v>0.4</v>
      </c>
      <c r="D23" s="2">
        <f>0/5</f>
        <v>0</v>
      </c>
      <c r="E23" s="2"/>
      <c r="F23">
        <v>4</v>
      </c>
      <c r="G23">
        <v>2</v>
      </c>
      <c r="H23">
        <v>0</v>
      </c>
    </row>
    <row r="24" spans="1:8" x14ac:dyDescent="0.25">
      <c r="A24" t="s">
        <v>253</v>
      </c>
      <c r="B24" s="2">
        <f>4/4</f>
        <v>1</v>
      </c>
      <c r="C24" s="2">
        <f>4/4</f>
        <v>1</v>
      </c>
      <c r="D24" s="2">
        <f>2/4</f>
        <v>0.5</v>
      </c>
      <c r="E24" s="2"/>
      <c r="F24">
        <v>4</v>
      </c>
      <c r="G24">
        <v>4</v>
      </c>
      <c r="H24">
        <v>2</v>
      </c>
    </row>
    <row r="25" spans="1:8" x14ac:dyDescent="0.25">
      <c r="A25" t="s">
        <v>93</v>
      </c>
      <c r="B25" s="2">
        <f>4/4</f>
        <v>1</v>
      </c>
      <c r="C25" s="2">
        <f>2/4</f>
        <v>0.5</v>
      </c>
      <c r="D25" s="2">
        <f>1/4</f>
        <v>0.25</v>
      </c>
      <c r="E25" s="2"/>
      <c r="F25">
        <v>4</v>
      </c>
      <c r="G25">
        <v>2</v>
      </c>
      <c r="H25">
        <v>1</v>
      </c>
    </row>
    <row r="26" spans="1:8" x14ac:dyDescent="0.25">
      <c r="A26" t="s">
        <v>1916</v>
      </c>
      <c r="B26" s="2">
        <f>4/5</f>
        <v>0.8</v>
      </c>
      <c r="C26" s="2">
        <f>4/5</f>
        <v>0.8</v>
      </c>
      <c r="D26" s="2">
        <f>0/5</f>
        <v>0</v>
      </c>
      <c r="E26" s="2"/>
      <c r="F26">
        <v>4</v>
      </c>
      <c r="G26">
        <v>4</v>
      </c>
      <c r="H26">
        <v>0</v>
      </c>
    </row>
    <row r="27" spans="1:8" x14ac:dyDescent="0.25">
      <c r="A27" t="s">
        <v>991</v>
      </c>
      <c r="B27" s="2">
        <f>2/3</f>
        <v>0.66666666666666663</v>
      </c>
      <c r="C27" s="2">
        <f>2/3</f>
        <v>0.66666666666666663</v>
      </c>
      <c r="D27" s="2">
        <f>0/3</f>
        <v>0</v>
      </c>
      <c r="E27" s="2"/>
      <c r="F27">
        <v>2</v>
      </c>
      <c r="G27">
        <v>2</v>
      </c>
      <c r="H27">
        <v>0</v>
      </c>
    </row>
    <row r="28" spans="1:8" x14ac:dyDescent="0.25">
      <c r="A28" t="s">
        <v>998</v>
      </c>
      <c r="B28" s="2">
        <f>4/5</f>
        <v>0.8</v>
      </c>
      <c r="C28" s="2">
        <f>3/5</f>
        <v>0.6</v>
      </c>
      <c r="D28" s="2">
        <f>1/5</f>
        <v>0.2</v>
      </c>
      <c r="E28" s="2"/>
      <c r="F28">
        <v>4</v>
      </c>
      <c r="G28">
        <v>3</v>
      </c>
      <c r="H28">
        <v>1</v>
      </c>
    </row>
    <row r="29" spans="1:8" x14ac:dyDescent="0.25">
      <c r="A29" t="s">
        <v>952</v>
      </c>
      <c r="B29" s="2">
        <f>3/4</f>
        <v>0.75</v>
      </c>
      <c r="C29" s="2">
        <f>3/4</f>
        <v>0.75</v>
      </c>
      <c r="D29" s="2">
        <f>0/4</f>
        <v>0</v>
      </c>
      <c r="E29" s="2"/>
      <c r="F29">
        <v>3</v>
      </c>
      <c r="G29">
        <v>3</v>
      </c>
      <c r="H29">
        <v>0</v>
      </c>
    </row>
    <row r="30" spans="1:8" x14ac:dyDescent="0.25">
      <c r="A30" t="s">
        <v>1691</v>
      </c>
      <c r="B30" s="2">
        <f>4/4</f>
        <v>1</v>
      </c>
      <c r="C30" s="2">
        <f>2/4</f>
        <v>0.5</v>
      </c>
      <c r="D30" s="2">
        <f>1/4</f>
        <v>0.25</v>
      </c>
      <c r="E30" s="2"/>
      <c r="F30">
        <v>4</v>
      </c>
      <c r="G30">
        <v>2</v>
      </c>
      <c r="H30">
        <v>1</v>
      </c>
    </row>
    <row r="31" spans="1:8" x14ac:dyDescent="0.25">
      <c r="A31" t="s">
        <v>284</v>
      </c>
      <c r="B31" s="2">
        <f>3/3</f>
        <v>1</v>
      </c>
      <c r="C31" s="2">
        <f>2/3</f>
        <v>0.66666666666666663</v>
      </c>
      <c r="D31" s="2">
        <f>2/3</f>
        <v>0.66666666666666663</v>
      </c>
      <c r="E31" s="2"/>
      <c r="F31">
        <v>3</v>
      </c>
      <c r="G31">
        <v>2</v>
      </c>
      <c r="H31">
        <v>2</v>
      </c>
    </row>
    <row r="32" spans="1:8" x14ac:dyDescent="0.25">
      <c r="A32" t="s">
        <v>299</v>
      </c>
      <c r="B32" s="2">
        <f>12/15</f>
        <v>0.8</v>
      </c>
      <c r="C32" s="2">
        <f>12/15</f>
        <v>0.8</v>
      </c>
      <c r="D32" s="2">
        <f>3/15</f>
        <v>0.2</v>
      </c>
      <c r="E32" s="2"/>
      <c r="F32">
        <v>12</v>
      </c>
      <c r="G32">
        <v>12</v>
      </c>
      <c r="H32">
        <v>3</v>
      </c>
    </row>
    <row r="33" spans="1:8" x14ac:dyDescent="0.25">
      <c r="A33" t="s">
        <v>1028</v>
      </c>
      <c r="B33" s="2">
        <f>3/3</f>
        <v>1</v>
      </c>
      <c r="C33" s="2">
        <f>2/3</f>
        <v>0.66666666666666663</v>
      </c>
      <c r="D33" s="2">
        <f>0/3</f>
        <v>0</v>
      </c>
      <c r="E33" s="2"/>
      <c r="F33">
        <v>3</v>
      </c>
      <c r="G33">
        <v>2</v>
      </c>
      <c r="H33">
        <v>0</v>
      </c>
    </row>
    <row r="34" spans="1:8" x14ac:dyDescent="0.25">
      <c r="A34" t="s">
        <v>715</v>
      </c>
      <c r="B34" s="2">
        <f>4/4</f>
        <v>1</v>
      </c>
      <c r="C34" s="2">
        <f>4/4</f>
        <v>1</v>
      </c>
      <c r="D34" s="2">
        <f>1/4</f>
        <v>0.25</v>
      </c>
      <c r="E34" s="2"/>
      <c r="F34">
        <v>4</v>
      </c>
      <c r="G34">
        <v>4</v>
      </c>
      <c r="H34">
        <v>1</v>
      </c>
    </row>
    <row r="35" spans="1:8" x14ac:dyDescent="0.25">
      <c r="A35" t="s">
        <v>222</v>
      </c>
      <c r="B35" s="2">
        <f>8/8</f>
        <v>1</v>
      </c>
      <c r="C35" s="2">
        <f>7/8</f>
        <v>0.875</v>
      </c>
      <c r="D35" s="2">
        <f>6/8</f>
        <v>0.75</v>
      </c>
      <c r="E35" s="2"/>
      <c r="F35">
        <v>8</v>
      </c>
      <c r="G35">
        <v>7</v>
      </c>
      <c r="H35">
        <v>6</v>
      </c>
    </row>
    <row r="36" spans="1:8" x14ac:dyDescent="0.25">
      <c r="A36" t="s">
        <v>414</v>
      </c>
      <c r="B36" s="2">
        <f>3/3</f>
        <v>1</v>
      </c>
      <c r="C36" s="2">
        <f>2/3</f>
        <v>0.66666666666666663</v>
      </c>
      <c r="D36" s="2">
        <f>0/3</f>
        <v>0</v>
      </c>
      <c r="E36" s="2"/>
      <c r="F36">
        <v>3</v>
      </c>
      <c r="G36">
        <v>2</v>
      </c>
      <c r="H36">
        <v>0</v>
      </c>
    </row>
    <row r="37" spans="1:8" x14ac:dyDescent="0.25">
      <c r="A37" t="s">
        <v>1917</v>
      </c>
      <c r="B37" s="2">
        <f>1/1</f>
        <v>1</v>
      </c>
      <c r="C37" s="2">
        <f>1/1</f>
        <v>1</v>
      </c>
      <c r="D37" s="2">
        <f>0/1</f>
        <v>0</v>
      </c>
      <c r="E37" s="2"/>
      <c r="F37">
        <v>1</v>
      </c>
      <c r="G37">
        <v>1</v>
      </c>
      <c r="H37">
        <v>0</v>
      </c>
    </row>
    <row r="38" spans="1:8" x14ac:dyDescent="0.25">
      <c r="A38" t="s">
        <v>1430</v>
      </c>
      <c r="B38" s="2">
        <f>1/1</f>
        <v>1</v>
      </c>
      <c r="C38" s="2">
        <f>1/1</f>
        <v>1</v>
      </c>
      <c r="D38" s="2">
        <f>0/1</f>
        <v>0</v>
      </c>
      <c r="E38" s="2"/>
      <c r="F38">
        <v>1</v>
      </c>
      <c r="G38">
        <v>1</v>
      </c>
      <c r="H38">
        <v>0</v>
      </c>
    </row>
    <row r="39" spans="1:8" x14ac:dyDescent="0.25">
      <c r="A39" t="s">
        <v>1918</v>
      </c>
      <c r="B39" s="2">
        <f>5/5</f>
        <v>1</v>
      </c>
      <c r="C39" s="2">
        <f>3/5</f>
        <v>0.6</v>
      </c>
      <c r="D39" s="2">
        <f>1/5</f>
        <v>0.2</v>
      </c>
      <c r="E39" s="2"/>
      <c r="F39">
        <v>5</v>
      </c>
      <c r="G39">
        <v>3</v>
      </c>
      <c r="H39">
        <v>1</v>
      </c>
    </row>
    <row r="40" spans="1:8" x14ac:dyDescent="0.25">
      <c r="A40" t="s">
        <v>109</v>
      </c>
      <c r="B40" s="2">
        <f>7/9</f>
        <v>0.77777777777777779</v>
      </c>
      <c r="C40" s="2">
        <f>2/9</f>
        <v>0.22222222222222221</v>
      </c>
      <c r="D40" s="2">
        <f>1/9</f>
        <v>0.1111111111111111</v>
      </c>
      <c r="E40" s="2"/>
      <c r="F40">
        <v>7</v>
      </c>
      <c r="G40">
        <v>2</v>
      </c>
      <c r="H40">
        <v>1</v>
      </c>
    </row>
    <row r="41" spans="1:8" x14ac:dyDescent="0.25">
      <c r="A41" t="s">
        <v>334</v>
      </c>
      <c r="B41" s="2">
        <f>3/3</f>
        <v>1</v>
      </c>
      <c r="C41" s="2">
        <f>3/3</f>
        <v>1</v>
      </c>
      <c r="D41" s="2">
        <f>1/3</f>
        <v>0.33333333333333331</v>
      </c>
      <c r="E41" s="2"/>
      <c r="F41">
        <v>3</v>
      </c>
      <c r="G41">
        <v>3</v>
      </c>
      <c r="H41">
        <v>1</v>
      </c>
    </row>
    <row r="42" spans="1:8" x14ac:dyDescent="0.25">
      <c r="A42" t="s">
        <v>743</v>
      </c>
      <c r="B42" s="2">
        <f>4/4</f>
        <v>1</v>
      </c>
      <c r="C42" s="2">
        <f>2/4</f>
        <v>0.5</v>
      </c>
      <c r="D42" s="2">
        <f>0/4</f>
        <v>0</v>
      </c>
      <c r="E42" s="2"/>
      <c r="F42">
        <v>4</v>
      </c>
      <c r="G42">
        <v>2</v>
      </c>
      <c r="H42">
        <v>0</v>
      </c>
    </row>
    <row r="43" spans="1:8" x14ac:dyDescent="0.25">
      <c r="A43" t="s">
        <v>325</v>
      </c>
      <c r="B43" s="2">
        <f>2/3</f>
        <v>0.66666666666666663</v>
      </c>
      <c r="C43" s="2">
        <f>1/3</f>
        <v>0.33333333333333331</v>
      </c>
      <c r="D43" s="2">
        <f>0/3</f>
        <v>0</v>
      </c>
      <c r="E43" s="2"/>
      <c r="F43">
        <v>2</v>
      </c>
      <c r="G43">
        <v>1</v>
      </c>
      <c r="H43">
        <v>0</v>
      </c>
    </row>
    <row r="44" spans="1:8" x14ac:dyDescent="0.25">
      <c r="A44" t="s">
        <v>264</v>
      </c>
      <c r="B44" s="2">
        <f>5/5</f>
        <v>1</v>
      </c>
      <c r="C44" s="2">
        <f>5/5</f>
        <v>1</v>
      </c>
      <c r="D44" s="2">
        <f>1/5</f>
        <v>0.2</v>
      </c>
      <c r="E44" s="2"/>
      <c r="F44">
        <v>5</v>
      </c>
      <c r="G44">
        <v>5</v>
      </c>
      <c r="H44">
        <v>1</v>
      </c>
    </row>
    <row r="45" spans="1:8" x14ac:dyDescent="0.25">
      <c r="A45" t="s">
        <v>228</v>
      </c>
      <c r="B45" s="2">
        <f>5/5</f>
        <v>1</v>
      </c>
      <c r="C45" s="2">
        <f>1/5</f>
        <v>0.2</v>
      </c>
      <c r="D45" s="2">
        <f>0/5</f>
        <v>0</v>
      </c>
      <c r="E45" s="2"/>
      <c r="F45">
        <v>5</v>
      </c>
      <c r="G45">
        <v>1</v>
      </c>
      <c r="H45">
        <v>0</v>
      </c>
    </row>
    <row r="46" spans="1:8" x14ac:dyDescent="0.25">
      <c r="A46" t="s">
        <v>170</v>
      </c>
      <c r="B46" s="2">
        <f>4/5</f>
        <v>0.8</v>
      </c>
      <c r="C46" s="2">
        <f>3/5</f>
        <v>0.6</v>
      </c>
      <c r="D46" s="2">
        <f>0/5</f>
        <v>0</v>
      </c>
      <c r="E46" s="2"/>
      <c r="F46">
        <v>4</v>
      </c>
      <c r="G46">
        <v>3</v>
      </c>
      <c r="H46">
        <v>0</v>
      </c>
    </row>
    <row r="47" spans="1:8" x14ac:dyDescent="0.25">
      <c r="A47" t="s">
        <v>1919</v>
      </c>
      <c r="B47" s="2">
        <f>16/20</f>
        <v>0.8</v>
      </c>
      <c r="C47" s="2">
        <f>13/20</f>
        <v>0.65</v>
      </c>
      <c r="D47" s="2">
        <f>1/20</f>
        <v>0.05</v>
      </c>
      <c r="E47" s="2"/>
      <c r="F47">
        <v>16</v>
      </c>
      <c r="G47">
        <v>13</v>
      </c>
      <c r="H47">
        <v>1</v>
      </c>
    </row>
    <row r="48" spans="1:8" x14ac:dyDescent="0.25">
      <c r="A48" t="s">
        <v>987</v>
      </c>
      <c r="B48" s="2">
        <f>4/4</f>
        <v>1</v>
      </c>
      <c r="C48" s="2">
        <f>2/4</f>
        <v>0.5</v>
      </c>
      <c r="D48" s="2">
        <f>1/4</f>
        <v>0.25</v>
      </c>
      <c r="E48" s="2"/>
      <c r="F48">
        <v>4</v>
      </c>
      <c r="G48">
        <v>2</v>
      </c>
      <c r="H48">
        <v>1</v>
      </c>
    </row>
    <row r="49" spans="1:8" x14ac:dyDescent="0.25">
      <c r="A49" t="s">
        <v>191</v>
      </c>
      <c r="B49" s="2">
        <f>3/3</f>
        <v>1</v>
      </c>
      <c r="C49" s="2">
        <f>2/3</f>
        <v>0.66666666666666663</v>
      </c>
      <c r="D49" s="2">
        <f>0/3</f>
        <v>0</v>
      </c>
      <c r="E49" s="2"/>
      <c r="F49">
        <v>3</v>
      </c>
      <c r="G49">
        <v>2</v>
      </c>
      <c r="H49">
        <v>0</v>
      </c>
    </row>
    <row r="50" spans="1:8" x14ac:dyDescent="0.25">
      <c r="A50" t="s">
        <v>1054</v>
      </c>
      <c r="B50" s="2">
        <f>3/3</f>
        <v>1</v>
      </c>
      <c r="C50" s="2">
        <f>2/3</f>
        <v>0.66666666666666663</v>
      </c>
      <c r="D50" s="2">
        <f>1/3</f>
        <v>0.33333333333333331</v>
      </c>
      <c r="E50" s="2"/>
      <c r="F50">
        <v>3</v>
      </c>
      <c r="G50">
        <v>2</v>
      </c>
      <c r="H50">
        <v>1</v>
      </c>
    </row>
    <row r="51" spans="1:8" x14ac:dyDescent="0.25">
      <c r="A51" t="s">
        <v>1935</v>
      </c>
      <c r="B51" s="2">
        <f>233/271</f>
        <v>0.85977859778597787</v>
      </c>
      <c r="C51" s="2">
        <f>183/271</f>
        <v>0.67527675276752763</v>
      </c>
      <c r="D51" s="2">
        <f>58/271</f>
        <v>0.2140221402214022</v>
      </c>
      <c r="E51" s="2"/>
      <c r="F51">
        <f>SUM(F2:F50)</f>
        <v>233</v>
      </c>
      <c r="G51">
        <f t="shared" ref="G51:H51" si="0">SUM(G2:G50)</f>
        <v>183</v>
      </c>
      <c r="H51">
        <f t="shared" si="0"/>
        <v>58</v>
      </c>
    </row>
    <row r="53" spans="1:8" x14ac:dyDescent="0.25">
      <c r="A53" s="5" t="s">
        <v>1930</v>
      </c>
      <c r="B53" s="5" t="s">
        <v>1931</v>
      </c>
      <c r="C53" s="5" t="s">
        <v>1932</v>
      </c>
      <c r="D53" s="5" t="s">
        <v>1933</v>
      </c>
      <c r="E53" s="5" t="s">
        <v>1934</v>
      </c>
    </row>
    <row r="54" spans="1:8" x14ac:dyDescent="0.25">
      <c r="A54" t="s">
        <v>1958</v>
      </c>
      <c r="B54" s="2">
        <f>25/29</f>
        <v>0.86206896551724133</v>
      </c>
      <c r="C54" s="2">
        <f>26/29</f>
        <v>0.89655172413793105</v>
      </c>
      <c r="D54" s="2">
        <f>8/29</f>
        <v>0.27586206896551724</v>
      </c>
      <c r="E54" s="2"/>
    </row>
    <row r="55" spans="1:8" x14ac:dyDescent="0.25">
      <c r="A55" t="s">
        <v>1959</v>
      </c>
      <c r="B55" s="2">
        <f>12/12</f>
        <v>1</v>
      </c>
      <c r="C55" s="2">
        <f>5/12</f>
        <v>0.41666666666666669</v>
      </c>
      <c r="D55" s="2">
        <f>1/12</f>
        <v>8.3333333333333329E-2</v>
      </c>
      <c r="E55" s="2"/>
    </row>
    <row r="56" spans="1:8" x14ac:dyDescent="0.25">
      <c r="A56" t="s">
        <v>1960</v>
      </c>
      <c r="B56" s="2">
        <f>4/5</f>
        <v>0.8</v>
      </c>
      <c r="C56" s="2">
        <f>4/5</f>
        <v>0.8</v>
      </c>
      <c r="D56" s="4">
        <f>2/5</f>
        <v>0.4</v>
      </c>
      <c r="E56" s="2"/>
    </row>
    <row r="57" spans="1:8" x14ac:dyDescent="0.25">
      <c r="A57" t="s">
        <v>1961</v>
      </c>
      <c r="B57" s="2">
        <f>9/10</f>
        <v>0.9</v>
      </c>
      <c r="C57" s="2">
        <f>6/10</f>
        <v>0.6</v>
      </c>
      <c r="D57" s="2">
        <f>2/10</f>
        <v>0.2</v>
      </c>
      <c r="E57" s="2"/>
    </row>
    <row r="58" spans="1:8" x14ac:dyDescent="0.25">
      <c r="A58" t="s">
        <v>1962</v>
      </c>
      <c r="B58" s="2">
        <f>4/4</f>
        <v>1</v>
      </c>
      <c r="C58" s="2">
        <f>4/4</f>
        <v>1</v>
      </c>
      <c r="D58" s="2">
        <f>2/4</f>
        <v>0.5</v>
      </c>
      <c r="E58" s="2"/>
    </row>
    <row r="59" spans="1:8" x14ac:dyDescent="0.25">
      <c r="A59" t="s">
        <v>1963</v>
      </c>
      <c r="B59" s="2">
        <f>14/17</f>
        <v>0.82352941176470584</v>
      </c>
      <c r="C59" s="2">
        <f>7/17</f>
        <v>0.41176470588235292</v>
      </c>
      <c r="D59" s="2">
        <f>1/17</f>
        <v>5.8823529411764705E-2</v>
      </c>
      <c r="E59" s="2"/>
    </row>
    <row r="60" spans="1:8" x14ac:dyDescent="0.25">
      <c r="A60" t="s">
        <v>1964</v>
      </c>
      <c r="B60" s="2">
        <f>33/39</f>
        <v>0.84615384615384615</v>
      </c>
      <c r="C60" s="2">
        <f>20/39</f>
        <v>0.51282051282051277</v>
      </c>
      <c r="D60" s="2">
        <f>4/39</f>
        <v>0.10256410256410256</v>
      </c>
      <c r="E60" s="2"/>
    </row>
    <row r="61" spans="1:8" x14ac:dyDescent="0.25">
      <c r="A61" t="s">
        <v>1965</v>
      </c>
      <c r="B61" s="2">
        <f>31/33</f>
        <v>0.93939393939393945</v>
      </c>
      <c r="C61" s="2">
        <f>30/33</f>
        <v>0.90909090909090906</v>
      </c>
      <c r="D61" s="2">
        <f>3/33</f>
        <v>9.0909090909090912E-2</v>
      </c>
      <c r="E61" s="2"/>
    </row>
    <row r="62" spans="1:8" x14ac:dyDescent="0.25">
      <c r="A62" t="s">
        <v>1966</v>
      </c>
      <c r="B62" s="2">
        <f>45/54</f>
        <v>0.83333333333333337</v>
      </c>
      <c r="C62" s="2">
        <f>35/54</f>
        <v>0.64814814814814814</v>
      </c>
      <c r="D62" s="2">
        <f>4/54</f>
        <v>7.407407407407407E-2</v>
      </c>
      <c r="E62" s="2"/>
    </row>
    <row r="63" spans="1:8" x14ac:dyDescent="0.25">
      <c r="A63" t="s">
        <v>1967</v>
      </c>
      <c r="B63" s="2">
        <f>9/10</f>
        <v>0.9</v>
      </c>
      <c r="C63" s="2">
        <f>3/10</f>
        <v>0.3</v>
      </c>
      <c r="D63" s="2">
        <f>4/10</f>
        <v>0.4</v>
      </c>
      <c r="E63" s="2"/>
    </row>
    <row r="64" spans="1:8" x14ac:dyDescent="0.25">
      <c r="A64" t="s">
        <v>1972</v>
      </c>
      <c r="B64" s="2">
        <f>14/15</f>
        <v>0.93333333333333335</v>
      </c>
      <c r="C64" s="2">
        <f>9/15</f>
        <v>0.6</v>
      </c>
      <c r="D64" s="2">
        <f>3/15</f>
        <v>0.2</v>
      </c>
      <c r="E64" s="2"/>
    </row>
    <row r="65" spans="1:5" x14ac:dyDescent="0.25">
      <c r="A65" t="s">
        <v>1973</v>
      </c>
      <c r="B65" s="2">
        <f>4/5</f>
        <v>0.8</v>
      </c>
      <c r="C65" s="2">
        <f>4/5</f>
        <v>0.8</v>
      </c>
      <c r="D65" s="2">
        <f>0/5</f>
        <v>0</v>
      </c>
      <c r="E65" s="2"/>
    </row>
    <row r="66" spans="1:5" x14ac:dyDescent="0.25">
      <c r="A66" t="s">
        <v>1968</v>
      </c>
      <c r="B66" s="2">
        <f>12/15</f>
        <v>0.8</v>
      </c>
      <c r="C66" s="2">
        <f>12/15</f>
        <v>0.8</v>
      </c>
      <c r="D66" s="2">
        <f>3/15</f>
        <v>0.2</v>
      </c>
      <c r="E66" s="2"/>
    </row>
    <row r="67" spans="1:5" x14ac:dyDescent="0.25">
      <c r="A67" t="s">
        <v>1969</v>
      </c>
      <c r="B67" s="2">
        <f>4/4</f>
        <v>1</v>
      </c>
      <c r="C67" s="2">
        <f>4/4</f>
        <v>1</v>
      </c>
      <c r="D67" s="2">
        <f>1/4</f>
        <v>0.25</v>
      </c>
      <c r="E67" s="2"/>
    </row>
    <row r="68" spans="1:5" x14ac:dyDescent="0.25">
      <c r="A68" t="s">
        <v>1970</v>
      </c>
      <c r="B68" s="2">
        <f>8/8</f>
        <v>1</v>
      </c>
      <c r="C68" s="2">
        <f>7/8</f>
        <v>0.875</v>
      </c>
      <c r="D68" s="2">
        <f>6/8</f>
        <v>0.75</v>
      </c>
      <c r="E68" s="2"/>
    </row>
    <row r="69" spans="1:5" x14ac:dyDescent="0.25">
      <c r="A69" t="s">
        <v>1971</v>
      </c>
      <c r="B69" s="2">
        <f>4/5</f>
        <v>0.8</v>
      </c>
      <c r="C69" s="2">
        <f>4/5</f>
        <v>0.8</v>
      </c>
      <c r="D69" s="2">
        <f>3/5</f>
        <v>0.6</v>
      </c>
      <c r="E69" s="2"/>
    </row>
    <row r="70" spans="1:5" x14ac:dyDescent="0.25">
      <c r="B70" s="2"/>
      <c r="C70" s="2"/>
      <c r="D70" s="2"/>
      <c r="E70" s="2"/>
    </row>
    <row r="71" spans="1:5" x14ac:dyDescent="0.25">
      <c r="A71" s="5" t="s">
        <v>1992</v>
      </c>
      <c r="B71" s="7" t="s">
        <v>1931</v>
      </c>
      <c r="C71" s="7" t="s">
        <v>1932</v>
      </c>
      <c r="D71" s="7" t="s">
        <v>1933</v>
      </c>
      <c r="E71" s="7" t="s">
        <v>1934</v>
      </c>
    </row>
    <row r="72" spans="1:5" x14ac:dyDescent="0.25">
      <c r="A72" t="s">
        <v>1993</v>
      </c>
      <c r="B72" s="2">
        <f>143/156</f>
        <v>0.91666666666666663</v>
      </c>
      <c r="C72" s="2">
        <f>89/156</f>
        <v>0.57051282051282048</v>
      </c>
      <c r="D72" s="2">
        <f>32/156</f>
        <v>0.20512820512820512</v>
      </c>
      <c r="E72" s="2"/>
    </row>
    <row r="73" spans="1:5" x14ac:dyDescent="0.25">
      <c r="A73" t="s">
        <v>1990</v>
      </c>
      <c r="B73" s="2">
        <f>20/30</f>
        <v>0.66666666666666663</v>
      </c>
      <c r="C73" s="2">
        <f>15/30</f>
        <v>0.5</v>
      </c>
      <c r="D73" s="2">
        <f>5/30</f>
        <v>0.16666666666666666</v>
      </c>
      <c r="E73" s="2"/>
    </row>
    <row r="74" spans="1:5" x14ac:dyDescent="0.25">
      <c r="A74" t="s">
        <v>1991</v>
      </c>
      <c r="B74" s="2">
        <f>70/85</f>
        <v>0.82352941176470584</v>
      </c>
      <c r="C74" s="2">
        <f>73/85</f>
        <v>0.85882352941176465</v>
      </c>
      <c r="D74" s="2">
        <f>18/85</f>
        <v>0.21176470588235294</v>
      </c>
      <c r="E74"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3F5909-FBEB-4969-8302-2AF1560F38F1}">
  <dimension ref="A1:G51"/>
  <sheetViews>
    <sheetView zoomScale="75" zoomScaleNormal="75" workbookViewId="0">
      <selection activeCell="B2" sqref="B2"/>
    </sheetView>
  </sheetViews>
  <sheetFormatPr baseColWidth="10" defaultRowHeight="15" x14ac:dyDescent="0.25"/>
  <cols>
    <col min="1" max="1" width="13.42578125" bestFit="1" customWidth="1"/>
    <col min="2" max="2" width="11.5703125" bestFit="1" customWidth="1"/>
    <col min="3" max="3" width="18.5703125" bestFit="1" customWidth="1"/>
    <col min="4" max="4" width="14.5703125" bestFit="1" customWidth="1"/>
    <col min="5" max="5" width="23.140625" bestFit="1" customWidth="1"/>
    <col min="6" max="6" width="18.85546875" bestFit="1" customWidth="1"/>
  </cols>
  <sheetData>
    <row r="1" spans="1:7" x14ac:dyDescent="0.25">
      <c r="A1" s="5" t="s">
        <v>1992</v>
      </c>
      <c r="B1" s="5" t="s">
        <v>1981</v>
      </c>
      <c r="C1" s="5" t="s">
        <v>1939</v>
      </c>
      <c r="D1" s="5" t="s">
        <v>1983</v>
      </c>
      <c r="E1" s="5" t="s">
        <v>1940</v>
      </c>
      <c r="F1" s="5" t="s">
        <v>1941</v>
      </c>
      <c r="G1" s="5" t="s">
        <v>1934</v>
      </c>
    </row>
    <row r="2" spans="1:7" x14ac:dyDescent="0.25">
      <c r="A2" t="s">
        <v>1993</v>
      </c>
      <c r="B2" s="2">
        <f>71/151</f>
        <v>0.47019867549668876</v>
      </c>
      <c r="C2" s="2">
        <f>19/151</f>
        <v>0.12582781456953643</v>
      </c>
      <c r="D2" s="2">
        <f>33/185</f>
        <v>0.17837837837837839</v>
      </c>
      <c r="E2" s="2">
        <f>22/185</f>
        <v>0.11891891891891893</v>
      </c>
      <c r="F2" s="2">
        <f>112/185</f>
        <v>0.60540540540540544</v>
      </c>
      <c r="G2" s="2">
        <f>51/185</f>
        <v>0.27567567567567569</v>
      </c>
    </row>
    <row r="3" spans="1:7" x14ac:dyDescent="0.25">
      <c r="A3" t="s">
        <v>1990</v>
      </c>
      <c r="B3" s="2">
        <f>24/30</f>
        <v>0.8</v>
      </c>
      <c r="C3" s="2">
        <f>2/30</f>
        <v>6.6666666666666666E-2</v>
      </c>
      <c r="D3" s="2">
        <f>10/30</f>
        <v>0.33333333333333331</v>
      </c>
      <c r="E3" s="2">
        <f>1/30</f>
        <v>3.3333333333333333E-2</v>
      </c>
      <c r="F3" s="2">
        <f>23/30</f>
        <v>0.76666666666666672</v>
      </c>
      <c r="G3" s="2">
        <f>12/30</f>
        <v>0.4</v>
      </c>
    </row>
    <row r="4" spans="1:7" x14ac:dyDescent="0.25">
      <c r="A4" t="s">
        <v>1991</v>
      </c>
      <c r="B4" s="2">
        <f>73/85</f>
        <v>0.85882352941176465</v>
      </c>
      <c r="C4" s="2">
        <f>7/85</f>
        <v>8.2352941176470587E-2</v>
      </c>
      <c r="D4" s="2">
        <f>34/85</f>
        <v>0.4</v>
      </c>
      <c r="E4" s="2">
        <f>19/85</f>
        <v>0.22352941176470589</v>
      </c>
      <c r="F4" s="2">
        <f>49/85</f>
        <v>0.57647058823529407</v>
      </c>
      <c r="G4" s="2">
        <f>26/85</f>
        <v>0.30588235294117649</v>
      </c>
    </row>
    <row r="5" spans="1:7" x14ac:dyDescent="0.25">
      <c r="B5" s="2"/>
      <c r="C5" s="2"/>
      <c r="D5" s="2"/>
      <c r="E5" s="2"/>
      <c r="F5" s="2"/>
    </row>
    <row r="6" spans="1:7" x14ac:dyDescent="0.25">
      <c r="B6" s="2"/>
      <c r="C6" s="2"/>
      <c r="D6" s="2"/>
      <c r="E6" s="2"/>
      <c r="F6" s="2"/>
    </row>
    <row r="7" spans="1:7" x14ac:dyDescent="0.25">
      <c r="B7" s="2"/>
      <c r="C7" s="2"/>
      <c r="D7" s="2"/>
      <c r="E7" s="2"/>
      <c r="F7" s="2"/>
    </row>
    <row r="8" spans="1:7" x14ac:dyDescent="0.25">
      <c r="B8" s="2"/>
      <c r="C8" s="2"/>
      <c r="D8" s="2"/>
      <c r="E8" s="2"/>
      <c r="F8" s="2"/>
    </row>
    <row r="9" spans="1:7" x14ac:dyDescent="0.25">
      <c r="B9" s="2"/>
      <c r="C9" s="2"/>
      <c r="D9" s="2"/>
      <c r="E9" s="2"/>
      <c r="F9" s="2"/>
    </row>
    <row r="10" spans="1:7" x14ac:dyDescent="0.25">
      <c r="B10" s="2"/>
      <c r="C10" s="2"/>
      <c r="D10" s="2"/>
      <c r="E10" s="2"/>
      <c r="F10" s="2"/>
    </row>
    <row r="11" spans="1:7" x14ac:dyDescent="0.25">
      <c r="B11" s="2"/>
      <c r="C11" s="2"/>
      <c r="D11" s="2"/>
      <c r="E11" s="2"/>
      <c r="F11" s="2"/>
    </row>
    <row r="12" spans="1:7" x14ac:dyDescent="0.25">
      <c r="B12" s="2"/>
      <c r="C12" s="2"/>
      <c r="D12" s="2"/>
      <c r="E12" s="2"/>
      <c r="F12" s="2"/>
    </row>
    <row r="13" spans="1:7" x14ac:dyDescent="0.25">
      <c r="B13" s="2"/>
      <c r="C13" s="2"/>
      <c r="D13" s="2"/>
      <c r="E13" s="2"/>
      <c r="F13" s="2"/>
    </row>
    <row r="14" spans="1:7" x14ac:dyDescent="0.25">
      <c r="B14" s="2"/>
      <c r="C14" s="2"/>
      <c r="D14" s="2"/>
      <c r="E14" s="2"/>
      <c r="F14" s="2"/>
    </row>
    <row r="15" spans="1:7" x14ac:dyDescent="0.25">
      <c r="B15" s="2"/>
      <c r="C15" s="2"/>
      <c r="D15" s="2"/>
      <c r="E15" s="2"/>
      <c r="F15" s="2"/>
    </row>
    <row r="16" spans="1:7" x14ac:dyDescent="0.25">
      <c r="B16" s="2"/>
      <c r="C16" s="2"/>
      <c r="D16" s="2"/>
      <c r="E16" s="2"/>
      <c r="F16" s="2"/>
    </row>
    <row r="17" spans="2:6" x14ac:dyDescent="0.25">
      <c r="B17" s="2"/>
      <c r="C17" s="2"/>
      <c r="D17" s="2"/>
      <c r="E17" s="2"/>
      <c r="F17" s="2"/>
    </row>
    <row r="18" spans="2:6" x14ac:dyDescent="0.25">
      <c r="B18" s="2"/>
      <c r="C18" s="2"/>
      <c r="D18" s="2"/>
      <c r="E18" s="2"/>
      <c r="F18" s="2"/>
    </row>
    <row r="19" spans="2:6" x14ac:dyDescent="0.25">
      <c r="B19" s="2"/>
      <c r="C19" s="2"/>
      <c r="D19" s="2"/>
      <c r="E19" s="2"/>
      <c r="F19" s="2"/>
    </row>
    <row r="20" spans="2:6" x14ac:dyDescent="0.25">
      <c r="B20" s="2"/>
      <c r="C20" s="2"/>
      <c r="D20" s="2"/>
      <c r="E20" s="2"/>
      <c r="F20" s="2"/>
    </row>
    <row r="21" spans="2:6" x14ac:dyDescent="0.25">
      <c r="B21" s="2"/>
      <c r="C21" s="2"/>
      <c r="D21" s="2"/>
      <c r="E21" s="2"/>
      <c r="F21" s="2"/>
    </row>
    <row r="22" spans="2:6" x14ac:dyDescent="0.25">
      <c r="B22" s="2"/>
      <c r="C22" s="2"/>
      <c r="D22" s="2"/>
      <c r="E22" s="2"/>
      <c r="F22" s="2"/>
    </row>
    <row r="23" spans="2:6" x14ac:dyDescent="0.25">
      <c r="B23" s="2"/>
      <c r="C23" s="2"/>
      <c r="D23" s="2"/>
      <c r="E23" s="2"/>
      <c r="F23" s="2"/>
    </row>
    <row r="24" spans="2:6" x14ac:dyDescent="0.25">
      <c r="B24" s="2"/>
      <c r="C24" s="2"/>
      <c r="D24" s="2"/>
      <c r="E24" s="2"/>
      <c r="F24" s="2"/>
    </row>
    <row r="25" spans="2:6" x14ac:dyDescent="0.25">
      <c r="B25" s="2"/>
      <c r="C25" s="2"/>
      <c r="D25" s="2"/>
      <c r="E25" s="2"/>
      <c r="F25" s="2"/>
    </row>
    <row r="26" spans="2:6" x14ac:dyDescent="0.25">
      <c r="B26" s="2"/>
      <c r="C26" s="2"/>
      <c r="D26" s="2"/>
      <c r="E26" s="2"/>
      <c r="F26" s="2"/>
    </row>
    <row r="27" spans="2:6" x14ac:dyDescent="0.25">
      <c r="B27" s="2"/>
      <c r="C27" s="2"/>
      <c r="D27" s="2"/>
      <c r="E27" s="2"/>
      <c r="F27" s="2"/>
    </row>
    <row r="28" spans="2:6" x14ac:dyDescent="0.25">
      <c r="B28" s="2"/>
      <c r="C28" s="2"/>
      <c r="D28" s="2"/>
      <c r="E28" s="2"/>
      <c r="F28" s="2"/>
    </row>
    <row r="29" spans="2:6" x14ac:dyDescent="0.25">
      <c r="B29" s="2"/>
      <c r="C29" s="2"/>
      <c r="D29" s="2"/>
      <c r="E29" s="2"/>
      <c r="F29" s="2"/>
    </row>
    <row r="30" spans="2:6" x14ac:dyDescent="0.25">
      <c r="B30" s="2"/>
      <c r="C30" s="2"/>
      <c r="D30" s="2"/>
      <c r="E30" s="2"/>
      <c r="F30" s="2"/>
    </row>
    <row r="31" spans="2:6" x14ac:dyDescent="0.25">
      <c r="B31" s="2"/>
      <c r="C31" s="2"/>
      <c r="D31" s="2"/>
      <c r="E31" s="2"/>
      <c r="F31" s="2"/>
    </row>
    <row r="32" spans="2:6" x14ac:dyDescent="0.25">
      <c r="B32" s="2"/>
      <c r="C32" s="2"/>
      <c r="D32" s="2"/>
      <c r="E32" s="2"/>
      <c r="F32" s="2"/>
    </row>
    <row r="33" spans="2:6" x14ac:dyDescent="0.25">
      <c r="B33" s="2"/>
      <c r="C33" s="2"/>
      <c r="D33" s="2"/>
      <c r="E33" s="2"/>
      <c r="F33" s="2"/>
    </row>
    <row r="34" spans="2:6" x14ac:dyDescent="0.25">
      <c r="B34" s="2"/>
      <c r="C34" s="2"/>
      <c r="D34" s="2"/>
      <c r="E34" s="2"/>
      <c r="F34" s="2"/>
    </row>
    <row r="35" spans="2:6" x14ac:dyDescent="0.25">
      <c r="B35" s="2"/>
      <c r="C35" s="2"/>
      <c r="D35" s="2"/>
      <c r="E35" s="2"/>
      <c r="F35" s="2"/>
    </row>
    <row r="36" spans="2:6" x14ac:dyDescent="0.25">
      <c r="B36" s="2"/>
      <c r="C36" s="2"/>
      <c r="D36" s="2"/>
      <c r="E36" s="2"/>
      <c r="F36" s="2"/>
    </row>
    <row r="37" spans="2:6" x14ac:dyDescent="0.25">
      <c r="B37" s="2"/>
      <c r="C37" s="2"/>
      <c r="D37" s="2"/>
      <c r="E37" s="2"/>
      <c r="F37" s="2"/>
    </row>
    <row r="38" spans="2:6" x14ac:dyDescent="0.25">
      <c r="B38" s="2"/>
      <c r="C38" s="2"/>
      <c r="D38" s="2"/>
      <c r="E38" s="2"/>
      <c r="F38" s="2"/>
    </row>
    <row r="39" spans="2:6" x14ac:dyDescent="0.25">
      <c r="B39" s="2"/>
      <c r="C39" s="2"/>
      <c r="D39" s="2"/>
      <c r="E39" s="2"/>
      <c r="F39" s="2"/>
    </row>
    <row r="40" spans="2:6" x14ac:dyDescent="0.25">
      <c r="B40" s="2"/>
      <c r="C40" s="2"/>
      <c r="D40" s="2"/>
      <c r="E40" s="2"/>
      <c r="F40" s="2"/>
    </row>
    <row r="41" spans="2:6" x14ac:dyDescent="0.25">
      <c r="B41" s="2"/>
      <c r="C41" s="2"/>
      <c r="D41" s="2"/>
      <c r="E41" s="2"/>
      <c r="F41" s="2"/>
    </row>
    <row r="42" spans="2:6" x14ac:dyDescent="0.25">
      <c r="B42" s="2"/>
      <c r="C42" s="2"/>
      <c r="D42" s="2"/>
      <c r="E42" s="2"/>
      <c r="F42" s="2"/>
    </row>
    <row r="43" spans="2:6" x14ac:dyDescent="0.25">
      <c r="B43" s="2"/>
      <c r="C43" s="2"/>
      <c r="D43" s="2"/>
      <c r="E43" s="2"/>
      <c r="F43" s="2"/>
    </row>
    <row r="44" spans="2:6" x14ac:dyDescent="0.25">
      <c r="B44" s="2"/>
      <c r="C44" s="2"/>
      <c r="D44" s="2"/>
      <c r="E44" s="2"/>
      <c r="F44" s="2"/>
    </row>
    <row r="45" spans="2:6" x14ac:dyDescent="0.25">
      <c r="B45" s="2"/>
      <c r="C45" s="2"/>
      <c r="D45" s="2"/>
      <c r="E45" s="2"/>
      <c r="F45" s="2"/>
    </row>
    <row r="46" spans="2:6" x14ac:dyDescent="0.25">
      <c r="B46" s="2"/>
      <c r="C46" s="2"/>
      <c r="D46" s="2"/>
      <c r="E46" s="2"/>
      <c r="F46" s="2"/>
    </row>
    <row r="47" spans="2:6" x14ac:dyDescent="0.25">
      <c r="B47" s="2"/>
      <c r="C47" s="2"/>
      <c r="D47" s="2"/>
      <c r="E47" s="2"/>
      <c r="F47" s="2"/>
    </row>
    <row r="48" spans="2:6" x14ac:dyDescent="0.25">
      <c r="B48" s="2"/>
      <c r="C48" s="2"/>
      <c r="D48" s="2"/>
      <c r="E48" s="2"/>
      <c r="F48" s="2"/>
    </row>
    <row r="49" spans="2:6" x14ac:dyDescent="0.25">
      <c r="B49" s="2"/>
      <c r="C49" s="2"/>
      <c r="D49" s="2"/>
      <c r="E49" s="2"/>
      <c r="F49" s="2"/>
    </row>
    <row r="50" spans="2:6" x14ac:dyDescent="0.25">
      <c r="B50" s="2"/>
      <c r="C50" s="2"/>
      <c r="D50" s="2"/>
      <c r="E50" s="2"/>
      <c r="F50" s="2"/>
    </row>
    <row r="51" spans="2:6" x14ac:dyDescent="0.25">
      <c r="B51" s="2"/>
      <c r="C51" s="2"/>
      <c r="D51" s="2"/>
      <c r="E51" s="2"/>
      <c r="F51"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54A47-EC74-4F61-B5C9-5C8ECD2A8337}">
  <dimension ref="A1:H74"/>
  <sheetViews>
    <sheetView topLeftCell="A46" zoomScale="77" zoomScaleNormal="77" workbookViewId="0">
      <selection activeCell="B72" sqref="B72"/>
    </sheetView>
  </sheetViews>
  <sheetFormatPr baseColWidth="10" defaultRowHeight="15" x14ac:dyDescent="0.25"/>
  <cols>
    <col min="1" max="1" width="21" bestFit="1" customWidth="1"/>
    <col min="2" max="2" width="11.5703125" bestFit="1" customWidth="1"/>
    <col min="3" max="3" width="17.85546875" bestFit="1" customWidth="1"/>
    <col min="4" max="4" width="16.5703125" bestFit="1" customWidth="1"/>
    <col min="5" max="5" width="12.7109375" bestFit="1" customWidth="1"/>
  </cols>
  <sheetData>
    <row r="1" spans="1:7" x14ac:dyDescent="0.25">
      <c r="A1" s="5" t="s">
        <v>3</v>
      </c>
      <c r="B1" s="5" t="s">
        <v>1943</v>
      </c>
      <c r="C1" s="6" t="s">
        <v>1944</v>
      </c>
      <c r="D1" s="5" t="s">
        <v>1945</v>
      </c>
      <c r="E1" s="5" t="s">
        <v>1946</v>
      </c>
      <c r="F1" s="5" t="s">
        <v>780</v>
      </c>
      <c r="G1" s="5" t="s">
        <v>1942</v>
      </c>
    </row>
    <row r="2" spans="1:7" x14ac:dyDescent="0.25">
      <c r="A2" t="s">
        <v>156</v>
      </c>
      <c r="B2" s="2">
        <f>3/8</f>
        <v>0.375</v>
      </c>
      <c r="C2" s="2">
        <f>0/8</f>
        <v>0</v>
      </c>
      <c r="D2" s="2">
        <f>1/8</f>
        <v>0.125</v>
      </c>
      <c r="E2" s="2">
        <f>2/8</f>
        <v>0.25</v>
      </c>
      <c r="F2" s="2">
        <f>4/8</f>
        <v>0.5</v>
      </c>
      <c r="G2" s="2"/>
    </row>
    <row r="3" spans="1:7" x14ac:dyDescent="0.25">
      <c r="A3" t="s">
        <v>1206</v>
      </c>
      <c r="B3" s="2">
        <f>0/8</f>
        <v>0</v>
      </c>
      <c r="C3" s="2">
        <f>0/8</f>
        <v>0</v>
      </c>
      <c r="D3" s="2">
        <f>0/8</f>
        <v>0</v>
      </c>
      <c r="E3" s="2">
        <f>0/8</f>
        <v>0</v>
      </c>
      <c r="F3" s="2">
        <f>1/1</f>
        <v>1</v>
      </c>
      <c r="G3" s="2"/>
    </row>
    <row r="4" spans="1:7" x14ac:dyDescent="0.25">
      <c r="A4" t="s">
        <v>137</v>
      </c>
      <c r="B4" s="2">
        <f>5/13</f>
        <v>0.38461538461538464</v>
      </c>
      <c r="C4" s="2">
        <f>0/13</f>
        <v>0</v>
      </c>
      <c r="D4" s="2">
        <f>0/13</f>
        <v>0</v>
      </c>
      <c r="E4" s="2">
        <f>3/13</f>
        <v>0.23076923076923078</v>
      </c>
      <c r="F4" s="2">
        <f>5/13</f>
        <v>0.38461538461538464</v>
      </c>
      <c r="G4" s="2"/>
    </row>
    <row r="5" spans="1:7" x14ac:dyDescent="0.25">
      <c r="A5" t="s">
        <v>215</v>
      </c>
      <c r="B5" s="2">
        <f>0/1</f>
        <v>0</v>
      </c>
      <c r="C5" s="2">
        <f>0/1</f>
        <v>0</v>
      </c>
      <c r="D5" s="2">
        <f>0/1</f>
        <v>0</v>
      </c>
      <c r="E5" s="2">
        <f>0/1</f>
        <v>0</v>
      </c>
      <c r="F5" s="2">
        <f>1/1</f>
        <v>1</v>
      </c>
      <c r="G5" s="2"/>
    </row>
    <row r="6" spans="1:7" x14ac:dyDescent="0.25">
      <c r="A6" t="s">
        <v>1950</v>
      </c>
      <c r="B6" s="2">
        <f>0/1</f>
        <v>0</v>
      </c>
      <c r="C6" s="2">
        <f>0/1</f>
        <v>0</v>
      </c>
      <c r="D6" s="2">
        <f>1/1</f>
        <v>1</v>
      </c>
      <c r="E6" s="2">
        <f>0/1</f>
        <v>0</v>
      </c>
      <c r="F6" s="2">
        <f>0/1</f>
        <v>0</v>
      </c>
      <c r="G6" s="2"/>
    </row>
    <row r="7" spans="1:7" x14ac:dyDescent="0.25">
      <c r="A7" t="s">
        <v>1913</v>
      </c>
      <c r="B7" s="2">
        <f>1/5</f>
        <v>0.2</v>
      </c>
      <c r="C7" s="2">
        <f>0/5</f>
        <v>0</v>
      </c>
      <c r="D7" s="2">
        <f>0/5</f>
        <v>0</v>
      </c>
      <c r="E7" s="2">
        <f>1/5</f>
        <v>0.2</v>
      </c>
      <c r="F7" s="2">
        <f>2/5</f>
        <v>0.4</v>
      </c>
      <c r="G7" s="2" t="s">
        <v>1947</v>
      </c>
    </row>
    <row r="8" spans="1:7" x14ac:dyDescent="0.25">
      <c r="A8" t="s">
        <v>515</v>
      </c>
      <c r="B8" s="2">
        <f>0/8</f>
        <v>0</v>
      </c>
      <c r="C8" s="2">
        <f>0/8</f>
        <v>0</v>
      </c>
      <c r="D8" s="2">
        <f>0/8</f>
        <v>0</v>
      </c>
      <c r="E8" s="2">
        <f>6/8</f>
        <v>0.75</v>
      </c>
      <c r="F8" s="2">
        <f>2/8</f>
        <v>0.25</v>
      </c>
      <c r="G8" s="2"/>
    </row>
    <row r="9" spans="1:7" x14ac:dyDescent="0.25">
      <c r="A9" t="s">
        <v>374</v>
      </c>
      <c r="B9" s="2">
        <f>0/4</f>
        <v>0</v>
      </c>
      <c r="C9" s="2">
        <f>0/4</f>
        <v>0</v>
      </c>
      <c r="D9" s="2">
        <f>0/4</f>
        <v>0</v>
      </c>
      <c r="E9" s="2">
        <f>1/4</f>
        <v>0.25</v>
      </c>
      <c r="F9" s="2">
        <f>3/4</f>
        <v>0.75</v>
      </c>
      <c r="G9" s="2"/>
    </row>
    <row r="10" spans="1:7" x14ac:dyDescent="0.25">
      <c r="A10" t="s">
        <v>120</v>
      </c>
      <c r="B10" s="2">
        <f>11/20</f>
        <v>0.55000000000000004</v>
      </c>
      <c r="C10" s="2">
        <f>0/20</f>
        <v>0</v>
      </c>
      <c r="D10" s="2">
        <f>0/20</f>
        <v>0</v>
      </c>
      <c r="E10" s="2">
        <f>5/20</f>
        <v>0.25</v>
      </c>
      <c r="F10" s="2">
        <f>6/20</f>
        <v>0.3</v>
      </c>
      <c r="G10" s="2"/>
    </row>
    <row r="11" spans="1:7" x14ac:dyDescent="0.25">
      <c r="A11" t="s">
        <v>1914</v>
      </c>
      <c r="B11" s="2">
        <f>2/3</f>
        <v>0.66666666666666663</v>
      </c>
      <c r="C11" s="2">
        <f>0/3</f>
        <v>0</v>
      </c>
      <c r="D11" s="2">
        <f>1/3</f>
        <v>0.33333333333333331</v>
      </c>
      <c r="E11" s="2">
        <f>2/3</f>
        <v>0.66666666666666663</v>
      </c>
      <c r="F11" s="2">
        <f>1/3</f>
        <v>0.33333333333333331</v>
      </c>
      <c r="G11" s="2"/>
    </row>
    <row r="12" spans="1:7" x14ac:dyDescent="0.25">
      <c r="A12" t="s">
        <v>233</v>
      </c>
      <c r="B12" s="2">
        <f>3/4</f>
        <v>0.75</v>
      </c>
      <c r="C12" s="2">
        <f>0/4</f>
        <v>0</v>
      </c>
      <c r="D12" s="2">
        <f>0/4</f>
        <v>0</v>
      </c>
      <c r="E12" s="2">
        <f>1/4</f>
        <v>0.25</v>
      </c>
      <c r="F12" s="2">
        <f>0/4</f>
        <v>0</v>
      </c>
      <c r="G12" s="2"/>
    </row>
    <row r="13" spans="1:7" x14ac:dyDescent="0.25">
      <c r="A13" t="s">
        <v>425</v>
      </c>
      <c r="B13" s="2">
        <f>3/6</f>
        <v>0.5</v>
      </c>
      <c r="C13" s="2">
        <f>0/6</f>
        <v>0</v>
      </c>
      <c r="D13" s="2">
        <f>0/6</f>
        <v>0</v>
      </c>
      <c r="E13" s="2">
        <f>0/6</f>
        <v>0</v>
      </c>
      <c r="F13" s="2">
        <f>3/6</f>
        <v>0.5</v>
      </c>
      <c r="G13" s="2"/>
    </row>
    <row r="14" spans="1:7" x14ac:dyDescent="0.25">
      <c r="A14" t="s">
        <v>727</v>
      </c>
      <c r="B14" s="2">
        <f>0/5</f>
        <v>0</v>
      </c>
      <c r="C14" s="2">
        <f>0/5</f>
        <v>0</v>
      </c>
      <c r="D14" s="2">
        <f>0/5</f>
        <v>0</v>
      </c>
      <c r="E14" s="2">
        <f>0/5</f>
        <v>0</v>
      </c>
      <c r="F14" s="2">
        <f>5/5</f>
        <v>1</v>
      </c>
      <c r="G14" s="2"/>
    </row>
    <row r="15" spans="1:7" x14ac:dyDescent="0.25">
      <c r="A15" t="s">
        <v>83</v>
      </c>
      <c r="B15" s="2">
        <f>1/4</f>
        <v>0.25</v>
      </c>
      <c r="C15" s="2">
        <f>0/4</f>
        <v>0</v>
      </c>
      <c r="D15" s="2">
        <f>0/4</f>
        <v>0</v>
      </c>
      <c r="E15" s="2">
        <f>0/4</f>
        <v>0</v>
      </c>
      <c r="F15" s="2">
        <f>3/4</f>
        <v>0.75</v>
      </c>
      <c r="G15" s="2"/>
    </row>
    <row r="16" spans="1:7" x14ac:dyDescent="0.25">
      <c r="A16" t="s">
        <v>204</v>
      </c>
      <c r="B16" s="2">
        <f>3/21</f>
        <v>0.14285714285714285</v>
      </c>
      <c r="C16" s="2">
        <f>0/21</f>
        <v>0</v>
      </c>
      <c r="D16" s="2">
        <f>0/21</f>
        <v>0</v>
      </c>
      <c r="E16" s="2">
        <f>2/21</f>
        <v>9.5238095238095233E-2</v>
      </c>
      <c r="F16" s="2">
        <f>5/21</f>
        <v>0.23809523809523808</v>
      </c>
      <c r="G16" s="2"/>
    </row>
    <row r="17" spans="1:7" x14ac:dyDescent="0.25">
      <c r="A17" t="s">
        <v>319</v>
      </c>
      <c r="B17" s="2">
        <f>2/4</f>
        <v>0.5</v>
      </c>
      <c r="C17" s="2">
        <f>0/4</f>
        <v>0</v>
      </c>
      <c r="D17" s="2">
        <f>0/4</f>
        <v>0</v>
      </c>
      <c r="E17" s="2">
        <f>1/4</f>
        <v>0.25</v>
      </c>
      <c r="F17" s="2">
        <f>2/4</f>
        <v>0.5</v>
      </c>
      <c r="G17" s="2"/>
    </row>
    <row r="18" spans="1:7" x14ac:dyDescent="0.25">
      <c r="A18" t="s">
        <v>245</v>
      </c>
      <c r="B18" s="2">
        <f>2/8</f>
        <v>0.25</v>
      </c>
      <c r="C18" s="2">
        <f>0/8</f>
        <v>0</v>
      </c>
      <c r="D18" s="2">
        <f>0/8</f>
        <v>0</v>
      </c>
      <c r="E18" s="2">
        <f>1/8</f>
        <v>0.125</v>
      </c>
      <c r="F18" s="2">
        <f>5/8</f>
        <v>0.625</v>
      </c>
      <c r="G18" s="2"/>
    </row>
    <row r="19" spans="1:7" x14ac:dyDescent="0.25">
      <c r="A19" t="s">
        <v>408</v>
      </c>
      <c r="B19" s="2">
        <f>0/2</f>
        <v>0</v>
      </c>
      <c r="C19" s="2">
        <f>0/2</f>
        <v>0</v>
      </c>
      <c r="D19" s="2">
        <f>0/2</f>
        <v>0</v>
      </c>
      <c r="E19" s="2">
        <f>0/2</f>
        <v>0</v>
      </c>
      <c r="F19" s="2">
        <f>2/2</f>
        <v>1</v>
      </c>
      <c r="G19" s="2"/>
    </row>
    <row r="20" spans="1:7" x14ac:dyDescent="0.25">
      <c r="A20" t="s">
        <v>1915</v>
      </c>
      <c r="B20" s="2">
        <f>0/1</f>
        <v>0</v>
      </c>
      <c r="C20" s="2">
        <f>0/1</f>
        <v>0</v>
      </c>
      <c r="D20" s="2">
        <f>0/1</f>
        <v>0</v>
      </c>
      <c r="E20" s="2">
        <f>0/1</f>
        <v>0</v>
      </c>
      <c r="F20" s="2">
        <f>1/1</f>
        <v>1</v>
      </c>
      <c r="G20" s="2"/>
    </row>
    <row r="21" spans="1:7" x14ac:dyDescent="0.25">
      <c r="A21" t="s">
        <v>658</v>
      </c>
      <c r="B21" s="2">
        <f>0/4</f>
        <v>0</v>
      </c>
      <c r="C21" s="2">
        <f>0/4</f>
        <v>0</v>
      </c>
      <c r="D21" s="2">
        <f>1/4</f>
        <v>0.25</v>
      </c>
      <c r="E21" s="2">
        <f>1/4</f>
        <v>0.25</v>
      </c>
      <c r="F21" s="2">
        <f>2/4</f>
        <v>0.5</v>
      </c>
      <c r="G21" s="2"/>
    </row>
    <row r="22" spans="1:7" x14ac:dyDescent="0.25">
      <c r="A22" t="s">
        <v>198</v>
      </c>
      <c r="B22" s="2">
        <f>4/7</f>
        <v>0.5714285714285714</v>
      </c>
      <c r="C22" s="2">
        <f>0/7</f>
        <v>0</v>
      </c>
      <c r="D22" s="2">
        <f>0/7</f>
        <v>0</v>
      </c>
      <c r="E22" s="2">
        <f>0/7</f>
        <v>0</v>
      </c>
      <c r="F22" s="2">
        <f>2/7</f>
        <v>0.2857142857142857</v>
      </c>
      <c r="G22" s="2"/>
    </row>
    <row r="23" spans="1:7" x14ac:dyDescent="0.25">
      <c r="A23" t="s">
        <v>278</v>
      </c>
      <c r="B23" s="2">
        <f>0/5</f>
        <v>0</v>
      </c>
      <c r="C23" s="2">
        <f>0/5</f>
        <v>0</v>
      </c>
      <c r="D23" s="2">
        <f>0/5</f>
        <v>0</v>
      </c>
      <c r="E23" s="2">
        <f>3/5</f>
        <v>0.6</v>
      </c>
      <c r="F23" s="2">
        <f>2/5</f>
        <v>0.4</v>
      </c>
      <c r="G23" s="2"/>
    </row>
    <row r="24" spans="1:7" x14ac:dyDescent="0.25">
      <c r="A24" t="s">
        <v>253</v>
      </c>
      <c r="B24" s="2">
        <f>3/4</f>
        <v>0.75</v>
      </c>
      <c r="C24" s="2">
        <f>0/4</f>
        <v>0</v>
      </c>
      <c r="D24" s="2">
        <f>0/4</f>
        <v>0</v>
      </c>
      <c r="E24" s="2">
        <f>1/4</f>
        <v>0.25</v>
      </c>
      <c r="F24" s="2">
        <f>0/4</f>
        <v>0</v>
      </c>
      <c r="G24" s="2"/>
    </row>
    <row r="25" spans="1:7" x14ac:dyDescent="0.25">
      <c r="A25" t="s">
        <v>93</v>
      </c>
      <c r="B25" s="2">
        <f>1/4</f>
        <v>0.25</v>
      </c>
      <c r="C25" s="2">
        <f>0/4</f>
        <v>0</v>
      </c>
      <c r="D25" s="2">
        <f>0/4</f>
        <v>0</v>
      </c>
      <c r="E25" s="2">
        <f>1/4</f>
        <v>0.25</v>
      </c>
      <c r="F25" s="2">
        <f>2/4</f>
        <v>0.5</v>
      </c>
      <c r="G25" s="2"/>
    </row>
    <row r="26" spans="1:7" x14ac:dyDescent="0.25">
      <c r="A26" t="s">
        <v>1916</v>
      </c>
      <c r="B26" s="2">
        <f>2/5</f>
        <v>0.4</v>
      </c>
      <c r="C26" s="2">
        <f>1/5</f>
        <v>0.2</v>
      </c>
      <c r="D26" s="2">
        <f>0/5</f>
        <v>0</v>
      </c>
      <c r="E26" s="2">
        <f>0/5</f>
        <v>0</v>
      </c>
      <c r="F26" s="2">
        <f>2/5</f>
        <v>0.4</v>
      </c>
      <c r="G26" s="2"/>
    </row>
    <row r="27" spans="1:7" x14ac:dyDescent="0.25">
      <c r="A27" t="s">
        <v>991</v>
      </c>
      <c r="B27" s="2">
        <f>1/3</f>
        <v>0.33333333333333331</v>
      </c>
      <c r="C27" s="2">
        <f>0/3</f>
        <v>0</v>
      </c>
      <c r="D27" s="2">
        <f>0/3</f>
        <v>0</v>
      </c>
      <c r="E27" s="2">
        <f>0/3</f>
        <v>0</v>
      </c>
      <c r="F27" s="2">
        <f>2/3</f>
        <v>0.66666666666666663</v>
      </c>
      <c r="G27" s="2"/>
    </row>
    <row r="28" spans="1:7" x14ac:dyDescent="0.25">
      <c r="A28" t="s">
        <v>998</v>
      </c>
      <c r="B28" s="2">
        <f>1/5</f>
        <v>0.2</v>
      </c>
      <c r="C28" s="2">
        <f>0/5</f>
        <v>0</v>
      </c>
      <c r="D28" s="2">
        <f>1/5</f>
        <v>0.2</v>
      </c>
      <c r="E28" s="2">
        <f>1/5</f>
        <v>0.2</v>
      </c>
      <c r="F28" s="2">
        <f>1/5</f>
        <v>0.2</v>
      </c>
      <c r="G28" s="2" t="s">
        <v>1948</v>
      </c>
    </row>
    <row r="29" spans="1:7" x14ac:dyDescent="0.25">
      <c r="A29" t="s">
        <v>952</v>
      </c>
      <c r="B29" s="2">
        <f>2/4</f>
        <v>0.5</v>
      </c>
      <c r="C29" s="2">
        <f>0/4</f>
        <v>0</v>
      </c>
      <c r="D29" s="2">
        <f>0/4</f>
        <v>0</v>
      </c>
      <c r="E29" s="2">
        <f>1/4</f>
        <v>0.25</v>
      </c>
      <c r="F29" s="2">
        <f>2/4</f>
        <v>0.5</v>
      </c>
      <c r="G29" s="2"/>
    </row>
    <row r="30" spans="1:7" x14ac:dyDescent="0.25">
      <c r="A30" t="s">
        <v>1691</v>
      </c>
      <c r="B30" s="2">
        <f>1/4</f>
        <v>0.25</v>
      </c>
      <c r="C30" s="2">
        <f>0/4</f>
        <v>0</v>
      </c>
      <c r="D30" s="2">
        <f>0/4</f>
        <v>0</v>
      </c>
      <c r="E30" s="2">
        <f>0/4</f>
        <v>0</v>
      </c>
      <c r="F30" s="2">
        <f>3/4</f>
        <v>0.75</v>
      </c>
      <c r="G30" s="2"/>
    </row>
    <row r="31" spans="1:7" x14ac:dyDescent="0.25">
      <c r="A31" t="s">
        <v>284</v>
      </c>
      <c r="B31" s="2">
        <f>0/3</f>
        <v>0</v>
      </c>
      <c r="C31" s="2">
        <f>0/3</f>
        <v>0</v>
      </c>
      <c r="D31" s="2">
        <f>0/3</f>
        <v>0</v>
      </c>
      <c r="E31" s="2">
        <f>0/3</f>
        <v>0</v>
      </c>
      <c r="F31" s="2">
        <f>3/3</f>
        <v>1</v>
      </c>
      <c r="G31" s="2"/>
    </row>
    <row r="32" spans="1:7" x14ac:dyDescent="0.25">
      <c r="A32" t="s">
        <v>299</v>
      </c>
      <c r="B32" s="2">
        <f>5/15</f>
        <v>0.33333333333333331</v>
      </c>
      <c r="C32" s="2">
        <f>0/15</f>
        <v>0</v>
      </c>
      <c r="D32" s="2">
        <f>2/15</f>
        <v>0.13333333333333333</v>
      </c>
      <c r="E32" s="2">
        <f>3/15</f>
        <v>0.2</v>
      </c>
      <c r="F32" s="2">
        <f>5/15</f>
        <v>0.33333333333333331</v>
      </c>
      <c r="G32" s="2" t="s">
        <v>1949</v>
      </c>
    </row>
    <row r="33" spans="1:7" x14ac:dyDescent="0.25">
      <c r="A33" t="s">
        <v>1028</v>
      </c>
      <c r="B33" s="2">
        <f>1/3</f>
        <v>0.33333333333333331</v>
      </c>
      <c r="C33" s="2">
        <f>0/3</f>
        <v>0</v>
      </c>
      <c r="D33" s="2">
        <f>0/3</f>
        <v>0</v>
      </c>
      <c r="E33" s="2">
        <f>2/3</f>
        <v>0.66666666666666663</v>
      </c>
      <c r="F33" s="2">
        <f>0/3</f>
        <v>0</v>
      </c>
      <c r="G33" s="2"/>
    </row>
    <row r="34" spans="1:7" x14ac:dyDescent="0.25">
      <c r="A34" t="s">
        <v>715</v>
      </c>
      <c r="B34" s="2">
        <f>0/4</f>
        <v>0</v>
      </c>
      <c r="C34" s="2">
        <f>0/4</f>
        <v>0</v>
      </c>
      <c r="D34" s="2">
        <f>0</f>
        <v>0</v>
      </c>
      <c r="E34" s="2">
        <f>0/4</f>
        <v>0</v>
      </c>
      <c r="F34" s="2">
        <f>4/4</f>
        <v>1</v>
      </c>
      <c r="G34" s="2"/>
    </row>
    <row r="35" spans="1:7" x14ac:dyDescent="0.25">
      <c r="A35" t="s">
        <v>222</v>
      </c>
      <c r="B35" s="2">
        <f>4/8</f>
        <v>0.5</v>
      </c>
      <c r="C35" s="2">
        <f>0/8</f>
        <v>0</v>
      </c>
      <c r="D35" s="2">
        <f>1/8</f>
        <v>0.125</v>
      </c>
      <c r="E35" s="2">
        <f>2/8</f>
        <v>0.25</v>
      </c>
      <c r="F35" s="2">
        <f>2/8</f>
        <v>0.25</v>
      </c>
      <c r="G35" s="2"/>
    </row>
    <row r="36" spans="1:7" x14ac:dyDescent="0.25">
      <c r="A36" t="s">
        <v>414</v>
      </c>
      <c r="B36" s="2">
        <f>3/3</f>
        <v>1</v>
      </c>
      <c r="C36" s="2">
        <f>0/3</f>
        <v>0</v>
      </c>
      <c r="D36" s="2">
        <f>0/3</f>
        <v>0</v>
      </c>
      <c r="E36" s="2">
        <f>0/3</f>
        <v>0</v>
      </c>
      <c r="F36" s="2">
        <f>0/3</f>
        <v>0</v>
      </c>
      <c r="G36" s="2"/>
    </row>
    <row r="37" spans="1:7" x14ac:dyDescent="0.25">
      <c r="A37" t="s">
        <v>1917</v>
      </c>
      <c r="B37" s="2">
        <f>1/1</f>
        <v>1</v>
      </c>
      <c r="C37" s="2">
        <f t="shared" ref="C37:F38" si="0">0/1</f>
        <v>0</v>
      </c>
      <c r="D37" s="2">
        <f t="shared" si="0"/>
        <v>0</v>
      </c>
      <c r="E37" s="2">
        <f t="shared" si="0"/>
        <v>0</v>
      </c>
      <c r="F37" s="2">
        <f t="shared" si="0"/>
        <v>0</v>
      </c>
      <c r="G37" s="2"/>
    </row>
    <row r="38" spans="1:7" x14ac:dyDescent="0.25">
      <c r="A38" t="s">
        <v>1430</v>
      </c>
      <c r="B38" s="2">
        <f>1/1</f>
        <v>1</v>
      </c>
      <c r="C38" s="2">
        <f t="shared" si="0"/>
        <v>0</v>
      </c>
      <c r="D38" s="2">
        <f t="shared" si="0"/>
        <v>0</v>
      </c>
      <c r="E38" s="2">
        <f t="shared" si="0"/>
        <v>0</v>
      </c>
      <c r="F38" s="2">
        <f t="shared" si="0"/>
        <v>0</v>
      </c>
      <c r="G38" s="2"/>
    </row>
    <row r="39" spans="1:7" x14ac:dyDescent="0.25">
      <c r="A39" t="s">
        <v>1918</v>
      </c>
      <c r="B39" s="2">
        <f>3/5</f>
        <v>0.6</v>
      </c>
      <c r="C39" s="2">
        <f>0/5</f>
        <v>0</v>
      </c>
      <c r="D39" s="2">
        <f>0/5</f>
        <v>0</v>
      </c>
      <c r="E39" s="2">
        <f>1/5</f>
        <v>0.2</v>
      </c>
      <c r="F39" s="2">
        <f>1/5</f>
        <v>0.2</v>
      </c>
      <c r="G39" s="2"/>
    </row>
    <row r="40" spans="1:7" x14ac:dyDescent="0.25">
      <c r="A40" t="s">
        <v>109</v>
      </c>
      <c r="B40" s="2">
        <f>6/9</f>
        <v>0.66666666666666663</v>
      </c>
      <c r="C40" s="2">
        <f>0/9</f>
        <v>0</v>
      </c>
      <c r="D40" s="2">
        <f>0/9</f>
        <v>0</v>
      </c>
      <c r="E40" s="2">
        <f>0/9</f>
        <v>0</v>
      </c>
      <c r="F40" s="2">
        <f>3/9</f>
        <v>0.33333333333333331</v>
      </c>
      <c r="G40" s="2"/>
    </row>
    <row r="41" spans="1:7" x14ac:dyDescent="0.25">
      <c r="A41" t="s">
        <v>334</v>
      </c>
      <c r="B41" s="2">
        <f>1/3</f>
        <v>0.33333333333333331</v>
      </c>
      <c r="C41" s="2">
        <f>0/3</f>
        <v>0</v>
      </c>
      <c r="D41" s="2">
        <f>0/3</f>
        <v>0</v>
      </c>
      <c r="E41" s="2">
        <f>0/3</f>
        <v>0</v>
      </c>
      <c r="F41" s="2">
        <f>2/3</f>
        <v>0.66666666666666663</v>
      </c>
      <c r="G41" s="2"/>
    </row>
    <row r="42" spans="1:7" x14ac:dyDescent="0.25">
      <c r="A42" t="s">
        <v>743</v>
      </c>
      <c r="B42" s="2">
        <f>2/4</f>
        <v>0.5</v>
      </c>
      <c r="C42" s="2">
        <f>1/4</f>
        <v>0.25</v>
      </c>
      <c r="D42" s="2">
        <f>0/4</f>
        <v>0</v>
      </c>
      <c r="E42" s="2">
        <f>1/4</f>
        <v>0.25</v>
      </c>
      <c r="F42" s="2">
        <f>0/4</f>
        <v>0</v>
      </c>
      <c r="G42" s="2"/>
    </row>
    <row r="43" spans="1:7" x14ac:dyDescent="0.25">
      <c r="A43" t="s">
        <v>325</v>
      </c>
      <c r="B43" s="2">
        <f>0/3</f>
        <v>0</v>
      </c>
      <c r="C43" s="2">
        <f>0/3</f>
        <v>0</v>
      </c>
      <c r="D43" s="2">
        <f>0/3</f>
        <v>0</v>
      </c>
      <c r="E43" s="2">
        <f>1/3</f>
        <v>0.33333333333333331</v>
      </c>
      <c r="F43" s="2">
        <f>2/3</f>
        <v>0.66666666666666663</v>
      </c>
      <c r="G43" s="2"/>
    </row>
    <row r="44" spans="1:7" x14ac:dyDescent="0.25">
      <c r="A44" t="s">
        <v>264</v>
      </c>
      <c r="B44" s="2">
        <f>1/5</f>
        <v>0.2</v>
      </c>
      <c r="C44" s="2">
        <f>0/5</f>
        <v>0</v>
      </c>
      <c r="D44" s="2">
        <f>0/8</f>
        <v>0</v>
      </c>
      <c r="E44" s="2">
        <f>2/5</f>
        <v>0.4</v>
      </c>
      <c r="F44" s="2">
        <f>2/5</f>
        <v>0.4</v>
      </c>
      <c r="G44" s="2"/>
    </row>
    <row r="45" spans="1:7" x14ac:dyDescent="0.25">
      <c r="A45" t="s">
        <v>228</v>
      </c>
      <c r="B45" s="2">
        <f>1/5</f>
        <v>0.2</v>
      </c>
      <c r="C45" s="2">
        <f>0/5</f>
        <v>0</v>
      </c>
      <c r="D45" s="2">
        <f>0/5</f>
        <v>0</v>
      </c>
      <c r="E45" s="2">
        <f>0/5</f>
        <v>0</v>
      </c>
      <c r="F45" s="2">
        <f>4/5</f>
        <v>0.8</v>
      </c>
      <c r="G45" s="2"/>
    </row>
    <row r="46" spans="1:7" x14ac:dyDescent="0.25">
      <c r="A46" t="s">
        <v>170</v>
      </c>
      <c r="B46" s="2">
        <f>1/5</f>
        <v>0.2</v>
      </c>
      <c r="C46" s="2">
        <f>0/5</f>
        <v>0</v>
      </c>
      <c r="D46" s="2">
        <f>0/5</f>
        <v>0</v>
      </c>
      <c r="E46" s="2">
        <f>2/5</f>
        <v>0.4</v>
      </c>
      <c r="F46" s="2">
        <f>3/5</f>
        <v>0.6</v>
      </c>
      <c r="G46" s="2"/>
    </row>
    <row r="47" spans="1:7" x14ac:dyDescent="0.25">
      <c r="A47" t="s">
        <v>1919</v>
      </c>
      <c r="B47" s="2">
        <f>6/20</f>
        <v>0.3</v>
      </c>
      <c r="C47" s="2">
        <f>0/20</f>
        <v>0</v>
      </c>
      <c r="D47" s="2">
        <f>1/20</f>
        <v>0.05</v>
      </c>
      <c r="E47" s="2">
        <f>5/20</f>
        <v>0.25</v>
      </c>
      <c r="F47" s="2">
        <f>9/20</f>
        <v>0.45</v>
      </c>
      <c r="G47" s="2"/>
    </row>
    <row r="48" spans="1:7" x14ac:dyDescent="0.25">
      <c r="A48" t="s">
        <v>987</v>
      </c>
      <c r="B48" s="2">
        <f>1/4</f>
        <v>0.25</v>
      </c>
      <c r="C48" s="2">
        <f>0/4</f>
        <v>0</v>
      </c>
      <c r="D48" s="2">
        <f>0/4</f>
        <v>0</v>
      </c>
      <c r="E48" s="2">
        <f>0/4</f>
        <v>0</v>
      </c>
      <c r="F48" s="2">
        <f>3/4</f>
        <v>0.75</v>
      </c>
      <c r="G48" s="2"/>
    </row>
    <row r="49" spans="1:8" x14ac:dyDescent="0.25">
      <c r="A49" t="s">
        <v>191</v>
      </c>
      <c r="B49" s="2">
        <f>1/3</f>
        <v>0.33333333333333331</v>
      </c>
      <c r="C49" s="2">
        <f t="shared" ref="C49:E50" si="1">0/3</f>
        <v>0</v>
      </c>
      <c r="D49" s="2">
        <f t="shared" si="1"/>
        <v>0</v>
      </c>
      <c r="E49" s="2">
        <f t="shared" si="1"/>
        <v>0</v>
      </c>
      <c r="F49" s="2">
        <f>2/3</f>
        <v>0.66666666666666663</v>
      </c>
      <c r="G49" s="2"/>
    </row>
    <row r="50" spans="1:8" x14ac:dyDescent="0.25">
      <c r="A50" t="s">
        <v>1054</v>
      </c>
      <c r="B50" s="2">
        <f>0/3</f>
        <v>0</v>
      </c>
      <c r="C50" s="2">
        <f t="shared" si="1"/>
        <v>0</v>
      </c>
      <c r="D50" s="2">
        <f t="shared" si="1"/>
        <v>0</v>
      </c>
      <c r="E50" s="2">
        <f t="shared" si="1"/>
        <v>0</v>
      </c>
      <c r="F50" s="2">
        <f>3/3</f>
        <v>1</v>
      </c>
      <c r="G50" s="2"/>
    </row>
    <row r="51" spans="1:8" x14ac:dyDescent="0.25">
      <c r="A51" s="5" t="s">
        <v>1935</v>
      </c>
      <c r="B51" s="7">
        <f>88/270</f>
        <v>0.32592592592592595</v>
      </c>
      <c r="C51" s="7">
        <f>2/270</f>
        <v>7.4074074074074077E-3</v>
      </c>
      <c r="D51" s="7">
        <f>9/270</f>
        <v>3.3333333333333333E-2</v>
      </c>
      <c r="E51" s="7">
        <f>53/270</f>
        <v>0.1962962962962963</v>
      </c>
      <c r="F51" s="7">
        <f>128/270</f>
        <v>0.47407407407407409</v>
      </c>
      <c r="G51" s="2"/>
    </row>
    <row r="53" spans="1:8" x14ac:dyDescent="0.25">
      <c r="A53" s="6" t="s">
        <v>1930</v>
      </c>
      <c r="B53" s="5" t="s">
        <v>1943</v>
      </c>
      <c r="C53" s="6" t="s">
        <v>1944</v>
      </c>
      <c r="D53" s="5" t="s">
        <v>1945</v>
      </c>
      <c r="E53" s="5" t="s">
        <v>1946</v>
      </c>
      <c r="F53" s="5" t="s">
        <v>780</v>
      </c>
      <c r="G53" s="5" t="s">
        <v>1942</v>
      </c>
    </row>
    <row r="54" spans="1:8" x14ac:dyDescent="0.25">
      <c r="A54" t="s">
        <v>1920</v>
      </c>
      <c r="B54" s="2">
        <f>13/29</f>
        <v>0.44827586206896552</v>
      </c>
      <c r="C54" s="2">
        <f>1/29</f>
        <v>3.4482758620689655E-2</v>
      </c>
      <c r="D54" s="2">
        <f>0/29</f>
        <v>0</v>
      </c>
      <c r="E54" s="2">
        <f>5/29</f>
        <v>0.17241379310344829</v>
      </c>
      <c r="F54" s="2">
        <f>15/29</f>
        <v>0.51724137931034486</v>
      </c>
      <c r="G54" s="2"/>
      <c r="H54" s="2"/>
    </row>
    <row r="55" spans="1:8" x14ac:dyDescent="0.25">
      <c r="A55" t="s">
        <v>1921</v>
      </c>
      <c r="B55" s="2">
        <f>2/12</f>
        <v>0.16666666666666666</v>
      </c>
      <c r="C55" s="2">
        <f>0/12</f>
        <v>0</v>
      </c>
      <c r="D55" s="2">
        <f>0/12</f>
        <v>0</v>
      </c>
      <c r="E55" s="2">
        <f>1/12</f>
        <v>8.3333333333333329E-2</v>
      </c>
      <c r="F55" s="2">
        <f>9/12</f>
        <v>0.75</v>
      </c>
      <c r="G55" s="2"/>
      <c r="H55" s="2"/>
    </row>
    <row r="56" spans="1:8" x14ac:dyDescent="0.25">
      <c r="A56" t="s">
        <v>734</v>
      </c>
      <c r="B56" s="2">
        <f>1/5</f>
        <v>0.2</v>
      </c>
      <c r="C56" s="2">
        <f>0/5</f>
        <v>0</v>
      </c>
      <c r="D56" s="2">
        <f>0/5</f>
        <v>0</v>
      </c>
      <c r="E56" s="2">
        <f>1/5</f>
        <v>0.2</v>
      </c>
      <c r="F56" s="2">
        <f>2/5</f>
        <v>0.4</v>
      </c>
      <c r="G56" s="2">
        <f>1/5</f>
        <v>0.2</v>
      </c>
      <c r="H56" s="2"/>
    </row>
    <row r="57" spans="1:8" x14ac:dyDescent="0.25">
      <c r="A57" t="s">
        <v>1922</v>
      </c>
      <c r="B57" s="2">
        <f>4/10</f>
        <v>0.4</v>
      </c>
      <c r="C57" s="2">
        <f>0/10</f>
        <v>0</v>
      </c>
      <c r="D57" s="2">
        <f>1/10</f>
        <v>0.1</v>
      </c>
      <c r="E57" s="2">
        <f>2/10</f>
        <v>0.2</v>
      </c>
      <c r="F57" s="2">
        <f>3/10</f>
        <v>0.3</v>
      </c>
      <c r="G57" s="2"/>
      <c r="H57" s="2"/>
    </row>
    <row r="58" spans="1:8" x14ac:dyDescent="0.25">
      <c r="A58" t="s">
        <v>83</v>
      </c>
      <c r="B58" s="2">
        <f>1/4</f>
        <v>0.25</v>
      </c>
      <c r="C58" s="2">
        <f>0/4</f>
        <v>0</v>
      </c>
      <c r="D58" s="2">
        <f>0/4</f>
        <v>0</v>
      </c>
      <c r="E58" s="2">
        <f>0/4</f>
        <v>0</v>
      </c>
      <c r="F58" s="2">
        <f>3/4</f>
        <v>0.75</v>
      </c>
      <c r="G58" s="2"/>
      <c r="H58" s="2"/>
    </row>
    <row r="59" spans="1:8" x14ac:dyDescent="0.25">
      <c r="A59" t="s">
        <v>1923</v>
      </c>
      <c r="B59" s="2">
        <f>3/24</f>
        <v>0.125</v>
      </c>
      <c r="C59" s="2">
        <f>0/24</f>
        <v>0</v>
      </c>
      <c r="D59" s="2">
        <f>0/24</f>
        <v>0</v>
      </c>
      <c r="E59" s="2">
        <f>6/24</f>
        <v>0.25</v>
      </c>
      <c r="F59" s="2">
        <f>10/24</f>
        <v>0.41666666666666669</v>
      </c>
      <c r="G59" s="2"/>
      <c r="H59" s="2"/>
    </row>
    <row r="60" spans="1:8" x14ac:dyDescent="0.25">
      <c r="A60" t="s">
        <v>1924</v>
      </c>
      <c r="B60" s="2">
        <f>15/34</f>
        <v>0.44117647058823528</v>
      </c>
      <c r="C60" s="2">
        <f>0/34</f>
        <v>0</v>
      </c>
      <c r="D60" s="2">
        <f>0/34</f>
        <v>0</v>
      </c>
      <c r="E60" s="2">
        <f>9/34</f>
        <v>0.26470588235294118</v>
      </c>
      <c r="F60" s="2">
        <f>16/34</f>
        <v>0.47058823529411764</v>
      </c>
      <c r="G60" s="2"/>
      <c r="H60" s="2"/>
    </row>
    <row r="61" spans="1:8" x14ac:dyDescent="0.25">
      <c r="A61" t="s">
        <v>1925</v>
      </c>
      <c r="B61" s="2">
        <f>13/33</f>
        <v>0.39393939393939392</v>
      </c>
      <c r="C61" s="2">
        <f>0/33</f>
        <v>0</v>
      </c>
      <c r="D61" s="2">
        <f>1/33</f>
        <v>3.0303030303030304E-2</v>
      </c>
      <c r="E61" s="2">
        <f>8/33</f>
        <v>0.24242424242424243</v>
      </c>
      <c r="F61" s="2">
        <f>13/33</f>
        <v>0.39393939393939392</v>
      </c>
      <c r="G61" s="2"/>
      <c r="H61" s="2"/>
    </row>
    <row r="62" spans="1:8" x14ac:dyDescent="0.25">
      <c r="A62" t="s">
        <v>1926</v>
      </c>
      <c r="B62" s="2">
        <f>14/54</f>
        <v>0.25925925925925924</v>
      </c>
      <c r="C62" s="2">
        <f>0/54</f>
        <v>0</v>
      </c>
      <c r="D62" s="2">
        <f>1/54</f>
        <v>1.8518518518518517E-2</v>
      </c>
      <c r="E62" s="2">
        <f>10/54</f>
        <v>0.18518518518518517</v>
      </c>
      <c r="F62" s="2">
        <f>19/54</f>
        <v>0.35185185185185186</v>
      </c>
      <c r="G62" s="2"/>
      <c r="H62" s="2"/>
    </row>
    <row r="63" spans="1:8" x14ac:dyDescent="0.25">
      <c r="A63" t="s">
        <v>1927</v>
      </c>
      <c r="B63" s="2">
        <f>3/10</f>
        <v>0.3</v>
      </c>
      <c r="C63" s="2">
        <f>0/10</f>
        <v>0</v>
      </c>
      <c r="D63" s="2">
        <f>0/10</f>
        <v>0</v>
      </c>
      <c r="E63" s="2">
        <f>1/10</f>
        <v>0.1</v>
      </c>
      <c r="F63" s="2">
        <f>6/10</f>
        <v>0.6</v>
      </c>
      <c r="G63" s="2"/>
      <c r="H63" s="2"/>
    </row>
    <row r="64" spans="1:8" x14ac:dyDescent="0.25">
      <c r="A64" t="s">
        <v>1928</v>
      </c>
      <c r="B64" s="2">
        <f>7/15</f>
        <v>0.46666666666666667</v>
      </c>
      <c r="C64" s="2">
        <f>0/15</f>
        <v>0</v>
      </c>
      <c r="D64" s="2">
        <f>1/15</f>
        <v>6.6666666666666666E-2</v>
      </c>
      <c r="E64" s="2">
        <f>2/15</f>
        <v>0.13333333333333333</v>
      </c>
      <c r="F64" s="2">
        <f>7/15</f>
        <v>0.46666666666666667</v>
      </c>
      <c r="G64" s="2"/>
      <c r="H64" s="2"/>
    </row>
    <row r="65" spans="1:8" x14ac:dyDescent="0.25">
      <c r="A65" t="s">
        <v>131</v>
      </c>
      <c r="B65" s="2">
        <f>2/5</f>
        <v>0.4</v>
      </c>
      <c r="C65" s="2">
        <f>1/5</f>
        <v>0.2</v>
      </c>
      <c r="D65" s="2">
        <f>0/5</f>
        <v>0</v>
      </c>
      <c r="E65" s="2">
        <f>0/15</f>
        <v>0</v>
      </c>
      <c r="F65" s="2">
        <f>2/5</f>
        <v>0.4</v>
      </c>
      <c r="G65" s="2"/>
      <c r="H65" s="2"/>
    </row>
    <row r="66" spans="1:8" x14ac:dyDescent="0.25">
      <c r="A66" t="s">
        <v>299</v>
      </c>
      <c r="B66" s="2">
        <f>5/15</f>
        <v>0.33333333333333331</v>
      </c>
      <c r="C66" s="2">
        <f>0/15</f>
        <v>0</v>
      </c>
      <c r="D66" s="2">
        <f>2/15</f>
        <v>0.13333333333333333</v>
      </c>
      <c r="E66" s="2">
        <f>3/15</f>
        <v>0.2</v>
      </c>
      <c r="F66" s="2">
        <f>5/15</f>
        <v>0.33333333333333331</v>
      </c>
      <c r="G66" s="2"/>
      <c r="H66" s="2"/>
    </row>
    <row r="67" spans="1:8" x14ac:dyDescent="0.25">
      <c r="A67" t="s">
        <v>715</v>
      </c>
      <c r="B67" s="2">
        <f>0/4</f>
        <v>0</v>
      </c>
      <c r="C67" s="2">
        <f>0/4</f>
        <v>0</v>
      </c>
      <c r="D67" s="2">
        <f>0/4</f>
        <v>0</v>
      </c>
      <c r="E67" s="2">
        <f>0/4</f>
        <v>0</v>
      </c>
      <c r="F67" s="2">
        <f>4/4</f>
        <v>1</v>
      </c>
      <c r="G67" s="2"/>
      <c r="H67" s="2"/>
    </row>
    <row r="68" spans="1:8" x14ac:dyDescent="0.25">
      <c r="A68" t="s">
        <v>222</v>
      </c>
      <c r="B68" s="2">
        <f>4/8</f>
        <v>0.5</v>
      </c>
      <c r="C68" s="2">
        <f>0/8</f>
        <v>0</v>
      </c>
      <c r="D68" s="2">
        <f>1/8</f>
        <v>0.125</v>
      </c>
      <c r="E68" s="2">
        <f>2/8</f>
        <v>0.25</v>
      </c>
      <c r="F68" s="2">
        <f>2/8</f>
        <v>0.25</v>
      </c>
      <c r="G68" s="2"/>
      <c r="H68" s="2"/>
    </row>
    <row r="69" spans="1:8" x14ac:dyDescent="0.25">
      <c r="A69" t="s">
        <v>1929</v>
      </c>
      <c r="B69" s="2">
        <f>2/5</f>
        <v>0.4</v>
      </c>
      <c r="C69" s="2">
        <f>0/5</f>
        <v>0</v>
      </c>
      <c r="D69" s="2">
        <f>2/5</f>
        <v>0.4</v>
      </c>
      <c r="E69" s="2">
        <f>2/5</f>
        <v>0.4</v>
      </c>
      <c r="F69" s="2">
        <f>2/5</f>
        <v>0.4</v>
      </c>
      <c r="G69" s="2"/>
      <c r="H69" s="2"/>
    </row>
    <row r="71" spans="1:8" x14ac:dyDescent="0.25">
      <c r="A71" s="6" t="s">
        <v>1992</v>
      </c>
      <c r="B71" s="5" t="s">
        <v>1943</v>
      </c>
      <c r="C71" s="5" t="s">
        <v>1944</v>
      </c>
      <c r="D71" s="5" t="s">
        <v>1945</v>
      </c>
      <c r="E71" s="5" t="s">
        <v>1946</v>
      </c>
      <c r="F71" s="5" t="s">
        <v>780</v>
      </c>
      <c r="G71" s="5" t="s">
        <v>1942</v>
      </c>
    </row>
    <row r="72" spans="1:8" x14ac:dyDescent="0.25">
      <c r="A72" t="s">
        <v>1993</v>
      </c>
      <c r="B72" s="2">
        <f>52/151</f>
        <v>0.3443708609271523</v>
      </c>
      <c r="C72" s="2">
        <f>1/151</f>
        <v>6.6225165562913907E-3</v>
      </c>
      <c r="D72" s="2">
        <f>2/151</f>
        <v>1.3245033112582781E-2</v>
      </c>
      <c r="E72" s="2">
        <f>24/151</f>
        <v>0.15894039735099338</v>
      </c>
      <c r="F72" s="2">
        <f>77/151</f>
        <v>0.50993377483443714</v>
      </c>
      <c r="G72" s="2">
        <f>1/151</f>
        <v>6.6225165562913907E-3</v>
      </c>
    </row>
    <row r="73" spans="1:8" x14ac:dyDescent="0.25">
      <c r="A73" t="s">
        <v>1990</v>
      </c>
      <c r="B73" s="2">
        <f>8/30</f>
        <v>0.26666666666666666</v>
      </c>
      <c r="C73" s="2">
        <f>0/30</f>
        <v>0</v>
      </c>
      <c r="D73" s="2">
        <f>1/30</f>
        <v>3.3333333333333333E-2</v>
      </c>
      <c r="E73" s="2">
        <f>6/30</f>
        <v>0.2</v>
      </c>
      <c r="F73" s="2">
        <f>16/30</f>
        <v>0.53333333333333333</v>
      </c>
      <c r="G73" s="2">
        <f>2/30</f>
        <v>6.6666666666666666E-2</v>
      </c>
    </row>
    <row r="74" spans="1:8" x14ac:dyDescent="0.25">
      <c r="A74" t="s">
        <v>1991</v>
      </c>
      <c r="B74" s="2">
        <f>27/85</f>
        <v>0.31764705882352939</v>
      </c>
      <c r="C74" s="2">
        <f>1/85</f>
        <v>1.1764705882352941E-2</v>
      </c>
      <c r="D74" s="2">
        <f>6/85</f>
        <v>7.0588235294117646E-2</v>
      </c>
      <c r="E74" s="2">
        <f>22/85</f>
        <v>0.25882352941176473</v>
      </c>
      <c r="F74" s="2">
        <f>32/85</f>
        <v>0.37647058823529411</v>
      </c>
      <c r="G74" s="2">
        <f>5/85</f>
        <v>5.8823529411764705E-2</v>
      </c>
    </row>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275AB-997D-4DAD-A3FB-9E203E14F90E}">
  <dimension ref="A1:E74"/>
  <sheetViews>
    <sheetView topLeftCell="A54" workbookViewId="0">
      <selection activeCell="B72" sqref="B72"/>
    </sheetView>
  </sheetViews>
  <sheetFormatPr baseColWidth="10" defaultRowHeight="15" x14ac:dyDescent="0.25"/>
  <cols>
    <col min="1" max="1" width="21" bestFit="1" customWidth="1"/>
  </cols>
  <sheetData>
    <row r="1" spans="1:5" x14ac:dyDescent="0.25">
      <c r="A1" s="5" t="s">
        <v>3</v>
      </c>
      <c r="B1" s="5" t="s">
        <v>1931</v>
      </c>
      <c r="C1" s="5" t="s">
        <v>1932</v>
      </c>
      <c r="D1" s="5" t="s">
        <v>1933</v>
      </c>
      <c r="E1" s="5" t="s">
        <v>1934</v>
      </c>
    </row>
    <row r="2" spans="1:5" x14ac:dyDescent="0.25">
      <c r="A2" t="s">
        <v>156</v>
      </c>
      <c r="B2" s="2">
        <f>8/8</f>
        <v>1</v>
      </c>
      <c r="C2" s="2">
        <f>8/8</f>
        <v>1</v>
      </c>
      <c r="D2" s="2">
        <f>0/8</f>
        <v>0</v>
      </c>
      <c r="E2" s="2"/>
    </row>
    <row r="3" spans="1:5" x14ac:dyDescent="0.25">
      <c r="A3" t="s">
        <v>1911</v>
      </c>
      <c r="B3" s="2">
        <f>1/1</f>
        <v>1</v>
      </c>
      <c r="C3" s="2">
        <f>1/1</f>
        <v>1</v>
      </c>
      <c r="D3" s="2">
        <f>0/1</f>
        <v>0</v>
      </c>
      <c r="E3" s="2"/>
    </row>
    <row r="4" spans="1:5" x14ac:dyDescent="0.25">
      <c r="A4" t="s">
        <v>137</v>
      </c>
      <c r="B4" s="2">
        <f>10/13</f>
        <v>0.76923076923076927</v>
      </c>
      <c r="C4" s="2">
        <f>13/13</f>
        <v>1</v>
      </c>
      <c r="D4" s="2">
        <f>2/13</f>
        <v>0.15384615384615385</v>
      </c>
      <c r="E4" s="2"/>
    </row>
    <row r="5" spans="1:5" x14ac:dyDescent="0.25">
      <c r="A5" t="s">
        <v>215</v>
      </c>
      <c r="B5" s="2">
        <f>1/1</f>
        <v>1</v>
      </c>
      <c r="C5" s="2">
        <f>1/1</f>
        <v>1</v>
      </c>
      <c r="D5" s="2">
        <f>1/1</f>
        <v>1</v>
      </c>
      <c r="E5" s="2"/>
    </row>
    <row r="6" spans="1:5" x14ac:dyDescent="0.25">
      <c r="A6" t="s">
        <v>1912</v>
      </c>
      <c r="B6" s="2">
        <f>1/1</f>
        <v>1</v>
      </c>
      <c r="C6" s="2">
        <f>1/1</f>
        <v>1</v>
      </c>
      <c r="D6" s="2">
        <f>0/1</f>
        <v>0</v>
      </c>
      <c r="E6" s="2"/>
    </row>
    <row r="7" spans="1:5" x14ac:dyDescent="0.25">
      <c r="A7" t="s">
        <v>1913</v>
      </c>
      <c r="B7" s="2">
        <f>5/5</f>
        <v>1</v>
      </c>
      <c r="C7" s="2">
        <f>5/5</f>
        <v>1</v>
      </c>
      <c r="D7" s="2">
        <f>0/5</f>
        <v>0</v>
      </c>
      <c r="E7" s="2"/>
    </row>
    <row r="8" spans="1:5" x14ac:dyDescent="0.25">
      <c r="A8" t="s">
        <v>515</v>
      </c>
      <c r="B8" s="2">
        <f>7/8</f>
        <v>0.875</v>
      </c>
      <c r="C8" s="2">
        <f>8/8</f>
        <v>1</v>
      </c>
      <c r="D8" s="2">
        <f>4/8</f>
        <v>0.5</v>
      </c>
      <c r="E8" s="2"/>
    </row>
    <row r="9" spans="1:5" x14ac:dyDescent="0.25">
      <c r="A9" t="s">
        <v>374</v>
      </c>
      <c r="B9" s="2">
        <f>4/4</f>
        <v>1</v>
      </c>
      <c r="C9" s="2">
        <f>4/4</f>
        <v>1</v>
      </c>
      <c r="D9" s="2">
        <f>1/4</f>
        <v>0.25</v>
      </c>
      <c r="E9" s="2"/>
    </row>
    <row r="10" spans="1:5" x14ac:dyDescent="0.25">
      <c r="A10" t="s">
        <v>120</v>
      </c>
      <c r="B10" s="2">
        <f>20/20</f>
        <v>1</v>
      </c>
      <c r="C10" s="2">
        <f>20/20</f>
        <v>1</v>
      </c>
      <c r="D10" s="2">
        <f>5/20</f>
        <v>0.25</v>
      </c>
      <c r="E10" s="2"/>
    </row>
    <row r="11" spans="1:5" x14ac:dyDescent="0.25">
      <c r="A11" t="s">
        <v>1914</v>
      </c>
      <c r="B11" s="2">
        <f>3/3</f>
        <v>1</v>
      </c>
      <c r="C11" s="2">
        <f>3/3</f>
        <v>1</v>
      </c>
      <c r="D11" s="2">
        <f>2/3</f>
        <v>0.66666666666666663</v>
      </c>
      <c r="E11" s="2"/>
    </row>
    <row r="12" spans="1:5" x14ac:dyDescent="0.25">
      <c r="A12" t="s">
        <v>233</v>
      </c>
      <c r="B12" s="2">
        <f>3/4</f>
        <v>0.75</v>
      </c>
      <c r="C12" s="2">
        <f>4/4</f>
        <v>1</v>
      </c>
      <c r="D12" s="2">
        <f>1/4</f>
        <v>0.25</v>
      </c>
      <c r="E12" s="2"/>
    </row>
    <row r="13" spans="1:5" x14ac:dyDescent="0.25">
      <c r="A13" t="s">
        <v>425</v>
      </c>
      <c r="B13" s="2">
        <f>6/6</f>
        <v>1</v>
      </c>
      <c r="C13" s="2">
        <f>6/6</f>
        <v>1</v>
      </c>
      <c r="D13" s="2">
        <f>0/6</f>
        <v>0</v>
      </c>
      <c r="E13" s="2"/>
    </row>
    <row r="14" spans="1:5" x14ac:dyDescent="0.25">
      <c r="A14" t="s">
        <v>727</v>
      </c>
      <c r="B14" s="2">
        <f>3/5</f>
        <v>0.6</v>
      </c>
      <c r="C14" s="2">
        <f>4/5</f>
        <v>0.8</v>
      </c>
      <c r="D14" s="2">
        <f>0/5</f>
        <v>0</v>
      </c>
      <c r="E14" s="2"/>
    </row>
    <row r="15" spans="1:5" x14ac:dyDescent="0.25">
      <c r="A15" t="s">
        <v>83</v>
      </c>
      <c r="B15" s="2">
        <f>4/4</f>
        <v>1</v>
      </c>
      <c r="C15" s="2">
        <f>4/4</f>
        <v>1</v>
      </c>
      <c r="D15" s="2">
        <f>2/5</f>
        <v>0.4</v>
      </c>
      <c r="E15" s="2"/>
    </row>
    <row r="16" spans="1:5" x14ac:dyDescent="0.25">
      <c r="A16" t="s">
        <v>204</v>
      </c>
      <c r="B16" s="2">
        <f>21/21</f>
        <v>1</v>
      </c>
      <c r="C16" s="2">
        <f>21/21</f>
        <v>1</v>
      </c>
      <c r="D16" s="2">
        <f>4/21</f>
        <v>0.19047619047619047</v>
      </c>
      <c r="E16" s="2"/>
    </row>
    <row r="17" spans="1:5" x14ac:dyDescent="0.25">
      <c r="A17" t="s">
        <v>319</v>
      </c>
      <c r="B17" s="2">
        <f>3/4</f>
        <v>0.75</v>
      </c>
      <c r="C17" s="2">
        <f>4/4</f>
        <v>1</v>
      </c>
      <c r="D17" s="2">
        <f>1/4</f>
        <v>0.25</v>
      </c>
      <c r="E17" s="2"/>
    </row>
    <row r="18" spans="1:5" x14ac:dyDescent="0.25">
      <c r="A18" t="s">
        <v>245</v>
      </c>
      <c r="B18" s="2">
        <f>8/8</f>
        <v>1</v>
      </c>
      <c r="C18" s="2">
        <f>8/8</f>
        <v>1</v>
      </c>
      <c r="D18" s="2">
        <f>2/8</f>
        <v>0.25</v>
      </c>
      <c r="E18" s="2"/>
    </row>
    <row r="19" spans="1:5" x14ac:dyDescent="0.25">
      <c r="A19" t="s">
        <v>408</v>
      </c>
      <c r="B19" s="2">
        <f>2/2</f>
        <v>1</v>
      </c>
      <c r="C19" s="2">
        <f>2/2</f>
        <v>1</v>
      </c>
      <c r="D19" s="2">
        <f>0/2</f>
        <v>0</v>
      </c>
      <c r="E19" s="2"/>
    </row>
    <row r="20" spans="1:5" x14ac:dyDescent="0.25">
      <c r="A20" t="s">
        <v>1915</v>
      </c>
      <c r="B20" s="2">
        <f>1/1</f>
        <v>1</v>
      </c>
      <c r="C20" s="2">
        <f>1/1</f>
        <v>1</v>
      </c>
      <c r="D20" s="2">
        <f>0/1</f>
        <v>0</v>
      </c>
      <c r="E20" s="2"/>
    </row>
    <row r="21" spans="1:5" x14ac:dyDescent="0.25">
      <c r="A21" t="s">
        <v>658</v>
      </c>
      <c r="B21" s="2">
        <f>4/4</f>
        <v>1</v>
      </c>
      <c r="C21" s="2">
        <f>4/4</f>
        <v>1</v>
      </c>
      <c r="D21" s="2">
        <f>1/4</f>
        <v>0.25</v>
      </c>
      <c r="E21" s="2"/>
    </row>
    <row r="22" spans="1:5" x14ac:dyDescent="0.25">
      <c r="A22" t="s">
        <v>198</v>
      </c>
      <c r="B22" s="2">
        <f>6/7</f>
        <v>0.8571428571428571</v>
      </c>
      <c r="C22" s="2">
        <f>7/7</f>
        <v>1</v>
      </c>
      <c r="D22" s="2">
        <f>1/7</f>
        <v>0.14285714285714285</v>
      </c>
      <c r="E22" s="2"/>
    </row>
    <row r="23" spans="1:5" x14ac:dyDescent="0.25">
      <c r="A23" t="s">
        <v>278</v>
      </c>
      <c r="B23" s="2">
        <f>4/5</f>
        <v>0.8</v>
      </c>
      <c r="C23" s="2">
        <f>5/5</f>
        <v>1</v>
      </c>
      <c r="D23" s="2">
        <f>1/5</f>
        <v>0.2</v>
      </c>
      <c r="E23" s="2"/>
    </row>
    <row r="24" spans="1:5" x14ac:dyDescent="0.25">
      <c r="A24" t="s">
        <v>253</v>
      </c>
      <c r="B24" s="2">
        <f>4/4</f>
        <v>1</v>
      </c>
      <c r="C24" s="2">
        <f>4/4</f>
        <v>1</v>
      </c>
      <c r="D24" s="2">
        <f>2/4</f>
        <v>0.5</v>
      </c>
      <c r="E24" s="2"/>
    </row>
    <row r="25" spans="1:5" x14ac:dyDescent="0.25">
      <c r="A25" t="s">
        <v>93</v>
      </c>
      <c r="B25" s="2">
        <f>4/4</f>
        <v>1</v>
      </c>
      <c r="C25" s="2">
        <f>4/4</f>
        <v>1</v>
      </c>
      <c r="D25" s="2">
        <f>1/4</f>
        <v>0.25</v>
      </c>
      <c r="E25" s="2"/>
    </row>
    <row r="26" spans="1:5" x14ac:dyDescent="0.25">
      <c r="A26" t="s">
        <v>1916</v>
      </c>
      <c r="B26" s="2">
        <f>4/5</f>
        <v>0.8</v>
      </c>
      <c r="C26" s="2">
        <f>5/5</f>
        <v>1</v>
      </c>
      <c r="D26" s="2">
        <f>3/5</f>
        <v>0.6</v>
      </c>
      <c r="E26" s="2">
        <f>1/5</f>
        <v>0.2</v>
      </c>
    </row>
    <row r="27" spans="1:5" x14ac:dyDescent="0.25">
      <c r="A27" t="s">
        <v>991</v>
      </c>
      <c r="B27" s="2">
        <f>3/3</f>
        <v>1</v>
      </c>
      <c r="C27" s="2">
        <f>3/3</f>
        <v>1</v>
      </c>
      <c r="D27" s="2">
        <f>1/3</f>
        <v>0.33333333333333331</v>
      </c>
      <c r="E27" s="2"/>
    </row>
    <row r="28" spans="1:5" x14ac:dyDescent="0.25">
      <c r="A28" t="s">
        <v>998</v>
      </c>
      <c r="B28" s="2">
        <f>5/5</f>
        <v>1</v>
      </c>
      <c r="C28" s="2">
        <f>4/5</f>
        <v>0.8</v>
      </c>
      <c r="D28" s="2">
        <f>0/5</f>
        <v>0</v>
      </c>
      <c r="E28" s="2"/>
    </row>
    <row r="29" spans="1:5" x14ac:dyDescent="0.25">
      <c r="A29" t="s">
        <v>952</v>
      </c>
      <c r="B29" s="2">
        <f>3/4</f>
        <v>0.75</v>
      </c>
      <c r="C29" s="2">
        <f>4/4</f>
        <v>1</v>
      </c>
      <c r="D29" s="2">
        <f>1/4</f>
        <v>0.25</v>
      </c>
      <c r="E29" s="2"/>
    </row>
    <row r="30" spans="1:5" x14ac:dyDescent="0.25">
      <c r="A30" t="s">
        <v>1691</v>
      </c>
      <c r="B30" s="2">
        <f>4/4</f>
        <v>1</v>
      </c>
      <c r="C30" s="2">
        <f>4/4</f>
        <v>1</v>
      </c>
      <c r="D30" s="2">
        <f>1/4</f>
        <v>0.25</v>
      </c>
      <c r="E30" s="2"/>
    </row>
    <row r="31" spans="1:5" x14ac:dyDescent="0.25">
      <c r="A31" t="s">
        <v>284</v>
      </c>
      <c r="B31" s="2">
        <f>2/3</f>
        <v>0.66666666666666663</v>
      </c>
      <c r="C31" s="2">
        <f>3/3</f>
        <v>1</v>
      </c>
      <c r="D31" s="2">
        <f>0/3</f>
        <v>0</v>
      </c>
      <c r="E31" s="2"/>
    </row>
    <row r="32" spans="1:5" x14ac:dyDescent="0.25">
      <c r="A32" t="s">
        <v>299</v>
      </c>
      <c r="B32" s="2">
        <f>15/15</f>
        <v>1</v>
      </c>
      <c r="C32" s="2">
        <f>15/15</f>
        <v>1</v>
      </c>
      <c r="D32" s="2">
        <f>2/15</f>
        <v>0.13333333333333333</v>
      </c>
      <c r="E32" s="2"/>
    </row>
    <row r="33" spans="1:5" x14ac:dyDescent="0.25">
      <c r="A33" t="s">
        <v>1028</v>
      </c>
      <c r="B33" s="2">
        <f>3/3</f>
        <v>1</v>
      </c>
      <c r="C33" s="2">
        <f>3/3</f>
        <v>1</v>
      </c>
      <c r="D33" s="2">
        <f>1/3</f>
        <v>0.33333333333333331</v>
      </c>
      <c r="E33" s="2"/>
    </row>
    <row r="34" spans="1:5" x14ac:dyDescent="0.25">
      <c r="A34" t="s">
        <v>715</v>
      </c>
      <c r="B34" s="2">
        <f>4/4</f>
        <v>1</v>
      </c>
      <c r="C34" s="2">
        <f>4/4</f>
        <v>1</v>
      </c>
      <c r="D34" s="2">
        <f>0/4</f>
        <v>0</v>
      </c>
      <c r="E34" s="2"/>
    </row>
    <row r="35" spans="1:5" x14ac:dyDescent="0.25">
      <c r="A35" t="s">
        <v>222</v>
      </c>
      <c r="B35" s="2">
        <f>8/8</f>
        <v>1</v>
      </c>
      <c r="C35" s="2">
        <f>8/8</f>
        <v>1</v>
      </c>
      <c r="D35" s="2">
        <f>1/8</f>
        <v>0.125</v>
      </c>
      <c r="E35" s="2">
        <f>1/8</f>
        <v>0.125</v>
      </c>
    </row>
    <row r="36" spans="1:5" x14ac:dyDescent="0.25">
      <c r="A36" t="s">
        <v>414</v>
      </c>
      <c r="B36" s="2">
        <f>3/3</f>
        <v>1</v>
      </c>
      <c r="C36" s="2">
        <f>3/3</f>
        <v>1</v>
      </c>
      <c r="D36" s="2">
        <f>3/3</f>
        <v>1</v>
      </c>
      <c r="E36" s="2"/>
    </row>
    <row r="37" spans="1:5" x14ac:dyDescent="0.25">
      <c r="A37" t="s">
        <v>1917</v>
      </c>
      <c r="B37" s="2">
        <f>1/1</f>
        <v>1</v>
      </c>
      <c r="C37" s="2">
        <f>1/1</f>
        <v>1</v>
      </c>
      <c r="D37" s="2">
        <f>0/1</f>
        <v>0</v>
      </c>
      <c r="E37" s="2"/>
    </row>
    <row r="38" spans="1:5" x14ac:dyDescent="0.25">
      <c r="A38" t="s">
        <v>1430</v>
      </c>
      <c r="B38" s="2">
        <f>1/1</f>
        <v>1</v>
      </c>
      <c r="C38" s="2">
        <f>1/1</f>
        <v>1</v>
      </c>
      <c r="D38" s="2">
        <f>0/1</f>
        <v>0</v>
      </c>
      <c r="E38" s="2"/>
    </row>
    <row r="39" spans="1:5" x14ac:dyDescent="0.25">
      <c r="A39" t="s">
        <v>1918</v>
      </c>
      <c r="B39" s="2">
        <f>5/5</f>
        <v>1</v>
      </c>
      <c r="C39" s="2">
        <f>5/5</f>
        <v>1</v>
      </c>
      <c r="D39" s="2">
        <f>0/5</f>
        <v>0</v>
      </c>
      <c r="E39" s="2"/>
    </row>
    <row r="40" spans="1:5" x14ac:dyDescent="0.25">
      <c r="A40" t="s">
        <v>109</v>
      </c>
      <c r="B40" s="2">
        <f>9/9</f>
        <v>1</v>
      </c>
      <c r="C40" s="2">
        <f>9/9</f>
        <v>1</v>
      </c>
      <c r="D40" s="2">
        <f>3/9</f>
        <v>0.33333333333333331</v>
      </c>
      <c r="E40" s="2">
        <f>1/9</f>
        <v>0.1111111111111111</v>
      </c>
    </row>
    <row r="41" spans="1:5" x14ac:dyDescent="0.25">
      <c r="A41" t="s">
        <v>334</v>
      </c>
      <c r="B41" s="2">
        <f>3/3</f>
        <v>1</v>
      </c>
      <c r="C41" s="2">
        <f>3/3</f>
        <v>1</v>
      </c>
      <c r="D41" s="2">
        <f>1/3</f>
        <v>0.33333333333333331</v>
      </c>
      <c r="E41" s="2"/>
    </row>
    <row r="42" spans="1:5" x14ac:dyDescent="0.25">
      <c r="A42" t="s">
        <v>743</v>
      </c>
      <c r="B42" s="2">
        <f>4/4</f>
        <v>1</v>
      </c>
      <c r="C42" s="2">
        <f>4/4</f>
        <v>1</v>
      </c>
      <c r="D42" s="2">
        <f>2/4</f>
        <v>0.5</v>
      </c>
      <c r="E42" s="2">
        <f>1/4</f>
        <v>0.25</v>
      </c>
    </row>
    <row r="43" spans="1:5" x14ac:dyDescent="0.25">
      <c r="A43" t="s">
        <v>325</v>
      </c>
      <c r="B43" s="2">
        <f>2/3</f>
        <v>0.66666666666666663</v>
      </c>
      <c r="C43" s="2">
        <f>3/3</f>
        <v>1</v>
      </c>
      <c r="D43" s="2">
        <f>1/3</f>
        <v>0.33333333333333331</v>
      </c>
      <c r="E43" s="2"/>
    </row>
    <row r="44" spans="1:5" x14ac:dyDescent="0.25">
      <c r="A44" t="s">
        <v>264</v>
      </c>
      <c r="B44" s="2">
        <f>5/5</f>
        <v>1</v>
      </c>
      <c r="C44" s="2">
        <f>5/5</f>
        <v>1</v>
      </c>
      <c r="D44" s="2">
        <f>1/5</f>
        <v>0.2</v>
      </c>
      <c r="E44" s="2">
        <f>1/5</f>
        <v>0.2</v>
      </c>
    </row>
    <row r="45" spans="1:5" x14ac:dyDescent="0.25">
      <c r="A45" t="s">
        <v>228</v>
      </c>
      <c r="B45" s="2">
        <f>4/5</f>
        <v>0.8</v>
      </c>
      <c r="C45" s="2">
        <f>5/5</f>
        <v>1</v>
      </c>
      <c r="D45" s="2">
        <f>2/5</f>
        <v>0.4</v>
      </c>
      <c r="E45" s="2">
        <f>1/5</f>
        <v>0.2</v>
      </c>
    </row>
    <row r="46" spans="1:5" x14ac:dyDescent="0.25">
      <c r="A46" t="s">
        <v>170</v>
      </c>
      <c r="B46" s="2">
        <f>5/5</f>
        <v>1</v>
      </c>
      <c r="C46" s="2">
        <f>5/5</f>
        <v>1</v>
      </c>
      <c r="D46" s="2">
        <f>2/5</f>
        <v>0.4</v>
      </c>
      <c r="E46" s="2">
        <f>1/5</f>
        <v>0.2</v>
      </c>
    </row>
    <row r="47" spans="1:5" x14ac:dyDescent="0.25">
      <c r="A47" t="s">
        <v>1919</v>
      </c>
      <c r="B47" s="2">
        <f>18/20</f>
        <v>0.9</v>
      </c>
      <c r="C47" s="2">
        <f>20/20</f>
        <v>1</v>
      </c>
      <c r="D47" s="2">
        <f>2/20</f>
        <v>0.1</v>
      </c>
      <c r="E47" s="2">
        <f>1/20</f>
        <v>0.05</v>
      </c>
    </row>
    <row r="48" spans="1:5" x14ac:dyDescent="0.25">
      <c r="A48" t="s">
        <v>987</v>
      </c>
      <c r="B48" s="2">
        <f>4/4</f>
        <v>1</v>
      </c>
      <c r="C48" s="2">
        <f>4/4</f>
        <v>1</v>
      </c>
      <c r="D48" s="2">
        <f>0/4</f>
        <v>0</v>
      </c>
      <c r="E48" s="2"/>
    </row>
    <row r="49" spans="1:5" x14ac:dyDescent="0.25">
      <c r="A49" t="s">
        <v>191</v>
      </c>
      <c r="B49" s="2">
        <f>3/3</f>
        <v>1</v>
      </c>
      <c r="C49" s="2">
        <f>3/3</f>
        <v>1</v>
      </c>
      <c r="D49" s="2">
        <f>1/3</f>
        <v>0.33333333333333331</v>
      </c>
      <c r="E49" s="2"/>
    </row>
    <row r="50" spans="1:5" x14ac:dyDescent="0.25">
      <c r="A50" t="s">
        <v>1054</v>
      </c>
      <c r="B50" s="2">
        <f>3/3</f>
        <v>1</v>
      </c>
      <c r="C50" s="2">
        <f>3/3</f>
        <v>1</v>
      </c>
      <c r="D50" s="2">
        <f>0/3</f>
        <v>0</v>
      </c>
      <c r="E50" s="2">
        <f>1/3</f>
        <v>0.33333333333333331</v>
      </c>
    </row>
    <row r="51" spans="1:5" x14ac:dyDescent="0.25">
      <c r="A51" t="s">
        <v>1935</v>
      </c>
      <c r="B51" s="2">
        <f>253/270</f>
        <v>0.937037037037037</v>
      </c>
      <c r="C51" s="2">
        <f>268/270</f>
        <v>0.99259259259259258</v>
      </c>
      <c r="D51" s="2">
        <f>60/270</f>
        <v>0.22222222222222221</v>
      </c>
      <c r="E51" s="2">
        <f>9/270</f>
        <v>3.3333333333333333E-2</v>
      </c>
    </row>
    <row r="53" spans="1:5" x14ac:dyDescent="0.25">
      <c r="A53" s="5" t="s">
        <v>1930</v>
      </c>
      <c r="B53" s="5" t="s">
        <v>1931</v>
      </c>
      <c r="C53" s="5" t="s">
        <v>1951</v>
      </c>
      <c r="D53" s="5" t="s">
        <v>1933</v>
      </c>
      <c r="E53" s="5" t="s">
        <v>1934</v>
      </c>
    </row>
    <row r="54" spans="1:5" x14ac:dyDescent="0.25">
      <c r="A54" t="s">
        <v>1920</v>
      </c>
      <c r="B54" s="2">
        <f>26/29</f>
        <v>0.89655172413793105</v>
      </c>
      <c r="C54" s="2">
        <f>28/29</f>
        <v>0.96551724137931039</v>
      </c>
      <c r="D54" s="2">
        <f>10/29</f>
        <v>0.34482758620689657</v>
      </c>
      <c r="E54" s="2">
        <f>1/29</f>
        <v>3.4482758620689655E-2</v>
      </c>
    </row>
    <row r="55" spans="1:5" x14ac:dyDescent="0.25">
      <c r="A55" t="s">
        <v>1921</v>
      </c>
      <c r="B55" s="2">
        <f>11/12</f>
        <v>0.91666666666666663</v>
      </c>
      <c r="C55" s="2">
        <f>12/12</f>
        <v>1</v>
      </c>
      <c r="D55" s="2">
        <f>3/12</f>
        <v>0.25</v>
      </c>
      <c r="E55" s="2">
        <f>2/12</f>
        <v>0.16666666666666666</v>
      </c>
    </row>
    <row r="56" spans="1:5" x14ac:dyDescent="0.25">
      <c r="A56" t="s">
        <v>734</v>
      </c>
      <c r="B56" s="2">
        <f>5/5</f>
        <v>1</v>
      </c>
      <c r="C56" s="2">
        <f>5/5</f>
        <v>1</v>
      </c>
      <c r="D56" s="2">
        <f>0/5</f>
        <v>0</v>
      </c>
      <c r="E56" s="2"/>
    </row>
    <row r="57" spans="1:5" x14ac:dyDescent="0.25">
      <c r="A57" t="s">
        <v>1922</v>
      </c>
      <c r="B57" s="2">
        <f>10/10</f>
        <v>1</v>
      </c>
      <c r="C57" s="2">
        <f>9/10</f>
        <v>0.9</v>
      </c>
      <c r="D57" s="2">
        <f>0/10</f>
        <v>0</v>
      </c>
      <c r="E57" s="2"/>
    </row>
    <row r="58" spans="1:5" x14ac:dyDescent="0.25">
      <c r="A58" t="s">
        <v>83</v>
      </c>
      <c r="B58" s="2">
        <f>4/4</f>
        <v>1</v>
      </c>
      <c r="C58" s="2">
        <f>4/4</f>
        <v>1</v>
      </c>
      <c r="D58" s="2">
        <f>2/5</f>
        <v>0.4</v>
      </c>
      <c r="E58" s="2"/>
    </row>
    <row r="59" spans="1:5" x14ac:dyDescent="0.25">
      <c r="A59" t="s">
        <v>1923</v>
      </c>
      <c r="B59" s="2">
        <f>15/17</f>
        <v>0.88235294117647056</v>
      </c>
      <c r="C59" s="2">
        <f>17/17</f>
        <v>1</v>
      </c>
      <c r="D59" s="2">
        <f>4/17</f>
        <v>0.23529411764705882</v>
      </c>
      <c r="E59" s="2">
        <f>1/17</f>
        <v>5.8823529411764705E-2</v>
      </c>
    </row>
    <row r="60" spans="1:5" x14ac:dyDescent="0.25">
      <c r="A60" t="s">
        <v>1924</v>
      </c>
      <c r="B60" s="2">
        <f>35/39</f>
        <v>0.89743589743589747</v>
      </c>
      <c r="C60" s="2">
        <f>39/39</f>
        <v>1</v>
      </c>
      <c r="D60" s="2">
        <f>12/39</f>
        <v>0.30769230769230771</v>
      </c>
      <c r="E60" s="2">
        <f>1/39</f>
        <v>2.564102564102564E-2</v>
      </c>
    </row>
    <row r="61" spans="1:5" x14ac:dyDescent="0.25">
      <c r="A61" t="s">
        <v>1925</v>
      </c>
      <c r="B61" s="2">
        <f>33/33</f>
        <v>1</v>
      </c>
      <c r="C61" s="2">
        <f>33/33</f>
        <v>1</v>
      </c>
      <c r="D61" s="2">
        <f>8/33</f>
        <v>0.24242424242424243</v>
      </c>
      <c r="E61" s="2">
        <f>1/33</f>
        <v>3.0303030303030304E-2</v>
      </c>
    </row>
    <row r="62" spans="1:5" x14ac:dyDescent="0.25">
      <c r="A62" t="s">
        <v>1926</v>
      </c>
      <c r="B62" s="2">
        <f>49/54</f>
        <v>0.90740740740740744</v>
      </c>
      <c r="C62" s="2">
        <f>54/54</f>
        <v>1</v>
      </c>
      <c r="D62" s="2">
        <f>8/54</f>
        <v>0.14814814814814814</v>
      </c>
      <c r="E62" s="2">
        <f>1/20</f>
        <v>0.05</v>
      </c>
    </row>
    <row r="63" spans="1:5" x14ac:dyDescent="0.25">
      <c r="A63" t="s">
        <v>1927</v>
      </c>
      <c r="B63" s="2">
        <f>10/10</f>
        <v>1</v>
      </c>
      <c r="C63" s="2">
        <f>10/10</f>
        <v>1</v>
      </c>
      <c r="D63" s="2">
        <f>1/10</f>
        <v>0.1</v>
      </c>
      <c r="E63" s="2"/>
    </row>
    <row r="64" spans="1:5" x14ac:dyDescent="0.25">
      <c r="A64" t="s">
        <v>1928</v>
      </c>
      <c r="B64" s="2">
        <f>14/15</f>
        <v>0.93333333333333335</v>
      </c>
      <c r="C64" s="2">
        <f>15/15</f>
        <v>1</v>
      </c>
      <c r="D64" s="2">
        <f>3/15</f>
        <v>0.2</v>
      </c>
      <c r="E64" s="2"/>
    </row>
    <row r="65" spans="1:5" x14ac:dyDescent="0.25">
      <c r="A65" t="s">
        <v>131</v>
      </c>
      <c r="B65" s="2">
        <f>4/5</f>
        <v>0.8</v>
      </c>
      <c r="C65" s="2">
        <f>5/5</f>
        <v>1</v>
      </c>
      <c r="D65" s="2">
        <f>3/5</f>
        <v>0.6</v>
      </c>
      <c r="E65" s="2">
        <f>1/5</f>
        <v>0.2</v>
      </c>
    </row>
    <row r="66" spans="1:5" x14ac:dyDescent="0.25">
      <c r="A66" t="s">
        <v>299</v>
      </c>
      <c r="B66" s="2">
        <f>15/15</f>
        <v>1</v>
      </c>
      <c r="C66" s="2">
        <f>15/15</f>
        <v>1</v>
      </c>
      <c r="D66" s="2">
        <f>2/15</f>
        <v>0.13333333333333333</v>
      </c>
      <c r="E66" s="2"/>
    </row>
    <row r="67" spans="1:5" x14ac:dyDescent="0.25">
      <c r="A67" t="s">
        <v>715</v>
      </c>
      <c r="B67" s="2">
        <f>4/4</f>
        <v>1</v>
      </c>
      <c r="C67" s="2">
        <f>4/4</f>
        <v>1</v>
      </c>
      <c r="D67" s="2">
        <f>0/4</f>
        <v>0</v>
      </c>
      <c r="E67" s="2"/>
    </row>
    <row r="68" spans="1:5" x14ac:dyDescent="0.25">
      <c r="A68" t="s">
        <v>222</v>
      </c>
      <c r="B68" s="2">
        <f>8/8</f>
        <v>1</v>
      </c>
      <c r="C68" s="2">
        <f>8/8</f>
        <v>1</v>
      </c>
      <c r="D68" s="2">
        <f>1/8</f>
        <v>0.125</v>
      </c>
      <c r="E68" s="2">
        <f>1/8</f>
        <v>0.125</v>
      </c>
    </row>
    <row r="69" spans="1:5" x14ac:dyDescent="0.25">
      <c r="A69" t="s">
        <v>1929</v>
      </c>
      <c r="B69" s="2">
        <f>5/5</f>
        <v>1</v>
      </c>
      <c r="C69" s="2">
        <f>5/5</f>
        <v>1</v>
      </c>
      <c r="D69" s="2">
        <f>2/5</f>
        <v>0.4</v>
      </c>
      <c r="E69" s="2"/>
    </row>
    <row r="71" spans="1:5" x14ac:dyDescent="0.25">
      <c r="A71" s="5" t="s">
        <v>1992</v>
      </c>
      <c r="B71" s="5" t="s">
        <v>1931</v>
      </c>
      <c r="C71" s="5" t="s">
        <v>1951</v>
      </c>
      <c r="D71" s="5" t="s">
        <v>1933</v>
      </c>
      <c r="E71" s="5" t="s">
        <v>1934</v>
      </c>
    </row>
    <row r="72" spans="1:5" x14ac:dyDescent="0.25">
      <c r="A72" t="s">
        <v>1993</v>
      </c>
      <c r="B72" s="2">
        <f>140/151</f>
        <v>0.92715231788079466</v>
      </c>
      <c r="C72" s="2">
        <f>151/151</f>
        <v>1</v>
      </c>
      <c r="D72" s="2">
        <f>41/151</f>
        <v>0.27152317880794702</v>
      </c>
      <c r="E72" s="2">
        <f>14/151</f>
        <v>9.2715231788079472E-2</v>
      </c>
    </row>
    <row r="73" spans="1:5" x14ac:dyDescent="0.25">
      <c r="A73" t="s">
        <v>1990</v>
      </c>
      <c r="B73" s="2">
        <f>29/30</f>
        <v>0.96666666666666667</v>
      </c>
      <c r="C73" s="2">
        <f>30/30</f>
        <v>1</v>
      </c>
      <c r="D73" s="2">
        <f>8/30</f>
        <v>0.26666666666666666</v>
      </c>
      <c r="E73" s="2">
        <f>3/30</f>
        <v>0.1</v>
      </c>
    </row>
    <row r="74" spans="1:5" x14ac:dyDescent="0.25">
      <c r="A74" t="s">
        <v>1991</v>
      </c>
      <c r="B74" s="2">
        <f>80/85</f>
        <v>0.94117647058823528</v>
      </c>
      <c r="C74" s="2">
        <f>83/85</f>
        <v>0.97647058823529409</v>
      </c>
      <c r="D74" s="2">
        <f>9/85</f>
        <v>0.10588235294117647</v>
      </c>
      <c r="E74" s="2">
        <f>10/85</f>
        <v>0.11764705882352941</v>
      </c>
    </row>
  </sheetData>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34732E-8977-4047-A857-720036918C21}">
  <dimension ref="A1:C74"/>
  <sheetViews>
    <sheetView topLeftCell="A55" workbookViewId="0">
      <selection activeCell="B72" sqref="B72"/>
    </sheetView>
  </sheetViews>
  <sheetFormatPr baseColWidth="10" defaultRowHeight="15" x14ac:dyDescent="0.25"/>
  <cols>
    <col min="1" max="1" width="21.5703125" bestFit="1" customWidth="1"/>
  </cols>
  <sheetData>
    <row r="1" spans="1:3" x14ac:dyDescent="0.25">
      <c r="A1" s="5" t="s">
        <v>3</v>
      </c>
      <c r="B1" s="6" t="s">
        <v>1952</v>
      </c>
      <c r="C1" s="6" t="s">
        <v>1953</v>
      </c>
    </row>
    <row r="2" spans="1:3" x14ac:dyDescent="0.25">
      <c r="A2" t="s">
        <v>156</v>
      </c>
      <c r="B2" s="2">
        <f>7/8</f>
        <v>0.875</v>
      </c>
      <c r="C2" s="2">
        <f>4/8</f>
        <v>0.5</v>
      </c>
    </row>
    <row r="3" spans="1:3" x14ac:dyDescent="0.25">
      <c r="A3" t="s">
        <v>1911</v>
      </c>
      <c r="B3" s="2">
        <f>1/1</f>
        <v>1</v>
      </c>
      <c r="C3" s="2">
        <f>0/1</f>
        <v>0</v>
      </c>
    </row>
    <row r="4" spans="1:3" x14ac:dyDescent="0.25">
      <c r="A4" t="s">
        <v>137</v>
      </c>
      <c r="B4" s="2">
        <f>12/13</f>
        <v>0.92307692307692313</v>
      </c>
      <c r="C4" s="2">
        <f>5/13</f>
        <v>0.38461538461538464</v>
      </c>
    </row>
    <row r="5" spans="1:3" x14ac:dyDescent="0.25">
      <c r="A5" t="s">
        <v>215</v>
      </c>
      <c r="B5" s="2">
        <f>1/1</f>
        <v>1</v>
      </c>
      <c r="C5" s="2">
        <f>0/1</f>
        <v>0</v>
      </c>
    </row>
    <row r="6" spans="1:3" x14ac:dyDescent="0.25">
      <c r="A6" t="s">
        <v>1912</v>
      </c>
      <c r="B6" s="2">
        <f>1/1</f>
        <v>1</v>
      </c>
      <c r="C6" s="2">
        <f>1/1</f>
        <v>1</v>
      </c>
    </row>
    <row r="7" spans="1:3" x14ac:dyDescent="0.25">
      <c r="A7" t="s">
        <v>1913</v>
      </c>
      <c r="B7" s="2">
        <f>5/5</f>
        <v>1</v>
      </c>
      <c r="C7" s="2">
        <f>1/5</f>
        <v>0.2</v>
      </c>
    </row>
    <row r="8" spans="1:3" x14ac:dyDescent="0.25">
      <c r="A8" t="s">
        <v>515</v>
      </c>
      <c r="B8" s="2">
        <f>8/8</f>
        <v>1</v>
      </c>
      <c r="C8" s="2">
        <f>1/8</f>
        <v>0.125</v>
      </c>
    </row>
    <row r="9" spans="1:3" x14ac:dyDescent="0.25">
      <c r="A9" t="s">
        <v>374</v>
      </c>
      <c r="B9" s="2">
        <f>4/4</f>
        <v>1</v>
      </c>
      <c r="C9" s="2">
        <f>0/4</f>
        <v>0</v>
      </c>
    </row>
    <row r="10" spans="1:3" x14ac:dyDescent="0.25">
      <c r="A10" t="s">
        <v>120</v>
      </c>
      <c r="B10" s="2">
        <f>17/20</f>
        <v>0.85</v>
      </c>
      <c r="C10" s="2">
        <f>13/20</f>
        <v>0.65</v>
      </c>
    </row>
    <row r="11" spans="1:3" x14ac:dyDescent="0.25">
      <c r="A11" t="s">
        <v>1914</v>
      </c>
      <c r="B11" s="2">
        <f>3/3</f>
        <v>1</v>
      </c>
      <c r="C11" s="2">
        <f>3/3</f>
        <v>1</v>
      </c>
    </row>
    <row r="12" spans="1:3" x14ac:dyDescent="0.25">
      <c r="A12" t="s">
        <v>233</v>
      </c>
      <c r="B12" s="2">
        <f>4/4</f>
        <v>1</v>
      </c>
      <c r="C12" s="2">
        <f>0/4</f>
        <v>0</v>
      </c>
    </row>
    <row r="13" spans="1:3" x14ac:dyDescent="0.25">
      <c r="A13" t="s">
        <v>425</v>
      </c>
      <c r="B13" s="2">
        <f>6/6</f>
        <v>1</v>
      </c>
      <c r="C13" s="2">
        <f>0/6</f>
        <v>0</v>
      </c>
    </row>
    <row r="14" spans="1:3" x14ac:dyDescent="0.25">
      <c r="A14" t="s">
        <v>727</v>
      </c>
      <c r="B14" s="2">
        <f>5/5</f>
        <v>1</v>
      </c>
      <c r="C14" s="2">
        <f>1/5</f>
        <v>0.2</v>
      </c>
    </row>
    <row r="15" spans="1:3" x14ac:dyDescent="0.25">
      <c r="A15" t="s">
        <v>83</v>
      </c>
      <c r="B15" s="2">
        <f>4/4</f>
        <v>1</v>
      </c>
      <c r="C15" s="2">
        <f>0/4</f>
        <v>0</v>
      </c>
    </row>
    <row r="16" spans="1:3" x14ac:dyDescent="0.25">
      <c r="A16" t="s">
        <v>204</v>
      </c>
      <c r="B16" s="2">
        <f>21/21</f>
        <v>1</v>
      </c>
      <c r="C16" s="2">
        <f>2/21</f>
        <v>9.5238095238095233E-2</v>
      </c>
    </row>
    <row r="17" spans="1:3" x14ac:dyDescent="0.25">
      <c r="A17" t="s">
        <v>319</v>
      </c>
      <c r="B17" s="2">
        <f>4/4</f>
        <v>1</v>
      </c>
      <c r="C17" s="2">
        <f>2/4</f>
        <v>0.5</v>
      </c>
    </row>
    <row r="18" spans="1:3" x14ac:dyDescent="0.25">
      <c r="A18" t="s">
        <v>245</v>
      </c>
      <c r="B18" s="2">
        <f>7/8</f>
        <v>0.875</v>
      </c>
      <c r="C18" s="2">
        <f>4/8</f>
        <v>0.5</v>
      </c>
    </row>
    <row r="19" spans="1:3" x14ac:dyDescent="0.25">
      <c r="A19" t="s">
        <v>408</v>
      </c>
      <c r="B19" s="2">
        <f>2/2</f>
        <v>1</v>
      </c>
      <c r="C19" s="2">
        <f>0/2</f>
        <v>0</v>
      </c>
    </row>
    <row r="20" spans="1:3" x14ac:dyDescent="0.25">
      <c r="A20" t="s">
        <v>1915</v>
      </c>
      <c r="B20" s="2">
        <f>1/1</f>
        <v>1</v>
      </c>
      <c r="C20" s="2">
        <f>1/1</f>
        <v>1</v>
      </c>
    </row>
    <row r="21" spans="1:3" x14ac:dyDescent="0.25">
      <c r="A21" t="s">
        <v>658</v>
      </c>
      <c r="B21" s="2">
        <f>3/4</f>
        <v>0.75</v>
      </c>
      <c r="C21" s="2">
        <f>1/4</f>
        <v>0.25</v>
      </c>
    </row>
    <row r="22" spans="1:3" x14ac:dyDescent="0.25">
      <c r="A22" t="s">
        <v>198</v>
      </c>
      <c r="B22" s="2">
        <f>6/7</f>
        <v>0.8571428571428571</v>
      </c>
      <c r="C22" s="2">
        <f>2/7</f>
        <v>0.2857142857142857</v>
      </c>
    </row>
    <row r="23" spans="1:3" x14ac:dyDescent="0.25">
      <c r="A23" t="s">
        <v>278</v>
      </c>
      <c r="B23" s="2">
        <f>5/5</f>
        <v>1</v>
      </c>
      <c r="C23" s="2">
        <f>1/5</f>
        <v>0.2</v>
      </c>
    </row>
    <row r="24" spans="1:3" x14ac:dyDescent="0.25">
      <c r="A24" t="s">
        <v>253</v>
      </c>
      <c r="B24" s="2">
        <f>4/4</f>
        <v>1</v>
      </c>
      <c r="C24" s="2">
        <f>2/4</f>
        <v>0.5</v>
      </c>
    </row>
    <row r="25" spans="1:3" x14ac:dyDescent="0.25">
      <c r="A25" t="s">
        <v>93</v>
      </c>
      <c r="B25" s="2">
        <f>4/4</f>
        <v>1</v>
      </c>
      <c r="C25" s="2">
        <f>0/4</f>
        <v>0</v>
      </c>
    </row>
    <row r="26" spans="1:3" x14ac:dyDescent="0.25">
      <c r="A26" t="s">
        <v>1916</v>
      </c>
      <c r="B26" s="2">
        <f>5/5</f>
        <v>1</v>
      </c>
      <c r="C26" s="2">
        <f>1/5</f>
        <v>0.2</v>
      </c>
    </row>
    <row r="27" spans="1:3" x14ac:dyDescent="0.25">
      <c r="A27" t="s">
        <v>991</v>
      </c>
      <c r="B27" s="2">
        <f>3/3</f>
        <v>1</v>
      </c>
      <c r="C27" s="2">
        <f>0/3</f>
        <v>0</v>
      </c>
    </row>
    <row r="28" spans="1:3" x14ac:dyDescent="0.25">
      <c r="A28" t="s">
        <v>998</v>
      </c>
      <c r="B28" s="2">
        <f>5/5</f>
        <v>1</v>
      </c>
      <c r="C28" s="2">
        <f>3/5</f>
        <v>0.6</v>
      </c>
    </row>
    <row r="29" spans="1:3" x14ac:dyDescent="0.25">
      <c r="A29" t="s">
        <v>952</v>
      </c>
      <c r="B29" s="2">
        <f>4/4</f>
        <v>1</v>
      </c>
      <c r="C29" s="2">
        <f>0/4</f>
        <v>0</v>
      </c>
    </row>
    <row r="30" spans="1:3" x14ac:dyDescent="0.25">
      <c r="A30" t="s">
        <v>1691</v>
      </c>
      <c r="B30" s="2">
        <f>3/4</f>
        <v>0.75</v>
      </c>
      <c r="C30" s="2">
        <f>1/4</f>
        <v>0.25</v>
      </c>
    </row>
    <row r="31" spans="1:3" x14ac:dyDescent="0.25">
      <c r="A31" t="s">
        <v>284</v>
      </c>
      <c r="B31" s="2">
        <f>3/3</f>
        <v>1</v>
      </c>
      <c r="C31" s="2">
        <f>0/3</f>
        <v>0</v>
      </c>
    </row>
    <row r="32" spans="1:3" x14ac:dyDescent="0.25">
      <c r="A32" t="s">
        <v>299</v>
      </c>
      <c r="B32" s="2">
        <f>15/15</f>
        <v>1</v>
      </c>
      <c r="C32" s="2">
        <f>9/15</f>
        <v>0.6</v>
      </c>
    </row>
    <row r="33" spans="1:3" x14ac:dyDescent="0.25">
      <c r="A33" t="s">
        <v>1028</v>
      </c>
      <c r="B33" s="2">
        <f>3/3</f>
        <v>1</v>
      </c>
      <c r="C33" s="2">
        <f>0/3</f>
        <v>0</v>
      </c>
    </row>
    <row r="34" spans="1:3" x14ac:dyDescent="0.25">
      <c r="A34" t="s">
        <v>715</v>
      </c>
      <c r="B34" s="2">
        <f>4/4</f>
        <v>1</v>
      </c>
      <c r="C34" s="2">
        <f>3/4</f>
        <v>0.75</v>
      </c>
    </row>
    <row r="35" spans="1:3" x14ac:dyDescent="0.25">
      <c r="A35" t="s">
        <v>222</v>
      </c>
      <c r="B35" s="2">
        <f>7/8</f>
        <v>0.875</v>
      </c>
      <c r="C35" s="2">
        <f>2/8</f>
        <v>0.25</v>
      </c>
    </row>
    <row r="36" spans="1:3" x14ac:dyDescent="0.25">
      <c r="A36" t="s">
        <v>414</v>
      </c>
      <c r="B36" s="2">
        <f>3/3</f>
        <v>1</v>
      </c>
      <c r="C36" s="2">
        <f>0/3</f>
        <v>0</v>
      </c>
    </row>
    <row r="37" spans="1:3" x14ac:dyDescent="0.25">
      <c r="A37" t="s">
        <v>1917</v>
      </c>
      <c r="B37" s="2">
        <f>1/1</f>
        <v>1</v>
      </c>
      <c r="C37" s="2">
        <f>0/1</f>
        <v>0</v>
      </c>
    </row>
    <row r="38" spans="1:3" x14ac:dyDescent="0.25">
      <c r="A38" t="s">
        <v>1430</v>
      </c>
      <c r="B38" s="2">
        <f>1/1</f>
        <v>1</v>
      </c>
      <c r="C38" s="2">
        <f>1/1</f>
        <v>1</v>
      </c>
    </row>
    <row r="39" spans="1:3" x14ac:dyDescent="0.25">
      <c r="A39" t="s">
        <v>1918</v>
      </c>
      <c r="B39" s="2">
        <f>5/5</f>
        <v>1</v>
      </c>
      <c r="C39" s="2">
        <f>1/5</f>
        <v>0.2</v>
      </c>
    </row>
    <row r="40" spans="1:3" x14ac:dyDescent="0.25">
      <c r="A40" t="s">
        <v>109</v>
      </c>
      <c r="B40" s="2">
        <f>8/9</f>
        <v>0.88888888888888884</v>
      </c>
      <c r="C40" s="2">
        <f>1/9</f>
        <v>0.1111111111111111</v>
      </c>
    </row>
    <row r="41" spans="1:3" x14ac:dyDescent="0.25">
      <c r="A41" t="s">
        <v>334</v>
      </c>
      <c r="B41" s="2">
        <f>3/3</f>
        <v>1</v>
      </c>
      <c r="C41" s="2">
        <f>0/3</f>
        <v>0</v>
      </c>
    </row>
    <row r="42" spans="1:3" x14ac:dyDescent="0.25">
      <c r="A42" t="s">
        <v>743</v>
      </c>
      <c r="B42" s="2">
        <f>3/4</f>
        <v>0.75</v>
      </c>
      <c r="C42" s="2">
        <f>3/4</f>
        <v>0.75</v>
      </c>
    </row>
    <row r="43" spans="1:3" x14ac:dyDescent="0.25">
      <c r="A43" t="s">
        <v>325</v>
      </c>
      <c r="B43" s="2">
        <f>3/3</f>
        <v>1</v>
      </c>
      <c r="C43" s="2">
        <f>1/3</f>
        <v>0.33333333333333331</v>
      </c>
    </row>
    <row r="44" spans="1:3" x14ac:dyDescent="0.25">
      <c r="A44" t="s">
        <v>264</v>
      </c>
      <c r="B44" s="2">
        <f>4/5</f>
        <v>0.8</v>
      </c>
      <c r="C44" s="2">
        <f>3/5</f>
        <v>0.6</v>
      </c>
    </row>
    <row r="45" spans="1:3" x14ac:dyDescent="0.25">
      <c r="A45" t="s">
        <v>228</v>
      </c>
      <c r="B45" s="2">
        <f>4/5</f>
        <v>0.8</v>
      </c>
      <c r="C45" s="2">
        <f>1/5</f>
        <v>0.2</v>
      </c>
    </row>
    <row r="46" spans="1:3" x14ac:dyDescent="0.25">
      <c r="A46" t="s">
        <v>170</v>
      </c>
      <c r="B46" s="2">
        <f>5/5</f>
        <v>1</v>
      </c>
      <c r="C46" s="2">
        <f>2/5</f>
        <v>0.4</v>
      </c>
    </row>
    <row r="47" spans="1:3" x14ac:dyDescent="0.25">
      <c r="A47" t="s">
        <v>1919</v>
      </c>
      <c r="B47" s="2">
        <f>20/20</f>
        <v>1</v>
      </c>
      <c r="C47" s="2">
        <f>7/20</f>
        <v>0.35</v>
      </c>
    </row>
    <row r="48" spans="1:3" x14ac:dyDescent="0.25">
      <c r="A48" t="s">
        <v>987</v>
      </c>
      <c r="B48" s="2">
        <f>4/4</f>
        <v>1</v>
      </c>
      <c r="C48" s="2">
        <f>0/4</f>
        <v>0</v>
      </c>
    </row>
    <row r="49" spans="1:3" x14ac:dyDescent="0.25">
      <c r="A49" t="s">
        <v>191</v>
      </c>
      <c r="B49" s="2">
        <f>3/3</f>
        <v>1</v>
      </c>
      <c r="C49" s="2">
        <f>1/3</f>
        <v>0.33333333333333331</v>
      </c>
    </row>
    <row r="50" spans="1:3" x14ac:dyDescent="0.25">
      <c r="A50" t="s">
        <v>1054</v>
      </c>
      <c r="B50" s="2">
        <f>3/3</f>
        <v>1</v>
      </c>
      <c r="C50" s="2">
        <f>0/3</f>
        <v>0</v>
      </c>
    </row>
    <row r="51" spans="1:3" x14ac:dyDescent="0.25">
      <c r="A51" t="s">
        <v>1935</v>
      </c>
      <c r="B51" s="2">
        <f>256/270</f>
        <v>0.94814814814814818</v>
      </c>
      <c r="C51" s="2">
        <f>92/270</f>
        <v>0.34074074074074073</v>
      </c>
    </row>
    <row r="52" spans="1:3" x14ac:dyDescent="0.25">
      <c r="B52" s="2"/>
      <c r="C52" s="2"/>
    </row>
    <row r="53" spans="1:3" x14ac:dyDescent="0.25">
      <c r="A53" s="5" t="s">
        <v>1930</v>
      </c>
      <c r="B53" s="7" t="s">
        <v>1952</v>
      </c>
      <c r="C53" s="7" t="s">
        <v>1953</v>
      </c>
    </row>
    <row r="54" spans="1:3" x14ac:dyDescent="0.25">
      <c r="A54" t="s">
        <v>1920</v>
      </c>
      <c r="B54" s="2">
        <f>26/29</f>
        <v>0.89655172413793105</v>
      </c>
      <c r="C54" s="2">
        <f>12/29</f>
        <v>0.41379310344827586</v>
      </c>
    </row>
    <row r="55" spans="1:3" x14ac:dyDescent="0.25">
      <c r="A55" t="s">
        <v>1921</v>
      </c>
      <c r="B55" s="2">
        <f>11/12</f>
        <v>0.91666666666666663</v>
      </c>
      <c r="C55" s="2">
        <f>1/12</f>
        <v>8.3333333333333329E-2</v>
      </c>
    </row>
    <row r="56" spans="1:3" x14ac:dyDescent="0.25">
      <c r="A56" t="s">
        <v>734</v>
      </c>
      <c r="B56" s="2">
        <f>5/5</f>
        <v>1</v>
      </c>
      <c r="C56" s="2">
        <f>1/5</f>
        <v>0.2</v>
      </c>
    </row>
    <row r="57" spans="1:3" x14ac:dyDescent="0.25">
      <c r="A57" t="s">
        <v>1922</v>
      </c>
      <c r="B57" s="2">
        <f>10/10</f>
        <v>1</v>
      </c>
      <c r="C57" s="2">
        <f>4/10</f>
        <v>0.4</v>
      </c>
    </row>
    <row r="58" spans="1:3" x14ac:dyDescent="0.25">
      <c r="A58" t="s">
        <v>83</v>
      </c>
      <c r="B58" s="2">
        <f>4/4</f>
        <v>1</v>
      </c>
      <c r="C58" s="2">
        <f>0/4</f>
        <v>0</v>
      </c>
    </row>
    <row r="59" spans="1:3" x14ac:dyDescent="0.25">
      <c r="A59" t="s">
        <v>1923</v>
      </c>
      <c r="B59" s="2">
        <f>17/17</f>
        <v>1</v>
      </c>
      <c r="C59" s="2">
        <f>5/17</f>
        <v>0.29411764705882354</v>
      </c>
    </row>
    <row r="60" spans="1:3" x14ac:dyDescent="0.25">
      <c r="A60" t="s">
        <v>1924</v>
      </c>
      <c r="B60" s="2">
        <f>38/39</f>
        <v>0.97435897435897434</v>
      </c>
      <c r="C60" s="2">
        <f>4/39</f>
        <v>0.10256410256410256</v>
      </c>
    </row>
    <row r="61" spans="1:3" x14ac:dyDescent="0.25">
      <c r="A61" t="s">
        <v>1925</v>
      </c>
      <c r="B61" s="2">
        <f>27/33</f>
        <v>0.81818181818181823</v>
      </c>
      <c r="C61" s="2">
        <f>18/33</f>
        <v>0.54545454545454541</v>
      </c>
    </row>
    <row r="62" spans="1:3" x14ac:dyDescent="0.25">
      <c r="A62" t="s">
        <v>1926</v>
      </c>
      <c r="B62" s="2">
        <f>53/54</f>
        <v>0.98148148148148151</v>
      </c>
      <c r="C62" s="2">
        <f>14/54</f>
        <v>0.25925925925925924</v>
      </c>
    </row>
    <row r="63" spans="1:3" x14ac:dyDescent="0.25">
      <c r="A63" t="s">
        <v>1927</v>
      </c>
      <c r="B63" s="2">
        <f>10/10</f>
        <v>1</v>
      </c>
      <c r="C63" s="2">
        <f>0/10</f>
        <v>0</v>
      </c>
    </row>
    <row r="64" spans="1:3" x14ac:dyDescent="0.25">
      <c r="A64" t="s">
        <v>1928</v>
      </c>
      <c r="B64" s="2">
        <f>14/15</f>
        <v>0.93333333333333335</v>
      </c>
      <c r="C64" s="2">
        <f>5/15</f>
        <v>0.33333333333333331</v>
      </c>
    </row>
    <row r="65" spans="1:3" x14ac:dyDescent="0.25">
      <c r="A65" t="s">
        <v>131</v>
      </c>
      <c r="B65" s="2">
        <f>5/5</f>
        <v>1</v>
      </c>
      <c r="C65" s="2">
        <f>1/5</f>
        <v>0.2</v>
      </c>
    </row>
    <row r="66" spans="1:3" x14ac:dyDescent="0.25">
      <c r="A66" t="s">
        <v>299</v>
      </c>
      <c r="B66" s="2">
        <f>15/15</f>
        <v>1</v>
      </c>
      <c r="C66" s="2">
        <f>9/15</f>
        <v>0.6</v>
      </c>
    </row>
    <row r="67" spans="1:3" x14ac:dyDescent="0.25">
      <c r="A67" t="s">
        <v>715</v>
      </c>
      <c r="B67" s="2">
        <f>4/4</f>
        <v>1</v>
      </c>
      <c r="C67" s="2">
        <f>3/14</f>
        <v>0.21428571428571427</v>
      </c>
    </row>
    <row r="68" spans="1:3" x14ac:dyDescent="0.25">
      <c r="A68" t="s">
        <v>222</v>
      </c>
      <c r="B68" s="2">
        <f>7/8</f>
        <v>0.875</v>
      </c>
      <c r="C68" s="2">
        <f>2/8</f>
        <v>0.25</v>
      </c>
    </row>
    <row r="69" spans="1:3" x14ac:dyDescent="0.25">
      <c r="A69" t="s">
        <v>1929</v>
      </c>
      <c r="B69" s="2">
        <f>5/5</f>
        <v>1</v>
      </c>
      <c r="C69" s="2">
        <f>5/5</f>
        <v>1</v>
      </c>
    </row>
    <row r="71" spans="1:3" x14ac:dyDescent="0.25">
      <c r="A71" s="5" t="s">
        <v>1992</v>
      </c>
      <c r="B71" s="5" t="s">
        <v>1952</v>
      </c>
      <c r="C71" s="5" t="s">
        <v>1953</v>
      </c>
    </row>
    <row r="72" spans="1:3" x14ac:dyDescent="0.25">
      <c r="A72" t="s">
        <v>1993</v>
      </c>
      <c r="B72" s="2">
        <f>146/151</f>
        <v>0.9668874172185431</v>
      </c>
      <c r="C72" s="2">
        <f>15/151</f>
        <v>9.9337748344370855E-2</v>
      </c>
    </row>
    <row r="73" spans="1:3" x14ac:dyDescent="0.25">
      <c r="A73" t="s">
        <v>1990</v>
      </c>
      <c r="B73" s="2">
        <f>27/30</f>
        <v>0.9</v>
      </c>
      <c r="C73" s="2">
        <f>11/30</f>
        <v>0.36666666666666664</v>
      </c>
    </row>
    <row r="74" spans="1:3" x14ac:dyDescent="0.25">
      <c r="A74" t="s">
        <v>1991</v>
      </c>
      <c r="B74" s="2">
        <f>79/85</f>
        <v>0.92941176470588238</v>
      </c>
      <c r="C74" s="2">
        <f>58/85</f>
        <v>0.68235294117647061</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19</vt:i4>
      </vt:variant>
    </vt:vector>
  </HeadingPairs>
  <TitlesOfParts>
    <vt:vector size="19" baseType="lpstr">
      <vt:lpstr>ResultadosEncuestaPlenos09_06_2</vt:lpstr>
      <vt:lpstr>Pregunta 5</vt:lpstr>
      <vt:lpstr>Pregunta 6</vt:lpstr>
      <vt:lpstr>Pregunta 7</vt:lpstr>
      <vt:lpstr>Pregunta 8</vt:lpstr>
      <vt:lpstr>Pregunta 9</vt:lpstr>
      <vt:lpstr>Pregunta 10</vt:lpstr>
      <vt:lpstr>Pregunta11</vt:lpstr>
      <vt:lpstr>Pregunta 12</vt:lpstr>
      <vt:lpstr>Pregunta 13</vt:lpstr>
      <vt:lpstr>Pregunta 14</vt:lpstr>
      <vt:lpstr>Pregunta 15</vt:lpstr>
      <vt:lpstr>Pregunta 16</vt:lpstr>
      <vt:lpstr>Pregunta 17</vt:lpstr>
      <vt:lpstr>Pregunta 18</vt:lpstr>
      <vt:lpstr>Pregunta 19</vt:lpstr>
      <vt:lpstr>Pregunta 20</vt:lpstr>
      <vt:lpstr>Pregunta 21</vt:lpstr>
      <vt:lpstr>Pregunta 22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rober</cp:lastModifiedBy>
  <dcterms:created xsi:type="dcterms:W3CDTF">2018-06-09T20:23:58Z</dcterms:created>
  <dcterms:modified xsi:type="dcterms:W3CDTF">2019-12-02T00:28:14Z</dcterms:modified>
</cp:coreProperties>
</file>