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codeName="ThisWorkbook" defaultThemeVersion="166925"/>
  <mc:AlternateContent xmlns:mc="http://schemas.openxmlformats.org/markup-compatibility/2006">
    <mc:Choice Requires="x15">
      <x15ac:absPath xmlns:x15ac="http://schemas.microsoft.com/office/spreadsheetml/2010/11/ac" url="M:\UAI\5to\TFI\Final Piombi\Documentos\"/>
    </mc:Choice>
  </mc:AlternateContent>
  <xr:revisionPtr revIDLastSave="0" documentId="13_ncr:1_{A1D810B7-2CD7-4E1F-8B2A-0EA127F54649}" xr6:coauthVersionLast="46" xr6:coauthVersionMax="46" xr10:uidLastSave="{00000000-0000-0000-0000-000000000000}"/>
  <bookViews>
    <workbookView xWindow="-120" yWindow="-120" windowWidth="29040" windowHeight="15840" tabRatio="986" xr2:uid="{00000000-000D-0000-FFFF-FFFF00000000}"/>
  </bookViews>
  <sheets>
    <sheet name="Portada" sheetId="1" r:id="rId1"/>
    <sheet name="Indice" sheetId="2" r:id="rId2"/>
    <sheet name="Hipótesis" sheetId="3" r:id="rId3"/>
    <sheet name="Proy. ventas" sheetId="20" r:id="rId4"/>
    <sheet name="Anexo capacidad operativa" sheetId="34" r:id="rId5"/>
    <sheet name="Mod. ingresos" sheetId="26" r:id="rId6"/>
    <sheet name="Costos fijos" sheetId="22" r:id="rId7"/>
    <sheet name="Costos variables" sheetId="27" r:id="rId8"/>
    <sheet name="Costos RRHH" sheetId="25" r:id="rId9"/>
    <sheet name="Mod. egresos" sheetId="24" r:id="rId10"/>
    <sheet name="Mod. inversión" sheetId="23" r:id="rId11"/>
    <sheet name="Amortizaciones" sheetId="19" r:id="rId12"/>
    <sheet name="Presupuesto financiero" sheetId="21" r:id="rId13"/>
    <sheet name="Matriz riesgo" sheetId="18" r:id="rId14"/>
    <sheet name="Escenario 1" sheetId="29" r:id="rId15"/>
    <sheet name="Escenario 2" sheetId="37" r:id="rId16"/>
    <sheet name="Escenario 3" sheetId="38" r:id="rId17"/>
    <sheet name="Plan de contingencia" sheetId="30" r:id="rId18"/>
    <sheet name="Hoja auxiliar" sheetId="33" r:id="rId19"/>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5" i="29" l="1"/>
  <c r="H35" i="38" l="1"/>
  <c r="H35" i="37"/>
  <c r="K15" i="38"/>
  <c r="K11" i="38"/>
  <c r="K7" i="38"/>
  <c r="K15" i="37"/>
  <c r="K11" i="37"/>
  <c r="K10" i="37"/>
  <c r="K7" i="37"/>
  <c r="N23" i="30"/>
  <c r="M23" i="30"/>
  <c r="O28" i="30"/>
  <c r="O29" i="30"/>
  <c r="N39" i="30"/>
  <c r="P39" i="30" s="1"/>
  <c r="N38" i="30"/>
  <c r="P38" i="30" s="1"/>
  <c r="N37" i="30"/>
  <c r="P37" i="30" s="1"/>
  <c r="N36" i="30"/>
  <c r="P36" i="30" s="1"/>
  <c r="N35" i="30"/>
  <c r="P35" i="30" s="1"/>
  <c r="N34" i="30"/>
  <c r="P34" i="30" s="1"/>
  <c r="N33" i="30"/>
  <c r="P33" i="30" s="1"/>
  <c r="N32" i="30"/>
  <c r="P32" i="30" s="1"/>
  <c r="N31" i="30"/>
  <c r="P31" i="30" s="1"/>
  <c r="N30" i="30"/>
  <c r="P30" i="30" s="1"/>
  <c r="H35" i="30"/>
  <c r="K35" i="30" s="1"/>
  <c r="K15" i="29"/>
  <c r="C14" i="30" s="1"/>
  <c r="K11" i="29"/>
  <c r="C10" i="30" s="1"/>
  <c r="K7" i="29"/>
  <c r="C6" i="30" s="1"/>
  <c r="P57" i="22"/>
  <c r="P39" i="22"/>
  <c r="E27" i="23"/>
  <c r="E28" i="23"/>
  <c r="E29" i="23"/>
  <c r="E30" i="23"/>
  <c r="E31" i="23"/>
  <c r="E32" i="23"/>
  <c r="E35" i="23" l="1"/>
  <c r="H5" i="23" s="1"/>
  <c r="K21" i="21" s="1"/>
  <c r="G20" i="19"/>
  <c r="M20" i="19" s="1"/>
  <c r="J25" i="19"/>
  <c r="M25" i="19" s="1"/>
  <c r="I24" i="19"/>
  <c r="M24" i="19" s="1"/>
  <c r="G23" i="19"/>
  <c r="L23" i="19" s="1"/>
  <c r="J22" i="19"/>
  <c r="M22" i="19" s="1"/>
  <c r="I21" i="19"/>
  <c r="M21" i="19" s="1"/>
  <c r="J19" i="19"/>
  <c r="M19" i="19" s="1"/>
  <c r="I18" i="19"/>
  <c r="L18" i="19" s="1"/>
  <c r="G17" i="19"/>
  <c r="K17" i="19" s="1"/>
  <c r="I15" i="19"/>
  <c r="M15" i="19" s="1"/>
  <c r="J16" i="19"/>
  <c r="M16" i="19" s="1"/>
  <c r="G14" i="19"/>
  <c r="M14" i="19" s="1"/>
  <c r="I12" i="19"/>
  <c r="M12" i="19" s="1"/>
  <c r="E54" i="23"/>
  <c r="E55" i="23"/>
  <c r="E56" i="23"/>
  <c r="E57" i="23"/>
  <c r="E58" i="23"/>
  <c r="E53" i="23"/>
  <c r="E41" i="23"/>
  <c r="E42" i="23"/>
  <c r="E43" i="23"/>
  <c r="E44" i="23"/>
  <c r="E45" i="23"/>
  <c r="E40" i="23"/>
  <c r="E21" i="21" l="1"/>
  <c r="F20" i="37"/>
  <c r="F20" i="38"/>
  <c r="E48" i="23"/>
  <c r="K20" i="19"/>
  <c r="L20" i="19"/>
  <c r="K23" i="19"/>
  <c r="M23" i="19"/>
  <c r="L24" i="19"/>
  <c r="K14" i="19"/>
  <c r="L21" i="19"/>
  <c r="L14" i="19"/>
  <c r="L17" i="19"/>
  <c r="M17" i="19"/>
  <c r="M18" i="19"/>
  <c r="L15" i="19"/>
  <c r="L12" i="19"/>
  <c r="F32" i="38" l="1"/>
  <c r="F32" i="37"/>
  <c r="W71" i="27"/>
  <c r="U71" i="27"/>
  <c r="S71" i="27"/>
  <c r="M71" i="27"/>
  <c r="K71" i="27"/>
  <c r="I71" i="27"/>
  <c r="G71" i="27"/>
  <c r="AB70" i="27"/>
  <c r="AA69" i="27"/>
  <c r="E69" i="27"/>
  <c r="O69" i="27" s="1"/>
  <c r="AA68" i="27"/>
  <c r="E68" i="27"/>
  <c r="Y68" i="27" s="1"/>
  <c r="AB67" i="27"/>
  <c r="W57" i="27"/>
  <c r="U57" i="27"/>
  <c r="S57" i="27"/>
  <c r="M57" i="27"/>
  <c r="K57" i="27"/>
  <c r="I57" i="27"/>
  <c r="G57" i="27"/>
  <c r="AB56" i="27"/>
  <c r="AA55" i="27"/>
  <c r="E55" i="27"/>
  <c r="O55" i="27" s="1"/>
  <c r="AA54" i="27"/>
  <c r="E54" i="27"/>
  <c r="O54" i="27" s="1"/>
  <c r="AB53" i="27"/>
  <c r="Y69" i="27" l="1"/>
  <c r="AA71" i="27"/>
  <c r="Q69" i="27"/>
  <c r="AB69" i="27"/>
  <c r="Y71" i="27"/>
  <c r="O68" i="27"/>
  <c r="Q68" i="27"/>
  <c r="E71" i="27"/>
  <c r="Q55" i="27"/>
  <c r="AA57" i="27"/>
  <c r="Y55" i="27"/>
  <c r="O57" i="27"/>
  <c r="Y54" i="27"/>
  <c r="Q54" i="27"/>
  <c r="E57" i="27"/>
  <c r="W43" i="27"/>
  <c r="U43" i="27"/>
  <c r="S43" i="27"/>
  <c r="M43" i="27"/>
  <c r="K43" i="27"/>
  <c r="I43" i="27"/>
  <c r="G43" i="27"/>
  <c r="E26" i="27"/>
  <c r="E16" i="27"/>
  <c r="E25" i="27"/>
  <c r="E15" i="27"/>
  <c r="E24" i="27"/>
  <c r="E14" i="27"/>
  <c r="E23" i="27"/>
  <c r="E13" i="27"/>
  <c r="C140" i="20"/>
  <c r="C141" i="20"/>
  <c r="C142" i="20"/>
  <c r="C143" i="20"/>
  <c r="C144" i="20"/>
  <c r="C145" i="20"/>
  <c r="C146" i="20"/>
  <c r="C147" i="20"/>
  <c r="C148" i="20"/>
  <c r="C149" i="20"/>
  <c r="C150" i="20"/>
  <c r="C139" i="20"/>
  <c r="C81" i="20"/>
  <c r="C82" i="20"/>
  <c r="C83" i="20"/>
  <c r="C84" i="20"/>
  <c r="C85" i="20"/>
  <c r="C86" i="20"/>
  <c r="C87" i="20"/>
  <c r="C88" i="20"/>
  <c r="C89" i="20"/>
  <c r="C90" i="20"/>
  <c r="C91" i="20"/>
  <c r="C80" i="20"/>
  <c r="C68" i="25"/>
  <c r="E68" i="25"/>
  <c r="G68" i="25"/>
  <c r="I68" i="25"/>
  <c r="K68" i="25"/>
  <c r="M68" i="25"/>
  <c r="O68" i="25"/>
  <c r="Q68" i="25"/>
  <c r="S68" i="25"/>
  <c r="U68" i="25"/>
  <c r="W68" i="25"/>
  <c r="Y68" i="25"/>
  <c r="O71" i="27" l="1"/>
  <c r="Q71" i="27"/>
  <c r="AB71" i="27" s="1"/>
  <c r="AB68" i="27"/>
  <c r="AB55" i="27"/>
  <c r="AB54" i="27"/>
  <c r="Q57" i="27"/>
  <c r="Y57" i="27"/>
  <c r="P15" i="22"/>
  <c r="AB57" i="27" l="1"/>
  <c r="E32" i="34"/>
  <c r="E31" i="34"/>
  <c r="E30" i="34"/>
  <c r="C35" i="20"/>
  <c r="C34" i="20"/>
  <c r="C33" i="20"/>
  <c r="C32" i="20"/>
  <c r="C155" i="20"/>
  <c r="C154" i="20"/>
  <c r="C153" i="20"/>
  <c r="C152" i="20"/>
  <c r="C96" i="20"/>
  <c r="C93" i="20" l="1"/>
  <c r="C94" i="20"/>
  <c r="C95" i="20"/>
  <c r="B18" i="26"/>
  <c r="B19" i="26"/>
  <c r="B20" i="26"/>
  <c r="B21" i="26"/>
  <c r="B22" i="26"/>
  <c r="B23" i="26"/>
  <c r="B24" i="26"/>
  <c r="B25" i="26"/>
  <c r="B26" i="26"/>
  <c r="B27" i="26"/>
  <c r="B28" i="26"/>
  <c r="B17" i="26"/>
  <c r="A150" i="20"/>
  <c r="A149" i="20"/>
  <c r="A148" i="20"/>
  <c r="A147" i="20"/>
  <c r="A146" i="20"/>
  <c r="A145" i="20"/>
  <c r="A144" i="20"/>
  <c r="A143" i="20"/>
  <c r="A142" i="20"/>
  <c r="A141" i="20"/>
  <c r="A140" i="20"/>
  <c r="A139" i="20"/>
  <c r="A91" i="20"/>
  <c r="A90" i="20"/>
  <c r="A89" i="20"/>
  <c r="A88" i="20"/>
  <c r="A87" i="20"/>
  <c r="A86" i="20"/>
  <c r="A85" i="20"/>
  <c r="A84" i="20"/>
  <c r="A83" i="20"/>
  <c r="A82" i="20"/>
  <c r="A81" i="20"/>
  <c r="A80" i="20"/>
  <c r="A20" i="20"/>
  <c r="A21" i="20"/>
  <c r="A22" i="20"/>
  <c r="A23" i="20"/>
  <c r="A24" i="20"/>
  <c r="A25" i="20"/>
  <c r="A26" i="20"/>
  <c r="A27" i="20"/>
  <c r="A28" i="20"/>
  <c r="A29" i="20"/>
  <c r="A30" i="20"/>
  <c r="A19" i="20"/>
  <c r="AA81" i="20" l="1"/>
  <c r="AA82" i="20"/>
  <c r="AA83" i="20"/>
  <c r="AA84" i="20"/>
  <c r="AA85" i="20"/>
  <c r="AA86" i="20"/>
  <c r="AA87" i="20"/>
  <c r="AA88" i="20"/>
  <c r="AA89" i="20"/>
  <c r="AA90" i="20"/>
  <c r="AA91" i="20"/>
  <c r="AA80" i="20"/>
  <c r="Y81" i="20"/>
  <c r="Y82" i="20"/>
  <c r="Y83" i="20"/>
  <c r="Y84" i="20"/>
  <c r="Y85" i="20"/>
  <c r="Y86" i="20"/>
  <c r="Y87" i="20"/>
  <c r="Y88" i="20"/>
  <c r="Y89" i="20"/>
  <c r="Y90" i="20"/>
  <c r="Y91" i="20"/>
  <c r="Y80" i="20"/>
  <c r="W81" i="20"/>
  <c r="W82" i="20"/>
  <c r="W83" i="20"/>
  <c r="W84" i="20"/>
  <c r="W85" i="20"/>
  <c r="W86" i="20"/>
  <c r="W87" i="20"/>
  <c r="W88" i="20"/>
  <c r="W89" i="20"/>
  <c r="W90" i="20"/>
  <c r="W91" i="20"/>
  <c r="W80" i="20"/>
  <c r="U81" i="20"/>
  <c r="U82" i="20"/>
  <c r="U83" i="20"/>
  <c r="U84" i="20"/>
  <c r="U85" i="20"/>
  <c r="U86" i="20"/>
  <c r="U87" i="20"/>
  <c r="U88" i="20"/>
  <c r="U89" i="20"/>
  <c r="U90" i="20"/>
  <c r="U91" i="20"/>
  <c r="U80" i="20"/>
  <c r="S81" i="20"/>
  <c r="S82" i="20"/>
  <c r="S83" i="20"/>
  <c r="S84" i="20"/>
  <c r="S85" i="20"/>
  <c r="S86" i="20"/>
  <c r="S87" i="20"/>
  <c r="S88" i="20"/>
  <c r="S89" i="20"/>
  <c r="S90" i="20"/>
  <c r="S91" i="20"/>
  <c r="S80" i="20"/>
  <c r="Q81" i="20"/>
  <c r="Q82" i="20"/>
  <c r="Q83" i="20"/>
  <c r="Q84" i="20"/>
  <c r="Q85" i="20"/>
  <c r="Q86" i="20"/>
  <c r="Q87" i="20"/>
  <c r="Q88" i="20"/>
  <c r="Q89" i="20"/>
  <c r="Q90" i="20"/>
  <c r="Q91" i="20"/>
  <c r="Q80" i="20"/>
  <c r="O81" i="20"/>
  <c r="O82" i="20"/>
  <c r="O83" i="20"/>
  <c r="O84" i="20"/>
  <c r="O85" i="20"/>
  <c r="O86" i="20"/>
  <c r="O87" i="20"/>
  <c r="O88" i="20"/>
  <c r="O89" i="20"/>
  <c r="O90" i="20"/>
  <c r="O91" i="20"/>
  <c r="O80" i="20"/>
  <c r="M81" i="20"/>
  <c r="M82" i="20"/>
  <c r="M83" i="20"/>
  <c r="M84" i="20"/>
  <c r="M85" i="20"/>
  <c r="M86" i="20"/>
  <c r="M87" i="20"/>
  <c r="M88" i="20"/>
  <c r="M89" i="20"/>
  <c r="M90" i="20"/>
  <c r="M91" i="20"/>
  <c r="M80" i="20"/>
  <c r="K81" i="20"/>
  <c r="K82" i="20"/>
  <c r="K83" i="20"/>
  <c r="K84" i="20"/>
  <c r="K85" i="20"/>
  <c r="K86" i="20"/>
  <c r="K87" i="20"/>
  <c r="K88" i="20"/>
  <c r="K89" i="20"/>
  <c r="K90" i="20"/>
  <c r="K91" i="20"/>
  <c r="K80" i="20"/>
  <c r="I81" i="20"/>
  <c r="I82" i="20"/>
  <c r="I83" i="20"/>
  <c r="I84" i="20"/>
  <c r="I85" i="20"/>
  <c r="I86" i="20"/>
  <c r="I87" i="20"/>
  <c r="I88" i="20"/>
  <c r="I89" i="20"/>
  <c r="I90" i="20"/>
  <c r="I91" i="20"/>
  <c r="I80" i="20"/>
  <c r="G81" i="20"/>
  <c r="G82" i="20"/>
  <c r="G83" i="20"/>
  <c r="G84" i="20"/>
  <c r="G85" i="20"/>
  <c r="G86" i="20"/>
  <c r="G87" i="20"/>
  <c r="G88" i="20"/>
  <c r="G89" i="20"/>
  <c r="G90" i="20"/>
  <c r="G91" i="20"/>
  <c r="G80" i="20"/>
  <c r="E81" i="20"/>
  <c r="E82" i="20"/>
  <c r="E83" i="20"/>
  <c r="E84" i="20"/>
  <c r="E85" i="20"/>
  <c r="E86" i="20"/>
  <c r="E87" i="20"/>
  <c r="E88" i="20"/>
  <c r="E89" i="20"/>
  <c r="E90" i="20"/>
  <c r="E80" i="20"/>
  <c r="AA140" i="20"/>
  <c r="AA141" i="20"/>
  <c r="AA142" i="20"/>
  <c r="AA143" i="20"/>
  <c r="AA144" i="20"/>
  <c r="AA145" i="20"/>
  <c r="AA146" i="20"/>
  <c r="AA147" i="20"/>
  <c r="AA148" i="20"/>
  <c r="AA149" i="20"/>
  <c r="AA150" i="20"/>
  <c r="AA139" i="20"/>
  <c r="Y140" i="20"/>
  <c r="Y141" i="20"/>
  <c r="Y142" i="20"/>
  <c r="Y143" i="20"/>
  <c r="Y144" i="20"/>
  <c r="Y145" i="20"/>
  <c r="Y146" i="20"/>
  <c r="Y147" i="20"/>
  <c r="Y148" i="20"/>
  <c r="Y149" i="20"/>
  <c r="Y150" i="20"/>
  <c r="Y139" i="20"/>
  <c r="W140" i="20"/>
  <c r="W141" i="20"/>
  <c r="W142" i="20"/>
  <c r="W143" i="20"/>
  <c r="W144" i="20"/>
  <c r="W145" i="20"/>
  <c r="W146" i="20"/>
  <c r="W147" i="20"/>
  <c r="W148" i="20"/>
  <c r="W149" i="20"/>
  <c r="W150" i="20"/>
  <c r="W139" i="20"/>
  <c r="U140" i="20"/>
  <c r="U141" i="20"/>
  <c r="U142" i="20"/>
  <c r="U143" i="20"/>
  <c r="U144" i="20"/>
  <c r="U145" i="20"/>
  <c r="U146" i="20"/>
  <c r="U147" i="20"/>
  <c r="U148" i="20"/>
  <c r="U149" i="20"/>
  <c r="U150" i="20"/>
  <c r="U139" i="20"/>
  <c r="S140" i="20"/>
  <c r="S141" i="20"/>
  <c r="S142" i="20"/>
  <c r="S143" i="20"/>
  <c r="S144" i="20"/>
  <c r="S145" i="20"/>
  <c r="S146" i="20"/>
  <c r="S147" i="20"/>
  <c r="S148" i="20"/>
  <c r="S149" i="20"/>
  <c r="S150" i="20"/>
  <c r="S139" i="20"/>
  <c r="Q140" i="20"/>
  <c r="Q141" i="20"/>
  <c r="Q142" i="20"/>
  <c r="Q143" i="20"/>
  <c r="Q144" i="20"/>
  <c r="Q145" i="20"/>
  <c r="Q146" i="20"/>
  <c r="Q147" i="20"/>
  <c r="Q148" i="20"/>
  <c r="Q149" i="20"/>
  <c r="Q150" i="20"/>
  <c r="Q139" i="20"/>
  <c r="O140" i="20"/>
  <c r="O141" i="20"/>
  <c r="O142" i="20"/>
  <c r="O143" i="20"/>
  <c r="O144" i="20"/>
  <c r="O145" i="20"/>
  <c r="O146" i="20"/>
  <c r="O147" i="20"/>
  <c r="O148" i="20"/>
  <c r="O149" i="20"/>
  <c r="O150" i="20"/>
  <c r="O139" i="20"/>
  <c r="M140" i="20"/>
  <c r="M141" i="20"/>
  <c r="M142" i="20"/>
  <c r="M143" i="20"/>
  <c r="M144" i="20"/>
  <c r="M145" i="20"/>
  <c r="M146" i="20"/>
  <c r="M147" i="20"/>
  <c r="M148" i="20"/>
  <c r="M149" i="20"/>
  <c r="M150" i="20"/>
  <c r="M139" i="20"/>
  <c r="K140" i="20"/>
  <c r="K141" i="20"/>
  <c r="K142" i="20"/>
  <c r="K143" i="20"/>
  <c r="K144" i="20"/>
  <c r="K145" i="20"/>
  <c r="K146" i="20"/>
  <c r="K147" i="20"/>
  <c r="K148" i="20"/>
  <c r="K149" i="20"/>
  <c r="K150" i="20"/>
  <c r="K139" i="20"/>
  <c r="I140" i="20"/>
  <c r="I141" i="20"/>
  <c r="I142" i="20"/>
  <c r="I143" i="20"/>
  <c r="I144" i="20"/>
  <c r="I145" i="20"/>
  <c r="I146" i="20"/>
  <c r="I147" i="20"/>
  <c r="I148" i="20"/>
  <c r="I149" i="20"/>
  <c r="I150" i="20"/>
  <c r="I139" i="20"/>
  <c r="G140" i="20"/>
  <c r="G141" i="20"/>
  <c r="G142" i="20"/>
  <c r="G143" i="20"/>
  <c r="G144" i="20"/>
  <c r="G145" i="20"/>
  <c r="G146" i="20"/>
  <c r="G147" i="20"/>
  <c r="G148" i="20"/>
  <c r="G149" i="20"/>
  <c r="G150" i="20"/>
  <c r="G139" i="20"/>
  <c r="E140" i="20"/>
  <c r="E141" i="20"/>
  <c r="E142" i="20"/>
  <c r="E143" i="20"/>
  <c r="E144" i="20"/>
  <c r="E145" i="20"/>
  <c r="E146" i="20"/>
  <c r="E147" i="20"/>
  <c r="E148" i="20"/>
  <c r="E149" i="20"/>
  <c r="E150" i="20"/>
  <c r="E139" i="20"/>
  <c r="E95" i="20" l="1"/>
  <c r="C53" i="34" s="1"/>
  <c r="E155" i="20"/>
  <c r="C63" i="34" s="1"/>
  <c r="I155" i="20"/>
  <c r="G63" i="34" s="1"/>
  <c r="M155" i="20"/>
  <c r="K63" i="34" s="1"/>
  <c r="Q155" i="20"/>
  <c r="O63" i="34" s="1"/>
  <c r="U155" i="20"/>
  <c r="S63" i="34" s="1"/>
  <c r="Y155" i="20"/>
  <c r="W63" i="34" s="1"/>
  <c r="G155" i="20"/>
  <c r="E63" i="34" s="1"/>
  <c r="K155" i="20"/>
  <c r="I63" i="34" s="1"/>
  <c r="O155" i="20"/>
  <c r="M63" i="34" s="1"/>
  <c r="S155" i="20"/>
  <c r="Q63" i="34" s="1"/>
  <c r="W155" i="20"/>
  <c r="U63" i="34" s="1"/>
  <c r="AA155" i="20"/>
  <c r="Y63" i="34" s="1"/>
  <c r="I95" i="20"/>
  <c r="G53" i="34" s="1"/>
  <c r="M95" i="20"/>
  <c r="K53" i="34" s="1"/>
  <c r="E152" i="20"/>
  <c r="AA153" i="20"/>
  <c r="G153" i="20"/>
  <c r="K153" i="20"/>
  <c r="O153" i="20"/>
  <c r="S153" i="20"/>
  <c r="W153" i="20"/>
  <c r="E153" i="20"/>
  <c r="I153" i="20"/>
  <c r="M153" i="20"/>
  <c r="Q153" i="20"/>
  <c r="U153" i="20"/>
  <c r="Y153" i="20"/>
  <c r="G154" i="20"/>
  <c r="E62" i="34" s="1"/>
  <c r="K154" i="20"/>
  <c r="I62" i="34" s="1"/>
  <c r="O154" i="20"/>
  <c r="M62" i="34" s="1"/>
  <c r="S154" i="20"/>
  <c r="Q62" i="34" s="1"/>
  <c r="W154" i="20"/>
  <c r="U62" i="34" s="1"/>
  <c r="AA154" i="20"/>
  <c r="Y62" i="34" s="1"/>
  <c r="E154" i="20"/>
  <c r="C62" i="34" s="1"/>
  <c r="I154" i="20"/>
  <c r="G62" i="34" s="1"/>
  <c r="M154" i="20"/>
  <c r="K62" i="34" s="1"/>
  <c r="Q154" i="20"/>
  <c r="O62" i="34" s="1"/>
  <c r="U154" i="20"/>
  <c r="S62" i="34" s="1"/>
  <c r="Y154" i="20"/>
  <c r="W62" i="34" s="1"/>
  <c r="M152" i="20"/>
  <c r="U152" i="20"/>
  <c r="I152" i="20"/>
  <c r="Y152" i="20"/>
  <c r="G152" i="20"/>
  <c r="K152" i="20"/>
  <c r="O152" i="20"/>
  <c r="S152" i="20"/>
  <c r="W152" i="20"/>
  <c r="AA152" i="20"/>
  <c r="Q152" i="20"/>
  <c r="E93" i="20"/>
  <c r="Q95" i="20"/>
  <c r="O53" i="34" s="1"/>
  <c r="Y94" i="20"/>
  <c r="U94" i="20"/>
  <c r="E94" i="20"/>
  <c r="Q94" i="20"/>
  <c r="I94" i="20"/>
  <c r="M94" i="20"/>
  <c r="G95" i="20"/>
  <c r="E53" i="34" s="1"/>
  <c r="K95" i="20"/>
  <c r="I53" i="34" s="1"/>
  <c r="O95" i="20"/>
  <c r="M53" i="34" s="1"/>
  <c r="S95" i="20"/>
  <c r="Q53" i="34" s="1"/>
  <c r="W95" i="20"/>
  <c r="U53" i="34" s="1"/>
  <c r="AA95" i="20"/>
  <c r="Y53" i="34" s="1"/>
  <c r="I96" i="20"/>
  <c r="G54" i="34" s="1"/>
  <c r="M96" i="20"/>
  <c r="K54" i="34" s="1"/>
  <c r="Q96" i="20"/>
  <c r="O54" i="34" s="1"/>
  <c r="U96" i="20"/>
  <c r="S54" i="34" s="1"/>
  <c r="Y96" i="20"/>
  <c r="W54" i="34" s="1"/>
  <c r="G94" i="20"/>
  <c r="K94" i="20"/>
  <c r="O94" i="20"/>
  <c r="S94" i="20"/>
  <c r="W94" i="20"/>
  <c r="AA94" i="20"/>
  <c r="U95" i="20"/>
  <c r="S53" i="34" s="1"/>
  <c r="Y95" i="20"/>
  <c r="W53" i="34" s="1"/>
  <c r="G96" i="20"/>
  <c r="E54" i="34" s="1"/>
  <c r="K96" i="20"/>
  <c r="I54" i="34" s="1"/>
  <c r="O96" i="20"/>
  <c r="M54" i="34" s="1"/>
  <c r="S96" i="20"/>
  <c r="Q54" i="34" s="1"/>
  <c r="W96" i="20"/>
  <c r="U54" i="34" s="1"/>
  <c r="AA96" i="20"/>
  <c r="Y54" i="34" s="1"/>
  <c r="Q93" i="20"/>
  <c r="Y93" i="20"/>
  <c r="U93" i="20"/>
  <c r="M93" i="20"/>
  <c r="G93" i="20"/>
  <c r="K93" i="20"/>
  <c r="O93" i="20"/>
  <c r="S93" i="20"/>
  <c r="W93" i="20"/>
  <c r="AA93" i="20"/>
  <c r="I93" i="20"/>
  <c r="M5" i="21"/>
  <c r="L5" i="21"/>
  <c r="K5" i="21"/>
  <c r="J13" i="19"/>
  <c r="M13" i="19" s="1"/>
  <c r="G11" i="19"/>
  <c r="D5" i="19"/>
  <c r="C5" i="19"/>
  <c r="B5" i="19"/>
  <c r="E16" i="23"/>
  <c r="E17" i="23"/>
  <c r="E18" i="23"/>
  <c r="E19" i="23"/>
  <c r="E20" i="23"/>
  <c r="C52" i="34" l="1"/>
  <c r="D52" i="27"/>
  <c r="C61" i="34"/>
  <c r="D66" i="27"/>
  <c r="S51" i="34"/>
  <c r="T51" i="27"/>
  <c r="W51" i="34"/>
  <c r="X51" i="27"/>
  <c r="X58" i="27" s="1"/>
  <c r="Y58" i="27" s="1"/>
  <c r="Y59" i="27" s="1"/>
  <c r="I60" i="34"/>
  <c r="J65" i="27"/>
  <c r="U61" i="34"/>
  <c r="V66" i="27"/>
  <c r="C60" i="34"/>
  <c r="D65" i="27"/>
  <c r="D72" i="27" s="1"/>
  <c r="E72" i="27" s="1"/>
  <c r="S52" i="34"/>
  <c r="T52" i="27"/>
  <c r="U51" i="34"/>
  <c r="V51" i="27"/>
  <c r="E60" i="34"/>
  <c r="F65" i="27"/>
  <c r="Q61" i="34"/>
  <c r="R66" i="27"/>
  <c r="H8" i="37"/>
  <c r="H8" i="38"/>
  <c r="H8" i="29"/>
  <c r="K7" i="30" s="1"/>
  <c r="Q60" i="34"/>
  <c r="R65" i="27"/>
  <c r="Y52" i="34"/>
  <c r="Z52" i="27"/>
  <c r="W60" i="34"/>
  <c r="X65" i="27"/>
  <c r="X72" i="27" s="1"/>
  <c r="Y72" i="27" s="1"/>
  <c r="Y73" i="27" s="1"/>
  <c r="W61" i="34"/>
  <c r="X66" i="27"/>
  <c r="M61" i="34"/>
  <c r="N66" i="27"/>
  <c r="I52" i="34"/>
  <c r="J52" i="27"/>
  <c r="G61" i="34"/>
  <c r="H66" i="27"/>
  <c r="G51" i="34"/>
  <c r="H51" i="27"/>
  <c r="E52" i="34"/>
  <c r="F52" i="27"/>
  <c r="M51" i="34"/>
  <c r="N51" i="27"/>
  <c r="U52" i="34"/>
  <c r="V52" i="27"/>
  <c r="K52" i="34"/>
  <c r="L52" i="27"/>
  <c r="O60" i="34"/>
  <c r="P65" i="27"/>
  <c r="G60" i="34"/>
  <c r="H65" i="27"/>
  <c r="S61" i="34"/>
  <c r="T66" i="27"/>
  <c r="I61" i="34"/>
  <c r="J66" i="27"/>
  <c r="K51" i="34"/>
  <c r="L51" i="27"/>
  <c r="L58" i="27" s="1"/>
  <c r="M58" i="27" s="1"/>
  <c r="M59" i="27" s="1"/>
  <c r="Y51" i="34"/>
  <c r="Z51" i="27"/>
  <c r="F8" i="37"/>
  <c r="F8" i="38"/>
  <c r="F8" i="29"/>
  <c r="I7" i="30" s="1"/>
  <c r="I51" i="34"/>
  <c r="J51" i="27"/>
  <c r="Q52" i="34"/>
  <c r="R52" i="27"/>
  <c r="G52" i="34"/>
  <c r="H52" i="27"/>
  <c r="Y60" i="34"/>
  <c r="Z65" i="27"/>
  <c r="S60" i="34"/>
  <c r="T65" i="27"/>
  <c r="O61" i="34"/>
  <c r="P66" i="27"/>
  <c r="E61" i="34"/>
  <c r="F66" i="27"/>
  <c r="M60" i="34"/>
  <c r="N65" i="27"/>
  <c r="N72" i="27" s="1"/>
  <c r="O72" i="27" s="1"/>
  <c r="O73" i="27" s="1"/>
  <c r="W52" i="34"/>
  <c r="X52" i="27"/>
  <c r="O51" i="34"/>
  <c r="P51" i="27"/>
  <c r="Q51" i="34"/>
  <c r="R51" i="27"/>
  <c r="G8" i="37"/>
  <c r="G8" i="38"/>
  <c r="G8" i="29"/>
  <c r="J7" i="30" s="1"/>
  <c r="E51" i="34"/>
  <c r="F51" i="27"/>
  <c r="F58" i="27" s="1"/>
  <c r="G58" i="27" s="1"/>
  <c r="G59" i="27" s="1"/>
  <c r="M52" i="34"/>
  <c r="N52" i="27"/>
  <c r="O52" i="34"/>
  <c r="P52" i="27"/>
  <c r="U60" i="34"/>
  <c r="V65" i="27"/>
  <c r="K60" i="34"/>
  <c r="L65" i="27"/>
  <c r="K61" i="34"/>
  <c r="L66" i="27"/>
  <c r="Y61" i="34"/>
  <c r="Z66" i="27"/>
  <c r="L11" i="19"/>
  <c r="L26" i="19" s="1"/>
  <c r="J5" i="19" s="1"/>
  <c r="L16" i="21" s="1"/>
  <c r="K11" i="19"/>
  <c r="M11" i="19"/>
  <c r="E61" i="23"/>
  <c r="J5" i="23" s="1"/>
  <c r="M21" i="21" s="1"/>
  <c r="I5" i="23"/>
  <c r="L21" i="21" s="1"/>
  <c r="J58" i="27" l="1"/>
  <c r="K58" i="27" s="1"/>
  <c r="K59" i="27" s="1"/>
  <c r="V72" i="27"/>
  <c r="W72" i="27" s="1"/>
  <c r="W73" i="27" s="1"/>
  <c r="R58" i="27"/>
  <c r="S58" i="27" s="1"/>
  <c r="S59" i="27" s="1"/>
  <c r="Z58" i="27"/>
  <c r="AA58" i="27" s="1"/>
  <c r="AA59" i="27" s="1"/>
  <c r="H72" i="27"/>
  <c r="I72" i="27" s="1"/>
  <c r="I73" i="27" s="1"/>
  <c r="N58" i="27"/>
  <c r="O58" i="27" s="1"/>
  <c r="O59" i="27" s="1"/>
  <c r="E73" i="27"/>
  <c r="T58" i="27"/>
  <c r="U58" i="27" s="1"/>
  <c r="U59" i="27" s="1"/>
  <c r="L72" i="27"/>
  <c r="M72" i="27" s="1"/>
  <c r="M73" i="27" s="1"/>
  <c r="P72" i="27"/>
  <c r="Q72" i="27" s="1"/>
  <c r="Q73" i="27" s="1"/>
  <c r="F72" i="27"/>
  <c r="G72" i="27" s="1"/>
  <c r="G73" i="27" s="1"/>
  <c r="T72" i="27"/>
  <c r="U72" i="27" s="1"/>
  <c r="U73" i="27" s="1"/>
  <c r="R72" i="27"/>
  <c r="S72" i="27" s="1"/>
  <c r="S73" i="27" s="1"/>
  <c r="H58" i="27"/>
  <c r="I58" i="27" s="1"/>
  <c r="I59" i="27" s="1"/>
  <c r="V58" i="27"/>
  <c r="W58" i="27" s="1"/>
  <c r="W59" i="27" s="1"/>
  <c r="J72" i="27"/>
  <c r="K72" i="27" s="1"/>
  <c r="K73" i="27" s="1"/>
  <c r="P58" i="27"/>
  <c r="Q58" i="27" s="1"/>
  <c r="Q59" i="27" s="1"/>
  <c r="Z72" i="27"/>
  <c r="AA72" i="27" s="1"/>
  <c r="AA73" i="27" s="1"/>
  <c r="G16" i="38"/>
  <c r="J15" i="30"/>
  <c r="G16" i="37"/>
  <c r="H20" i="37"/>
  <c r="H32" i="37" s="1"/>
  <c r="H20" i="38"/>
  <c r="H32" i="38" s="1"/>
  <c r="G20" i="38"/>
  <c r="G20" i="37"/>
  <c r="K26" i="19"/>
  <c r="I5" i="19" s="1"/>
  <c r="K16" i="21" s="1"/>
  <c r="M26" i="19"/>
  <c r="K5" i="19" s="1"/>
  <c r="M16" i="21" s="1"/>
  <c r="G16" i="29"/>
  <c r="H20" i="29"/>
  <c r="F20" i="29"/>
  <c r="G20" i="29"/>
  <c r="F21" i="21"/>
  <c r="G21" i="21"/>
  <c r="E15" i="23"/>
  <c r="D5" i="23"/>
  <c r="C5" i="23"/>
  <c r="B5" i="23"/>
  <c r="D5" i="24"/>
  <c r="C5" i="24"/>
  <c r="B5" i="24"/>
  <c r="AB72" i="27" l="1"/>
  <c r="F16" i="29"/>
  <c r="F16" i="38"/>
  <c r="F16" i="37"/>
  <c r="I15" i="30"/>
  <c r="K15" i="30"/>
  <c r="H16" i="37"/>
  <c r="H16" i="38"/>
  <c r="H32" i="29"/>
  <c r="K19" i="30"/>
  <c r="K31" i="30" s="1"/>
  <c r="G32" i="37"/>
  <c r="G32" i="29"/>
  <c r="J19" i="30"/>
  <c r="J31" i="30" s="1"/>
  <c r="I19" i="30"/>
  <c r="G32" i="38"/>
  <c r="F32" i="29"/>
  <c r="H16" i="29"/>
  <c r="I31" i="30" l="1"/>
  <c r="E48" i="25"/>
  <c r="G48" i="25"/>
  <c r="I48" i="25"/>
  <c r="K48" i="25"/>
  <c r="M48" i="25"/>
  <c r="O48" i="25"/>
  <c r="Q48" i="25"/>
  <c r="S48" i="25"/>
  <c r="U48" i="25"/>
  <c r="W48" i="25"/>
  <c r="Y48" i="25"/>
  <c r="E91" i="25"/>
  <c r="G91" i="25"/>
  <c r="I91" i="25"/>
  <c r="K91" i="25"/>
  <c r="M91" i="25"/>
  <c r="O91" i="25"/>
  <c r="Q91" i="25"/>
  <c r="S91" i="25"/>
  <c r="U91" i="25"/>
  <c r="W91" i="25"/>
  <c r="Y91" i="25"/>
  <c r="C91" i="25"/>
  <c r="C48" i="25" l="1"/>
  <c r="F31" i="25"/>
  <c r="G31" i="25"/>
  <c r="H31" i="25"/>
  <c r="J31" i="25"/>
  <c r="F30" i="25"/>
  <c r="G30" i="25"/>
  <c r="H30" i="25"/>
  <c r="J30" i="25"/>
  <c r="F29" i="25"/>
  <c r="G29" i="25"/>
  <c r="H29" i="25"/>
  <c r="J29" i="25"/>
  <c r="F28" i="25"/>
  <c r="G28" i="25"/>
  <c r="H28" i="25"/>
  <c r="J28" i="25"/>
  <c r="F27" i="25"/>
  <c r="G27" i="25"/>
  <c r="H27" i="25"/>
  <c r="J27" i="25"/>
  <c r="F26" i="25"/>
  <c r="G26" i="25"/>
  <c r="H26" i="25"/>
  <c r="J26" i="25"/>
  <c r="F25" i="25"/>
  <c r="G25" i="25"/>
  <c r="H25" i="25"/>
  <c r="J25" i="25"/>
  <c r="F24" i="25"/>
  <c r="G24" i="25"/>
  <c r="H24" i="25"/>
  <c r="J24" i="25"/>
  <c r="F23" i="25"/>
  <c r="G23" i="25"/>
  <c r="H23" i="25"/>
  <c r="J23" i="25"/>
  <c r="F22" i="25"/>
  <c r="G22" i="25"/>
  <c r="H22" i="25"/>
  <c r="J22" i="25"/>
  <c r="F21" i="25"/>
  <c r="G21" i="25"/>
  <c r="H21" i="25"/>
  <c r="J21" i="25"/>
  <c r="F20" i="25"/>
  <c r="G20" i="25"/>
  <c r="H20" i="25"/>
  <c r="J20" i="25"/>
  <c r="F19" i="25"/>
  <c r="G19" i="25"/>
  <c r="H19" i="25"/>
  <c r="J19" i="25"/>
  <c r="F18" i="25"/>
  <c r="G18" i="25"/>
  <c r="H18" i="25"/>
  <c r="J18" i="25"/>
  <c r="J17" i="25"/>
  <c r="F17" i="25"/>
  <c r="G17" i="25"/>
  <c r="H17" i="25"/>
  <c r="E31" i="25"/>
  <c r="E30" i="25"/>
  <c r="E29" i="25"/>
  <c r="E28" i="25"/>
  <c r="E27" i="25"/>
  <c r="E26" i="25"/>
  <c r="E25" i="25"/>
  <c r="E24" i="25"/>
  <c r="E23" i="25"/>
  <c r="F16" i="25"/>
  <c r="G16" i="25"/>
  <c r="H16" i="25"/>
  <c r="J16" i="25"/>
  <c r="E22" i="25"/>
  <c r="E21" i="25"/>
  <c r="E20" i="25"/>
  <c r="E19" i="25"/>
  <c r="E18" i="25"/>
  <c r="E17" i="25"/>
  <c r="E16" i="25"/>
  <c r="F15" i="25"/>
  <c r="G15" i="25"/>
  <c r="H15" i="25"/>
  <c r="J15" i="25"/>
  <c r="E15" i="25"/>
  <c r="F14" i="25"/>
  <c r="G14" i="25"/>
  <c r="H14" i="25"/>
  <c r="J14" i="25"/>
  <c r="E14" i="25"/>
  <c r="D6" i="25"/>
  <c r="C6" i="25"/>
  <c r="B6" i="25"/>
  <c r="AA40" i="27"/>
  <c r="AA41" i="27"/>
  <c r="E40" i="27"/>
  <c r="E41" i="27"/>
  <c r="D6" i="27"/>
  <c r="C6" i="27"/>
  <c r="B6" i="27"/>
  <c r="AA43" i="27" l="1"/>
  <c r="O41" i="27"/>
  <c r="Y41" i="27"/>
  <c r="Q41" i="27"/>
  <c r="O40" i="27"/>
  <c r="O43" i="27" s="1"/>
  <c r="E43" i="27"/>
  <c r="Y40" i="27"/>
  <c r="Y43" i="27" s="1"/>
  <c r="Q40" i="27"/>
  <c r="Q43" i="27" s="1"/>
  <c r="K16" i="25"/>
  <c r="L16" i="25" s="1"/>
  <c r="K15" i="25"/>
  <c r="L15" i="25" s="1"/>
  <c r="K17" i="25"/>
  <c r="L17" i="25" s="1"/>
  <c r="K18" i="25"/>
  <c r="L18" i="25" s="1"/>
  <c r="K20" i="25"/>
  <c r="L20" i="25" s="1"/>
  <c r="N40" i="30" s="1"/>
  <c r="P40" i="30" s="1"/>
  <c r="K21" i="25"/>
  <c r="L21" i="25" s="1"/>
  <c r="K22" i="25"/>
  <c r="L22" i="25" s="1"/>
  <c r="K25" i="25"/>
  <c r="L25" i="25" s="1"/>
  <c r="K26" i="25"/>
  <c r="K28" i="25"/>
  <c r="L28" i="25" s="1"/>
  <c r="K29" i="25"/>
  <c r="L29" i="25" s="1"/>
  <c r="K30" i="25"/>
  <c r="L30" i="25" s="1"/>
  <c r="K14" i="25"/>
  <c r="L14" i="25" s="1"/>
  <c r="K19" i="25"/>
  <c r="L19" i="25" s="1"/>
  <c r="K23" i="25"/>
  <c r="L23" i="25" s="1"/>
  <c r="K27" i="25"/>
  <c r="L27" i="25" s="1"/>
  <c r="K31" i="25"/>
  <c r="L31" i="25" s="1"/>
  <c r="K24" i="25"/>
  <c r="L24" i="25" s="1"/>
  <c r="AB39" i="27"/>
  <c r="AB42" i="27"/>
  <c r="AB41" i="27"/>
  <c r="E29" i="27"/>
  <c r="D14" i="23" s="1"/>
  <c r="E14" i="23" s="1"/>
  <c r="E19" i="27"/>
  <c r="J58" i="22"/>
  <c r="P56" i="22"/>
  <c r="P55" i="22"/>
  <c r="P53" i="22"/>
  <c r="P51" i="22"/>
  <c r="P49" i="22"/>
  <c r="P48" i="22"/>
  <c r="P47" i="22"/>
  <c r="P46" i="22"/>
  <c r="P38" i="22"/>
  <c r="P37" i="22"/>
  <c r="P35" i="22"/>
  <c r="P33" i="22"/>
  <c r="P31" i="22"/>
  <c r="P30" i="22"/>
  <c r="P29" i="22"/>
  <c r="P28" i="22"/>
  <c r="P19" i="22"/>
  <c r="P20" i="22"/>
  <c r="P21" i="22"/>
  <c r="P16" i="22"/>
  <c r="I23" i="22"/>
  <c r="P13" i="22"/>
  <c r="M23" i="22"/>
  <c r="P14" i="22"/>
  <c r="P12" i="22"/>
  <c r="P18" i="22"/>
  <c r="P11" i="22"/>
  <c r="E5" i="22"/>
  <c r="D5" i="22"/>
  <c r="C5" i="22"/>
  <c r="D12" i="23" l="1"/>
  <c r="D13" i="23"/>
  <c r="E13" i="23" s="1"/>
  <c r="D11" i="23"/>
  <c r="R60" i="25"/>
  <c r="H60" i="25"/>
  <c r="V60" i="25"/>
  <c r="D60" i="25"/>
  <c r="X60" i="25"/>
  <c r="Z60" i="25"/>
  <c r="N60" i="25"/>
  <c r="L60" i="25"/>
  <c r="P60" i="25"/>
  <c r="J60" i="25"/>
  <c r="T60" i="25"/>
  <c r="F60" i="25"/>
  <c r="N55" i="25"/>
  <c r="N73" i="25"/>
  <c r="P55" i="25"/>
  <c r="D55" i="25"/>
  <c r="D73" i="25"/>
  <c r="P73" i="25"/>
  <c r="R55" i="25"/>
  <c r="R73" i="25"/>
  <c r="T73" i="25"/>
  <c r="F55" i="25"/>
  <c r="V55" i="25"/>
  <c r="F73" i="25"/>
  <c r="V73" i="25"/>
  <c r="H73" i="25"/>
  <c r="X73" i="25"/>
  <c r="J55" i="25"/>
  <c r="Z73" i="25"/>
  <c r="H55" i="25"/>
  <c r="X55" i="25"/>
  <c r="Z55" i="25"/>
  <c r="J73" i="25"/>
  <c r="L55" i="25"/>
  <c r="L73" i="25"/>
  <c r="T55" i="25"/>
  <c r="N29" i="30"/>
  <c r="P29" i="30" s="1"/>
  <c r="N28" i="30"/>
  <c r="P28" i="30" s="1"/>
  <c r="C37" i="27"/>
  <c r="C65" i="27"/>
  <c r="C52" i="27"/>
  <c r="C66" i="27"/>
  <c r="E11" i="23"/>
  <c r="C51" i="27"/>
  <c r="AB40" i="27"/>
  <c r="E12" i="23"/>
  <c r="C38" i="27"/>
  <c r="J65" i="25"/>
  <c r="Z65" i="25"/>
  <c r="L65" i="25"/>
  <c r="F65" i="25"/>
  <c r="N65" i="25"/>
  <c r="P65" i="25"/>
  <c r="R65" i="25"/>
  <c r="D65" i="25"/>
  <c r="T65" i="25"/>
  <c r="V65" i="25"/>
  <c r="H65" i="25"/>
  <c r="X65" i="25"/>
  <c r="L58" i="25"/>
  <c r="N58" i="25"/>
  <c r="P58" i="25"/>
  <c r="R58" i="25"/>
  <c r="H58" i="25"/>
  <c r="D58" i="25"/>
  <c r="T58" i="25"/>
  <c r="X58" i="25"/>
  <c r="F58" i="25"/>
  <c r="V58" i="25"/>
  <c r="J58" i="25"/>
  <c r="Z58" i="25"/>
  <c r="R64" i="25"/>
  <c r="F64" i="25"/>
  <c r="V64" i="25"/>
  <c r="H64" i="25"/>
  <c r="X64" i="25"/>
  <c r="N64" i="25"/>
  <c r="J64" i="25"/>
  <c r="Z64" i="25"/>
  <c r="L64" i="25"/>
  <c r="P64" i="25"/>
  <c r="D64" i="25"/>
  <c r="T64" i="25"/>
  <c r="L56" i="25"/>
  <c r="N56" i="25"/>
  <c r="P56" i="25"/>
  <c r="R56" i="25"/>
  <c r="X56" i="25"/>
  <c r="D56" i="25"/>
  <c r="T56" i="25"/>
  <c r="H56" i="25"/>
  <c r="F56" i="25"/>
  <c r="V56" i="25"/>
  <c r="J56" i="25"/>
  <c r="Z56" i="25"/>
  <c r="J67" i="25"/>
  <c r="L67" i="25"/>
  <c r="N67" i="25"/>
  <c r="P67" i="25"/>
  <c r="V67" i="25"/>
  <c r="R67" i="25"/>
  <c r="F67" i="25"/>
  <c r="D67" i="25"/>
  <c r="T67" i="25"/>
  <c r="H67" i="25"/>
  <c r="X67" i="25"/>
  <c r="Z67" i="25"/>
  <c r="L63" i="25"/>
  <c r="N63" i="25"/>
  <c r="P63" i="25"/>
  <c r="R63" i="25"/>
  <c r="D63" i="25"/>
  <c r="T63" i="25"/>
  <c r="X63" i="25"/>
  <c r="F63" i="25"/>
  <c r="V63" i="25"/>
  <c r="J63" i="25"/>
  <c r="Z63" i="25"/>
  <c r="H63" i="25"/>
  <c r="L61" i="25"/>
  <c r="N61" i="25"/>
  <c r="P61" i="25"/>
  <c r="R61" i="25"/>
  <c r="H61" i="25"/>
  <c r="D61" i="25"/>
  <c r="T61" i="25"/>
  <c r="F61" i="25"/>
  <c r="V61" i="25"/>
  <c r="X61" i="25"/>
  <c r="J61" i="25"/>
  <c r="Z61" i="25"/>
  <c r="D57" i="25"/>
  <c r="T57" i="25"/>
  <c r="F57" i="25"/>
  <c r="V57" i="25"/>
  <c r="H57" i="25"/>
  <c r="X57" i="25"/>
  <c r="P57" i="25"/>
  <c r="J57" i="25"/>
  <c r="Z57" i="25"/>
  <c r="L57" i="25"/>
  <c r="N57" i="25"/>
  <c r="R57" i="25"/>
  <c r="D59" i="25"/>
  <c r="T59" i="25"/>
  <c r="F59" i="25"/>
  <c r="V59" i="25"/>
  <c r="H59" i="25"/>
  <c r="X59" i="25"/>
  <c r="J59" i="25"/>
  <c r="Z59" i="25"/>
  <c r="L59" i="25"/>
  <c r="N59" i="25"/>
  <c r="P59" i="25"/>
  <c r="R59" i="25"/>
  <c r="D66" i="25"/>
  <c r="T66" i="25"/>
  <c r="F66" i="25"/>
  <c r="V66" i="25"/>
  <c r="N66" i="25"/>
  <c r="H66" i="25"/>
  <c r="X66" i="25"/>
  <c r="J66" i="25"/>
  <c r="Z66" i="25"/>
  <c r="L66" i="25"/>
  <c r="P66" i="25"/>
  <c r="R66" i="25"/>
  <c r="N89" i="25"/>
  <c r="P89" i="25"/>
  <c r="V89" i="25"/>
  <c r="R89" i="25"/>
  <c r="L89" i="25"/>
  <c r="D89" i="25"/>
  <c r="T89" i="25"/>
  <c r="F89" i="25"/>
  <c r="Z89" i="25"/>
  <c r="H89" i="25"/>
  <c r="X89" i="25"/>
  <c r="J89" i="25"/>
  <c r="F77" i="25"/>
  <c r="V77" i="25"/>
  <c r="H77" i="25"/>
  <c r="X77" i="25"/>
  <c r="N77" i="25"/>
  <c r="J77" i="25"/>
  <c r="Z77" i="25"/>
  <c r="T77" i="25"/>
  <c r="L77" i="25"/>
  <c r="P77" i="25"/>
  <c r="R77" i="25"/>
  <c r="D77" i="25"/>
  <c r="D74" i="25"/>
  <c r="T74" i="25"/>
  <c r="R74" i="25"/>
  <c r="F74" i="25"/>
  <c r="V74" i="25"/>
  <c r="L74" i="25"/>
  <c r="H74" i="25"/>
  <c r="X74" i="25"/>
  <c r="J74" i="25"/>
  <c r="Z74" i="25"/>
  <c r="N74" i="25"/>
  <c r="P74" i="25"/>
  <c r="D90" i="25"/>
  <c r="T90" i="25"/>
  <c r="F90" i="25"/>
  <c r="V90" i="25"/>
  <c r="H90" i="25"/>
  <c r="X90" i="25"/>
  <c r="X94" i="25" s="1"/>
  <c r="J90" i="25"/>
  <c r="L90" i="25"/>
  <c r="P90" i="25"/>
  <c r="Z90" i="25"/>
  <c r="N90" i="25"/>
  <c r="R90" i="25"/>
  <c r="P76" i="25"/>
  <c r="H76" i="25"/>
  <c r="R76" i="25"/>
  <c r="D76" i="25"/>
  <c r="T76" i="25"/>
  <c r="X76" i="25"/>
  <c r="F76" i="25"/>
  <c r="V76" i="25"/>
  <c r="N76" i="25"/>
  <c r="J76" i="25"/>
  <c r="Z76" i="25"/>
  <c r="L76" i="25"/>
  <c r="J83" i="25"/>
  <c r="Z83" i="25"/>
  <c r="F83" i="25"/>
  <c r="L83" i="25"/>
  <c r="N83" i="25"/>
  <c r="R83" i="25"/>
  <c r="V83" i="25"/>
  <c r="P83" i="25"/>
  <c r="H83" i="25"/>
  <c r="D83" i="25"/>
  <c r="T83" i="25"/>
  <c r="X83" i="25"/>
  <c r="L86" i="25"/>
  <c r="N86" i="25"/>
  <c r="H86" i="25"/>
  <c r="P86" i="25"/>
  <c r="D86" i="25"/>
  <c r="Z86" i="25"/>
  <c r="R86" i="25"/>
  <c r="T86" i="25"/>
  <c r="X86" i="25"/>
  <c r="J86" i="25"/>
  <c r="F86" i="25"/>
  <c r="V86" i="25"/>
  <c r="D82" i="25"/>
  <c r="T82" i="25"/>
  <c r="F82" i="25"/>
  <c r="V82" i="25"/>
  <c r="L82" i="25"/>
  <c r="H82" i="25"/>
  <c r="X82" i="25"/>
  <c r="J82" i="25"/>
  <c r="Z82" i="25"/>
  <c r="N82" i="25"/>
  <c r="P82" i="25"/>
  <c r="R82" i="25"/>
  <c r="N81" i="25"/>
  <c r="V81" i="25"/>
  <c r="L81" i="25"/>
  <c r="P81" i="25"/>
  <c r="Z81" i="25"/>
  <c r="R81" i="25"/>
  <c r="F81" i="25"/>
  <c r="D81" i="25"/>
  <c r="T81" i="25"/>
  <c r="J81" i="25"/>
  <c r="H81" i="25"/>
  <c r="X81" i="25"/>
  <c r="R87" i="25"/>
  <c r="Z87" i="25"/>
  <c r="N87" i="25"/>
  <c r="P87" i="25"/>
  <c r="D87" i="25"/>
  <c r="T87" i="25"/>
  <c r="V87" i="25"/>
  <c r="J87" i="25"/>
  <c r="F87" i="25"/>
  <c r="H87" i="25"/>
  <c r="X87" i="25"/>
  <c r="L87" i="25"/>
  <c r="L78" i="25"/>
  <c r="J78" i="25"/>
  <c r="N78" i="25"/>
  <c r="P78" i="25"/>
  <c r="D78" i="25"/>
  <c r="R78" i="25"/>
  <c r="T78" i="25"/>
  <c r="F78" i="25"/>
  <c r="V78" i="25"/>
  <c r="H78" i="25"/>
  <c r="X78" i="25"/>
  <c r="Z78" i="25"/>
  <c r="H80" i="25"/>
  <c r="X80" i="25"/>
  <c r="J80" i="25"/>
  <c r="Z80" i="25"/>
  <c r="L80" i="25"/>
  <c r="F80" i="25"/>
  <c r="N80" i="25"/>
  <c r="P80" i="25"/>
  <c r="V80" i="25"/>
  <c r="R80" i="25"/>
  <c r="D80" i="25"/>
  <c r="T80" i="25"/>
  <c r="H88" i="25"/>
  <c r="X88" i="25"/>
  <c r="J88" i="25"/>
  <c r="Z88" i="25"/>
  <c r="L88" i="25"/>
  <c r="P88" i="25"/>
  <c r="T88" i="25"/>
  <c r="N88" i="25"/>
  <c r="V88" i="25"/>
  <c r="R88" i="25"/>
  <c r="D88" i="25"/>
  <c r="F88" i="25"/>
  <c r="J75" i="25"/>
  <c r="Z75" i="25"/>
  <c r="L75" i="25"/>
  <c r="N75" i="25"/>
  <c r="H75" i="25"/>
  <c r="P75" i="25"/>
  <c r="R75" i="25"/>
  <c r="D75" i="25"/>
  <c r="T75" i="25"/>
  <c r="F75" i="25"/>
  <c r="V75" i="25"/>
  <c r="X75" i="25"/>
  <c r="P84" i="25"/>
  <c r="R84" i="25"/>
  <c r="X84" i="25"/>
  <c r="D84" i="25"/>
  <c r="T84" i="25"/>
  <c r="N84" i="25"/>
  <c r="F84" i="25"/>
  <c r="V84" i="25"/>
  <c r="H84" i="25"/>
  <c r="J84" i="25"/>
  <c r="Z84" i="25"/>
  <c r="L84" i="25"/>
  <c r="R79" i="25"/>
  <c r="D79" i="25"/>
  <c r="T79" i="25"/>
  <c r="Z79" i="25"/>
  <c r="F79" i="25"/>
  <c r="V79" i="25"/>
  <c r="J79" i="25"/>
  <c r="H79" i="25"/>
  <c r="X79" i="25"/>
  <c r="L79" i="25"/>
  <c r="N79" i="25"/>
  <c r="P79" i="25"/>
  <c r="D45" i="25"/>
  <c r="T45" i="25"/>
  <c r="R45" i="25"/>
  <c r="P45" i="25"/>
  <c r="N45" i="25"/>
  <c r="Z45" i="25"/>
  <c r="X45" i="25"/>
  <c r="V45" i="25"/>
  <c r="F45" i="25"/>
  <c r="H45" i="25"/>
  <c r="L45" i="25"/>
  <c r="J45" i="25"/>
  <c r="Z47" i="25"/>
  <c r="R47" i="25"/>
  <c r="J47" i="25"/>
  <c r="X47" i="25"/>
  <c r="V47" i="25"/>
  <c r="T47" i="25"/>
  <c r="P47" i="25"/>
  <c r="F47" i="25"/>
  <c r="D47" i="25"/>
  <c r="H47" i="25"/>
  <c r="L47" i="25"/>
  <c r="N47" i="25"/>
  <c r="P39" i="25"/>
  <c r="N39" i="25"/>
  <c r="L39" i="25"/>
  <c r="J39" i="25"/>
  <c r="T39" i="25"/>
  <c r="R39" i="25"/>
  <c r="X39" i="25"/>
  <c r="V39" i="25"/>
  <c r="D39" i="25"/>
  <c r="F39" i="25"/>
  <c r="H39" i="25"/>
  <c r="Z39" i="25"/>
  <c r="T46" i="25"/>
  <c r="L46" i="25"/>
  <c r="J46" i="25"/>
  <c r="H46" i="25"/>
  <c r="F46" i="25"/>
  <c r="Z46" i="25"/>
  <c r="X46" i="25"/>
  <c r="V46" i="25"/>
  <c r="N46" i="25"/>
  <c r="P46" i="25"/>
  <c r="D46" i="25"/>
  <c r="R46" i="25"/>
  <c r="V44" i="25"/>
  <c r="N44" i="25"/>
  <c r="F44" i="25"/>
  <c r="L44" i="25"/>
  <c r="J44" i="25"/>
  <c r="H44" i="25"/>
  <c r="T44" i="25"/>
  <c r="R44" i="25"/>
  <c r="P44" i="25"/>
  <c r="Z44" i="25"/>
  <c r="X44" i="25"/>
  <c r="D44" i="25"/>
  <c r="X42" i="25"/>
  <c r="P42" i="25"/>
  <c r="H42" i="25"/>
  <c r="D42" i="25"/>
  <c r="N42" i="25"/>
  <c r="L42" i="25"/>
  <c r="J42" i="25"/>
  <c r="V42" i="25"/>
  <c r="T42" i="25"/>
  <c r="R42" i="25"/>
  <c r="F42" i="25"/>
  <c r="Z42" i="25"/>
  <c r="X40" i="25"/>
  <c r="P40" i="25"/>
  <c r="H40" i="25"/>
  <c r="D40" i="25"/>
  <c r="F40" i="25"/>
  <c r="N40" i="25"/>
  <c r="L40" i="25"/>
  <c r="J40" i="25"/>
  <c r="V40" i="25"/>
  <c r="T40" i="25"/>
  <c r="R40" i="25"/>
  <c r="Z40" i="25"/>
  <c r="H41" i="25"/>
  <c r="F41" i="25"/>
  <c r="P41" i="25"/>
  <c r="N41" i="25"/>
  <c r="V41" i="25"/>
  <c r="D41" i="25"/>
  <c r="Z41" i="25"/>
  <c r="T41" i="25"/>
  <c r="X41" i="25"/>
  <c r="J41" i="25"/>
  <c r="L41" i="25"/>
  <c r="R41" i="25"/>
  <c r="Z38" i="25"/>
  <c r="X38" i="25"/>
  <c r="R38" i="25"/>
  <c r="T38" i="25"/>
  <c r="P38" i="25"/>
  <c r="H38" i="25"/>
  <c r="J38" i="25"/>
  <c r="V38" i="25"/>
  <c r="N38" i="25"/>
  <c r="L38" i="25"/>
  <c r="F38" i="25"/>
  <c r="G23" i="22"/>
  <c r="P36" i="22"/>
  <c r="F58" i="22"/>
  <c r="L23" i="22"/>
  <c r="D38" i="25"/>
  <c r="L26" i="25"/>
  <c r="E23" i="22"/>
  <c r="H58" i="22"/>
  <c r="F40" i="22"/>
  <c r="P22" i="22"/>
  <c r="P23" i="22" s="1"/>
  <c r="O40" i="22"/>
  <c r="N40" i="22"/>
  <c r="O23" i="22"/>
  <c r="E58" i="22"/>
  <c r="I58" i="22"/>
  <c r="J40" i="22"/>
  <c r="N23" i="22"/>
  <c r="G40" i="22"/>
  <c r="K40" i="22"/>
  <c r="P52" i="22"/>
  <c r="J23" i="22"/>
  <c r="D40" i="22"/>
  <c r="L40" i="22"/>
  <c r="D23" i="22"/>
  <c r="F23" i="22"/>
  <c r="K23" i="22"/>
  <c r="E40" i="22"/>
  <c r="I40" i="22"/>
  <c r="M40" i="22"/>
  <c r="P34" i="22"/>
  <c r="G58" i="22"/>
  <c r="K58" i="22"/>
  <c r="O58" i="22"/>
  <c r="L58" i="22"/>
  <c r="P54" i="22"/>
  <c r="M58" i="22"/>
  <c r="N58" i="22"/>
  <c r="D58" i="22"/>
  <c r="H40" i="22"/>
  <c r="P50" i="22"/>
  <c r="H23" i="22"/>
  <c r="P32" i="22"/>
  <c r="AA60" i="25" l="1"/>
  <c r="AA73" i="25"/>
  <c r="AA55" i="25"/>
  <c r="AA61" i="25"/>
  <c r="AA67" i="25"/>
  <c r="P40" i="22"/>
  <c r="H5" i="22" s="1"/>
  <c r="L10" i="21" s="1"/>
  <c r="P58" i="22"/>
  <c r="S66" i="27"/>
  <c r="Y66" i="27"/>
  <c r="E66" i="27"/>
  <c r="Q66" i="27"/>
  <c r="G66" i="27"/>
  <c r="K66" i="27"/>
  <c r="M66" i="27"/>
  <c r="U66" i="27"/>
  <c r="AA66" i="27"/>
  <c r="I66" i="27"/>
  <c r="O66" i="27"/>
  <c r="W66" i="27"/>
  <c r="Q52" i="27"/>
  <c r="M52" i="27"/>
  <c r="AA52" i="27"/>
  <c r="U52" i="27"/>
  <c r="I52" i="27"/>
  <c r="G52" i="27"/>
  <c r="W52" i="27"/>
  <c r="E52" i="27"/>
  <c r="S52" i="27"/>
  <c r="Y52" i="27"/>
  <c r="K52" i="27"/>
  <c r="O52" i="27"/>
  <c r="AA65" i="27"/>
  <c r="M65" i="27"/>
  <c r="I65" i="27"/>
  <c r="E65" i="27"/>
  <c r="U65" i="27"/>
  <c r="Y65" i="27"/>
  <c r="W65" i="27"/>
  <c r="S65" i="27"/>
  <c r="K65" i="27"/>
  <c r="O65" i="27"/>
  <c r="Q65" i="27"/>
  <c r="G65" i="27"/>
  <c r="G51" i="27"/>
  <c r="M51" i="27"/>
  <c r="S51" i="27"/>
  <c r="U51" i="27"/>
  <c r="I51" i="27"/>
  <c r="AA51" i="27"/>
  <c r="Y51" i="27"/>
  <c r="O51" i="27"/>
  <c r="K51" i="27"/>
  <c r="Q51" i="27"/>
  <c r="W51" i="27"/>
  <c r="AA80" i="25"/>
  <c r="AA57" i="25"/>
  <c r="N68" i="25"/>
  <c r="D62" i="25"/>
  <c r="D68" i="25" s="1"/>
  <c r="T62" i="25"/>
  <c r="T68" i="25" s="1"/>
  <c r="F62" i="25"/>
  <c r="F68" i="25" s="1"/>
  <c r="V62" i="25"/>
  <c r="V68" i="25" s="1"/>
  <c r="H62" i="25"/>
  <c r="H68" i="25" s="1"/>
  <c r="X62" i="25"/>
  <c r="X68" i="25" s="1"/>
  <c r="J62" i="25"/>
  <c r="J68" i="25" s="1"/>
  <c r="Z62" i="25"/>
  <c r="Z68" i="25" s="1"/>
  <c r="L62" i="25"/>
  <c r="L68" i="25" s="1"/>
  <c r="N62" i="25"/>
  <c r="P62" i="25"/>
  <c r="P68" i="25" s="1"/>
  <c r="R62" i="25"/>
  <c r="R68" i="25" s="1"/>
  <c r="AA65" i="25"/>
  <c r="AA56" i="25"/>
  <c r="AA58" i="25"/>
  <c r="AA66" i="25"/>
  <c r="AA59" i="25"/>
  <c r="AA63" i="25"/>
  <c r="AA64" i="25"/>
  <c r="AA81" i="25"/>
  <c r="AA77" i="25"/>
  <c r="AA79" i="25"/>
  <c r="AA83" i="25"/>
  <c r="AA89" i="25"/>
  <c r="AA78" i="25"/>
  <c r="AA82" i="25"/>
  <c r="AA86" i="25"/>
  <c r="AA90" i="25"/>
  <c r="AA84" i="25"/>
  <c r="AA75" i="25"/>
  <c r="AA76" i="25"/>
  <c r="AA88" i="25"/>
  <c r="F85" i="25"/>
  <c r="F91" i="25" s="1"/>
  <c r="V85" i="25"/>
  <c r="V91" i="25" s="1"/>
  <c r="N85" i="25"/>
  <c r="D85" i="25"/>
  <c r="H85" i="25"/>
  <c r="X85" i="25"/>
  <c r="J85" i="25"/>
  <c r="J91" i="25" s="1"/>
  <c r="Z85" i="25"/>
  <c r="Z91" i="25" s="1"/>
  <c r="L85" i="25"/>
  <c r="L91" i="25" s="1"/>
  <c r="P85" i="25"/>
  <c r="P91" i="25" s="1"/>
  <c r="R85" i="25"/>
  <c r="R91" i="25" s="1"/>
  <c r="T85" i="25"/>
  <c r="T91" i="25" s="1"/>
  <c r="AA87" i="25"/>
  <c r="AA74" i="25"/>
  <c r="AA44" i="25"/>
  <c r="AA47" i="25"/>
  <c r="X91" i="25"/>
  <c r="H91" i="25"/>
  <c r="F43" i="25"/>
  <c r="F48" i="25" s="1"/>
  <c r="D91" i="25"/>
  <c r="N43" i="25"/>
  <c r="N48" i="25" s="1"/>
  <c r="L43" i="25"/>
  <c r="L48" i="25" s="1"/>
  <c r="J43" i="25"/>
  <c r="J48" i="25" s="1"/>
  <c r="V43" i="25"/>
  <c r="V48" i="25" s="1"/>
  <c r="T43" i="25"/>
  <c r="T48" i="25" s="1"/>
  <c r="R43" i="25"/>
  <c r="R48" i="25" s="1"/>
  <c r="P43" i="25"/>
  <c r="P48" i="25" s="1"/>
  <c r="Z43" i="25"/>
  <c r="Z48" i="25" s="1"/>
  <c r="X43" i="25"/>
  <c r="X48" i="25" s="1"/>
  <c r="H43" i="25"/>
  <c r="H48" i="25" s="1"/>
  <c r="D43" i="25"/>
  <c r="AA46" i="25"/>
  <c r="AA41" i="25"/>
  <c r="AA42" i="25"/>
  <c r="AA45" i="25"/>
  <c r="E23" i="23"/>
  <c r="G5" i="23" s="1"/>
  <c r="J21" i="21" s="1"/>
  <c r="AA38" i="25"/>
  <c r="AA39" i="25"/>
  <c r="G5" i="22"/>
  <c r="K10" i="21" s="1"/>
  <c r="I5" i="22"/>
  <c r="M10" i="21" s="1"/>
  <c r="G10" i="37" l="1"/>
  <c r="G24" i="37" s="1"/>
  <c r="G10" i="38"/>
  <c r="G24" i="38" s="1"/>
  <c r="H10" i="37"/>
  <c r="H24" i="37" s="1"/>
  <c r="H10" i="38"/>
  <c r="H24" i="38" s="1"/>
  <c r="F10" i="37"/>
  <c r="F24" i="37" s="1"/>
  <c r="F10" i="38"/>
  <c r="F24" i="38" s="1"/>
  <c r="E20" i="37"/>
  <c r="E20" i="38"/>
  <c r="G27" i="21"/>
  <c r="D21" i="21"/>
  <c r="D22" i="21" s="1"/>
  <c r="AB52" i="27"/>
  <c r="AB66" i="27"/>
  <c r="AB65" i="27"/>
  <c r="E20" i="29"/>
  <c r="H36" i="29" s="1"/>
  <c r="AA62" i="25"/>
  <c r="AA68" i="25" s="1"/>
  <c r="I6" i="25" s="1"/>
  <c r="AA85" i="25"/>
  <c r="AA43" i="25"/>
  <c r="D48" i="25"/>
  <c r="N91" i="25"/>
  <c r="G10" i="29"/>
  <c r="H10" i="29"/>
  <c r="F10" i="29"/>
  <c r="G13" i="21"/>
  <c r="D10" i="24"/>
  <c r="F13" i="21"/>
  <c r="C10" i="24"/>
  <c r="E13" i="21"/>
  <c r="B10" i="24"/>
  <c r="AA40" i="25"/>
  <c r="D12" i="3"/>
  <c r="D25" i="3" s="1"/>
  <c r="G9" i="38" l="1"/>
  <c r="G23" i="38" s="1"/>
  <c r="G28" i="38" s="1"/>
  <c r="G9" i="37"/>
  <c r="G23" i="37" s="1"/>
  <c r="G28" i="37" s="1"/>
  <c r="G9" i="29"/>
  <c r="F24" i="29"/>
  <c r="I9" i="30"/>
  <c r="H24" i="29"/>
  <c r="K9" i="30"/>
  <c r="K23" i="30" s="1"/>
  <c r="G24" i="29"/>
  <c r="J9" i="30"/>
  <c r="J23" i="30" s="1"/>
  <c r="E32" i="29"/>
  <c r="E33" i="29" s="1"/>
  <c r="H19" i="30"/>
  <c r="K36" i="30" s="1"/>
  <c r="H36" i="30"/>
  <c r="E32" i="38"/>
  <c r="E33" i="38" s="1"/>
  <c r="H36" i="38"/>
  <c r="E32" i="37"/>
  <c r="E33" i="37" s="1"/>
  <c r="H36" i="37"/>
  <c r="AB73" i="27"/>
  <c r="AA48" i="25"/>
  <c r="AA91" i="25"/>
  <c r="J6" i="25" s="1"/>
  <c r="M12" i="21" s="1"/>
  <c r="I23" i="30"/>
  <c r="L6" i="21"/>
  <c r="C6" i="19"/>
  <c r="C6" i="23"/>
  <c r="C6" i="24"/>
  <c r="C14" i="24" s="1"/>
  <c r="C7" i="25"/>
  <c r="C7" i="27"/>
  <c r="D6" i="22"/>
  <c r="L12" i="21"/>
  <c r="C12" i="24"/>
  <c r="D24" i="3"/>
  <c r="D26" i="3"/>
  <c r="H31" i="30" l="1"/>
  <c r="H32" i="30" s="1"/>
  <c r="F9" i="37"/>
  <c r="F23" i="37" s="1"/>
  <c r="F28" i="37" s="1"/>
  <c r="F9" i="38"/>
  <c r="F23" i="38" s="1"/>
  <c r="F28" i="38" s="1"/>
  <c r="F9" i="29"/>
  <c r="I8" i="30" s="1"/>
  <c r="H9" i="29"/>
  <c r="H9" i="37"/>
  <c r="H23" i="37" s="1"/>
  <c r="H28" i="37" s="1"/>
  <c r="H9" i="38"/>
  <c r="H23" i="38" s="1"/>
  <c r="H28" i="38" s="1"/>
  <c r="G23" i="29"/>
  <c r="G28" i="29" s="1"/>
  <c r="J8" i="30"/>
  <c r="H12" i="37"/>
  <c r="H26" i="37" s="1"/>
  <c r="H12" i="38"/>
  <c r="H26" i="38" s="1"/>
  <c r="G12" i="37"/>
  <c r="G26" i="37" s="1"/>
  <c r="G12" i="38"/>
  <c r="G26" i="38" s="1"/>
  <c r="D12" i="24"/>
  <c r="F23" i="29"/>
  <c r="F28" i="29" s="1"/>
  <c r="K6" i="21"/>
  <c r="B6" i="19"/>
  <c r="B6" i="24"/>
  <c r="B14" i="24" s="1"/>
  <c r="B6" i="23"/>
  <c r="B7" i="25"/>
  <c r="B7" i="27"/>
  <c r="C6" i="22"/>
  <c r="F12" i="21"/>
  <c r="F17" i="21" s="1"/>
  <c r="H12" i="29"/>
  <c r="G15" i="21"/>
  <c r="G12" i="29"/>
  <c r="F15" i="21"/>
  <c r="M6" i="21"/>
  <c r="D6" i="19"/>
  <c r="D6" i="23"/>
  <c r="D6" i="24"/>
  <c r="D14" i="24" s="1"/>
  <c r="D7" i="25"/>
  <c r="D7" i="27"/>
  <c r="E6" i="22"/>
  <c r="G55" i="34"/>
  <c r="K55" i="34"/>
  <c r="O55" i="34"/>
  <c r="S55" i="34"/>
  <c r="W55" i="34"/>
  <c r="E55" i="34"/>
  <c r="I55" i="34"/>
  <c r="M55" i="34"/>
  <c r="Q55" i="34"/>
  <c r="U55" i="34"/>
  <c r="Y55" i="34"/>
  <c r="E21" i="34"/>
  <c r="E22" i="34"/>
  <c r="E20" i="34"/>
  <c r="B14" i="34"/>
  <c r="B10" i="34"/>
  <c r="B12" i="34" s="1"/>
  <c r="E19" i="20"/>
  <c r="H23" i="29" l="1"/>
  <c r="H28" i="29" s="1"/>
  <c r="K8" i="30"/>
  <c r="H26" i="29"/>
  <c r="K11" i="30"/>
  <c r="K25" i="30" s="1"/>
  <c r="G26" i="29"/>
  <c r="J11" i="30"/>
  <c r="J25" i="30" s="1"/>
  <c r="J22" i="30"/>
  <c r="J27" i="30" s="1"/>
  <c r="E12" i="21"/>
  <c r="E17" i="21" s="1"/>
  <c r="G12" i="21"/>
  <c r="G17" i="21" s="1"/>
  <c r="E33" i="34"/>
  <c r="E23" i="34"/>
  <c r="E91" i="20"/>
  <c r="E96" i="20" s="1"/>
  <c r="C51" i="34"/>
  <c r="AA21" i="20"/>
  <c r="AA22" i="20"/>
  <c r="AA23" i="20"/>
  <c r="AA24" i="20"/>
  <c r="AA25" i="20"/>
  <c r="AA26" i="20"/>
  <c r="AA27" i="20"/>
  <c r="AA28" i="20"/>
  <c r="AA29" i="20"/>
  <c r="AA30" i="20"/>
  <c r="AA20" i="20"/>
  <c r="AA19" i="20"/>
  <c r="Y21" i="20"/>
  <c r="Y22" i="20"/>
  <c r="Y23" i="20"/>
  <c r="Y24" i="20"/>
  <c r="Y25" i="20"/>
  <c r="Y26" i="20"/>
  <c r="Y27" i="20"/>
  <c r="Y28" i="20"/>
  <c r="Y29" i="20"/>
  <c r="Y30" i="20"/>
  <c r="Y20" i="20"/>
  <c r="Y19" i="20"/>
  <c r="W21" i="20"/>
  <c r="W22" i="20"/>
  <c r="W23" i="20"/>
  <c r="W24" i="20"/>
  <c r="W25" i="20"/>
  <c r="W26" i="20"/>
  <c r="W27" i="20"/>
  <c r="W28" i="20"/>
  <c r="W29" i="20"/>
  <c r="W30" i="20"/>
  <c r="W20" i="20"/>
  <c r="W19" i="20"/>
  <c r="U21" i="20"/>
  <c r="U22" i="20"/>
  <c r="U23" i="20"/>
  <c r="U24" i="20"/>
  <c r="U25" i="20"/>
  <c r="U26" i="20"/>
  <c r="U27" i="20"/>
  <c r="U28" i="20"/>
  <c r="U29" i="20"/>
  <c r="U30" i="20"/>
  <c r="U20" i="20"/>
  <c r="U19" i="20"/>
  <c r="S21" i="20"/>
  <c r="S22" i="20"/>
  <c r="S23" i="20"/>
  <c r="S24" i="20"/>
  <c r="S25" i="20"/>
  <c r="S26" i="20"/>
  <c r="S27" i="20"/>
  <c r="S28" i="20"/>
  <c r="S29" i="20"/>
  <c r="S30" i="20"/>
  <c r="S20" i="20"/>
  <c r="S19" i="20"/>
  <c r="Q21" i="20"/>
  <c r="Q22" i="20"/>
  <c r="Q23" i="20"/>
  <c r="Q24" i="20"/>
  <c r="Q25" i="20"/>
  <c r="Q26" i="20"/>
  <c r="Q27" i="20"/>
  <c r="Q28" i="20"/>
  <c r="Q29" i="20"/>
  <c r="Q30" i="20"/>
  <c r="Q20" i="20"/>
  <c r="Q19" i="20"/>
  <c r="O21" i="20"/>
  <c r="O22" i="20"/>
  <c r="O23" i="20"/>
  <c r="O24" i="20"/>
  <c r="O25" i="20"/>
  <c r="O26" i="20"/>
  <c r="O27" i="20"/>
  <c r="O28" i="20"/>
  <c r="O29" i="20"/>
  <c r="O30" i="20"/>
  <c r="O20" i="20"/>
  <c r="O19" i="20"/>
  <c r="M20" i="20"/>
  <c r="M21" i="20"/>
  <c r="M22" i="20"/>
  <c r="M23" i="20"/>
  <c r="M24" i="20"/>
  <c r="M25" i="20"/>
  <c r="M26" i="20"/>
  <c r="M27" i="20"/>
  <c r="M28" i="20"/>
  <c r="M29" i="20"/>
  <c r="M30" i="20"/>
  <c r="M19" i="20"/>
  <c r="K21" i="20"/>
  <c r="K22" i="20"/>
  <c r="K23" i="20"/>
  <c r="K24" i="20"/>
  <c r="K25" i="20"/>
  <c r="K26" i="20"/>
  <c r="K27" i="20"/>
  <c r="K28" i="20"/>
  <c r="K29" i="20"/>
  <c r="K30" i="20"/>
  <c r="K20" i="20"/>
  <c r="K19" i="20"/>
  <c r="I21" i="20"/>
  <c r="I22" i="20"/>
  <c r="I23" i="20"/>
  <c r="I24" i="20"/>
  <c r="I25" i="20"/>
  <c r="I26" i="20"/>
  <c r="I27" i="20"/>
  <c r="I28" i="20"/>
  <c r="I29" i="20"/>
  <c r="I30" i="20"/>
  <c r="I20" i="20"/>
  <c r="I19" i="20"/>
  <c r="G20" i="20"/>
  <c r="G21" i="20"/>
  <c r="G22" i="20"/>
  <c r="G23" i="20"/>
  <c r="G24" i="20"/>
  <c r="G25" i="20"/>
  <c r="G26" i="20"/>
  <c r="G27" i="20"/>
  <c r="G28" i="20"/>
  <c r="G29" i="20"/>
  <c r="G30" i="20"/>
  <c r="G19" i="20"/>
  <c r="E20" i="20"/>
  <c r="E21" i="20"/>
  <c r="E22" i="20"/>
  <c r="E23" i="20"/>
  <c r="E24" i="20"/>
  <c r="E25" i="20"/>
  <c r="E26" i="20"/>
  <c r="E27" i="20"/>
  <c r="E28" i="20"/>
  <c r="E29" i="20"/>
  <c r="E30" i="20"/>
  <c r="C54" i="34" l="1"/>
  <c r="D51" i="27"/>
  <c r="U32" i="20"/>
  <c r="T52" i="34"/>
  <c r="D52" i="34"/>
  <c r="N61" i="34"/>
  <c r="F52" i="34"/>
  <c r="T61" i="34"/>
  <c r="H61" i="34"/>
  <c r="R61" i="34"/>
  <c r="X52" i="34"/>
  <c r="X61" i="34"/>
  <c r="P52" i="34"/>
  <c r="H52" i="34"/>
  <c r="Z61" i="34"/>
  <c r="P61" i="34"/>
  <c r="Z52" i="34"/>
  <c r="D61" i="34"/>
  <c r="V52" i="34"/>
  <c r="L52" i="34"/>
  <c r="R52" i="34"/>
  <c r="N52" i="34"/>
  <c r="F61" i="34"/>
  <c r="L61" i="34"/>
  <c r="V61" i="34"/>
  <c r="J61" i="34"/>
  <c r="J52" i="34"/>
  <c r="V62" i="34"/>
  <c r="P63" i="34"/>
  <c r="N62" i="34"/>
  <c r="Z62" i="34"/>
  <c r="V54" i="34"/>
  <c r="Z63" i="34"/>
  <c r="H63" i="34"/>
  <c r="X53" i="34"/>
  <c r="H54" i="34"/>
  <c r="T63" i="34"/>
  <c r="D60" i="34"/>
  <c r="F62" i="34"/>
  <c r="Z54" i="34"/>
  <c r="F53" i="34"/>
  <c r="N54" i="34"/>
  <c r="L54" i="34"/>
  <c r="X63" i="34"/>
  <c r="D63" i="34"/>
  <c r="R62" i="34"/>
  <c r="J62" i="34"/>
  <c r="J53" i="34"/>
  <c r="T53" i="34"/>
  <c r="L63" i="34"/>
  <c r="P54" i="34"/>
  <c r="H53" i="34"/>
  <c r="H62" i="34"/>
  <c r="D53" i="34"/>
  <c r="F63" i="34"/>
  <c r="N53" i="34"/>
  <c r="T62" i="34"/>
  <c r="R54" i="34"/>
  <c r="T54" i="34"/>
  <c r="L53" i="34"/>
  <c r="L62" i="34"/>
  <c r="F54" i="34"/>
  <c r="J63" i="34"/>
  <c r="R53" i="34"/>
  <c r="R63" i="34"/>
  <c r="X62" i="34"/>
  <c r="X54" i="34"/>
  <c r="P53" i="34"/>
  <c r="P62" i="34"/>
  <c r="J54" i="34"/>
  <c r="N63" i="34"/>
  <c r="V53" i="34"/>
  <c r="Z53" i="34"/>
  <c r="V63" i="34"/>
  <c r="R51" i="34"/>
  <c r="L51" i="34"/>
  <c r="T60" i="34"/>
  <c r="Z60" i="34"/>
  <c r="F51" i="34"/>
  <c r="R60" i="34"/>
  <c r="J51" i="34"/>
  <c r="F60" i="34"/>
  <c r="X60" i="34"/>
  <c r="X51" i="34"/>
  <c r="L60" i="34"/>
  <c r="P60" i="34"/>
  <c r="V60" i="34"/>
  <c r="T51" i="34"/>
  <c r="H60" i="34"/>
  <c r="H51" i="34"/>
  <c r="D62" i="34"/>
  <c r="N51" i="34"/>
  <c r="J60" i="34"/>
  <c r="P51" i="34"/>
  <c r="N60" i="34"/>
  <c r="V51" i="34"/>
  <c r="Z51" i="34"/>
  <c r="D51" i="34"/>
  <c r="D54" i="34"/>
  <c r="K32" i="20"/>
  <c r="I42" i="34" s="1"/>
  <c r="J42" i="34" s="1"/>
  <c r="AA32" i="20"/>
  <c r="G32" i="20"/>
  <c r="Q32" i="20"/>
  <c r="E32" i="20"/>
  <c r="I32" i="20"/>
  <c r="Y32" i="20"/>
  <c r="S32" i="20"/>
  <c r="M32" i="20"/>
  <c r="W32" i="20"/>
  <c r="O33" i="20"/>
  <c r="N38" i="27" s="1"/>
  <c r="U35" i="20"/>
  <c r="S45" i="34" s="1"/>
  <c r="W34" i="20"/>
  <c r="I33" i="20"/>
  <c r="H38" i="27" s="1"/>
  <c r="O35" i="20"/>
  <c r="M45" i="34" s="1"/>
  <c r="Q34" i="20"/>
  <c r="Y33" i="20"/>
  <c r="X38" i="27" s="1"/>
  <c r="E34" i="20"/>
  <c r="C44" i="34" s="1"/>
  <c r="D44" i="34" s="1"/>
  <c r="I35" i="20"/>
  <c r="G45" i="34" s="1"/>
  <c r="K34" i="20"/>
  <c r="M33" i="20"/>
  <c r="L38" i="27" s="1"/>
  <c r="S33" i="20"/>
  <c r="R38" i="27" s="1"/>
  <c r="Y35" i="20"/>
  <c r="W45" i="34" s="1"/>
  <c r="AA34" i="20"/>
  <c r="G33" i="20"/>
  <c r="M35" i="20"/>
  <c r="K45" i="34" s="1"/>
  <c r="S35" i="20"/>
  <c r="Q45" i="34" s="1"/>
  <c r="U34" i="20"/>
  <c r="G35" i="20"/>
  <c r="E45" i="34" s="1"/>
  <c r="O34" i="20"/>
  <c r="W33" i="20"/>
  <c r="I34" i="20"/>
  <c r="O32" i="20"/>
  <c r="N37" i="27" s="1"/>
  <c r="Q33" i="20"/>
  <c r="P38" i="27" s="1"/>
  <c r="W35" i="20"/>
  <c r="U45" i="34" s="1"/>
  <c r="Y34" i="20"/>
  <c r="E33" i="20"/>
  <c r="K33" i="20"/>
  <c r="J38" i="27" s="1"/>
  <c r="M34" i="20"/>
  <c r="Q35" i="20"/>
  <c r="O45" i="34" s="1"/>
  <c r="S34" i="20"/>
  <c r="AA33" i="20"/>
  <c r="Z38" i="27" s="1"/>
  <c r="E35" i="20"/>
  <c r="C45" i="34" s="1"/>
  <c r="D45" i="34" s="1"/>
  <c r="G34" i="20"/>
  <c r="K35" i="20"/>
  <c r="I45" i="34" s="1"/>
  <c r="U33" i="20"/>
  <c r="AA35" i="20"/>
  <c r="Y45" i="34" s="1"/>
  <c r="I22" i="30"/>
  <c r="I27" i="30" s="1"/>
  <c r="K22" i="30"/>
  <c r="K27" i="30" s="1"/>
  <c r="C55" i="34"/>
  <c r="E34" i="34"/>
  <c r="E24" i="34"/>
  <c r="D9" i="26"/>
  <c r="C9" i="26"/>
  <c r="B9" i="26"/>
  <c r="Z37" i="27" l="1"/>
  <c r="AA37" i="27" s="1"/>
  <c r="J37" i="27"/>
  <c r="Z44" i="27"/>
  <c r="AA44" i="27" s="1"/>
  <c r="E42" i="34"/>
  <c r="F42" i="34" s="1"/>
  <c r="F37" i="27"/>
  <c r="E43" i="34"/>
  <c r="F38" i="27"/>
  <c r="Q42" i="34"/>
  <c r="R42" i="34" s="1"/>
  <c r="R37" i="27"/>
  <c r="S42" i="34"/>
  <c r="T42" i="34" s="1"/>
  <c r="T37" i="27"/>
  <c r="V37" i="27"/>
  <c r="W42" i="34"/>
  <c r="X42" i="34" s="1"/>
  <c r="X37" i="27"/>
  <c r="G42" i="34"/>
  <c r="H42" i="34" s="1"/>
  <c r="H37" i="27"/>
  <c r="L37" i="27"/>
  <c r="L44" i="27" s="1"/>
  <c r="M44" i="27" s="1"/>
  <c r="U43" i="34"/>
  <c r="V38" i="27"/>
  <c r="S43" i="34"/>
  <c r="T43" i="34" s="1"/>
  <c r="T38" i="27"/>
  <c r="C43" i="34"/>
  <c r="D43" i="34" s="1"/>
  <c r="D38" i="27"/>
  <c r="E38" i="27" s="1"/>
  <c r="D37" i="27"/>
  <c r="D58" i="27"/>
  <c r="E58" i="27" s="1"/>
  <c r="E51" i="27"/>
  <c r="AB51" i="27" s="1"/>
  <c r="N44" i="27"/>
  <c r="O44" i="27" s="1"/>
  <c r="P37" i="27"/>
  <c r="P44" i="27" s="1"/>
  <c r="Q44" i="27" s="1"/>
  <c r="V45" i="34"/>
  <c r="U44" i="34"/>
  <c r="V44" i="34" s="1"/>
  <c r="R45" i="34"/>
  <c r="Q44" i="34"/>
  <c r="R44" i="34" s="1"/>
  <c r="T45" i="34"/>
  <c r="S44" i="34"/>
  <c r="Z45" i="34"/>
  <c r="Y44" i="34"/>
  <c r="Z44" i="34" s="1"/>
  <c r="J45" i="34"/>
  <c r="I44" i="34"/>
  <c r="P45" i="34"/>
  <c r="O44" i="34"/>
  <c r="P44" i="34" s="1"/>
  <c r="H45" i="34"/>
  <c r="G44" i="34"/>
  <c r="H44" i="34" s="1"/>
  <c r="F45" i="34"/>
  <c r="E44" i="34"/>
  <c r="E46" i="34" s="1"/>
  <c r="X45" i="34"/>
  <c r="W44" i="34"/>
  <c r="X44" i="34" s="1"/>
  <c r="L45" i="34"/>
  <c r="K44" i="34"/>
  <c r="L44" i="34" s="1"/>
  <c r="N45" i="34"/>
  <c r="M44" i="34"/>
  <c r="N44" i="34" s="1"/>
  <c r="M43" i="34"/>
  <c r="N43" i="34" s="1"/>
  <c r="Q43" i="34"/>
  <c r="R43" i="34" s="1"/>
  <c r="G43" i="34"/>
  <c r="H43" i="34" s="1"/>
  <c r="F43" i="34"/>
  <c r="Y43" i="34"/>
  <c r="I43" i="34"/>
  <c r="J43" i="34" s="1"/>
  <c r="O43" i="34"/>
  <c r="P43" i="34" s="1"/>
  <c r="K43" i="34"/>
  <c r="L43" i="34" s="1"/>
  <c r="W43" i="34"/>
  <c r="X43" i="34" s="1"/>
  <c r="U42" i="34"/>
  <c r="V42" i="34" s="1"/>
  <c r="O42" i="34"/>
  <c r="P42" i="34" s="1"/>
  <c r="K42" i="34"/>
  <c r="L42" i="34" s="1"/>
  <c r="Z43" i="34"/>
  <c r="Y42" i="34"/>
  <c r="Z42" i="34" s="1"/>
  <c r="C42" i="34"/>
  <c r="D42" i="34" s="1"/>
  <c r="M42" i="34"/>
  <c r="N42" i="34" s="1"/>
  <c r="V43" i="34"/>
  <c r="V55" i="34"/>
  <c r="J55" i="34"/>
  <c r="T55" i="34"/>
  <c r="F55" i="34"/>
  <c r="Z55" i="34"/>
  <c r="D55" i="34"/>
  <c r="U38" i="27"/>
  <c r="O37" i="27"/>
  <c r="AA38" i="27"/>
  <c r="AA45" i="27" s="1"/>
  <c r="K38" i="27"/>
  <c r="S38" i="27"/>
  <c r="R55" i="34"/>
  <c r="X55" i="34"/>
  <c r="W38" i="27"/>
  <c r="H55" i="34"/>
  <c r="L55" i="34"/>
  <c r="I38" i="27"/>
  <c r="M38" i="27"/>
  <c r="Q38" i="27"/>
  <c r="O38" i="27"/>
  <c r="N55" i="34"/>
  <c r="P55" i="34"/>
  <c r="Y38" i="27"/>
  <c r="G38" i="27"/>
  <c r="X64" i="34"/>
  <c r="W64" i="34"/>
  <c r="F64" i="34"/>
  <c r="E64" i="34"/>
  <c r="N64" i="34"/>
  <c r="M64" i="34"/>
  <c r="V64" i="34"/>
  <c r="U64" i="34"/>
  <c r="D64" i="34"/>
  <c r="C64" i="34"/>
  <c r="J64" i="34"/>
  <c r="I64" i="34"/>
  <c r="H64" i="34"/>
  <c r="G64" i="34"/>
  <c r="T64" i="34"/>
  <c r="S64" i="34"/>
  <c r="Z64" i="34"/>
  <c r="Y64" i="34"/>
  <c r="L64" i="34"/>
  <c r="K64" i="34"/>
  <c r="R64" i="34"/>
  <c r="Q64" i="34"/>
  <c r="P64" i="34"/>
  <c r="O64" i="34"/>
  <c r="D140" i="20"/>
  <c r="D141" i="20"/>
  <c r="D142" i="20"/>
  <c r="D143" i="20"/>
  <c r="D144" i="20"/>
  <c r="D145" i="20"/>
  <c r="D146" i="20"/>
  <c r="D147" i="20"/>
  <c r="D148" i="20"/>
  <c r="D149" i="20"/>
  <c r="D150" i="20"/>
  <c r="D139" i="20"/>
  <c r="D81" i="20"/>
  <c r="D82" i="20"/>
  <c r="D83" i="20"/>
  <c r="D84" i="20"/>
  <c r="D85" i="20"/>
  <c r="D86" i="20"/>
  <c r="D87" i="20"/>
  <c r="D88" i="20"/>
  <c r="D89" i="20"/>
  <c r="D90" i="20"/>
  <c r="D91" i="20"/>
  <c r="D80" i="20"/>
  <c r="B20" i="20"/>
  <c r="D20" i="20" s="1"/>
  <c r="B21" i="20"/>
  <c r="D21" i="20" s="1"/>
  <c r="B22" i="20"/>
  <c r="D22" i="20" s="1"/>
  <c r="B23" i="20"/>
  <c r="D23" i="20" s="1"/>
  <c r="B24" i="20"/>
  <c r="D24" i="20" s="1"/>
  <c r="B25" i="20"/>
  <c r="D25" i="20" s="1"/>
  <c r="B26" i="20"/>
  <c r="D26" i="20" s="1"/>
  <c r="B27" i="20"/>
  <c r="D27" i="20" s="1"/>
  <c r="B28" i="20"/>
  <c r="D28" i="20" s="1"/>
  <c r="B29" i="20"/>
  <c r="D29" i="20" s="1"/>
  <c r="B30" i="20"/>
  <c r="D30" i="20" s="1"/>
  <c r="B19" i="20"/>
  <c r="D19" i="20" s="1"/>
  <c r="D7" i="20"/>
  <c r="C7" i="20"/>
  <c r="B7" i="20"/>
  <c r="Q37" i="27" l="1"/>
  <c r="I46" i="34"/>
  <c r="S46" i="34"/>
  <c r="J44" i="27"/>
  <c r="K44" i="27" s="1"/>
  <c r="K37" i="27"/>
  <c r="K45" i="27" s="1"/>
  <c r="M37" i="27"/>
  <c r="D44" i="27"/>
  <c r="E44" i="27" s="1"/>
  <c r="E37" i="27"/>
  <c r="E45" i="27" s="1"/>
  <c r="H44" i="27"/>
  <c r="I44" i="27" s="1"/>
  <c r="I37" i="27"/>
  <c r="I45" i="27" s="1"/>
  <c r="E59" i="27"/>
  <c r="AB58" i="27"/>
  <c r="K23" i="38" s="1"/>
  <c r="V34" i="34"/>
  <c r="W34" i="34" s="1"/>
  <c r="V35" i="34"/>
  <c r="W35" i="34" s="1"/>
  <c r="X44" i="27"/>
  <c r="Y44" i="27" s="1"/>
  <c r="Y37" i="27"/>
  <c r="R44" i="27"/>
  <c r="S44" i="27" s="1"/>
  <c r="S37" i="27"/>
  <c r="S45" i="27" s="1"/>
  <c r="D46" i="34"/>
  <c r="F44" i="27"/>
  <c r="G44" i="27" s="1"/>
  <c r="G37" i="27"/>
  <c r="X35" i="34"/>
  <c r="Y35" i="34" s="1"/>
  <c r="V44" i="27"/>
  <c r="W44" i="27" s="1"/>
  <c r="W37" i="27"/>
  <c r="W45" i="27" s="1"/>
  <c r="G45" i="27"/>
  <c r="T44" i="27"/>
  <c r="U44" i="27" s="1"/>
  <c r="U37" i="27"/>
  <c r="J44" i="34"/>
  <c r="J46" i="34" s="1"/>
  <c r="X34" i="34"/>
  <c r="Y34" i="34" s="1"/>
  <c r="T44" i="34"/>
  <c r="T46" i="34" s="1"/>
  <c r="F44" i="34"/>
  <c r="F46" i="34" s="1"/>
  <c r="Z46" i="34"/>
  <c r="H46" i="34"/>
  <c r="R46" i="34"/>
  <c r="V46" i="34"/>
  <c r="P46" i="34"/>
  <c r="K46" i="34"/>
  <c r="U46" i="34"/>
  <c r="O46" i="34"/>
  <c r="L46" i="34"/>
  <c r="Y46" i="34"/>
  <c r="G46" i="34"/>
  <c r="C46" i="34"/>
  <c r="X46" i="34"/>
  <c r="N46" i="34"/>
  <c r="W46" i="34"/>
  <c r="M46" i="34"/>
  <c r="Q46" i="34"/>
  <c r="AB43" i="27"/>
  <c r="O45" i="27"/>
  <c r="J6" i="27"/>
  <c r="M11" i="21" s="1"/>
  <c r="AB38" i="27"/>
  <c r="M45" i="27"/>
  <c r="Q45" i="27"/>
  <c r="H6" i="25"/>
  <c r="D151" i="20"/>
  <c r="D92" i="20"/>
  <c r="Z139" i="20"/>
  <c r="V139" i="20"/>
  <c r="R139" i="20"/>
  <c r="N139" i="20"/>
  <c r="J139" i="20"/>
  <c r="F139" i="20"/>
  <c r="X139" i="20"/>
  <c r="H139" i="20"/>
  <c r="T139" i="20"/>
  <c r="AB139" i="20"/>
  <c r="L139" i="20"/>
  <c r="P139" i="20"/>
  <c r="Z147" i="20"/>
  <c r="V147" i="20"/>
  <c r="R147" i="20"/>
  <c r="N147" i="20"/>
  <c r="J147" i="20"/>
  <c r="F147" i="20"/>
  <c r="AB147" i="20"/>
  <c r="X147" i="20"/>
  <c r="T147" i="20"/>
  <c r="P147" i="20"/>
  <c r="L147" i="20"/>
  <c r="H147" i="20"/>
  <c r="Z140" i="20"/>
  <c r="V140" i="20"/>
  <c r="R140" i="20"/>
  <c r="N140" i="20"/>
  <c r="J140" i="20"/>
  <c r="F140" i="20"/>
  <c r="P140" i="20"/>
  <c r="T140" i="20"/>
  <c r="X140" i="20"/>
  <c r="H140" i="20"/>
  <c r="AB140" i="20"/>
  <c r="L140" i="20"/>
  <c r="Z150" i="20"/>
  <c r="V150" i="20"/>
  <c r="R150" i="20"/>
  <c r="N150" i="20"/>
  <c r="J150" i="20"/>
  <c r="F150" i="20"/>
  <c r="AB150" i="20"/>
  <c r="X150" i="20"/>
  <c r="T150" i="20"/>
  <c r="P150" i="20"/>
  <c r="L150" i="20"/>
  <c r="H150" i="20"/>
  <c r="Z146" i="20"/>
  <c r="V146" i="20"/>
  <c r="R146" i="20"/>
  <c r="N146" i="20"/>
  <c r="J146" i="20"/>
  <c r="F146" i="20"/>
  <c r="AB146" i="20"/>
  <c r="X146" i="20"/>
  <c r="T146" i="20"/>
  <c r="P146" i="20"/>
  <c r="L146" i="20"/>
  <c r="H146" i="20"/>
  <c r="Z143" i="20"/>
  <c r="V143" i="20"/>
  <c r="R143" i="20"/>
  <c r="N143" i="20"/>
  <c r="J143" i="20"/>
  <c r="F143" i="20"/>
  <c r="X143" i="20"/>
  <c r="P143" i="20"/>
  <c r="H143" i="20"/>
  <c r="AB143" i="20"/>
  <c r="T143" i="20"/>
  <c r="L143" i="20"/>
  <c r="Z149" i="20"/>
  <c r="V149" i="20"/>
  <c r="R149" i="20"/>
  <c r="N149" i="20"/>
  <c r="J149" i="20"/>
  <c r="F149" i="20"/>
  <c r="AB149" i="20"/>
  <c r="X149" i="20"/>
  <c r="T149" i="20"/>
  <c r="P149" i="20"/>
  <c r="L149" i="20"/>
  <c r="H149" i="20"/>
  <c r="Z145" i="20"/>
  <c r="V145" i="20"/>
  <c r="R145" i="20"/>
  <c r="N145" i="20"/>
  <c r="J145" i="20"/>
  <c r="F145" i="20"/>
  <c r="AB145" i="20"/>
  <c r="X145" i="20"/>
  <c r="T145" i="20"/>
  <c r="P145" i="20"/>
  <c r="L145" i="20"/>
  <c r="H145" i="20"/>
  <c r="Z142" i="20"/>
  <c r="V142" i="20"/>
  <c r="R142" i="20"/>
  <c r="N142" i="20"/>
  <c r="J142" i="20"/>
  <c r="F142" i="20"/>
  <c r="X142" i="20"/>
  <c r="P142" i="20"/>
  <c r="H142" i="20"/>
  <c r="AB142" i="20"/>
  <c r="T142" i="20"/>
  <c r="L142" i="20"/>
  <c r="Z148" i="20"/>
  <c r="V148" i="20"/>
  <c r="R148" i="20"/>
  <c r="N148" i="20"/>
  <c r="J148" i="20"/>
  <c r="F148" i="20"/>
  <c r="AB148" i="20"/>
  <c r="X148" i="20"/>
  <c r="T148" i="20"/>
  <c r="P148" i="20"/>
  <c r="L148" i="20"/>
  <c r="H148" i="20"/>
  <c r="Z144" i="20"/>
  <c r="V144" i="20"/>
  <c r="R144" i="20"/>
  <c r="N144" i="20"/>
  <c r="J144" i="20"/>
  <c r="F144" i="20"/>
  <c r="L144" i="20"/>
  <c r="AB144" i="20"/>
  <c r="X144" i="20"/>
  <c r="T144" i="20"/>
  <c r="P144" i="20"/>
  <c r="H144" i="20"/>
  <c r="Z141" i="20"/>
  <c r="V141" i="20"/>
  <c r="R141" i="20"/>
  <c r="N141" i="20"/>
  <c r="J141" i="20"/>
  <c r="F141" i="20"/>
  <c r="AB141" i="20"/>
  <c r="X141" i="20"/>
  <c r="H141" i="20"/>
  <c r="T141" i="20"/>
  <c r="L141" i="20"/>
  <c r="P141" i="20"/>
  <c r="AB89" i="20"/>
  <c r="X89" i="20"/>
  <c r="T89" i="20"/>
  <c r="P89" i="20"/>
  <c r="L89" i="20"/>
  <c r="H89" i="20"/>
  <c r="Z89" i="20"/>
  <c r="V89" i="20"/>
  <c r="R89" i="20"/>
  <c r="N89" i="20"/>
  <c r="J89" i="20"/>
  <c r="F89" i="20"/>
  <c r="AB82" i="20"/>
  <c r="X82" i="20"/>
  <c r="T82" i="20"/>
  <c r="P82" i="20"/>
  <c r="L82" i="20"/>
  <c r="H82" i="20"/>
  <c r="F82" i="20"/>
  <c r="Z82" i="20"/>
  <c r="V82" i="20"/>
  <c r="R82" i="20"/>
  <c r="N82" i="20"/>
  <c r="J82" i="20"/>
  <c r="AB88" i="20"/>
  <c r="X88" i="20"/>
  <c r="T88" i="20"/>
  <c r="P88" i="20"/>
  <c r="L88" i="20"/>
  <c r="H88" i="20"/>
  <c r="Z88" i="20"/>
  <c r="V88" i="20"/>
  <c r="R88" i="20"/>
  <c r="N88" i="20"/>
  <c r="J88" i="20"/>
  <c r="F88" i="20"/>
  <c r="AB81" i="20"/>
  <c r="X81" i="20"/>
  <c r="T81" i="20"/>
  <c r="P81" i="20"/>
  <c r="L81" i="20"/>
  <c r="H81" i="20"/>
  <c r="N81" i="20"/>
  <c r="F81" i="20"/>
  <c r="Z81" i="20"/>
  <c r="V81" i="20"/>
  <c r="R81" i="20"/>
  <c r="J81" i="20"/>
  <c r="AB91" i="20"/>
  <c r="X91" i="20"/>
  <c r="T91" i="20"/>
  <c r="P91" i="20"/>
  <c r="L91" i="20"/>
  <c r="H91" i="20"/>
  <c r="Z91" i="20"/>
  <c r="V91" i="20"/>
  <c r="R91" i="20"/>
  <c r="N91" i="20"/>
  <c r="J91" i="20"/>
  <c r="F91" i="20"/>
  <c r="AB87" i="20"/>
  <c r="X87" i="20"/>
  <c r="T87" i="20"/>
  <c r="P87" i="20"/>
  <c r="L87" i="20"/>
  <c r="H87" i="20"/>
  <c r="Z87" i="20"/>
  <c r="V87" i="20"/>
  <c r="R87" i="20"/>
  <c r="N87" i="20"/>
  <c r="J87" i="20"/>
  <c r="F87" i="20"/>
  <c r="AB84" i="20"/>
  <c r="X84" i="20"/>
  <c r="T84" i="20"/>
  <c r="P84" i="20"/>
  <c r="L84" i="20"/>
  <c r="H84" i="20"/>
  <c r="Z84" i="20"/>
  <c r="V84" i="20"/>
  <c r="R84" i="20"/>
  <c r="N84" i="20"/>
  <c r="J84" i="20"/>
  <c r="F84" i="20"/>
  <c r="AB86" i="20"/>
  <c r="X86" i="20"/>
  <c r="T86" i="20"/>
  <c r="P86" i="20"/>
  <c r="L86" i="20"/>
  <c r="H86" i="20"/>
  <c r="Z86" i="20"/>
  <c r="V86" i="20"/>
  <c r="R86" i="20"/>
  <c r="N86" i="20"/>
  <c r="J86" i="20"/>
  <c r="F86" i="20"/>
  <c r="AB85" i="20"/>
  <c r="X85" i="20"/>
  <c r="T85" i="20"/>
  <c r="P85" i="20"/>
  <c r="L85" i="20"/>
  <c r="H85" i="20"/>
  <c r="Z85" i="20"/>
  <c r="V85" i="20"/>
  <c r="R85" i="20"/>
  <c r="N85" i="20"/>
  <c r="J85" i="20"/>
  <c r="F85" i="20"/>
  <c r="AB80" i="20"/>
  <c r="X80" i="20"/>
  <c r="T80" i="20"/>
  <c r="P80" i="20"/>
  <c r="L80" i="20"/>
  <c r="H80" i="20"/>
  <c r="Z80" i="20"/>
  <c r="V80" i="20"/>
  <c r="R80" i="20"/>
  <c r="J80" i="20"/>
  <c r="N80" i="20"/>
  <c r="F80" i="20"/>
  <c r="AB90" i="20"/>
  <c r="X90" i="20"/>
  <c r="T90" i="20"/>
  <c r="P90" i="20"/>
  <c r="L90" i="20"/>
  <c r="H90" i="20"/>
  <c r="Z90" i="20"/>
  <c r="V90" i="20"/>
  <c r="R90" i="20"/>
  <c r="N90" i="20"/>
  <c r="J90" i="20"/>
  <c r="F90" i="20"/>
  <c r="AB83" i="20"/>
  <c r="X83" i="20"/>
  <c r="T83" i="20"/>
  <c r="P83" i="20"/>
  <c r="L83" i="20"/>
  <c r="H83" i="20"/>
  <c r="Z83" i="20"/>
  <c r="V83" i="20"/>
  <c r="R83" i="20"/>
  <c r="N83" i="20"/>
  <c r="J83" i="20"/>
  <c r="F83" i="20"/>
  <c r="D22" i="26"/>
  <c r="E17" i="26"/>
  <c r="D25" i="26"/>
  <c r="D18" i="26"/>
  <c r="E24" i="26"/>
  <c r="D28" i="26"/>
  <c r="D24" i="26"/>
  <c r="D21" i="26"/>
  <c r="E27" i="26"/>
  <c r="E23" i="26"/>
  <c r="E20" i="26"/>
  <c r="D26" i="26"/>
  <c r="D19" i="26"/>
  <c r="E25" i="26"/>
  <c r="E18" i="26"/>
  <c r="D17" i="26"/>
  <c r="E28" i="26"/>
  <c r="E21" i="26"/>
  <c r="D23" i="26"/>
  <c r="D27" i="26"/>
  <c r="D20" i="26"/>
  <c r="E26" i="26"/>
  <c r="E22" i="26"/>
  <c r="E19" i="26"/>
  <c r="C28" i="26"/>
  <c r="AB30" i="20"/>
  <c r="X30" i="20"/>
  <c r="T30" i="20"/>
  <c r="P30" i="20"/>
  <c r="L30" i="20"/>
  <c r="Z30" i="20"/>
  <c r="V30" i="20"/>
  <c r="R30" i="20"/>
  <c r="N30" i="20"/>
  <c r="J30" i="20"/>
  <c r="F30" i="20"/>
  <c r="H30" i="20"/>
  <c r="C24" i="26"/>
  <c r="F26" i="20"/>
  <c r="P26" i="20"/>
  <c r="L26" i="20"/>
  <c r="Z26" i="20"/>
  <c r="V26" i="20"/>
  <c r="R26" i="20"/>
  <c r="N26" i="20"/>
  <c r="J26" i="20"/>
  <c r="AB26" i="20"/>
  <c r="X26" i="20"/>
  <c r="T26" i="20"/>
  <c r="H26" i="20"/>
  <c r="C21" i="26"/>
  <c r="F23" i="20"/>
  <c r="AB23" i="20"/>
  <c r="X23" i="20"/>
  <c r="T23" i="20"/>
  <c r="P23" i="20"/>
  <c r="L23" i="20"/>
  <c r="H23" i="20"/>
  <c r="Z23" i="20"/>
  <c r="V23" i="20"/>
  <c r="R23" i="20"/>
  <c r="N23" i="20"/>
  <c r="J23" i="20"/>
  <c r="C27" i="26"/>
  <c r="Z29" i="20"/>
  <c r="V29" i="20"/>
  <c r="R29" i="20"/>
  <c r="N29" i="20"/>
  <c r="J29" i="20"/>
  <c r="F29" i="20"/>
  <c r="AB29" i="20"/>
  <c r="T29" i="20"/>
  <c r="H29" i="20"/>
  <c r="X29" i="20"/>
  <c r="P29" i="20"/>
  <c r="L29" i="20"/>
  <c r="C23" i="26"/>
  <c r="Z25" i="20"/>
  <c r="V25" i="20"/>
  <c r="R25" i="20"/>
  <c r="N25" i="20"/>
  <c r="J25" i="20"/>
  <c r="X25" i="20"/>
  <c r="P25" i="20"/>
  <c r="L25" i="20"/>
  <c r="F25" i="20"/>
  <c r="AB25" i="20"/>
  <c r="T25" i="20"/>
  <c r="H25" i="20"/>
  <c r="C20" i="26"/>
  <c r="Z22" i="20"/>
  <c r="V22" i="20"/>
  <c r="R22" i="20"/>
  <c r="N22" i="20"/>
  <c r="J22" i="20"/>
  <c r="AB22" i="20"/>
  <c r="X22" i="20"/>
  <c r="T22" i="20"/>
  <c r="P22" i="20"/>
  <c r="H22" i="20"/>
  <c r="F22" i="20"/>
  <c r="L22" i="20"/>
  <c r="C26" i="26"/>
  <c r="F28" i="20"/>
  <c r="N28" i="20"/>
  <c r="AB28" i="20"/>
  <c r="X28" i="20"/>
  <c r="T28" i="20"/>
  <c r="P28" i="20"/>
  <c r="L28" i="20"/>
  <c r="H28" i="20"/>
  <c r="Z28" i="20"/>
  <c r="V28" i="20"/>
  <c r="R28" i="20"/>
  <c r="J28" i="20"/>
  <c r="C22" i="26"/>
  <c r="F24" i="20"/>
  <c r="Z24" i="20"/>
  <c r="V24" i="20"/>
  <c r="R24" i="20"/>
  <c r="N24" i="20"/>
  <c r="AB24" i="20"/>
  <c r="X24" i="20"/>
  <c r="T24" i="20"/>
  <c r="P24" i="20"/>
  <c r="L24" i="20"/>
  <c r="H24" i="20"/>
  <c r="J24" i="20"/>
  <c r="C19" i="26"/>
  <c r="F21" i="20"/>
  <c r="N21" i="20"/>
  <c r="AB21" i="20"/>
  <c r="X21" i="20"/>
  <c r="T21" i="20"/>
  <c r="P21" i="20"/>
  <c r="L21" i="20"/>
  <c r="H21" i="20"/>
  <c r="Z21" i="20"/>
  <c r="V21" i="20"/>
  <c r="R21" i="20"/>
  <c r="J21" i="20"/>
  <c r="C17" i="26"/>
  <c r="AB19" i="20"/>
  <c r="X19" i="20"/>
  <c r="T19" i="20"/>
  <c r="P19" i="20"/>
  <c r="L19" i="20"/>
  <c r="H19" i="20"/>
  <c r="R19" i="20"/>
  <c r="N19" i="20"/>
  <c r="J19" i="20"/>
  <c r="Z19" i="20"/>
  <c r="V19" i="20"/>
  <c r="F19" i="20"/>
  <c r="C25" i="26"/>
  <c r="AB27" i="20"/>
  <c r="X27" i="20"/>
  <c r="T27" i="20"/>
  <c r="P27" i="20"/>
  <c r="L27" i="20"/>
  <c r="H27" i="20"/>
  <c r="Z27" i="20"/>
  <c r="V27" i="20"/>
  <c r="R27" i="20"/>
  <c r="N27" i="20"/>
  <c r="J27" i="20"/>
  <c r="F27" i="20"/>
  <c r="C18" i="26"/>
  <c r="AB20" i="20"/>
  <c r="X20" i="20"/>
  <c r="T20" i="20"/>
  <c r="P20" i="20"/>
  <c r="L20" i="20"/>
  <c r="H20" i="20"/>
  <c r="V20" i="20"/>
  <c r="Z20" i="20"/>
  <c r="R20" i="20"/>
  <c r="N20" i="20"/>
  <c r="J20" i="20"/>
  <c r="F20" i="20"/>
  <c r="D31" i="20"/>
  <c r="U45" i="27" l="1"/>
  <c r="AB44" i="27"/>
  <c r="Y45" i="27"/>
  <c r="AB37" i="27"/>
  <c r="AB59" i="27"/>
  <c r="I6" i="27" s="1"/>
  <c r="S34" i="34"/>
  <c r="T34" i="34" s="1"/>
  <c r="H11" i="38"/>
  <c r="H25" i="38" s="1"/>
  <c r="H27" i="38" s="1"/>
  <c r="H29" i="38" s="1"/>
  <c r="H11" i="37"/>
  <c r="H25" i="37" s="1"/>
  <c r="H27" i="37" s="1"/>
  <c r="H29" i="37" s="1"/>
  <c r="AB45" i="27"/>
  <c r="H6" i="27" s="1"/>
  <c r="Z31" i="20"/>
  <c r="G14" i="21"/>
  <c r="G16" i="21" s="1"/>
  <c r="H11" i="29"/>
  <c r="K12" i="21"/>
  <c r="B12" i="24"/>
  <c r="D11" i="24"/>
  <c r="D13" i="24" s="1"/>
  <c r="V151" i="20"/>
  <c r="T151" i="20"/>
  <c r="J151" i="20"/>
  <c r="Z151" i="20"/>
  <c r="AB151" i="20"/>
  <c r="P151" i="20"/>
  <c r="H151" i="20"/>
  <c r="N151" i="20"/>
  <c r="F151" i="20"/>
  <c r="N92" i="20"/>
  <c r="L151" i="20"/>
  <c r="X151" i="20"/>
  <c r="R151" i="20"/>
  <c r="T92" i="20"/>
  <c r="X92" i="20"/>
  <c r="L92" i="20"/>
  <c r="Z92" i="20"/>
  <c r="J92" i="20"/>
  <c r="H92" i="20"/>
  <c r="R92" i="20"/>
  <c r="AB92" i="20"/>
  <c r="F92" i="20"/>
  <c r="V92" i="20"/>
  <c r="P92" i="20"/>
  <c r="E29" i="26"/>
  <c r="F31" i="20"/>
  <c r="N31" i="20"/>
  <c r="P31" i="20"/>
  <c r="V31" i="20"/>
  <c r="R31" i="20"/>
  <c r="H31" i="20"/>
  <c r="X31" i="20"/>
  <c r="T31" i="20"/>
  <c r="J31" i="20"/>
  <c r="L31" i="20"/>
  <c r="AB31" i="20"/>
  <c r="D29" i="26"/>
  <c r="C29" i="26"/>
  <c r="L11" i="21" l="1"/>
  <c r="C11" i="24"/>
  <c r="C13" i="24" s="1"/>
  <c r="K10" i="30"/>
  <c r="K24" i="30" s="1"/>
  <c r="K26" i="30" s="1"/>
  <c r="H25" i="29"/>
  <c r="H27" i="29" s="1"/>
  <c r="F12" i="38"/>
  <c r="F26" i="38" s="1"/>
  <c r="F12" i="37"/>
  <c r="F26" i="37" s="1"/>
  <c r="K11" i="21"/>
  <c r="B11" i="24"/>
  <c r="B13" i="24" s="1"/>
  <c r="F12" i="29"/>
  <c r="E15" i="21"/>
  <c r="G18" i="21"/>
  <c r="G11" i="38" l="1"/>
  <c r="F14" i="21"/>
  <c r="F16" i="21" s="1"/>
  <c r="G11" i="37"/>
  <c r="G25" i="37" s="1"/>
  <c r="G27" i="37" s="1"/>
  <c r="G11" i="29"/>
  <c r="H29" i="29"/>
  <c r="F11" i="37"/>
  <c r="F25" i="37" s="1"/>
  <c r="F27" i="37" s="1"/>
  <c r="F11" i="38"/>
  <c r="F25" i="38" s="1"/>
  <c r="F27" i="38" s="1"/>
  <c r="F29" i="38" s="1"/>
  <c r="F26" i="29"/>
  <c r="I11" i="30"/>
  <c r="I25" i="30" s="1"/>
  <c r="E14" i="21"/>
  <c r="E16" i="21" s="1"/>
  <c r="E18" i="21" s="1"/>
  <c r="F11" i="29"/>
  <c r="K28" i="30"/>
  <c r="B10" i="26"/>
  <c r="C8" i="20"/>
  <c r="C10" i="26"/>
  <c r="J10" i="30" l="1"/>
  <c r="J24" i="30" s="1"/>
  <c r="J26" i="30" s="1"/>
  <c r="G25" i="29"/>
  <c r="G27" i="29" s="1"/>
  <c r="F20" i="21"/>
  <c r="F22" i="21" s="1"/>
  <c r="F18" i="21"/>
  <c r="G19" i="21" s="1"/>
  <c r="G20" i="21" s="1"/>
  <c r="G22" i="21" s="1"/>
  <c r="G31" i="37"/>
  <c r="G33" i="37" s="1"/>
  <c r="G29" i="37"/>
  <c r="H30" i="37" s="1"/>
  <c r="H31" i="37" s="1"/>
  <c r="H33" i="37" s="1"/>
  <c r="G25" i="38"/>
  <c r="G27" i="38" s="1"/>
  <c r="F31" i="37"/>
  <c r="F33" i="37" s="1"/>
  <c r="H37" i="37" s="1"/>
  <c r="F29" i="37"/>
  <c r="F31" i="38"/>
  <c r="F33" i="38" s="1"/>
  <c r="F25" i="29"/>
  <c r="I10" i="30"/>
  <c r="F27" i="29"/>
  <c r="F31" i="29" s="1"/>
  <c r="F33" i="29" s="1"/>
  <c r="I24" i="30"/>
  <c r="I26" i="30" s="1"/>
  <c r="I28" i="30" s="1"/>
  <c r="E20" i="21"/>
  <c r="E22" i="21" s="1"/>
  <c r="G28" i="21" s="1"/>
  <c r="B8" i="20"/>
  <c r="D8" i="20"/>
  <c r="D10" i="26"/>
  <c r="G31" i="38" l="1"/>
  <c r="G33" i="38" s="1"/>
  <c r="G29" i="38"/>
  <c r="H30" i="38" s="1"/>
  <c r="H31" i="38" s="1"/>
  <c r="H33" i="38" s="1"/>
  <c r="H37" i="38"/>
  <c r="G31" i="29"/>
  <c r="G33" i="29" s="1"/>
  <c r="G29" i="29"/>
  <c r="H30" i="29" s="1"/>
  <c r="H31" i="29" s="1"/>
  <c r="H33" i="29" s="1"/>
  <c r="H37" i="29" s="1"/>
  <c r="H37" i="30" s="1"/>
  <c r="J30" i="30"/>
  <c r="J32" i="30" s="1"/>
  <c r="J28" i="30"/>
  <c r="K29" i="30" s="1"/>
  <c r="K30" i="30" s="1"/>
  <c r="K32" i="30" s="1"/>
  <c r="F29" i="29"/>
  <c r="I30" i="30"/>
  <c r="I32" i="30" s="1"/>
  <c r="K37" i="30" l="1"/>
</calcChain>
</file>

<file path=xl/sharedStrings.xml><?xml version="1.0" encoding="utf-8"?>
<sst xmlns="http://schemas.openxmlformats.org/spreadsheetml/2006/main" count="1396" uniqueCount="402">
  <si>
    <t>TRABAJO FINAL DE INGENIERÍA</t>
  </si>
  <si>
    <t>Hipótesis</t>
  </si>
  <si>
    <t>Proyección de ventas</t>
  </si>
  <si>
    <t>Modelo de ingresos</t>
  </si>
  <si>
    <t>Estructura de costos fijos</t>
  </si>
  <si>
    <t>Estructura de costos variables</t>
  </si>
  <si>
    <t>Estructura de costos de RRHH</t>
  </si>
  <si>
    <t>Modelo de egresos</t>
  </si>
  <si>
    <t>Modelo de inversión</t>
  </si>
  <si>
    <t>Amortizaciones</t>
  </si>
  <si>
    <t>Presupuesto Financiero</t>
  </si>
  <si>
    <t>Matriz de riesgos</t>
  </si>
  <si>
    <t>Plan de contingencia</t>
  </si>
  <si>
    <t>Presupuesto financiero</t>
  </si>
  <si>
    <t>Índice</t>
  </si>
  <si>
    <t>Total</t>
  </si>
  <si>
    <t>Lista de precios</t>
  </si>
  <si>
    <t>PROFUNDIDAD DE LAS LÍNEAS DE PRODUCTOS</t>
  </si>
  <si>
    <t>AMPLITUD DE LA MEZCLA DE PRODUCTOS</t>
  </si>
  <si>
    <t>Líneas de productos</t>
  </si>
  <si>
    <t>Producto</t>
  </si>
  <si>
    <t>Precio</t>
  </si>
  <si>
    <t>Evolución de la participación</t>
  </si>
  <si>
    <t>Año</t>
  </si>
  <si>
    <t>Porcentaje</t>
  </si>
  <si>
    <t>Detalle</t>
  </si>
  <si>
    <t>Ingresos</t>
  </si>
  <si>
    <t>Enero</t>
  </si>
  <si>
    <t>Febrero</t>
  </si>
  <si>
    <t>Marzo</t>
  </si>
  <si>
    <t>Abril</t>
  </si>
  <si>
    <t>Mayo</t>
  </si>
  <si>
    <t>Junio</t>
  </si>
  <si>
    <t>Julio</t>
  </si>
  <si>
    <t>Agosto</t>
  </si>
  <si>
    <t>Septiembre</t>
  </si>
  <si>
    <t>Octubre</t>
  </si>
  <si>
    <t>Noviembre</t>
  </si>
  <si>
    <t>Diciembre</t>
  </si>
  <si>
    <t>Proyección de ventas 2021</t>
  </si>
  <si>
    <t>.</t>
  </si>
  <si>
    <t>TOTALES</t>
  </si>
  <si>
    <t>Ingresos por productos</t>
  </si>
  <si>
    <t>Cantidad</t>
  </si>
  <si>
    <t>Anual</t>
  </si>
  <si>
    <t>Estacionalidad</t>
  </si>
  <si>
    <t>RRHH</t>
  </si>
  <si>
    <t>Concepto</t>
  </si>
  <si>
    <t>Año cero - Kick off</t>
  </si>
  <si>
    <t>Infraestructura</t>
  </si>
  <si>
    <t>Instalaciones</t>
  </si>
  <si>
    <t>Evolución de la participación en el mercado</t>
  </si>
  <si>
    <t>Comentarios</t>
  </si>
  <si>
    <r>
      <t xml:space="preserve">En la proyección de ventas se podrá apreciar el efecto de la </t>
    </r>
    <r>
      <rPr>
        <b/>
        <sz val="12"/>
        <color theme="1"/>
        <rFont val="Calibri"/>
        <family val="2"/>
        <scheme val="minor"/>
      </rPr>
      <t>estacionalidad</t>
    </r>
    <r>
      <rPr>
        <sz val="12"/>
        <color theme="1"/>
        <rFont val="Calibri"/>
        <family val="2"/>
        <scheme val="minor"/>
      </rPr>
      <t xml:space="preserve"> remarcada por las siguientes situaciones:
</t>
    </r>
    <r>
      <rPr>
        <u/>
        <sz val="12"/>
        <color theme="1"/>
        <rFont val="Calibri"/>
        <family val="2"/>
        <scheme val="minor"/>
      </rPr>
      <t xml:space="preserve">a) </t>
    </r>
    <r>
      <rPr>
        <b/>
        <u/>
        <sz val="12"/>
        <color theme="1"/>
        <rFont val="Calibri"/>
        <family val="2"/>
        <scheme val="minor"/>
      </rPr>
      <t>Efecto Aguinaldo:</t>
    </r>
    <r>
      <rPr>
        <sz val="12"/>
        <color theme="1"/>
        <rFont val="Calibri"/>
        <family val="2"/>
        <scheme val="minor"/>
      </rPr>
      <t xml:space="preserve"> Preveemos mayores ventas en los meses de </t>
    </r>
    <r>
      <rPr>
        <b/>
        <sz val="12"/>
        <color theme="1"/>
        <rFont val="Calibri"/>
        <family val="2"/>
        <scheme val="minor"/>
      </rPr>
      <t xml:space="preserve">enero y julio </t>
    </r>
    <r>
      <rPr>
        <sz val="12"/>
        <color theme="1"/>
        <rFont val="Calibri"/>
        <family val="2"/>
        <scheme val="minor"/>
      </rPr>
      <t xml:space="preserve">cuando las personas que integran nuestro mercado meta perciban su </t>
    </r>
    <r>
      <rPr>
        <b/>
        <sz val="12"/>
        <color theme="1"/>
        <rFont val="Calibri"/>
        <family val="2"/>
        <scheme val="minor"/>
      </rPr>
      <t>Sueldo Anual Complementario</t>
    </r>
    <r>
      <rPr>
        <sz val="12"/>
        <color theme="1"/>
        <rFont val="Calibri"/>
        <family val="2"/>
        <scheme val="minor"/>
      </rPr>
      <t xml:space="preserve"> para destinarlo a gastos en deseos o gustos personales.
</t>
    </r>
    <r>
      <rPr>
        <u/>
        <sz val="12"/>
        <color theme="1"/>
        <rFont val="Calibri"/>
        <family val="2"/>
        <scheme val="minor"/>
      </rPr>
      <t xml:space="preserve">b) </t>
    </r>
    <r>
      <rPr>
        <b/>
        <u/>
        <sz val="12"/>
        <color theme="1"/>
        <rFont val="Calibri"/>
        <family val="2"/>
        <scheme val="minor"/>
      </rPr>
      <t>Condiciones climatológicas:</t>
    </r>
    <r>
      <rPr>
        <sz val="12"/>
        <color theme="1"/>
        <rFont val="Calibri"/>
        <family val="2"/>
        <scheme val="minor"/>
      </rPr>
      <t xml:space="preserve"> Consideramos que  los meses que tienen un clima más agradable para realizar actividades al aire libre impulsará un mayor número de ventas.  Destacamos en este sentido</t>
    </r>
    <r>
      <rPr>
        <b/>
        <sz val="12"/>
        <color theme="1"/>
        <rFont val="Calibri"/>
        <family val="2"/>
        <scheme val="minor"/>
      </rPr>
      <t xml:space="preserve"> la segunda mitad de septiembre, octubre y noviembre</t>
    </r>
    <r>
      <rPr>
        <sz val="12"/>
        <color theme="1"/>
        <rFont val="Calibri"/>
        <family val="2"/>
        <scheme val="minor"/>
      </rPr>
      <t>. En contraste, esperamos que los meses de abril,mayo y junio se registren se esperen una menor cifra de ventas, por lo que se deberán apllcar medidas difusión publicitaria o promociones para atraer a los consumidores.</t>
    </r>
  </si>
  <si>
    <t>1 - Descripción del negocio</t>
  </si>
  <si>
    <t>2 - Mercado meta</t>
  </si>
  <si>
    <t>3 - Participación del mercado</t>
  </si>
  <si>
    <t>4 - Otros datos</t>
  </si>
  <si>
    <t>Ingreso Total</t>
  </si>
  <si>
    <t>Anexo capacidad operativa</t>
  </si>
  <si>
    <t>Costo</t>
  </si>
  <si>
    <t>N° de tarea</t>
  </si>
  <si>
    <t>Jornada laboral</t>
  </si>
  <si>
    <t>horas</t>
  </si>
  <si>
    <t>Semanas por año</t>
  </si>
  <si>
    <t>Días festivos</t>
  </si>
  <si>
    <t>semanas</t>
  </si>
  <si>
    <t>días</t>
  </si>
  <si>
    <t>Semanas de licencias varias al año</t>
  </si>
  <si>
    <t>Consideraremos en promedio:</t>
  </si>
  <si>
    <t>Base horaria [BH]</t>
  </si>
  <si>
    <t>Descripción</t>
  </si>
  <si>
    <t>Horas laborables anuales por empleado</t>
  </si>
  <si>
    <t>Horas laborables anuales / empleado</t>
  </si>
  <si>
    <t>Horas laborables mensuales / empleado
[HsLaboralesXMes]</t>
  </si>
  <si>
    <t>Embalaje del producto</t>
  </si>
  <si>
    <t>* licencias por enfermedad, trámites, días de estudio, etc.</t>
  </si>
  <si>
    <t>Días laborales totales</t>
  </si>
  <si>
    <t>Comentarios: La estructura de madera es fabricada por un proveedor. (tercerización)</t>
  </si>
  <si>
    <t>Cantidad requerida por producto
[CantXProducto]</t>
  </si>
  <si>
    <r>
      <t xml:space="preserve">Horas por tarea de producto
</t>
    </r>
    <r>
      <rPr>
        <sz val="11"/>
        <color theme="1"/>
        <rFont val="Calibri"/>
        <family val="2"/>
        <scheme val="minor"/>
      </rPr>
      <t>Fórmula = CantXProducto / BH</t>
    </r>
  </si>
  <si>
    <r>
      <t>Horas totales por producto
[HsTotalesXProducto]</t>
    </r>
    <r>
      <rPr>
        <sz val="11"/>
        <color theme="1"/>
        <rFont val="Calibri"/>
        <family val="2"/>
        <scheme val="minor"/>
      </rPr>
      <t xml:space="preserve">
Fórmula = Σ Horas por tarea de producto</t>
    </r>
  </si>
  <si>
    <r>
      <t xml:space="preserve">Capacidad operativa mensual por empleado
</t>
    </r>
    <r>
      <rPr>
        <sz val="11"/>
        <color theme="1"/>
        <rFont val="Calibri"/>
        <family val="2"/>
        <scheme val="minor"/>
      </rPr>
      <t>Fórmula = HsLaboralesXMes / HsTotalesXProd</t>
    </r>
  </si>
  <si>
    <t>productos por mes</t>
  </si>
  <si>
    <t>Cálculo de horas laborables de un empleado por mes</t>
  </si>
  <si>
    <t>Unidades requeridas</t>
  </si>
  <si>
    <t>Horas Hombre requeridos</t>
  </si>
  <si>
    <t>Horas Hombre requeridas</t>
  </si>
  <si>
    <t>CAPACIDAD OPERATIVA AÑO 2021</t>
  </si>
  <si>
    <t>ANALISIS CAPACIDAD OPERATIVA ANUAL POR PRODUCTO EN HORAS HOMBRE</t>
  </si>
  <si>
    <t>CONCLUSIÓN</t>
  </si>
  <si>
    <t>Servicios</t>
  </si>
  <si>
    <t>Gas</t>
  </si>
  <si>
    <t>Agua</t>
  </si>
  <si>
    <t>Luz</t>
  </si>
  <si>
    <t>Alquiler</t>
  </si>
  <si>
    <t>Honorarios</t>
  </si>
  <si>
    <t>Estudio Contable</t>
  </si>
  <si>
    <t>Conceptos</t>
  </si>
  <si>
    <t>Observaciones</t>
  </si>
  <si>
    <t>Total anual</t>
  </si>
  <si>
    <t>Telefonía fija</t>
  </si>
  <si>
    <t>Internet</t>
  </si>
  <si>
    <t>Impuesto municipal (Indicado en alquiler)</t>
  </si>
  <si>
    <t>Expensas (no posee)</t>
  </si>
  <si>
    <t>Costos fijos - Año 2021</t>
  </si>
  <si>
    <t>Costos fijos - Totales</t>
  </si>
  <si>
    <t>Costos variables - Totales</t>
  </si>
  <si>
    <t>Subtotal</t>
  </si>
  <si>
    <t>Costo unitario</t>
  </si>
  <si>
    <t>Insumos de producción</t>
  </si>
  <si>
    <t>Distribución</t>
  </si>
  <si>
    <t>TOTAL</t>
  </si>
  <si>
    <t>Publicidad y promoción</t>
  </si>
  <si>
    <t>Costos variables - Año 2021</t>
  </si>
  <si>
    <t>Cálculo de costo unitario de producción</t>
  </si>
  <si>
    <t>Costos de RRHH - Totales</t>
  </si>
  <si>
    <t>Jubilación</t>
  </si>
  <si>
    <t>Ley 1932</t>
  </si>
  <si>
    <t>Obra social</t>
  </si>
  <si>
    <t>F. Nac. Des.</t>
  </si>
  <si>
    <t>S. de Vida</t>
  </si>
  <si>
    <t>ART (Aprox.)</t>
  </si>
  <si>
    <t>Area</t>
  </si>
  <si>
    <t>Puesto</t>
  </si>
  <si>
    <t>Sueldo bruto</t>
  </si>
  <si>
    <t>Gerencia</t>
  </si>
  <si>
    <t>Marketing</t>
  </si>
  <si>
    <t>Tecnología</t>
  </si>
  <si>
    <t>Administración</t>
  </si>
  <si>
    <t>Comercialización</t>
  </si>
  <si>
    <t>Producción</t>
  </si>
  <si>
    <t>Costo mensual por puesto</t>
  </si>
  <si>
    <t>$ 18,57 c/u</t>
  </si>
  <si>
    <t>Total aportes</t>
  </si>
  <si>
    <t>Costo mensual para empresa</t>
  </si>
  <si>
    <t>Junio + SAC</t>
  </si>
  <si>
    <t>Diciembre + SAC</t>
  </si>
  <si>
    <t>Totales</t>
  </si>
  <si>
    <t>Costos de RRHH - Año 2021</t>
  </si>
  <si>
    <t>Costos Fijos</t>
  </si>
  <si>
    <t>Costos variables</t>
  </si>
  <si>
    <t>Costos de RRHH</t>
  </si>
  <si>
    <t>Costos totales</t>
  </si>
  <si>
    <t>Objetivo ingresos</t>
  </si>
  <si>
    <t>Modelo de Inversión</t>
  </si>
  <si>
    <t>Inversión Inicial</t>
  </si>
  <si>
    <t>Kit de herramientas</t>
  </si>
  <si>
    <t>Precio unitario</t>
  </si>
  <si>
    <t>Referencia</t>
  </si>
  <si>
    <t>Desarrollo de plataforma web</t>
  </si>
  <si>
    <t>Escritorio de oficina</t>
  </si>
  <si>
    <t>Inversión - Año 2021</t>
  </si>
  <si>
    <t>Silla de escritorio regulable</t>
  </si>
  <si>
    <t>Amortización</t>
  </si>
  <si>
    <t>Rubro</t>
  </si>
  <si>
    <t>Año cero</t>
  </si>
  <si>
    <t>Amortización
( en años )</t>
  </si>
  <si>
    <t>Valor de adquisiciones</t>
  </si>
  <si>
    <t>Herramientas y muebles para Producción</t>
  </si>
  <si>
    <t>Informática y comunicaciones</t>
  </si>
  <si>
    <t>Muebles de oficina</t>
  </si>
  <si>
    <t>Año 2020</t>
  </si>
  <si>
    <t>Año 2021</t>
  </si>
  <si>
    <t>Costos fijos</t>
  </si>
  <si>
    <t>-</t>
  </si>
  <si>
    <t>Egresos</t>
  </si>
  <si>
    <t>Utilidad Antes de Impuestos (UAII)</t>
  </si>
  <si>
    <t>Impuesto Ingresos Brutos (3%) (IIB)</t>
  </si>
  <si>
    <t>Monto Imponible</t>
  </si>
  <si>
    <t>Impuesto a las ganancias (35%) (IIGG)</t>
  </si>
  <si>
    <t>Utilidad despues de Impuestos (UDII)</t>
  </si>
  <si>
    <t>Inversión</t>
  </si>
  <si>
    <t>Flujo de Fondos (FF)</t>
  </si>
  <si>
    <t>Tasa de Corte</t>
  </si>
  <si>
    <t>VAN</t>
  </si>
  <si>
    <t>TIR</t>
  </si>
  <si>
    <t>Ejercicio</t>
  </si>
  <si>
    <t>Inicio</t>
  </si>
  <si>
    <t>Riesgo</t>
  </si>
  <si>
    <t>Causa</t>
  </si>
  <si>
    <t>Efecto</t>
  </si>
  <si>
    <t>Probabilidad</t>
  </si>
  <si>
    <t>Impacto</t>
  </si>
  <si>
    <t>Alto</t>
  </si>
  <si>
    <t>Media</t>
  </si>
  <si>
    <t>Escenario 2</t>
  </si>
  <si>
    <t>Medio</t>
  </si>
  <si>
    <t>Baja</t>
  </si>
  <si>
    <t>Bajo</t>
  </si>
  <si>
    <t>Escenario 3</t>
  </si>
  <si>
    <t>Número</t>
  </si>
  <si>
    <t>Costos</t>
  </si>
  <si>
    <t>Aumento tarifario de servicios básicos</t>
  </si>
  <si>
    <t>Incendio en instalaciones</t>
  </si>
  <si>
    <t>Robo en sucursal</t>
  </si>
  <si>
    <t>Renuncia del gerente general</t>
  </si>
  <si>
    <t>Daños en vehículo de distribución.</t>
  </si>
  <si>
    <t>Rotación del personal</t>
  </si>
  <si>
    <t>ESCENARIO 1</t>
  </si>
  <si>
    <t>Escenario 1</t>
  </si>
  <si>
    <t>Costo fijo</t>
  </si>
  <si>
    <t>Costo variable</t>
  </si>
  <si>
    <t>Costo RRHH</t>
  </si>
  <si>
    <t>Costos RRHH</t>
  </si>
  <si>
    <t>Ingresos objetivo</t>
  </si>
  <si>
    <t>Ajustes en ingresos y costos variables</t>
  </si>
  <si>
    <t>Riesgo n°1</t>
  </si>
  <si>
    <t>PLAN DE CONTINGENCIA</t>
  </si>
  <si>
    <t>Con plan de contingencia</t>
  </si>
  <si>
    <t>Medidas de contingencia</t>
  </si>
  <si>
    <t xml:space="preserve">Alumno: </t>
  </si>
  <si>
    <t xml:space="preserve">Legajo: </t>
  </si>
  <si>
    <t xml:space="preserve">Comisión: </t>
  </si>
  <si>
    <t xml:space="preserve">Localización: </t>
  </si>
  <si>
    <t xml:space="preserve">Email: </t>
  </si>
  <si>
    <t>5ºB</t>
  </si>
  <si>
    <t>Centro</t>
  </si>
  <si>
    <t>Docentes:</t>
  </si>
  <si>
    <t>El negocio se dedica a la fabricación de armazones de anteojos utilizando  tecnología de Impresión 3D contando con modelos personalizados a la medida del cliente, diseños a pedido y diseños propios, distribuidos mediante el cuarto canal.</t>
  </si>
  <si>
    <t>Aviador</t>
  </si>
  <si>
    <t>Cuadrado</t>
  </si>
  <si>
    <t>Redondo</t>
  </si>
  <si>
    <t>Running</t>
  </si>
  <si>
    <t>Ciclismo</t>
  </si>
  <si>
    <t>Ski</t>
  </si>
  <si>
    <t>Estilo 90</t>
  </si>
  <si>
    <t>Estilo 80</t>
  </si>
  <si>
    <t>Estilo 70</t>
  </si>
  <si>
    <t>Ovalado</t>
  </si>
  <si>
    <t>Rectangular</t>
  </si>
  <si>
    <t>Hexagonal</t>
  </si>
  <si>
    <t>Cilismo</t>
  </si>
  <si>
    <t>Estilo Informal</t>
  </si>
  <si>
    <t>Estilo deportivo</t>
  </si>
  <si>
    <t>Estilo retro</t>
  </si>
  <si>
    <t>Estilo ejecutivo</t>
  </si>
  <si>
    <t>Capacidad operativa - Año 2022</t>
  </si>
  <si>
    <t>Proyección de ventas 2022</t>
  </si>
  <si>
    <t>Cant. Total - Estilo deportivo</t>
  </si>
  <si>
    <t>Cant. Total - Estilo retro</t>
  </si>
  <si>
    <t>Lijado y terminación.</t>
  </si>
  <si>
    <t>Cambio de rollo y quitar la impresión de la base.</t>
  </si>
  <si>
    <t>MODELO: Deportivo</t>
  </si>
  <si>
    <t>MODELO: Informal,  Ejecutivo y Retro</t>
  </si>
  <si>
    <t>Los 3 modelos llevan aprox el mismo tiempo</t>
  </si>
  <si>
    <t>Llevan un poco mas de procesado</t>
  </si>
  <si>
    <t>Total mercado anual</t>
  </si>
  <si>
    <t>Gasto promedio x unidad anual</t>
  </si>
  <si>
    <t>Clientes aprox.</t>
  </si>
  <si>
    <t>El mercado meta son las personas de 18 a 60 años de edad, que son el 63,81%  de las que viven en el AMBA (14,8 millones)  dando aproximadamente unos 9,5 millones de potenciales clientes.  Siendo que a nivel pais el año pasado, se vendieron unos 15 millones de anteojos de  los cuales 6,3 millones fueron de industria nacional, podria estimarse que se vendieron 1,4 millones en AMBA, de esas ventas unos 809 mil entran en nuestro rango de edad.</t>
  </si>
  <si>
    <t>Anteojos con impresora 3D</t>
  </si>
  <si>
    <t>Gerente General</t>
  </si>
  <si>
    <t>Gerente Administrativo</t>
  </si>
  <si>
    <t>Jefe Ventas</t>
  </si>
  <si>
    <t>Jefe Compras</t>
  </si>
  <si>
    <t>Jefe Pagos</t>
  </si>
  <si>
    <t>Jefe Cobranzas</t>
  </si>
  <si>
    <t>Gerente Producción</t>
  </si>
  <si>
    <t>Encargado Deposito</t>
  </si>
  <si>
    <t>Ingeniero Industrial</t>
  </si>
  <si>
    <t>Operadores de producción</t>
  </si>
  <si>
    <t>Gerente de Marketing</t>
  </si>
  <si>
    <t>Administrativo de Marketing</t>
  </si>
  <si>
    <t>Gerente Tecnología</t>
  </si>
  <si>
    <t>Soporte Técnico</t>
  </si>
  <si>
    <t>Modelador 3D</t>
  </si>
  <si>
    <t>Desarrollador</t>
  </si>
  <si>
    <t>Gerente Comercial</t>
  </si>
  <si>
    <t>Administrativo Comercial</t>
  </si>
  <si>
    <t>Impresoras 3D</t>
  </si>
  <si>
    <t>Pc</t>
  </si>
  <si>
    <t>Computadoras</t>
  </si>
  <si>
    <t>Kit Herramientas</t>
  </si>
  <si>
    <t>Sistema de Impresión</t>
  </si>
  <si>
    <t>Escritorios</t>
  </si>
  <si>
    <t>Costos de RRHH - Año 2022</t>
  </si>
  <si>
    <t>Costos variables - Año 2022</t>
  </si>
  <si>
    <t>Costos fijos - Año 2022</t>
  </si>
  <si>
    <t>Jefe Compras y Cobranzas</t>
  </si>
  <si>
    <t>Jefe Ventas y Pagos</t>
  </si>
  <si>
    <t xml:space="preserve">El objetivo estratégico de nuestro emprendimiento es el de alcanzar el 4% de penetración del mercado meta en un horizonte temporal de 3 años.  Aproximadamente 9600 unidades el primer año, 19200 el segundo y 28800 el tercero, llegando a un total de 57600 unidades.
</t>
  </si>
  <si>
    <t>* En enero se contratará a un especilista en marketing para ejecutar planes de acción de promociones para posicionar mejor los productos de verano. (Anteojos deportivos y de sol).
* En julio se contratará a un especilista en marketing para ejecutar planes de acción de promociones para posicionar mejor los productos de invierno. (Anteojos deportivos de Ski).
* En enero se contratará 8 operarios de producción ya que la demanda de productos fabricados superará la capacidad operativa de los operarios actuales.
* En enero se contratará 1 Gerente Administrativo, 1 Gerente Comercial y 1 Encargado de Deposito.
* En diciembre se prepara la planta de producción para la compra de las impresoras nuevas.</t>
  </si>
  <si>
    <t>* En enero se amplía el personal.
* En enero se compran 10 impresoras más.
* En enero se compran mas escritorios.</t>
  </si>
  <si>
    <t>El alquiler tiene un aumento semestral.</t>
  </si>
  <si>
    <t>Modelo Informal Retro y Ejecutivo</t>
  </si>
  <si>
    <t>Modelo Deportivo</t>
  </si>
  <si>
    <t>Papel Lija</t>
  </si>
  <si>
    <t>Plastico PLA</t>
  </si>
  <si>
    <t>Cristales recetados</t>
  </si>
  <si>
    <t>Insumos de Taller</t>
  </si>
  <si>
    <t>Empresa de Marketing</t>
  </si>
  <si>
    <t>Google ADS</t>
  </si>
  <si>
    <t>Estuche</t>
  </si>
  <si>
    <t>Alquiler Taller 100m2</t>
  </si>
  <si>
    <t>Alquiler Deposito 100m2</t>
  </si>
  <si>
    <t>Alquiler Oficina 100m2</t>
  </si>
  <si>
    <t>Sillas</t>
  </si>
  <si>
    <t>Local con Oficinas, Taller y deposito 300m2</t>
  </si>
  <si>
    <t>Inversión - Año 2022</t>
  </si>
  <si>
    <t>Stock inicial del modelo - Estilo retro</t>
  </si>
  <si>
    <t>Cant. Total - Estilo ejecutivo</t>
  </si>
  <si>
    <t>Estilo informal</t>
  </si>
  <si>
    <t>Cant. Total - Estilo informal</t>
  </si>
  <si>
    <t>Stock inicial del modelo - Estilo ejecutivo</t>
  </si>
  <si>
    <t>Stock inicial del modelo -Estilo informal</t>
  </si>
  <si>
    <t>Stock inicial del modelo - Estilo deportivo</t>
  </si>
  <si>
    <t>Impresora 3D Creality 3D Ender-3</t>
  </si>
  <si>
    <t>Computadora de escritorio + monitor 22''</t>
  </si>
  <si>
    <t>Se encarece la tarifa de energía eléctrica en un 80%</t>
  </si>
  <si>
    <t>Alta</t>
  </si>
  <si>
    <t>Repuestos varios, aceite, correas, etc</t>
  </si>
  <si>
    <t>Año 2022</t>
  </si>
  <si>
    <t>https://www.bankmagazine.com.ar/cuales-fueron-los-mejores/</t>
  </si>
  <si>
    <t>Publicidad Online</t>
  </si>
  <si>
    <t>Publicidad</t>
  </si>
  <si>
    <t>https://www.mercadolibre.com.ar/impresora-creality-3d-ender-3-pro-color-negro-100v-120v200v-240v-con-tecnologia-de-impresion-fdm</t>
  </si>
  <si>
    <t>https://articulo.mercadolibre.com.ar/MLA-787060296-kit-set-herramientas-y-accesorios-p-impresora-impresion-3d-_JM</t>
  </si>
  <si>
    <t>https://articulo.mercadolibre.com.ar/MLA-663421258-pc-computadora-cpu-intel-i5-8gb-1tb-o-ssd-gt-1030-2gb-monitor-_JM</t>
  </si>
  <si>
    <t>https://articulo.mercadolibre.com.ar/MLA-797932222-escritorio-orlandi-1233-90cm-sin-cajon-wengue-_JM</t>
  </si>
  <si>
    <t>https://articulo.mercadolibre.com.ar/MLA-686209005-sillon-ejecutivo-silla-oficina-pc-escritorio-gerencial-_JM</t>
  </si>
  <si>
    <t>El FCI “dólar linked” más destacado en los primeros siete meses del presente año fue Delta Moneda (+52,2%) y Balanz Capital Renta Fija Dólar Linked (+51,7%) Los FCI “dólar linked” invierten en títulos de deuda públicos nacionales y provinciales, letras del Tesoro, títulos de deuda corporativos (ON), contratos futuros dólar Matba Rofex y cuotapartes de otros FCI, entre otros instrumentos. El plazo para disponer de efectivo al ordenar un retiro de fondos es por lo general de 48 horas hábiles.</t>
  </si>
  <si>
    <t>Ajustes en ingresos y costos variables por escenario 1</t>
  </si>
  <si>
    <t>El plan de contingencia que se adoptará para este riesgo de reducción de ventas será la implementación de una política de ajuste en la cual se contratarán menos empleados en estos dos años, ni se comprarán loa nuevos vehículos para la distribución.</t>
  </si>
  <si>
    <t>Medida 2: Se decidirá por no contratar a:</t>
  </si>
  <si>
    <t>Kit de herramientas 2021</t>
  </si>
  <si>
    <t>Kit de herramientas 2022</t>
  </si>
  <si>
    <t>Computadora de escritorio + monitor 22'' 2021</t>
  </si>
  <si>
    <t>Computadora de escritorio + monitor 22'' 2022</t>
  </si>
  <si>
    <t>Escritorio de oficina 2021</t>
  </si>
  <si>
    <t>Escritorio de oficina 2022</t>
  </si>
  <si>
    <t>Silla de escritorio regulable 2021</t>
  </si>
  <si>
    <t>Silla de escritorio regulable 2022</t>
  </si>
  <si>
    <t>Impresora 3D Creality 3D Ender-3 2021</t>
  </si>
  <si>
    <t>Impresora 3D Creality 3D Ender-3 2022</t>
  </si>
  <si>
    <t>4 operarios de producción en enero de 2021, se compran menos herramientas, pc, escritorios, sillas, impresoras</t>
  </si>
  <si>
    <t>6 operarios de producción en enero de 2022,  se compran menos herramientas, pc, escritorios, sillas, impresoras</t>
  </si>
  <si>
    <t>Ahorro RRHH Operarios 2021</t>
  </si>
  <si>
    <t>Ahorro RRHH Operarios 2022</t>
  </si>
  <si>
    <t>Ahorro RRHH Marketing 2022</t>
  </si>
  <si>
    <t>Cantidad a Restar</t>
  </si>
  <si>
    <t>Plan de contingencia para escenario 1</t>
  </si>
  <si>
    <t>Como se puede observar, aplicando el plan de contingencia se pasa de un escenario con TIR a varios puntos debajo de la tasa de corte deseada, a una situación favorable. Donde el negocio mantiene su rentabilidad financiera al tener un VAN positivo con la misma tasa de corte.</t>
  </si>
  <si>
    <t>Los productos son un 20% mas caros</t>
  </si>
  <si>
    <t>Aparición de un nuevo competidor en nuestro mercado.</t>
  </si>
  <si>
    <t>Aumento del valor de la materia prima</t>
  </si>
  <si>
    <t>Rotura de Impresoras</t>
  </si>
  <si>
    <t>El desgaste de las impresoras puede generar problemas</t>
  </si>
  <si>
    <t>El sistema de impresión no prioriza bien los pedidos</t>
  </si>
  <si>
    <t>Los pedidos se entregan tarde</t>
  </si>
  <si>
    <t>Cortocircuito en las fuentes o electronica de la impresora.</t>
  </si>
  <si>
    <t>Se produce un incendio</t>
  </si>
  <si>
    <t>Algunos modelos de anteojos personalizados no tienen la calidad suficiente</t>
  </si>
  <si>
    <t>El diseño 3D es pobre</t>
  </si>
  <si>
    <t>El proceso de lijado manual de algunos modelos puede llevar mas tiempo</t>
  </si>
  <si>
    <t>El servicio tercerizado de fabricación de los cristales llega a entregar los suficientes</t>
  </si>
  <si>
    <t>El servicio tercerizado se encuentra con demoras</t>
  </si>
  <si>
    <t>Se reduce la producción 10% momentaneamente</t>
  </si>
  <si>
    <t>Ajustes costos variables</t>
  </si>
  <si>
    <r>
      <t xml:space="preserve">El emprendimiento saldrá al mercado habiendo invertido previamente en:
* </t>
    </r>
    <r>
      <rPr>
        <b/>
        <u/>
        <sz val="14"/>
        <color theme="1"/>
        <rFont val="Calibri"/>
        <family val="2"/>
        <scheme val="minor"/>
      </rPr>
      <t>La plataforma digital</t>
    </r>
    <r>
      <rPr>
        <b/>
        <sz val="14"/>
        <color theme="1"/>
        <rFont val="Calibri"/>
        <family val="2"/>
        <scheme val="minor"/>
      </rPr>
      <t xml:space="preserve">, cuyo desarrollo fue tercerizado con una consultora, será mantenido y ampliado por un reducido equipo de sistemas en una primera instancia.
* </t>
    </r>
    <r>
      <rPr>
        <b/>
        <u/>
        <sz val="14"/>
        <color theme="1"/>
        <rFont val="Calibri"/>
        <family val="2"/>
        <scheme val="minor"/>
      </rPr>
      <t>Alquiler de inmuebles</t>
    </r>
    <r>
      <rPr>
        <b/>
        <sz val="14"/>
        <color theme="1"/>
        <rFont val="Calibri"/>
        <family val="2"/>
        <scheme val="minor"/>
      </rPr>
      <t xml:space="preserve"> para oficina, centro de producción y deposito.
* </t>
    </r>
    <r>
      <rPr>
        <b/>
        <u/>
        <sz val="14"/>
        <color theme="1"/>
        <rFont val="Calibri"/>
        <family val="2"/>
        <scheme val="minor"/>
      </rPr>
      <t>Producción</t>
    </r>
    <r>
      <rPr>
        <b/>
        <sz val="14"/>
        <color theme="1"/>
        <rFont val="Calibri"/>
        <family val="2"/>
        <scheme val="minor"/>
      </rPr>
      <t>: Se contará con 10 impresoras 3D para iniciar la producción.
Además:
* El jefe de producción y 7 operarios técnicos podrán afrontar la capacidad operativa de producción según la demanda estimada.
* En diciembre se prepara la planta de producción para la compra de las impresoras nuevas en el proximo enero.</t>
    </r>
  </si>
  <si>
    <t>Capacidad operativa Kick off - Año 2021</t>
  </si>
  <si>
    <t>Proyección de ventas 2023</t>
  </si>
  <si>
    <t>Capacidad operativa - Año 2023</t>
  </si>
  <si>
    <t>CAPACIDAD OPERATIVA AÑO 2022</t>
  </si>
  <si>
    <t>CAPACIDAD OPERATIVA AÑO 2023</t>
  </si>
  <si>
    <t>Considerando en promedio que un operario trabaja 150 horas mensuales, podemos observar que nuestra capacidad productiva puede ser llevada a cabo por 4 personas hasta diciembre. Luego se requerirá la contratación de un nuevo operario ya que se superan las 300hs hombres requeridas para los niveles de producción especulados.</t>
  </si>
  <si>
    <t>Producción de marcos de Anteojos</t>
  </si>
  <si>
    <t>Costos fijos - Año 2023</t>
  </si>
  <si>
    <t>Costos variables - Año 2023</t>
  </si>
  <si>
    <t>Servicio Tercerizado</t>
  </si>
  <si>
    <t>Costos de RRHH - Año 2023</t>
  </si>
  <si>
    <t>Inversión - Año 2023</t>
  </si>
  <si>
    <t>Inversión inicial - Año cero</t>
  </si>
  <si>
    <t>Al ser una fuerte inversion inicial en todo lo que es maquinaria me permite no invertir en el año 2021</t>
  </si>
  <si>
    <t>Año 2023</t>
  </si>
  <si>
    <t>Baja de Ventas por nuevo competidor</t>
  </si>
  <si>
    <t>La empresa tercerizada para la distribucíon no da abasto con los envios.</t>
  </si>
  <si>
    <t>Medida 1: Se decidirá por no contratar a:</t>
  </si>
  <si>
    <t>Medida 3: Se decidirá por no contratar Personal de Marketing en 2022</t>
  </si>
  <si>
    <t>Medida 4: Se decide comprar menos impresoras ante la caida de ventas en 2011 y 2022</t>
  </si>
  <si>
    <t>Caen las ventas un 35% en 2022 y 2023,</t>
  </si>
  <si>
    <t>100% Envio</t>
  </si>
  <si>
    <t>Costo de Envio Anual en 2022</t>
  </si>
  <si>
    <t>Aumenta el costo de envio por paquete 100%</t>
  </si>
  <si>
    <t>Luego del primer año, al ser un producto éxitoso, en 2022 aparece un competidor intentando copiar el producto.</t>
  </si>
  <si>
    <t>Si bien la materia prima es nacional, se ajusta al precio del dólar</t>
  </si>
  <si>
    <t>Por dificultades de software podría calcular mal las prioridades</t>
  </si>
  <si>
    <t>Falla en el cálculo de cantidad de paquetes que puede llevar por viaje</t>
  </si>
  <si>
    <t>Los marcos de anteojos pueden resultar frágiles</t>
  </si>
  <si>
    <t>Modelos complicados son mas difíciles de lijar</t>
  </si>
  <si>
    <t>Se pierde mas tiempo por lo cual se atrasa la producción o es necesario contratar más operarios.</t>
  </si>
  <si>
    <t>El gobierno reduce subsidios</t>
  </si>
  <si>
    <t>Asalto y robo al local con pérdida de dinero,y/o maquinaria y/o materia prima</t>
  </si>
  <si>
    <t>Obtención por parte del mismo de un empleo con mas beneficios para él.</t>
  </si>
  <si>
    <t>Dificultad del nuevo gerente en adecuarse a objetivos de la empresa</t>
  </si>
  <si>
    <t>Accidente  de tránsito con consecuente daño vehicular</t>
  </si>
  <si>
    <t>Pérdida de mercancía</t>
  </si>
  <si>
    <t>Pérdida de dinero por gastos imprevistos para recuperar los bienes perdidos</t>
  </si>
  <si>
    <t>Éxito del producto con consecuente incremento de demanda del mismo genera competidores</t>
  </si>
  <si>
    <t>Disminución de la cantidad de clientes</t>
  </si>
  <si>
    <t>Disconformidad con el sueldo por parte de empleados</t>
  </si>
  <si>
    <t>Inversión imprevista de tiempo en enseñar a nuevos empleados sus tareas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</si>
</sst>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8" formatCode="&quot;$&quot;\ #,##0.00;[Red]\-&quot;$&quot;\ #,##0.00"/>
    <numFmt numFmtId="44" formatCode="_-&quot;$&quot;\ * #,##0.00_-;\-&quot;$&quot;\ * #,##0.00_-;_-&quot;$&quot;\ * &quot;-&quot;??_-;_-@_-"/>
    <numFmt numFmtId="164" formatCode="_-* #,##0.00\ _€_-;\-* #,##0.00\ _€_-;_-* &quot;-&quot;??\ _€_-;_-@_-"/>
    <numFmt numFmtId="165" formatCode="0.0%"/>
    <numFmt numFmtId="166" formatCode="General_)"/>
    <numFmt numFmtId="167" formatCode="_-* #,##0\ _€_-;\-* #,##0\ _€_-;_-* &quot;-&quot;??\ _€_-;_-@_-"/>
    <numFmt numFmtId="168" formatCode="_ [$$-2C0A]\ * #,##0.00_ ;_ [$$-2C0A]\ * \-#,##0.00_ ;_ [$$-2C0A]\ * &quot;-&quot;??_ ;_ @_ "/>
    <numFmt numFmtId="169" formatCode="&quot;$&quot;\ #,##0.00"/>
    <numFmt numFmtId="170" formatCode="&quot;$&quot;#,##0.00"/>
    <numFmt numFmtId="171" formatCode="_ &quot;$&quot;\ * #,##0.00_ ;_ &quot;$&quot;\ * \-#,##0.00_ ;_ &quot;$&quot;\ * &quot;-&quot;??_ ;_ @_ "/>
    <numFmt numFmtId="172" formatCode="&quot;$&quot;#,##0;[Red]\-&quot;$&quot;#,##0"/>
  </numFmts>
  <fonts count="28" x14ac:knownFonts="1">
    <font>
      <sz val="11"/>
      <color theme="1"/>
      <name val="Calibri"/>
      <family val="2"/>
      <scheme val="minor"/>
    </font>
    <font>
      <b/>
      <sz val="14"/>
      <color theme="1"/>
      <name val="Arial"/>
      <family val="2"/>
    </font>
    <font>
      <u/>
      <sz val="11"/>
      <color theme="10"/>
      <name val="Calibri"/>
      <family val="2"/>
      <scheme val="minor"/>
    </font>
    <font>
      <b/>
      <sz val="22"/>
      <color theme="1"/>
      <name val="Calibri"/>
      <family val="2"/>
      <scheme val="minor"/>
    </font>
    <font>
      <b/>
      <sz val="48"/>
      <color theme="0"/>
      <name val="Calibri"/>
      <family val="2"/>
      <scheme val="minor"/>
    </font>
    <font>
      <b/>
      <sz val="36"/>
      <color theme="0"/>
      <name val="Calibri"/>
      <family val="2"/>
      <scheme val="minor"/>
    </font>
    <font>
      <sz val="14"/>
      <color theme="1"/>
      <name val="Calibri"/>
      <family val="2"/>
      <scheme val="minor"/>
    </font>
    <font>
      <b/>
      <sz val="16"/>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20"/>
      <name val="Calibri"/>
      <family val="2"/>
      <scheme val="minor"/>
    </font>
    <font>
      <b/>
      <sz val="36"/>
      <name val="Calibri"/>
      <family val="2"/>
      <scheme val="minor"/>
    </font>
    <font>
      <b/>
      <sz val="48"/>
      <name val="Calibri"/>
      <family val="2"/>
      <scheme val="minor"/>
    </font>
    <font>
      <sz val="10"/>
      <name val="Courier"/>
    </font>
    <font>
      <b/>
      <sz val="12"/>
      <color theme="1"/>
      <name val="Arial"/>
      <family val="2"/>
    </font>
    <font>
      <b/>
      <sz val="20"/>
      <color theme="1"/>
      <name val="Calibri"/>
      <family val="2"/>
      <scheme val="minor"/>
    </font>
    <font>
      <b/>
      <sz val="14"/>
      <color theme="1"/>
      <name val="Calibri"/>
      <family val="2"/>
      <scheme val="minor"/>
    </font>
    <font>
      <b/>
      <sz val="11"/>
      <color rgb="FF000000"/>
      <name val="Calibri"/>
      <family val="2"/>
      <scheme val="minor"/>
    </font>
    <font>
      <u/>
      <sz val="12"/>
      <color theme="1"/>
      <name val="Calibri"/>
      <family val="2"/>
      <scheme val="minor"/>
    </font>
    <font>
      <b/>
      <u/>
      <sz val="12"/>
      <color theme="1"/>
      <name val="Calibri"/>
      <family val="2"/>
      <scheme val="minor"/>
    </font>
    <font>
      <b/>
      <u/>
      <sz val="14"/>
      <color theme="1"/>
      <name val="Calibri"/>
      <family val="2"/>
      <scheme val="minor"/>
    </font>
    <font>
      <sz val="8"/>
      <name val="Calibri"/>
      <family val="2"/>
      <scheme val="minor"/>
    </font>
    <font>
      <sz val="11"/>
      <color rgb="FF000000"/>
      <name val="Calibri"/>
      <family val="2"/>
      <scheme val="minor"/>
    </font>
    <font>
      <b/>
      <sz val="11"/>
      <name val="Calibri"/>
      <family val="2"/>
      <scheme val="minor"/>
    </font>
    <font>
      <sz val="11"/>
      <color rgb="FF006100"/>
      <name val="Calibri"/>
      <family val="2"/>
      <scheme val="minor"/>
    </font>
  </fonts>
  <fills count="22">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1"/>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theme="8" tint="0.59999389629810485"/>
        <bgColor indexed="64"/>
      </patternFill>
    </fill>
    <fill>
      <patternFill patternType="solid">
        <fgColor theme="8"/>
        <bgColor indexed="64"/>
      </patternFill>
    </fill>
    <fill>
      <patternFill patternType="solid">
        <fgColor theme="8" tint="0.39997558519241921"/>
        <bgColor indexed="64"/>
      </patternFill>
    </fill>
    <fill>
      <patternFill patternType="solid">
        <fgColor rgb="FFC6EFCE"/>
      </patternFill>
    </fill>
    <fill>
      <patternFill patternType="solid">
        <fgColor theme="2"/>
        <bgColor indexed="64"/>
      </patternFill>
    </fill>
  </fills>
  <borders count="81">
    <border>
      <left/>
      <right/>
      <top/>
      <bottom/>
      <diagonal/>
    </border>
    <border>
      <left style="medium">
        <color theme="9"/>
      </left>
      <right style="medium">
        <color theme="9"/>
      </right>
      <top style="medium">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diagonal/>
    </border>
    <border>
      <left style="medium">
        <color theme="9"/>
      </left>
      <right style="medium">
        <color theme="9"/>
      </right>
      <top/>
      <bottom style="medium">
        <color theme="9"/>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medium">
        <color indexed="64"/>
      </top>
      <bottom/>
      <diagonal/>
    </border>
    <border>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diagonal/>
    </border>
    <border>
      <left style="thin">
        <color indexed="64"/>
      </left>
      <right/>
      <top/>
      <bottom/>
      <diagonal/>
    </border>
  </borders>
  <cellStyleXfs count="9">
    <xf numFmtId="0" fontId="0" fillId="0" borderId="0"/>
    <xf numFmtId="0" fontId="2" fillId="0" borderId="0" applyNumberFormat="0" applyFill="0" applyBorder="0" applyAlignment="0" applyProtection="0"/>
    <xf numFmtId="164" fontId="9" fillId="0" borderId="0" applyFont="0" applyFill="0" applyBorder="0" applyAlignment="0" applyProtection="0"/>
    <xf numFmtId="9" fontId="9" fillId="0" borderId="0" applyFont="0" applyFill="0" applyBorder="0" applyAlignment="0" applyProtection="0"/>
    <xf numFmtId="166" fontId="16" fillId="0" borderId="0"/>
    <xf numFmtId="166" fontId="16" fillId="0" borderId="0"/>
    <xf numFmtId="44" fontId="9" fillId="0" borderId="0" applyFont="0" applyFill="0" applyBorder="0" applyAlignment="0" applyProtection="0"/>
    <xf numFmtId="44" fontId="9" fillId="0" borderId="0" applyFont="0" applyFill="0" applyBorder="0" applyAlignment="0" applyProtection="0"/>
    <xf numFmtId="0" fontId="27" fillId="20" borderId="0" applyNumberFormat="0" applyBorder="0" applyAlignment="0" applyProtection="0"/>
  </cellStyleXfs>
  <cellXfs count="991">
    <xf numFmtId="0" fontId="0" fillId="0" borderId="0" xfId="0"/>
    <xf numFmtId="0" fontId="0" fillId="2" borderId="0" xfId="0" applyFill="1"/>
    <xf numFmtId="0" fontId="3" fillId="2" borderId="0" xfId="0" applyFont="1" applyFill="1"/>
    <xf numFmtId="0" fontId="1" fillId="2" borderId="0" xfId="0" applyFont="1" applyFill="1" applyAlignment="1">
      <alignment horizontal="left" vertical="center"/>
    </xf>
    <xf numFmtId="0" fontId="0" fillId="2" borderId="0" xfId="0" applyFill="1" applyAlignment="1">
      <alignment vertical="center" wrapText="1"/>
    </xf>
    <xf numFmtId="0" fontId="12" fillId="2" borderId="0" xfId="0" applyFont="1" applyFill="1"/>
    <xf numFmtId="0" fontId="2" fillId="0" borderId="0" xfId="1"/>
    <xf numFmtId="0" fontId="0" fillId="0" borderId="0" xfId="0" applyBorder="1"/>
    <xf numFmtId="0" fontId="8" fillId="2" borderId="0" xfId="0" applyFont="1" applyFill="1" applyBorder="1" applyAlignment="1">
      <alignment horizontal="left" vertical="top" wrapText="1"/>
    </xf>
    <xf numFmtId="0" fontId="17" fillId="2" borderId="0" xfId="0" applyFont="1" applyFill="1" applyBorder="1" applyAlignment="1">
      <alignment vertical="center" textRotation="90" wrapText="1"/>
    </xf>
    <xf numFmtId="0" fontId="8" fillId="2" borderId="5" xfId="0" applyFont="1" applyFill="1" applyBorder="1" applyAlignment="1">
      <alignment horizontal="left" vertical="top" wrapText="1"/>
    </xf>
    <xf numFmtId="44" fontId="8" fillId="2" borderId="5" xfId="0" applyNumberFormat="1" applyFont="1" applyFill="1" applyBorder="1" applyAlignment="1">
      <alignment horizontal="left" vertical="top" wrapText="1"/>
    </xf>
    <xf numFmtId="0" fontId="0" fillId="2" borderId="0" xfId="0" applyFont="1" applyFill="1"/>
    <xf numFmtId="0" fontId="0" fillId="2" borderId="0" xfId="0" applyFont="1" applyFill="1" applyBorder="1" applyAlignment="1"/>
    <xf numFmtId="0" fontId="0" fillId="2" borderId="0" xfId="0" applyFont="1" applyFill="1" applyBorder="1" applyAlignment="1">
      <alignment horizontal="center"/>
    </xf>
    <xf numFmtId="0" fontId="0" fillId="2" borderId="0" xfId="0" applyFont="1" applyFill="1" applyBorder="1"/>
    <xf numFmtId="169" fontId="0" fillId="2" borderId="5" xfId="0" applyNumberFormat="1" applyFont="1" applyFill="1" applyBorder="1" applyAlignment="1">
      <alignment horizontal="center"/>
    </xf>
    <xf numFmtId="169" fontId="0" fillId="2" borderId="0" xfId="0" applyNumberFormat="1" applyFill="1"/>
    <xf numFmtId="0" fontId="13" fillId="2" borderId="0" xfId="0" applyFont="1" applyFill="1" applyBorder="1" applyAlignment="1">
      <alignment horizontal="left"/>
    </xf>
    <xf numFmtId="9" fontId="0" fillId="2" borderId="5" xfId="0" applyNumberFormat="1" applyFont="1" applyFill="1" applyBorder="1" applyAlignment="1">
      <alignment horizontal="center"/>
    </xf>
    <xf numFmtId="167" fontId="0" fillId="2" borderId="0" xfId="0" applyNumberFormat="1" applyFill="1"/>
    <xf numFmtId="169" fontId="0" fillId="2" borderId="0" xfId="0" applyNumberFormat="1" applyFill="1" applyBorder="1"/>
    <xf numFmtId="44" fontId="0" fillId="2" borderId="0" xfId="0" applyNumberFormat="1" applyFill="1"/>
    <xf numFmtId="44" fontId="0" fillId="8" borderId="28" xfId="6" applyFont="1" applyFill="1" applyBorder="1"/>
    <xf numFmtId="167" fontId="0" fillId="6" borderId="37" xfId="2" applyNumberFormat="1" applyFont="1" applyFill="1" applyBorder="1"/>
    <xf numFmtId="44" fontId="0" fillId="6" borderId="47" xfId="6" applyFont="1" applyFill="1" applyBorder="1"/>
    <xf numFmtId="167" fontId="0" fillId="7" borderId="37" xfId="2" applyNumberFormat="1" applyFont="1" applyFill="1" applyBorder="1"/>
    <xf numFmtId="44" fontId="0" fillId="7" borderId="47" xfId="6" applyFont="1" applyFill="1" applyBorder="1"/>
    <xf numFmtId="167" fontId="0" fillId="8" borderId="37" xfId="2" applyNumberFormat="1" applyFont="1" applyFill="1" applyBorder="1"/>
    <xf numFmtId="44" fontId="0" fillId="8" borderId="47" xfId="6" applyFont="1" applyFill="1" applyBorder="1"/>
    <xf numFmtId="44" fontId="0" fillId="6" borderId="51" xfId="6" applyFont="1" applyFill="1" applyBorder="1"/>
    <xf numFmtId="44" fontId="0" fillId="6" borderId="48" xfId="6" applyFont="1" applyFill="1" applyBorder="1"/>
    <xf numFmtId="44" fontId="0" fillId="7" borderId="51" xfId="6" applyFont="1" applyFill="1" applyBorder="1"/>
    <xf numFmtId="44" fontId="0" fillId="7" borderId="48" xfId="6" applyFont="1" applyFill="1" applyBorder="1"/>
    <xf numFmtId="44" fontId="0" fillId="8" borderId="26" xfId="6" applyFont="1" applyFill="1" applyBorder="1"/>
    <xf numFmtId="44" fontId="0" fillId="8" borderId="51" xfId="6" applyFont="1" applyFill="1" applyBorder="1"/>
    <xf numFmtId="167" fontId="0" fillId="6" borderId="34" xfId="0" applyNumberFormat="1" applyFill="1" applyBorder="1"/>
    <xf numFmtId="167" fontId="0" fillId="6" borderId="37" xfId="0" applyNumberFormat="1" applyFill="1" applyBorder="1"/>
    <xf numFmtId="167" fontId="0" fillId="6" borderId="39" xfId="0" applyNumberFormat="1" applyFill="1" applyBorder="1"/>
    <xf numFmtId="167" fontId="0" fillId="7" borderId="34" xfId="0" applyNumberFormat="1" applyFill="1" applyBorder="1"/>
    <xf numFmtId="167" fontId="0" fillId="7" borderId="37" xfId="0" applyNumberFormat="1" applyFill="1" applyBorder="1"/>
    <xf numFmtId="167" fontId="0" fillId="7" borderId="39" xfId="0" applyNumberFormat="1" applyFill="1" applyBorder="1"/>
    <xf numFmtId="167" fontId="0" fillId="8" borderId="34" xfId="0" applyNumberFormat="1" applyFill="1" applyBorder="1"/>
    <xf numFmtId="167" fontId="0" fillId="8" borderId="37" xfId="0" applyNumberFormat="1" applyFill="1" applyBorder="1"/>
    <xf numFmtId="9" fontId="0" fillId="2" borderId="37" xfId="0" applyNumberFormat="1" applyFont="1" applyFill="1" applyBorder="1" applyAlignment="1">
      <alignment horizontal="center"/>
    </xf>
    <xf numFmtId="9" fontId="0" fillId="2" borderId="47" xfId="0" applyNumberFormat="1" applyFont="1" applyFill="1" applyBorder="1" applyAlignment="1">
      <alignment horizontal="center"/>
    </xf>
    <xf numFmtId="169" fontId="0" fillId="2" borderId="39" xfId="0" applyNumberFormat="1" applyFont="1" applyFill="1" applyBorder="1" applyAlignment="1">
      <alignment horizontal="center"/>
    </xf>
    <xf numFmtId="169" fontId="0" fillId="2" borderId="40" xfId="0" applyNumberFormat="1" applyFont="1" applyFill="1" applyBorder="1" applyAlignment="1">
      <alignment horizontal="center"/>
    </xf>
    <xf numFmtId="169" fontId="0" fillId="2" borderId="48" xfId="0" applyNumberFormat="1" applyFont="1" applyFill="1" applyBorder="1" applyAlignment="1">
      <alignment horizontal="center"/>
    </xf>
    <xf numFmtId="0" fontId="0" fillId="2" borderId="0" xfId="0" applyFont="1" applyFill="1" applyBorder="1" applyAlignment="1">
      <alignment horizontal="left" vertical="top" wrapText="1"/>
    </xf>
    <xf numFmtId="0" fontId="0" fillId="2" borderId="0" xfId="0" applyFill="1" applyBorder="1"/>
    <xf numFmtId="168" fontId="11" fillId="6" borderId="5" xfId="0" applyNumberFormat="1" applyFont="1" applyFill="1" applyBorder="1"/>
    <xf numFmtId="168" fontId="11" fillId="7" borderId="5" xfId="0" applyNumberFormat="1" applyFont="1" applyFill="1" applyBorder="1" applyAlignment="1">
      <alignment vertical="center"/>
    </xf>
    <xf numFmtId="168" fontId="11" fillId="8" borderId="5" xfId="0" applyNumberFormat="1" applyFont="1" applyFill="1" applyBorder="1"/>
    <xf numFmtId="0" fontId="11" fillId="6" borderId="34" xfId="0" applyFont="1" applyFill="1" applyBorder="1"/>
    <xf numFmtId="168" fontId="11" fillId="6" borderId="35" xfId="0" applyNumberFormat="1" applyFont="1" applyFill="1" applyBorder="1"/>
    <xf numFmtId="0" fontId="0" fillId="6" borderId="51" xfId="0" applyFill="1" applyBorder="1"/>
    <xf numFmtId="0" fontId="11" fillId="6" borderId="37" xfId="0" applyFont="1" applyFill="1" applyBorder="1"/>
    <xf numFmtId="0" fontId="0" fillId="6" borderId="47" xfId="0" applyFill="1" applyBorder="1"/>
    <xf numFmtId="0" fontId="11" fillId="6" borderId="39" xfId="0" applyFont="1" applyFill="1" applyBorder="1"/>
    <xf numFmtId="168" fontId="11" fillId="6" borderId="40" xfId="0" applyNumberFormat="1" applyFont="1" applyFill="1" applyBorder="1"/>
    <xf numFmtId="0" fontId="0" fillId="6" borderId="48" xfId="0" applyFill="1" applyBorder="1"/>
    <xf numFmtId="0" fontId="11" fillId="7" borderId="34" xfId="0" applyFont="1" applyFill="1" applyBorder="1"/>
    <xf numFmtId="168" fontId="11" fillId="7" borderId="35" xfId="0" applyNumberFormat="1" applyFont="1" applyFill="1" applyBorder="1"/>
    <xf numFmtId="0" fontId="0" fillId="7" borderId="51" xfId="0" applyFill="1" applyBorder="1"/>
    <xf numFmtId="0" fontId="11" fillId="7" borderId="37" xfId="0" applyFont="1" applyFill="1" applyBorder="1" applyAlignment="1">
      <alignment vertical="center" wrapText="1"/>
    </xf>
    <xf numFmtId="0" fontId="0" fillId="7" borderId="47" xfId="0" applyFill="1" applyBorder="1" applyAlignment="1">
      <alignment vertical="center" wrapText="1"/>
    </xf>
    <xf numFmtId="0" fontId="11" fillId="7" borderId="39" xfId="0" applyFont="1" applyFill="1" applyBorder="1"/>
    <xf numFmtId="168" fontId="11" fillId="7" borderId="40" xfId="0" applyNumberFormat="1" applyFont="1" applyFill="1" applyBorder="1"/>
    <xf numFmtId="0" fontId="0" fillId="7" borderId="48" xfId="0" applyFill="1" applyBorder="1"/>
    <xf numFmtId="0" fontId="11" fillId="8" borderId="34" xfId="0" applyFont="1" applyFill="1" applyBorder="1"/>
    <xf numFmtId="168" fontId="11" fillId="8" borderId="35" xfId="0" applyNumberFormat="1" applyFont="1" applyFill="1" applyBorder="1"/>
    <xf numFmtId="0" fontId="0" fillId="8" borderId="51" xfId="0" applyFill="1" applyBorder="1"/>
    <xf numFmtId="0" fontId="11" fillId="8" borderId="37" xfId="0" applyFont="1" applyFill="1" applyBorder="1"/>
    <xf numFmtId="0" fontId="0" fillId="8" borderId="47" xfId="0" applyFill="1" applyBorder="1"/>
    <xf numFmtId="0" fontId="11" fillId="9" borderId="46" xfId="0" applyFont="1" applyFill="1" applyBorder="1" applyAlignment="1">
      <alignment vertical="center" wrapText="1"/>
    </xf>
    <xf numFmtId="168" fontId="11" fillId="9" borderId="41" xfId="0" applyNumberFormat="1" applyFont="1" applyFill="1" applyBorder="1"/>
    <xf numFmtId="0" fontId="0" fillId="9" borderId="42" xfId="0" applyFill="1" applyBorder="1"/>
    <xf numFmtId="9" fontId="8" fillId="2" borderId="0" xfId="3" applyFont="1" applyFill="1" applyBorder="1" applyAlignment="1">
      <alignment horizontal="left" vertical="top" wrapText="1"/>
    </xf>
    <xf numFmtId="44" fontId="8" fillId="2" borderId="0" xfId="0" applyNumberFormat="1" applyFont="1" applyFill="1" applyBorder="1" applyAlignment="1">
      <alignment horizontal="left" vertical="top" wrapText="1"/>
    </xf>
    <xf numFmtId="0" fontId="18" fillId="2" borderId="0" xfId="0" applyFont="1" applyFill="1" applyBorder="1" applyAlignment="1">
      <alignment horizontal="center" vertical="center"/>
    </xf>
    <xf numFmtId="169" fontId="0" fillId="2" borderId="0" xfId="0" applyNumberFormat="1" applyFill="1" applyBorder="1" applyAlignment="1"/>
    <xf numFmtId="0" fontId="0" fillId="2" borderId="0" xfId="0" applyFont="1" applyFill="1" applyBorder="1" applyAlignment="1">
      <alignment horizontal="center" vertical="center"/>
    </xf>
    <xf numFmtId="0" fontId="8" fillId="2" borderId="0" xfId="0" applyFont="1" applyFill="1" applyBorder="1" applyAlignment="1">
      <alignment horizontal="left" vertical="top" wrapText="1"/>
    </xf>
    <xf numFmtId="44" fontId="0" fillId="10" borderId="35" xfId="0" applyNumberFormat="1" applyFill="1" applyBorder="1" applyAlignment="1">
      <alignment wrapText="1"/>
    </xf>
    <xf numFmtId="44" fontId="0" fillId="10" borderId="51" xfId="0" applyNumberFormat="1" applyFill="1" applyBorder="1" applyAlignment="1">
      <alignment wrapText="1"/>
    </xf>
    <xf numFmtId="44" fontId="0" fillId="10" borderId="5" xfId="0" applyNumberFormat="1" applyFill="1" applyBorder="1" applyAlignment="1">
      <alignment wrapText="1"/>
    </xf>
    <xf numFmtId="44" fontId="0" fillId="10" borderId="47" xfId="0" applyNumberFormat="1" applyFill="1" applyBorder="1" applyAlignment="1">
      <alignment wrapText="1"/>
    </xf>
    <xf numFmtId="44" fontId="0" fillId="10" borderId="40" xfId="0" applyNumberFormat="1" applyFill="1" applyBorder="1" applyAlignment="1">
      <alignment wrapText="1"/>
    </xf>
    <xf numFmtId="44" fontId="0" fillId="10" borderId="48" xfId="0" applyNumberFormat="1" applyFill="1" applyBorder="1" applyAlignment="1">
      <alignment wrapText="1"/>
    </xf>
    <xf numFmtId="44" fontId="0" fillId="7" borderId="35" xfId="0" applyNumberFormat="1" applyFill="1" applyBorder="1" applyAlignment="1">
      <alignment wrapText="1"/>
    </xf>
    <xf numFmtId="44" fontId="0" fillId="7" borderId="51" xfId="0" applyNumberFormat="1" applyFill="1" applyBorder="1" applyAlignment="1">
      <alignment wrapText="1"/>
    </xf>
    <xf numFmtId="44" fontId="0" fillId="7" borderId="5" xfId="0" applyNumberFormat="1" applyFill="1" applyBorder="1" applyAlignment="1">
      <alignment wrapText="1"/>
    </xf>
    <xf numFmtId="44" fontId="0" fillId="7" borderId="47" xfId="0" applyNumberFormat="1" applyFill="1" applyBorder="1" applyAlignment="1">
      <alignment wrapText="1"/>
    </xf>
    <xf numFmtId="44" fontId="0" fillId="7" borderId="40" xfId="0" applyNumberFormat="1" applyFill="1" applyBorder="1" applyAlignment="1">
      <alignment wrapText="1"/>
    </xf>
    <xf numFmtId="44" fontId="0" fillId="7" borderId="48" xfId="0" applyNumberFormat="1" applyFill="1" applyBorder="1" applyAlignment="1">
      <alignment wrapText="1"/>
    </xf>
    <xf numFmtId="44" fontId="0" fillId="4" borderId="35" xfId="0" applyNumberFormat="1" applyFill="1" applyBorder="1" applyAlignment="1">
      <alignment wrapText="1"/>
    </xf>
    <xf numFmtId="44" fontId="0" fillId="4" borderId="51" xfId="0" applyNumberFormat="1" applyFill="1" applyBorder="1" applyAlignment="1">
      <alignment wrapText="1"/>
    </xf>
    <xf numFmtId="44" fontId="0" fillId="4" borderId="5" xfId="0" applyNumberFormat="1" applyFill="1" applyBorder="1" applyAlignment="1">
      <alignment wrapText="1"/>
    </xf>
    <xf numFmtId="44" fontId="0" fillId="4" borderId="47" xfId="0" applyNumberFormat="1" applyFill="1" applyBorder="1" applyAlignment="1">
      <alignment wrapText="1"/>
    </xf>
    <xf numFmtId="44" fontId="0" fillId="9" borderId="7" xfId="0" applyNumberFormat="1" applyFill="1" applyBorder="1" applyAlignment="1">
      <alignment wrapText="1"/>
    </xf>
    <xf numFmtId="44" fontId="0" fillId="9" borderId="66" xfId="0" applyNumberFormat="1" applyFill="1" applyBorder="1" applyAlignment="1">
      <alignment wrapText="1"/>
    </xf>
    <xf numFmtId="0" fontId="18" fillId="11" borderId="0" xfId="0" applyFont="1" applyFill="1" applyBorder="1" applyAlignment="1">
      <alignment horizontal="center" vertical="center"/>
    </xf>
    <xf numFmtId="0" fontId="0" fillId="11" borderId="0" xfId="0" applyFill="1" applyBorder="1"/>
    <xf numFmtId="169" fontId="0" fillId="11" borderId="0" xfId="0" applyNumberFormat="1" applyFill="1" applyBorder="1"/>
    <xf numFmtId="0" fontId="0" fillId="11" borderId="0" xfId="0" applyFont="1" applyFill="1" applyBorder="1" applyAlignment="1">
      <alignment horizontal="center" vertical="center"/>
    </xf>
    <xf numFmtId="0" fontId="0" fillId="11" borderId="0" xfId="0" applyFill="1"/>
    <xf numFmtId="169" fontId="0" fillId="11" borderId="0" xfId="0" applyNumberFormat="1" applyFill="1" applyBorder="1" applyAlignment="1"/>
    <xf numFmtId="0" fontId="6" fillId="2" borderId="0" xfId="0" applyFont="1" applyFill="1" applyBorder="1" applyAlignment="1">
      <alignment horizontal="left" vertical="top" wrapText="1"/>
    </xf>
    <xf numFmtId="44" fontId="10" fillId="2" borderId="50" xfId="0" applyNumberFormat="1" applyFont="1" applyFill="1" applyBorder="1"/>
    <xf numFmtId="167" fontId="10" fillId="11" borderId="49" xfId="0" applyNumberFormat="1" applyFont="1" applyFill="1" applyBorder="1"/>
    <xf numFmtId="44" fontId="10" fillId="2" borderId="50" xfId="6" applyFont="1" applyFill="1" applyBorder="1"/>
    <xf numFmtId="0" fontId="0" fillId="2" borderId="5" xfId="0" applyFill="1" applyBorder="1"/>
    <xf numFmtId="164" fontId="8" fillId="11" borderId="5" xfId="2" applyFont="1" applyFill="1" applyBorder="1" applyAlignment="1"/>
    <xf numFmtId="164" fontId="8" fillId="11" borderId="35" xfId="2" applyFont="1" applyFill="1" applyBorder="1" applyAlignment="1"/>
    <xf numFmtId="164" fontId="8" fillId="11" borderId="51" xfId="2" applyFont="1" applyFill="1" applyBorder="1" applyAlignment="1"/>
    <xf numFmtId="164" fontId="8" fillId="11" borderId="47" xfId="2" applyFont="1" applyFill="1" applyBorder="1" applyAlignment="1"/>
    <xf numFmtId="164" fontId="8" fillId="11" borderId="40" xfId="2" applyFont="1" applyFill="1" applyBorder="1" applyAlignment="1"/>
    <xf numFmtId="164" fontId="8" fillId="11" borderId="48" xfId="2" applyFont="1" applyFill="1" applyBorder="1" applyAlignment="1"/>
    <xf numFmtId="164" fontId="8" fillId="11" borderId="21" xfId="2" applyFont="1" applyFill="1" applyBorder="1" applyAlignment="1">
      <alignment wrapText="1"/>
    </xf>
    <xf numFmtId="164" fontId="8" fillId="11" borderId="11" xfId="2" applyFont="1" applyFill="1" applyBorder="1" applyAlignment="1">
      <alignment wrapText="1"/>
    </xf>
    <xf numFmtId="0" fontId="0" fillId="2" borderId="0" xfId="0" applyFill="1" applyAlignment="1">
      <alignment horizontal="center"/>
    </xf>
    <xf numFmtId="0" fontId="0" fillId="2" borderId="0" xfId="0" applyFill="1" applyAlignment="1">
      <alignment wrapText="1"/>
    </xf>
    <xf numFmtId="0" fontId="0" fillId="2" borderId="0" xfId="0" applyFill="1" applyAlignment="1">
      <alignment horizontal="center" vertical="center" wrapText="1"/>
    </xf>
    <xf numFmtId="0" fontId="0" fillId="2" borderId="0" xfId="0" applyFill="1" applyAlignment="1">
      <alignment horizontal="center"/>
    </xf>
    <xf numFmtId="0" fontId="0" fillId="2" borderId="5" xfId="0" applyFill="1" applyBorder="1" applyAlignment="1">
      <alignment wrapText="1"/>
    </xf>
    <xf numFmtId="0" fontId="0" fillId="2" borderId="5" xfId="0" applyFill="1" applyBorder="1" applyAlignment="1">
      <alignment horizontal="center" wrapText="1"/>
    </xf>
    <xf numFmtId="0" fontId="10" fillId="2" borderId="0" xfId="0" applyFont="1" applyFill="1" applyBorder="1" applyAlignment="1">
      <alignment horizontal="center"/>
    </xf>
    <xf numFmtId="1" fontId="10" fillId="2" borderId="0" xfId="0" applyNumberFormat="1" applyFont="1" applyFill="1" applyBorder="1" applyAlignment="1">
      <alignment horizontal="center"/>
    </xf>
    <xf numFmtId="0" fontId="10" fillId="11" borderId="0" xfId="0" applyFont="1" applyFill="1" applyBorder="1" applyAlignment="1">
      <alignment horizontal="center"/>
    </xf>
    <xf numFmtId="1" fontId="10" fillId="11" borderId="0" xfId="0" applyNumberFormat="1" applyFont="1" applyFill="1" applyBorder="1" applyAlignment="1">
      <alignment horizontal="center"/>
    </xf>
    <xf numFmtId="0" fontId="0" fillId="2" borderId="0" xfId="0" applyFill="1" applyBorder="1" applyAlignment="1">
      <alignment horizontal="center" vertical="center" wrapText="1"/>
    </xf>
    <xf numFmtId="0" fontId="10" fillId="2" borderId="0" xfId="0" applyFont="1" applyFill="1" applyBorder="1" applyAlignment="1">
      <alignment horizontal="center" wrapText="1"/>
    </xf>
    <xf numFmtId="0" fontId="0" fillId="11" borderId="0" xfId="0" applyFill="1" applyBorder="1" applyAlignment="1">
      <alignment horizontal="center" vertical="center" wrapText="1"/>
    </xf>
    <xf numFmtId="0" fontId="10" fillId="11" borderId="0" xfId="0" applyFont="1" applyFill="1" applyBorder="1" applyAlignment="1">
      <alignment horizontal="center" wrapText="1"/>
    </xf>
    <xf numFmtId="0" fontId="10" fillId="2" borderId="0" xfId="0" applyFont="1" applyFill="1" applyBorder="1" applyAlignment="1">
      <alignment horizontal="center" vertical="center" wrapText="1"/>
    </xf>
    <xf numFmtId="0" fontId="10" fillId="11" borderId="0" xfId="0" applyFont="1" applyFill="1" applyBorder="1" applyAlignment="1">
      <alignment horizontal="center" vertical="center" wrapText="1"/>
    </xf>
    <xf numFmtId="0" fontId="0" fillId="11" borderId="0" xfId="0" applyFill="1" applyAlignment="1">
      <alignment wrapText="1"/>
    </xf>
    <xf numFmtId="0" fontId="13" fillId="2" borderId="0" xfId="0" applyFont="1" applyFill="1" applyBorder="1" applyAlignment="1"/>
    <xf numFmtId="0" fontId="0" fillId="2" borderId="67" xfId="0" applyFill="1" applyBorder="1" applyAlignment="1">
      <alignment wrapText="1"/>
    </xf>
    <xf numFmtId="0" fontId="0" fillId="2" borderId="67" xfId="0" applyFill="1" applyBorder="1" applyAlignment="1">
      <alignment horizontal="center" wrapText="1"/>
    </xf>
    <xf numFmtId="0" fontId="0" fillId="2" borderId="67" xfId="0" applyFill="1" applyBorder="1"/>
    <xf numFmtId="0" fontId="10" fillId="2" borderId="32" xfId="0" applyFont="1" applyFill="1" applyBorder="1" applyAlignment="1">
      <alignment horizontal="center" vertical="center" wrapText="1"/>
    </xf>
    <xf numFmtId="0" fontId="10" fillId="5" borderId="23" xfId="0" applyFont="1" applyFill="1" applyBorder="1" applyAlignment="1">
      <alignment horizontal="center" vertical="center" wrapText="1"/>
    </xf>
    <xf numFmtId="0" fontId="0" fillId="2" borderId="35" xfId="0" applyFill="1" applyBorder="1" applyAlignment="1">
      <alignment vertical="center" wrapText="1"/>
    </xf>
    <xf numFmtId="0" fontId="0" fillId="2" borderId="35" xfId="0" applyFill="1" applyBorder="1" applyAlignment="1">
      <alignment horizontal="center" vertical="center"/>
    </xf>
    <xf numFmtId="0" fontId="0" fillId="2" borderId="5" xfId="0" applyFill="1" applyBorder="1" applyAlignment="1">
      <alignment vertical="center" wrapText="1"/>
    </xf>
    <xf numFmtId="0" fontId="0" fillId="2" borderId="5" xfId="0" applyFill="1" applyBorder="1" applyAlignment="1">
      <alignment horizontal="center" vertical="center"/>
    </xf>
    <xf numFmtId="0" fontId="0" fillId="2" borderId="40" xfId="0" applyFill="1" applyBorder="1" applyAlignment="1">
      <alignment vertical="center" wrapText="1"/>
    </xf>
    <xf numFmtId="0" fontId="0" fillId="2" borderId="40" xfId="0" applyFill="1" applyBorder="1" applyAlignment="1">
      <alignment horizontal="center" vertical="center"/>
    </xf>
    <xf numFmtId="0" fontId="10" fillId="3" borderId="69" xfId="0" applyFont="1" applyFill="1" applyBorder="1" applyAlignment="1">
      <alignment horizontal="center" vertical="center" wrapText="1"/>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43" xfId="0" applyFill="1" applyBorder="1" applyAlignment="1">
      <alignment horizontal="center" vertical="center"/>
    </xf>
    <xf numFmtId="0" fontId="10" fillId="3" borderId="68" xfId="0" applyFont="1" applyFill="1" applyBorder="1" applyAlignment="1">
      <alignment horizontal="center" vertical="center" wrapText="1"/>
    </xf>
    <xf numFmtId="1" fontId="10" fillId="2" borderId="24" xfId="0" applyNumberFormat="1" applyFont="1" applyFill="1" applyBorder="1" applyAlignment="1">
      <alignment horizontal="center" vertical="center"/>
    </xf>
    <xf numFmtId="0" fontId="0" fillId="2" borderId="51" xfId="0" applyFill="1" applyBorder="1" applyAlignment="1">
      <alignment horizontal="center" vertical="center"/>
    </xf>
    <xf numFmtId="0" fontId="0" fillId="2" borderId="47" xfId="0" applyFill="1" applyBorder="1" applyAlignment="1">
      <alignment horizontal="center" vertical="center"/>
    </xf>
    <xf numFmtId="0" fontId="0" fillId="2" borderId="48" xfId="0" applyFill="1" applyBorder="1" applyAlignment="1">
      <alignment horizontal="center" vertical="center"/>
    </xf>
    <xf numFmtId="0" fontId="0" fillId="2" borderId="34" xfId="0" applyFill="1" applyBorder="1" applyAlignment="1">
      <alignment horizontal="center" vertical="center"/>
    </xf>
    <xf numFmtId="0" fontId="0" fillId="2" borderId="37" xfId="0" applyFill="1" applyBorder="1" applyAlignment="1">
      <alignment horizontal="center" vertical="center"/>
    </xf>
    <xf numFmtId="0" fontId="0" fillId="2" borderId="39" xfId="0" applyFill="1" applyBorder="1" applyAlignment="1">
      <alignment horizontal="center" vertical="center"/>
    </xf>
    <xf numFmtId="0" fontId="0" fillId="2" borderId="0" xfId="0" applyFill="1" applyAlignment="1">
      <alignment horizontal="left" vertical="center"/>
    </xf>
    <xf numFmtId="0" fontId="0" fillId="2" borderId="0" xfId="0" applyFill="1" applyAlignment="1"/>
    <xf numFmtId="1" fontId="0" fillId="2" borderId="5" xfId="0" applyNumberFormat="1" applyFill="1" applyBorder="1"/>
    <xf numFmtId="2" fontId="10" fillId="5" borderId="5" xfId="0" applyNumberFormat="1" applyFont="1" applyFill="1" applyBorder="1"/>
    <xf numFmtId="0" fontId="10" fillId="2" borderId="59" xfId="0" applyFont="1" applyFill="1" applyBorder="1" applyAlignment="1">
      <alignment horizontal="center" vertical="center" wrapText="1"/>
    </xf>
    <xf numFmtId="0" fontId="10" fillId="5" borderId="24" xfId="0" applyFont="1" applyFill="1" applyBorder="1" applyAlignment="1">
      <alignment horizontal="center" vertical="center" wrapText="1"/>
    </xf>
    <xf numFmtId="167" fontId="6" fillId="2" borderId="5" xfId="2" applyNumberFormat="1" applyFont="1" applyFill="1" applyBorder="1" applyAlignment="1">
      <alignment horizontal="left" vertical="top" wrapText="1"/>
    </xf>
    <xf numFmtId="2" fontId="10" fillId="2" borderId="59" xfId="0" applyNumberFormat="1" applyFont="1" applyFill="1" applyBorder="1" applyAlignment="1">
      <alignment horizontal="center" vertical="center"/>
    </xf>
    <xf numFmtId="2" fontId="0" fillId="2" borderId="50" xfId="0" applyNumberFormat="1" applyFill="1" applyBorder="1" applyAlignment="1">
      <alignment horizontal="center" vertical="center"/>
    </xf>
    <xf numFmtId="44" fontId="0" fillId="0" borderId="5" xfId="6" applyFont="1" applyBorder="1" applyAlignment="1">
      <alignment horizontal="center"/>
    </xf>
    <xf numFmtId="0" fontId="0" fillId="0" borderId="16" xfId="0" applyBorder="1"/>
    <xf numFmtId="44" fontId="0" fillId="0" borderId="28" xfId="6" applyFont="1" applyBorder="1" applyAlignment="1">
      <alignment horizontal="center"/>
    </xf>
    <xf numFmtId="0" fontId="0" fillId="2" borderId="53" xfId="0" applyFill="1" applyBorder="1" applyAlignment="1">
      <alignment horizontal="left"/>
    </xf>
    <xf numFmtId="0" fontId="2" fillId="2" borderId="53" xfId="1" applyFill="1" applyBorder="1" applyAlignment="1">
      <alignment horizontal="left"/>
    </xf>
    <xf numFmtId="0" fontId="0" fillId="2" borderId="53" xfId="0" applyFill="1" applyBorder="1"/>
    <xf numFmtId="44" fontId="0" fillId="0" borderId="7" xfId="6" applyFont="1" applyBorder="1" applyAlignment="1">
      <alignment horizontal="center"/>
    </xf>
    <xf numFmtId="44" fontId="0" fillId="0" borderId="31" xfId="6" applyFont="1" applyBorder="1" applyAlignment="1">
      <alignment horizontal="center"/>
    </xf>
    <xf numFmtId="44" fontId="0" fillId="0" borderId="35" xfId="6" applyFont="1" applyBorder="1" applyAlignment="1">
      <alignment horizontal="center"/>
    </xf>
    <xf numFmtId="44" fontId="0" fillId="0" borderId="26" xfId="6" applyFont="1" applyBorder="1" applyAlignment="1">
      <alignment horizontal="center"/>
    </xf>
    <xf numFmtId="0" fontId="0" fillId="2" borderId="36" xfId="0" applyFill="1" applyBorder="1" applyAlignment="1">
      <alignment horizontal="left"/>
    </xf>
    <xf numFmtId="44" fontId="0" fillId="0" borderId="40" xfId="6" applyFont="1" applyBorder="1" applyAlignment="1">
      <alignment horizontal="center"/>
    </xf>
    <xf numFmtId="44" fontId="0" fillId="0" borderId="43" xfId="6" applyFont="1" applyBorder="1" applyAlignment="1">
      <alignment horizontal="center"/>
    </xf>
    <xf numFmtId="0" fontId="0" fillId="2" borderId="64" xfId="0" applyFill="1" applyBorder="1" applyAlignment="1">
      <alignment horizontal="left"/>
    </xf>
    <xf numFmtId="44" fontId="0" fillId="0" borderId="35" xfId="6" applyFont="1" applyBorder="1" applyAlignment="1">
      <alignment horizontal="left" vertical="center"/>
    </xf>
    <xf numFmtId="44" fontId="0" fillId="0" borderId="26" xfId="6" applyFont="1" applyBorder="1" applyAlignment="1">
      <alignment horizontal="left" vertical="center"/>
    </xf>
    <xf numFmtId="0" fontId="0" fillId="2" borderId="36" xfId="0" applyFill="1" applyBorder="1" applyAlignment="1">
      <alignment horizontal="left" vertical="center"/>
    </xf>
    <xf numFmtId="44" fontId="0" fillId="0" borderId="25" xfId="6" applyFont="1" applyBorder="1" applyAlignment="1">
      <alignment horizontal="center"/>
    </xf>
    <xf numFmtId="44" fontId="0" fillId="0" borderId="74" xfId="6" applyFont="1" applyBorder="1" applyAlignment="1">
      <alignment horizontal="center"/>
    </xf>
    <xf numFmtId="0" fontId="0" fillId="2" borderId="11" xfId="0" applyFill="1" applyBorder="1" applyAlignment="1">
      <alignment horizontal="left"/>
    </xf>
    <xf numFmtId="44" fontId="10" fillId="5" borderId="57" xfId="6" applyFont="1" applyFill="1" applyBorder="1" applyAlignment="1">
      <alignment horizontal="center"/>
    </xf>
    <xf numFmtId="44" fontId="0" fillId="0" borderId="27" xfId="6" applyFont="1" applyBorder="1" applyAlignment="1">
      <alignment horizontal="center"/>
    </xf>
    <xf numFmtId="44" fontId="0" fillId="0" borderId="6" xfId="6" applyFont="1" applyBorder="1" applyAlignment="1">
      <alignment horizontal="center"/>
    </xf>
    <xf numFmtId="44" fontId="0" fillId="0" borderId="58" xfId="6" applyFont="1" applyBorder="1" applyAlignment="1">
      <alignment horizontal="center"/>
    </xf>
    <xf numFmtId="44" fontId="0" fillId="0" borderId="27" xfId="6" applyFont="1" applyBorder="1" applyAlignment="1">
      <alignment horizontal="left" vertical="center"/>
    </xf>
    <xf numFmtId="44" fontId="0" fillId="0" borderId="75" xfId="6" applyFont="1" applyBorder="1" applyAlignment="1">
      <alignment horizontal="center"/>
    </xf>
    <xf numFmtId="44" fontId="0" fillId="0" borderId="73" xfId="6" applyFont="1" applyBorder="1" applyAlignment="1">
      <alignment horizontal="center"/>
    </xf>
    <xf numFmtId="0" fontId="0" fillId="0" borderId="36" xfId="0" applyBorder="1"/>
    <xf numFmtId="0" fontId="0" fillId="0" borderId="53" xfId="0" applyBorder="1"/>
    <xf numFmtId="0" fontId="0" fillId="2" borderId="53" xfId="0" applyFill="1" applyBorder="1" applyAlignment="1">
      <alignment wrapText="1"/>
    </xf>
    <xf numFmtId="0" fontId="0" fillId="0" borderId="64" xfId="0" applyBorder="1"/>
    <xf numFmtId="0" fontId="0" fillId="0" borderId="36" xfId="0" applyBorder="1" applyAlignment="1">
      <alignment wrapText="1"/>
    </xf>
    <xf numFmtId="0" fontId="0" fillId="0" borderId="11" xfId="0" applyBorder="1"/>
    <xf numFmtId="169" fontId="0" fillId="2" borderId="0" xfId="0" applyNumberFormat="1" applyFont="1" applyFill="1" applyBorder="1" applyAlignment="1">
      <alignment horizontal="center"/>
    </xf>
    <xf numFmtId="0" fontId="0" fillId="0" borderId="5" xfId="0" applyBorder="1" applyAlignment="1">
      <alignment horizontal="center"/>
    </xf>
    <xf numFmtId="170" fontId="0" fillId="0" borderId="5" xfId="0" applyNumberFormat="1" applyBorder="1" applyAlignment="1">
      <alignment horizontal="center"/>
    </xf>
    <xf numFmtId="9" fontId="0" fillId="2" borderId="0" xfId="0" applyNumberFormat="1" applyFont="1" applyFill="1" applyBorder="1" applyAlignment="1">
      <alignment horizontal="center"/>
    </xf>
    <xf numFmtId="0" fontId="0" fillId="2" borderId="5" xfId="0" applyFill="1" applyBorder="1" applyAlignment="1">
      <alignment horizontal="center"/>
    </xf>
    <xf numFmtId="44" fontId="0" fillId="2" borderId="5" xfId="6" applyFont="1" applyFill="1" applyBorder="1" applyAlignment="1">
      <alignment horizontal="center"/>
    </xf>
    <xf numFmtId="0" fontId="0" fillId="2" borderId="37" xfId="0" applyFill="1" applyBorder="1" applyAlignment="1">
      <alignment wrapText="1"/>
    </xf>
    <xf numFmtId="44" fontId="0" fillId="2" borderId="47" xfId="6" applyFont="1" applyFill="1" applyBorder="1" applyAlignment="1">
      <alignment horizontal="center"/>
    </xf>
    <xf numFmtId="0" fontId="0" fillId="2" borderId="39" xfId="0" applyFill="1" applyBorder="1" applyAlignment="1">
      <alignment wrapText="1"/>
    </xf>
    <xf numFmtId="0" fontId="0" fillId="2" borderId="40" xfId="0" applyFill="1" applyBorder="1" applyAlignment="1">
      <alignment horizontal="center"/>
    </xf>
    <xf numFmtId="44" fontId="0" fillId="2" borderId="40" xfId="6" applyFont="1" applyFill="1" applyBorder="1" applyAlignment="1">
      <alignment horizontal="center"/>
    </xf>
    <xf numFmtId="44" fontId="0" fillId="2" borderId="48" xfId="6" applyFont="1" applyFill="1" applyBorder="1" applyAlignment="1">
      <alignment horizontal="center"/>
    </xf>
    <xf numFmtId="0" fontId="11" fillId="2" borderId="0" xfId="0" applyFont="1" applyFill="1" applyBorder="1" applyAlignment="1">
      <alignment horizontal="center" vertical="center"/>
    </xf>
    <xf numFmtId="44" fontId="0" fillId="2" borderId="0" xfId="6" applyFont="1" applyFill="1" applyBorder="1" applyAlignment="1">
      <alignment horizontal="center"/>
    </xf>
    <xf numFmtId="44" fontId="0" fillId="2" borderId="0" xfId="0" applyNumberFormat="1" applyFill="1" applyBorder="1"/>
    <xf numFmtId="44" fontId="10" fillId="5" borderId="24" xfId="0" applyNumberFormat="1" applyFont="1" applyFill="1" applyBorder="1"/>
    <xf numFmtId="1" fontId="0" fillId="0" borderId="5" xfId="0" applyNumberFormat="1" applyBorder="1" applyAlignment="1">
      <alignment horizontal="center"/>
    </xf>
    <xf numFmtId="1" fontId="0" fillId="0" borderId="7" xfId="0" applyNumberFormat="1" applyBorder="1" applyAlignment="1">
      <alignment horizontal="center"/>
    </xf>
    <xf numFmtId="1" fontId="0" fillId="0" borderId="70" xfId="0" applyNumberFormat="1" applyBorder="1" applyAlignment="1">
      <alignment horizontal="center"/>
    </xf>
    <xf numFmtId="1" fontId="0" fillId="0" borderId="6" xfId="0" applyNumberFormat="1" applyBorder="1" applyAlignment="1">
      <alignment horizontal="center"/>
    </xf>
    <xf numFmtId="170" fontId="0" fillId="0" borderId="66" xfId="0" applyNumberFormat="1" applyBorder="1" applyAlignment="1">
      <alignment horizontal="center"/>
    </xf>
    <xf numFmtId="170" fontId="0" fillId="0" borderId="47" xfId="0" applyNumberFormat="1" applyBorder="1" applyAlignment="1">
      <alignment horizontal="center"/>
    </xf>
    <xf numFmtId="0" fontId="0" fillId="0" borderId="37" xfId="0" applyBorder="1" applyAlignment="1">
      <alignment horizontal="left" vertical="center" wrapText="1"/>
    </xf>
    <xf numFmtId="0" fontId="0" fillId="0" borderId="34" xfId="0" applyBorder="1" applyAlignment="1">
      <alignment horizontal="left" vertical="center"/>
    </xf>
    <xf numFmtId="170" fontId="0" fillId="0" borderId="51" xfId="0" applyNumberFormat="1" applyBorder="1" applyAlignment="1">
      <alignment horizontal="center"/>
    </xf>
    <xf numFmtId="1" fontId="0" fillId="0" borderId="27" xfId="0" applyNumberFormat="1" applyBorder="1" applyAlignment="1">
      <alignment horizontal="center"/>
    </xf>
    <xf numFmtId="0" fontId="0" fillId="0" borderId="39" xfId="0" applyBorder="1" applyAlignment="1">
      <alignment horizontal="left" vertical="center"/>
    </xf>
    <xf numFmtId="170" fontId="0" fillId="0" borderId="48" xfId="0" applyNumberFormat="1" applyBorder="1" applyAlignment="1">
      <alignment horizontal="center"/>
    </xf>
    <xf numFmtId="1" fontId="0" fillId="0" borderId="58" xfId="0" applyNumberFormat="1" applyBorder="1" applyAlignment="1">
      <alignment horizontal="center"/>
    </xf>
    <xf numFmtId="0" fontId="0" fillId="0" borderId="23" xfId="0" applyBorder="1" applyAlignment="1">
      <alignment horizontal="left" vertical="center"/>
    </xf>
    <xf numFmtId="170" fontId="0" fillId="0" borderId="24" xfId="0" applyNumberFormat="1" applyBorder="1" applyAlignment="1">
      <alignment horizontal="center"/>
    </xf>
    <xf numFmtId="1" fontId="0" fillId="0" borderId="75" xfId="0" applyNumberFormat="1" applyBorder="1" applyAlignment="1">
      <alignment horizontal="center"/>
    </xf>
    <xf numFmtId="0" fontId="0" fillId="0" borderId="39" xfId="0" applyBorder="1" applyAlignment="1">
      <alignment horizontal="left" vertical="center" wrapText="1"/>
    </xf>
    <xf numFmtId="1" fontId="0" fillId="11" borderId="58" xfId="0" applyNumberFormat="1" applyFill="1" applyBorder="1" applyAlignment="1">
      <alignment horizontal="center"/>
    </xf>
    <xf numFmtId="0" fontId="0" fillId="11" borderId="16" xfId="0" applyFill="1" applyBorder="1"/>
    <xf numFmtId="0" fontId="0" fillId="11" borderId="15" xfId="0" applyFill="1" applyBorder="1"/>
    <xf numFmtId="0" fontId="0" fillId="0" borderId="65" xfId="0" applyBorder="1"/>
    <xf numFmtId="0" fontId="0" fillId="0" borderId="37" xfId="0" applyBorder="1"/>
    <xf numFmtId="171" fontId="10" fillId="5" borderId="10" xfId="0" applyNumberFormat="1" applyFont="1" applyFill="1" applyBorder="1"/>
    <xf numFmtId="1" fontId="0" fillId="0" borderId="35" xfId="0" applyNumberFormat="1" applyBorder="1" applyAlignment="1">
      <alignment horizontal="center"/>
    </xf>
    <xf numFmtId="1" fontId="0" fillId="0" borderId="40" xfId="0" applyNumberFormat="1" applyBorder="1" applyAlignment="1">
      <alignment horizontal="center"/>
    </xf>
    <xf numFmtId="1" fontId="0" fillId="11" borderId="40" xfId="0" applyNumberFormat="1" applyFill="1" applyBorder="1" applyAlignment="1">
      <alignment horizontal="center"/>
    </xf>
    <xf numFmtId="1" fontId="0" fillId="11" borderId="15" xfId="0" applyNumberFormat="1" applyFill="1" applyBorder="1"/>
    <xf numFmtId="0" fontId="0" fillId="0" borderId="23" xfId="0" applyBorder="1" applyAlignment="1">
      <alignment horizontal="center" vertical="center"/>
    </xf>
    <xf numFmtId="0" fontId="0" fillId="0" borderId="25" xfId="0" applyBorder="1" applyAlignment="1">
      <alignment vertical="center"/>
    </xf>
    <xf numFmtId="0" fontId="0" fillId="2" borderId="35" xfId="0" applyFill="1" applyBorder="1"/>
    <xf numFmtId="0" fontId="0" fillId="2" borderId="40" xfId="0" applyFill="1" applyBorder="1"/>
    <xf numFmtId="44" fontId="0" fillId="0" borderId="24" xfId="6" applyFont="1" applyBorder="1" applyAlignment="1">
      <alignment horizontal="left" vertical="center"/>
    </xf>
    <xf numFmtId="44" fontId="0" fillId="2" borderId="51" xfId="6" applyFont="1" applyFill="1" applyBorder="1"/>
    <xf numFmtId="44" fontId="0" fillId="2" borderId="47" xfId="6" applyFont="1" applyFill="1" applyBorder="1"/>
    <xf numFmtId="44" fontId="0" fillId="2" borderId="48" xfId="6" applyFont="1" applyFill="1" applyBorder="1"/>
    <xf numFmtId="44" fontId="0" fillId="0" borderId="57" xfId="6" applyFont="1" applyBorder="1" applyAlignment="1">
      <alignment horizontal="center"/>
    </xf>
    <xf numFmtId="44" fontId="0" fillId="0" borderId="61" xfId="6" applyFont="1" applyBorder="1" applyAlignment="1">
      <alignment horizontal="center"/>
    </xf>
    <xf numFmtId="44" fontId="0" fillId="0" borderId="62" xfId="6" applyFont="1" applyBorder="1" applyAlignment="1">
      <alignment horizontal="center"/>
    </xf>
    <xf numFmtId="44" fontId="0" fillId="0" borderId="63" xfId="6" applyFont="1" applyBorder="1" applyAlignment="1">
      <alignment horizontal="center"/>
    </xf>
    <xf numFmtId="169" fontId="0" fillId="2" borderId="5" xfId="0" applyNumberFormat="1" applyFont="1" applyFill="1" applyBorder="1" applyAlignment="1">
      <alignment horizontal="right"/>
    </xf>
    <xf numFmtId="169" fontId="10" fillId="5" borderId="5" xfId="0" applyNumberFormat="1" applyFont="1" applyFill="1" applyBorder="1" applyAlignment="1">
      <alignment horizontal="right"/>
    </xf>
    <xf numFmtId="169" fontId="0" fillId="0" borderId="5" xfId="0" applyNumberFormat="1" applyBorder="1" applyAlignment="1">
      <alignment horizontal="center"/>
    </xf>
    <xf numFmtId="169" fontId="0" fillId="0" borderId="39" xfId="0" applyNumberFormat="1" applyBorder="1" applyAlignment="1">
      <alignment horizontal="center"/>
    </xf>
    <xf numFmtId="169" fontId="0" fillId="0" borderId="40" xfId="0" applyNumberFormat="1" applyBorder="1" applyAlignment="1">
      <alignment horizontal="center"/>
    </xf>
    <xf numFmtId="169" fontId="0" fillId="0" borderId="48" xfId="0" applyNumberFormat="1" applyBorder="1" applyAlignment="1">
      <alignment horizontal="center"/>
    </xf>
    <xf numFmtId="169" fontId="0" fillId="0" borderId="7" xfId="0" applyNumberFormat="1" applyBorder="1" applyAlignment="1">
      <alignment horizontal="center"/>
    </xf>
    <xf numFmtId="0" fontId="0" fillId="0" borderId="37" xfId="0" applyBorder="1" applyAlignment="1">
      <alignment vertical="center"/>
    </xf>
    <xf numFmtId="0" fontId="0" fillId="2" borderId="37" xfId="0" applyFill="1" applyBorder="1"/>
    <xf numFmtId="169" fontId="10" fillId="5" borderId="48" xfId="0" applyNumberFormat="1" applyFont="1" applyFill="1" applyBorder="1"/>
    <xf numFmtId="0" fontId="0" fillId="2" borderId="15" xfId="0" applyFill="1" applyBorder="1"/>
    <xf numFmtId="0" fontId="0" fillId="0" borderId="39" xfId="0" applyBorder="1" applyAlignment="1">
      <alignment vertical="center"/>
    </xf>
    <xf numFmtId="0" fontId="0" fillId="0" borderId="40" xfId="0" applyBorder="1" applyAlignment="1">
      <alignment horizontal="center"/>
    </xf>
    <xf numFmtId="169" fontId="0" fillId="0" borderId="67" xfId="0" applyNumberFormat="1" applyBorder="1" applyAlignment="1">
      <alignment horizontal="center"/>
    </xf>
    <xf numFmtId="0" fontId="13" fillId="0" borderId="0" xfId="0" applyFont="1" applyFill="1" applyBorder="1" applyAlignment="1"/>
    <xf numFmtId="169" fontId="0" fillId="0" borderId="47" xfId="0" applyNumberFormat="1" applyBorder="1" applyAlignment="1">
      <alignment horizontal="center"/>
    </xf>
    <xf numFmtId="169" fontId="0" fillId="0" borderId="38" xfId="0" applyNumberFormat="1" applyBorder="1" applyAlignment="1">
      <alignment horizontal="center"/>
    </xf>
    <xf numFmtId="0" fontId="0" fillId="0" borderId="5" xfId="0" applyBorder="1" applyAlignment="1">
      <alignment horizontal="center" vertical="center"/>
    </xf>
    <xf numFmtId="0" fontId="0" fillId="0" borderId="70" xfId="0" applyBorder="1" applyAlignment="1">
      <alignment horizontal="center"/>
    </xf>
    <xf numFmtId="0" fontId="0" fillId="0" borderId="6" xfId="0" applyBorder="1" applyAlignment="1">
      <alignment vertical="center"/>
    </xf>
    <xf numFmtId="0" fontId="0" fillId="0" borderId="28" xfId="0" applyBorder="1" applyAlignment="1">
      <alignment horizontal="center"/>
    </xf>
    <xf numFmtId="169" fontId="11" fillId="5" borderId="25" xfId="0" applyNumberFormat="1" applyFont="1" applyFill="1" applyBorder="1"/>
    <xf numFmtId="169" fontId="11" fillId="5" borderId="24" xfId="0" applyNumberFormat="1" applyFont="1" applyFill="1" applyBorder="1"/>
    <xf numFmtId="0" fontId="0" fillId="0" borderId="27" xfId="0" applyBorder="1" applyAlignment="1">
      <alignment vertical="center"/>
    </xf>
    <xf numFmtId="0" fontId="0" fillId="0" borderId="35" xfId="0" applyBorder="1" applyAlignment="1">
      <alignment horizontal="center"/>
    </xf>
    <xf numFmtId="169" fontId="0" fillId="0" borderId="35" xfId="0" applyNumberFormat="1" applyBorder="1" applyAlignment="1">
      <alignment horizontal="center"/>
    </xf>
    <xf numFmtId="0" fontId="0" fillId="0" borderId="26" xfId="0" applyBorder="1" applyAlignment="1">
      <alignment horizontal="center"/>
    </xf>
    <xf numFmtId="0" fontId="0" fillId="0" borderId="58" xfId="0" applyBorder="1" applyAlignment="1">
      <alignment vertical="center"/>
    </xf>
    <xf numFmtId="0" fontId="0" fillId="0" borderId="43" xfId="0" applyBorder="1" applyAlignment="1">
      <alignment horizontal="center"/>
    </xf>
    <xf numFmtId="0" fontId="0" fillId="0" borderId="77" xfId="0" applyBorder="1" applyAlignment="1">
      <alignment horizontal="center"/>
    </xf>
    <xf numFmtId="169" fontId="11" fillId="5" borderId="75" xfId="0" applyNumberFormat="1" applyFont="1" applyFill="1" applyBorder="1"/>
    <xf numFmtId="0" fontId="0" fillId="0" borderId="6" xfId="0" applyBorder="1" applyAlignment="1">
      <alignment horizontal="center"/>
    </xf>
    <xf numFmtId="0" fontId="0" fillId="0" borderId="47" xfId="0" applyBorder="1"/>
    <xf numFmtId="169" fontId="0" fillId="0" borderId="66" xfId="0" applyNumberFormat="1" applyBorder="1" applyAlignment="1">
      <alignment horizontal="center"/>
    </xf>
    <xf numFmtId="0" fontId="0" fillId="0" borderId="38" xfId="0" applyBorder="1"/>
    <xf numFmtId="0" fontId="0" fillId="0" borderId="73" xfId="0" applyBorder="1" applyAlignment="1">
      <alignment horizontal="center"/>
    </xf>
    <xf numFmtId="0" fontId="0" fillId="5" borderId="75" xfId="0" applyFill="1" applyBorder="1" applyAlignment="1">
      <alignment horizontal="center"/>
    </xf>
    <xf numFmtId="169" fontId="0" fillId="5" borderId="25" xfId="0" applyNumberFormat="1" applyFill="1" applyBorder="1" applyAlignment="1">
      <alignment horizontal="center"/>
    </xf>
    <xf numFmtId="169" fontId="0" fillId="5" borderId="24" xfId="0" applyNumberFormat="1" applyFill="1" applyBorder="1" applyAlignment="1">
      <alignment horizontal="center"/>
    </xf>
    <xf numFmtId="169" fontId="0" fillId="0" borderId="79" xfId="0" applyNumberFormat="1" applyBorder="1" applyAlignment="1">
      <alignment horizontal="center"/>
    </xf>
    <xf numFmtId="169" fontId="0" fillId="0" borderId="30" xfId="0" applyNumberFormat="1" applyBorder="1" applyAlignment="1">
      <alignment horizontal="center"/>
    </xf>
    <xf numFmtId="169" fontId="0" fillId="0" borderId="50" xfId="0" applyNumberFormat="1" applyBorder="1" applyAlignment="1">
      <alignment horizontal="center"/>
    </xf>
    <xf numFmtId="44" fontId="0" fillId="2" borderId="0" xfId="6" applyFont="1" applyFill="1"/>
    <xf numFmtId="8" fontId="0" fillId="2" borderId="0" xfId="0" applyNumberFormat="1" applyFill="1"/>
    <xf numFmtId="169" fontId="10" fillId="5" borderId="34" xfId="0" applyNumberFormat="1" applyFont="1" applyFill="1" applyBorder="1"/>
    <xf numFmtId="9" fontId="10" fillId="9" borderId="51" xfId="0" applyNumberFormat="1" applyFont="1" applyFill="1" applyBorder="1" applyAlignment="1">
      <alignment horizontal="center"/>
    </xf>
    <xf numFmtId="169" fontId="10" fillId="5" borderId="37" xfId="0" applyNumberFormat="1" applyFont="1" applyFill="1" applyBorder="1"/>
    <xf numFmtId="172" fontId="10" fillId="9" borderId="47" xfId="0" applyNumberFormat="1" applyFont="1" applyFill="1" applyBorder="1" applyAlignment="1">
      <alignment horizontal="center"/>
    </xf>
    <xf numFmtId="169" fontId="10" fillId="5" borderId="39" xfId="0" applyNumberFormat="1" applyFont="1" applyFill="1" applyBorder="1"/>
    <xf numFmtId="9" fontId="10" fillId="9" borderId="48" xfId="0" applyNumberFormat="1" applyFont="1" applyFill="1" applyBorder="1" applyAlignment="1">
      <alignment horizontal="center"/>
    </xf>
    <xf numFmtId="169" fontId="0" fillId="5" borderId="75" xfId="0" applyNumberFormat="1" applyFill="1" applyBorder="1" applyAlignment="1">
      <alignment horizontal="center"/>
    </xf>
    <xf numFmtId="44" fontId="10" fillId="2" borderId="0" xfId="6" applyFont="1" applyFill="1" applyBorder="1" applyAlignment="1">
      <alignment horizontal="center"/>
    </xf>
    <xf numFmtId="0" fontId="0" fillId="2" borderId="5" xfId="0" applyFill="1" applyBorder="1" applyAlignment="1">
      <alignment horizontal="left" vertical="center" wrapText="1"/>
    </xf>
    <xf numFmtId="0" fontId="0" fillId="0" borderId="5" xfId="0" applyBorder="1" applyAlignment="1">
      <alignment vertical="center" wrapText="1"/>
    </xf>
    <xf numFmtId="0" fontId="0" fillId="5" borderId="28" xfId="0" applyFill="1" applyBorder="1"/>
    <xf numFmtId="0" fontId="0" fillId="5" borderId="6" xfId="0" applyFill="1" applyBorder="1"/>
    <xf numFmtId="10" fontId="0" fillId="2" borderId="5" xfId="0" applyNumberFormat="1" applyFill="1" applyBorder="1" applyAlignment="1">
      <alignment horizontal="center"/>
    </xf>
    <xf numFmtId="169" fontId="0" fillId="2" borderId="5" xfId="0" applyNumberFormat="1" applyFill="1" applyBorder="1" applyAlignment="1">
      <alignment horizontal="center"/>
    </xf>
    <xf numFmtId="0" fontId="0" fillId="2" borderId="7" xfId="0" applyFill="1" applyBorder="1" applyAlignment="1">
      <alignment horizontal="center"/>
    </xf>
    <xf numFmtId="0" fontId="0" fillId="2" borderId="6" xfId="0" applyFill="1" applyBorder="1" applyAlignment="1">
      <alignment horizontal="center" vertical="center"/>
    </xf>
    <xf numFmtId="169" fontId="0" fillId="2" borderId="5" xfId="0" applyNumberFormat="1" applyFill="1" applyBorder="1" applyAlignment="1">
      <alignment horizontal="center" vertical="center"/>
    </xf>
    <xf numFmtId="0" fontId="0" fillId="5" borderId="5" xfId="0" applyFill="1" applyBorder="1" applyAlignment="1">
      <alignment horizontal="center" vertical="center"/>
    </xf>
    <xf numFmtId="169" fontId="0" fillId="5" borderId="5" xfId="0" applyNumberFormat="1" applyFill="1" applyBorder="1" applyAlignment="1">
      <alignment horizontal="center" vertical="center"/>
    </xf>
    <xf numFmtId="0" fontId="0" fillId="2" borderId="0" xfId="0" applyFill="1" applyBorder="1" applyAlignment="1">
      <alignment horizontal="center"/>
    </xf>
    <xf numFmtId="169" fontId="0" fillId="2" borderId="37" xfId="0" applyNumberFormat="1" applyFont="1" applyFill="1" applyBorder="1" applyAlignment="1">
      <alignment horizontal="center"/>
    </xf>
    <xf numFmtId="169" fontId="0" fillId="2" borderId="47" xfId="0" applyNumberFormat="1" applyFont="1" applyFill="1" applyBorder="1" applyAlignment="1">
      <alignment horizontal="center"/>
    </xf>
    <xf numFmtId="0" fontId="0" fillId="2" borderId="10" xfId="0" applyFill="1" applyBorder="1" applyAlignment="1">
      <alignment horizontal="left" vertical="center" wrapText="1"/>
    </xf>
    <xf numFmtId="0" fontId="14" fillId="2" borderId="0" xfId="0" applyFont="1" applyFill="1" applyAlignment="1">
      <alignment horizontal="center" vertical="center"/>
    </xf>
    <xf numFmtId="0" fontId="15" fillId="2" borderId="0" xfId="0" applyFont="1" applyFill="1" applyAlignment="1">
      <alignment horizontal="center" vertical="center"/>
    </xf>
    <xf numFmtId="0" fontId="0" fillId="2" borderId="17" xfId="0" applyFill="1" applyBorder="1"/>
    <xf numFmtId="0" fontId="0" fillId="2" borderId="12" xfId="0" applyFill="1" applyBorder="1"/>
    <xf numFmtId="0" fontId="0" fillId="2" borderId="13" xfId="0" applyFill="1" applyBorder="1"/>
    <xf numFmtId="0" fontId="0" fillId="2" borderId="18" xfId="0" applyFill="1" applyBorder="1" applyAlignment="1"/>
    <xf numFmtId="0" fontId="0" fillId="2" borderId="14" xfId="0" applyFill="1" applyBorder="1" applyAlignment="1"/>
    <xf numFmtId="0" fontId="0" fillId="2" borderId="0" xfId="0" applyFill="1" applyBorder="1" applyAlignment="1"/>
    <xf numFmtId="0" fontId="0" fillId="2" borderId="19" xfId="0" applyFill="1" applyBorder="1" applyAlignment="1"/>
    <xf numFmtId="0" fontId="0" fillId="2" borderId="15" xfId="0" applyFill="1" applyBorder="1" applyAlignment="1"/>
    <xf numFmtId="0" fontId="0" fillId="2" borderId="16" xfId="0" applyFill="1" applyBorder="1" applyAlignment="1"/>
    <xf numFmtId="0" fontId="0" fillId="2" borderId="0" xfId="0" applyFill="1" applyBorder="1" applyAlignment="1">
      <alignment horizontal="left" vertical="center" wrapText="1"/>
    </xf>
    <xf numFmtId="2" fontId="0" fillId="7" borderId="5" xfId="0" applyNumberFormat="1" applyFill="1" applyBorder="1" applyAlignment="1">
      <alignment horizontal="center"/>
    </xf>
    <xf numFmtId="0" fontId="26" fillId="12" borderId="57" xfId="0" applyFont="1" applyFill="1" applyBorder="1" applyAlignment="1">
      <alignment horizontal="center"/>
    </xf>
    <xf numFmtId="0" fontId="0" fillId="0" borderId="0" xfId="0" applyFont="1" applyFill="1"/>
    <xf numFmtId="0" fontId="0" fillId="0" borderId="0" xfId="0" applyFill="1"/>
    <xf numFmtId="0" fontId="0" fillId="14" borderId="0" xfId="0" applyFill="1"/>
    <xf numFmtId="0" fontId="0" fillId="15" borderId="0" xfId="0" applyFill="1"/>
    <xf numFmtId="0" fontId="0" fillId="16" borderId="0" xfId="0" applyFill="1"/>
    <xf numFmtId="0" fontId="14" fillId="14" borderId="0" xfId="0" applyFont="1" applyFill="1" applyAlignment="1">
      <alignment vertical="center"/>
    </xf>
    <xf numFmtId="0" fontId="4" fillId="14" borderId="0" xfId="0" applyFont="1" applyFill="1" applyAlignment="1">
      <alignment vertical="center"/>
    </xf>
    <xf numFmtId="0" fontId="14" fillId="15" borderId="0" xfId="0" applyFont="1" applyFill="1" applyAlignment="1">
      <alignment vertical="center"/>
    </xf>
    <xf numFmtId="0" fontId="4" fillId="15" borderId="0" xfId="0" applyFont="1" applyFill="1" applyAlignment="1">
      <alignment vertical="center"/>
    </xf>
    <xf numFmtId="0" fontId="14" fillId="16" borderId="0" xfId="0" applyFont="1" applyFill="1" applyAlignment="1">
      <alignment vertical="center"/>
    </xf>
    <xf numFmtId="0" fontId="4" fillId="16" borderId="0" xfId="0" applyFont="1" applyFill="1" applyAlignment="1">
      <alignment vertical="center"/>
    </xf>
    <xf numFmtId="0" fontId="0" fillId="16" borderId="0" xfId="0" applyFill="1" applyAlignment="1">
      <alignment wrapText="1"/>
    </xf>
    <xf numFmtId="0" fontId="5" fillId="16" borderId="0" xfId="0" applyFont="1" applyFill="1" applyAlignment="1">
      <alignment vertical="center"/>
    </xf>
    <xf numFmtId="0" fontId="0" fillId="2" borderId="34" xfId="0" applyFill="1" applyBorder="1" applyAlignment="1">
      <alignment horizontal="center" vertical="center"/>
    </xf>
    <xf numFmtId="0" fontId="0" fillId="2" borderId="37" xfId="0" applyFill="1" applyBorder="1" applyAlignment="1">
      <alignment horizontal="center" vertical="center"/>
    </xf>
    <xf numFmtId="0" fontId="0" fillId="2" borderId="39" xfId="0" applyFill="1" applyBorder="1" applyAlignment="1">
      <alignment horizontal="center" vertical="center"/>
    </xf>
    <xf numFmtId="0" fontId="0" fillId="2" borderId="0" xfId="0" applyFill="1" applyAlignment="1">
      <alignment horizontal="left"/>
    </xf>
    <xf numFmtId="0" fontId="2" fillId="2" borderId="0" xfId="1" applyFill="1" applyAlignment="1">
      <alignment horizontal="left"/>
    </xf>
    <xf numFmtId="44" fontId="0" fillId="8" borderId="33" xfId="6" applyFont="1" applyFill="1" applyBorder="1"/>
    <xf numFmtId="44" fontId="0" fillId="8" borderId="38" xfId="6" applyFont="1" applyFill="1" applyBorder="1"/>
    <xf numFmtId="167" fontId="0" fillId="8" borderId="45" xfId="0" applyNumberFormat="1" applyFill="1" applyBorder="1"/>
    <xf numFmtId="44" fontId="0" fillId="9" borderId="5" xfId="6" applyFont="1" applyFill="1" applyBorder="1"/>
    <xf numFmtId="167" fontId="0" fillId="9" borderId="5" xfId="2" applyNumberFormat="1" applyFont="1" applyFill="1" applyBorder="1"/>
    <xf numFmtId="167" fontId="0" fillId="9" borderId="5" xfId="0" applyNumberFormat="1" applyFill="1" applyBorder="1"/>
    <xf numFmtId="44" fontId="0" fillId="9" borderId="35" xfId="6" applyFont="1" applyFill="1" applyBorder="1"/>
    <xf numFmtId="167" fontId="0" fillId="9" borderId="35" xfId="0" applyNumberFormat="1" applyFill="1" applyBorder="1"/>
    <xf numFmtId="44" fontId="0" fillId="9" borderId="51" xfId="6" applyFont="1" applyFill="1" applyBorder="1"/>
    <xf numFmtId="44" fontId="0" fillId="9" borderId="47" xfId="6" applyFont="1" applyFill="1" applyBorder="1"/>
    <xf numFmtId="44" fontId="0" fillId="9" borderId="40" xfId="6" applyFont="1" applyFill="1" applyBorder="1"/>
    <xf numFmtId="167" fontId="0" fillId="9" borderId="40" xfId="0" applyNumberFormat="1" applyFill="1" applyBorder="1"/>
    <xf numFmtId="44" fontId="0" fillId="9" borderId="48" xfId="6" applyFont="1" applyFill="1" applyBorder="1"/>
    <xf numFmtId="44" fontId="0" fillId="4" borderId="67" xfId="0" applyNumberFormat="1" applyFill="1" applyBorder="1" applyAlignment="1">
      <alignment wrapText="1"/>
    </xf>
    <xf numFmtId="44" fontId="0" fillId="4" borderId="38" xfId="0" applyNumberFormat="1" applyFill="1" applyBorder="1" applyAlignment="1">
      <alignment wrapText="1"/>
    </xf>
    <xf numFmtId="44" fontId="0" fillId="9" borderId="35" xfId="0" applyNumberFormat="1" applyFill="1" applyBorder="1" applyAlignment="1">
      <alignment wrapText="1"/>
    </xf>
    <xf numFmtId="44" fontId="0" fillId="9" borderId="51" xfId="0" applyNumberFormat="1" applyFill="1" applyBorder="1" applyAlignment="1">
      <alignment wrapText="1"/>
    </xf>
    <xf numFmtId="44" fontId="0" fillId="9" borderId="41" xfId="0" applyNumberFormat="1" applyFill="1" applyBorder="1" applyAlignment="1">
      <alignment wrapText="1"/>
    </xf>
    <xf numFmtId="44" fontId="0" fillId="9" borderId="42" xfId="0" applyNumberFormat="1" applyFill="1" applyBorder="1" applyAlignment="1">
      <alignment wrapText="1"/>
    </xf>
    <xf numFmtId="44" fontId="0" fillId="6" borderId="22" xfId="6" applyFont="1" applyFill="1" applyBorder="1"/>
    <xf numFmtId="44" fontId="0" fillId="6" borderId="29" xfId="6" applyFont="1" applyFill="1" applyBorder="1"/>
    <xf numFmtId="44" fontId="0" fillId="6" borderId="60" xfId="6" applyFont="1" applyFill="1" applyBorder="1"/>
    <xf numFmtId="164" fontId="8" fillId="6" borderId="61" xfId="2" applyFont="1" applyFill="1" applyBorder="1" applyAlignment="1"/>
    <xf numFmtId="164" fontId="8" fillId="6" borderId="62" xfId="2" applyFont="1" applyFill="1" applyBorder="1" applyAlignment="1"/>
    <xf numFmtId="164" fontId="8" fillId="6" borderId="63" xfId="2" applyFont="1" applyFill="1" applyBorder="1" applyAlignment="1"/>
    <xf numFmtId="44" fontId="0" fillId="7" borderId="22" xfId="6" applyFont="1" applyFill="1" applyBorder="1"/>
    <xf numFmtId="44" fontId="0" fillId="7" borderId="29" xfId="6" applyFont="1" applyFill="1" applyBorder="1"/>
    <xf numFmtId="44" fontId="0" fillId="7" borderId="60" xfId="6" applyFont="1" applyFill="1" applyBorder="1"/>
    <xf numFmtId="44" fontId="0" fillId="7" borderId="61" xfId="6" applyFont="1" applyFill="1" applyBorder="1"/>
    <xf numFmtId="44" fontId="0" fillId="7" borderId="62" xfId="6" applyFont="1" applyFill="1" applyBorder="1"/>
    <xf numFmtId="44" fontId="0" fillId="7" borderId="63" xfId="6" applyFont="1" applyFill="1" applyBorder="1"/>
    <xf numFmtId="44" fontId="0" fillId="9" borderId="26" xfId="6" applyFont="1" applyFill="1" applyBorder="1"/>
    <xf numFmtId="44" fontId="0" fillId="9" borderId="28" xfId="6" applyFont="1" applyFill="1" applyBorder="1"/>
    <xf numFmtId="44" fontId="0" fillId="9" borderId="43" xfId="6" applyFont="1" applyFill="1" applyBorder="1"/>
    <xf numFmtId="169" fontId="0" fillId="2" borderId="64" xfId="0" applyNumberFormat="1" applyFont="1" applyFill="1" applyBorder="1" applyAlignment="1">
      <alignment horizontal="center"/>
    </xf>
    <xf numFmtId="169" fontId="0" fillId="2" borderId="63" xfId="0" applyNumberFormat="1" applyFont="1" applyFill="1" applyBorder="1" applyAlignment="1">
      <alignment horizontal="center"/>
    </xf>
    <xf numFmtId="44" fontId="0" fillId="4" borderId="27" xfId="0" applyNumberFormat="1" applyFill="1" applyBorder="1" applyAlignment="1">
      <alignment wrapText="1"/>
    </xf>
    <xf numFmtId="44" fontId="0" fillId="4" borderId="6" xfId="0" applyNumberFormat="1" applyFill="1" applyBorder="1" applyAlignment="1">
      <alignment wrapText="1"/>
    </xf>
    <xf numFmtId="44" fontId="0" fillId="4" borderId="73" xfId="0" applyNumberFormat="1" applyFill="1" applyBorder="1" applyAlignment="1">
      <alignment wrapText="1"/>
    </xf>
    <xf numFmtId="44" fontId="0" fillId="4" borderId="61" xfId="0" applyNumberFormat="1" applyFill="1" applyBorder="1" applyAlignment="1">
      <alignment wrapText="1"/>
    </xf>
    <xf numFmtId="44" fontId="0" fillId="4" borderId="62" xfId="0" applyNumberFormat="1" applyFill="1" applyBorder="1" applyAlignment="1">
      <alignment wrapText="1"/>
    </xf>
    <xf numFmtId="44" fontId="0" fillId="4" borderId="63" xfId="0" applyNumberFormat="1" applyFill="1" applyBorder="1" applyAlignment="1">
      <alignment wrapText="1"/>
    </xf>
    <xf numFmtId="44" fontId="0" fillId="7" borderId="27" xfId="0" applyNumberFormat="1" applyFill="1" applyBorder="1" applyAlignment="1">
      <alignment wrapText="1"/>
    </xf>
    <xf numFmtId="44" fontId="0" fillId="7" borderId="6" xfId="0" applyNumberFormat="1" applyFill="1" applyBorder="1" applyAlignment="1">
      <alignment wrapText="1"/>
    </xf>
    <xf numFmtId="44" fontId="0" fillId="7" borderId="58" xfId="0" applyNumberFormat="1" applyFill="1" applyBorder="1" applyAlignment="1">
      <alignment wrapText="1"/>
    </xf>
    <xf numFmtId="44" fontId="0" fillId="7" borderId="62" xfId="0" applyNumberFormat="1" applyFill="1" applyBorder="1" applyAlignment="1">
      <alignment wrapText="1"/>
    </xf>
    <xf numFmtId="44" fontId="0" fillId="7" borderId="63" xfId="0" applyNumberFormat="1" applyFill="1" applyBorder="1" applyAlignment="1">
      <alignment wrapText="1"/>
    </xf>
    <xf numFmtId="44" fontId="0" fillId="9" borderId="27" xfId="0" applyNumberFormat="1" applyFill="1" applyBorder="1" applyAlignment="1">
      <alignment wrapText="1"/>
    </xf>
    <xf numFmtId="44" fontId="0" fillId="9" borderId="70" xfId="0" applyNumberFormat="1" applyFill="1" applyBorder="1" applyAlignment="1">
      <alignment wrapText="1"/>
    </xf>
    <xf numFmtId="44" fontId="0" fillId="9" borderId="78" xfId="0" applyNumberFormat="1" applyFill="1" applyBorder="1" applyAlignment="1">
      <alignment wrapText="1"/>
    </xf>
    <xf numFmtId="44" fontId="0" fillId="9" borderId="61" xfId="0" applyNumberFormat="1" applyFill="1" applyBorder="1" applyAlignment="1">
      <alignment wrapText="1"/>
    </xf>
    <xf numFmtId="44" fontId="0" fillId="9" borderId="72" xfId="0" applyNumberFormat="1" applyFill="1" applyBorder="1" applyAlignment="1">
      <alignment wrapText="1"/>
    </xf>
    <xf numFmtId="44" fontId="0" fillId="9" borderId="10" xfId="0" applyNumberFormat="1" applyFill="1" applyBorder="1" applyAlignment="1">
      <alignment wrapText="1"/>
    </xf>
    <xf numFmtId="167" fontId="0" fillId="2" borderId="0" xfId="0" applyNumberFormat="1" applyFont="1" applyFill="1"/>
    <xf numFmtId="167" fontId="0" fillId="6" borderId="6" xfId="2" applyNumberFormat="1" applyFont="1" applyFill="1" applyBorder="1"/>
    <xf numFmtId="167" fontId="0" fillId="7" borderId="6" xfId="2" applyNumberFormat="1" applyFont="1" applyFill="1" applyBorder="1"/>
    <xf numFmtId="167" fontId="0" fillId="8" borderId="6" xfId="2" applyNumberFormat="1" applyFont="1" applyFill="1" applyBorder="1"/>
    <xf numFmtId="167" fontId="0" fillId="9" borderId="6" xfId="2" applyNumberFormat="1" applyFont="1" applyFill="1" applyBorder="1"/>
    <xf numFmtId="44" fontId="0" fillId="8" borderId="61" xfId="6" applyFont="1" applyFill="1" applyBorder="1"/>
    <xf numFmtId="44" fontId="0" fillId="8" borderId="62" xfId="6" applyFont="1" applyFill="1" applyBorder="1"/>
    <xf numFmtId="44" fontId="0" fillId="8" borderId="63" xfId="6" applyFont="1" applyFill="1" applyBorder="1"/>
    <xf numFmtId="167" fontId="0" fillId="9" borderId="6" xfId="0" applyNumberFormat="1" applyFill="1" applyBorder="1"/>
    <xf numFmtId="167" fontId="0" fillId="9" borderId="34" xfId="0" applyNumberFormat="1" applyFill="1" applyBorder="1"/>
    <xf numFmtId="167" fontId="0" fillId="9" borderId="37" xfId="0" applyNumberFormat="1" applyFill="1" applyBorder="1"/>
    <xf numFmtId="167" fontId="0" fillId="9" borderId="39" xfId="0" applyNumberFormat="1" applyFill="1" applyBorder="1"/>
    <xf numFmtId="167" fontId="0" fillId="9" borderId="27" xfId="0" applyNumberFormat="1" applyFill="1" applyBorder="1"/>
    <xf numFmtId="167" fontId="0" fillId="9" borderId="58" xfId="0" applyNumberFormat="1" applyFill="1" applyBorder="1"/>
    <xf numFmtId="44" fontId="0" fillId="6" borderId="61" xfId="6" applyFont="1" applyFill="1" applyBorder="1"/>
    <xf numFmtId="44" fontId="0" fillId="6" borderId="62" xfId="6" applyFont="1" applyFill="1" applyBorder="1"/>
    <xf numFmtId="44" fontId="0" fillId="6" borderId="63" xfId="6" applyFont="1" applyFill="1" applyBorder="1"/>
    <xf numFmtId="44" fontId="0" fillId="9" borderId="61" xfId="6" applyFont="1" applyFill="1" applyBorder="1"/>
    <xf numFmtId="44" fontId="0" fillId="9" borderId="62" xfId="6" applyFont="1" applyFill="1" applyBorder="1"/>
    <xf numFmtId="44" fontId="0" fillId="9" borderId="63" xfId="6" applyFont="1" applyFill="1" applyBorder="1"/>
    <xf numFmtId="164" fontId="8" fillId="11" borderId="36" xfId="2" applyFont="1" applyFill="1" applyBorder="1" applyAlignment="1"/>
    <xf numFmtId="167" fontId="0" fillId="6" borderId="61" xfId="2" applyNumberFormat="1" applyFont="1" applyFill="1" applyBorder="1"/>
    <xf numFmtId="167" fontId="0" fillId="7" borderId="62" xfId="2" applyNumberFormat="1" applyFont="1" applyFill="1" applyBorder="1"/>
    <xf numFmtId="167" fontId="0" fillId="8" borderId="62" xfId="2" applyNumberFormat="1" applyFont="1" applyFill="1" applyBorder="1"/>
    <xf numFmtId="167" fontId="0" fillId="9" borderId="63" xfId="2" applyNumberFormat="1" applyFont="1" applyFill="1" applyBorder="1"/>
    <xf numFmtId="44" fontId="0" fillId="10" borderId="27" xfId="0" applyNumberFormat="1" applyFill="1" applyBorder="1" applyAlignment="1">
      <alignment wrapText="1"/>
    </xf>
    <xf numFmtId="44" fontId="0" fillId="10" borderId="6" xfId="0" applyNumberFormat="1" applyFill="1" applyBorder="1" applyAlignment="1">
      <alignment wrapText="1"/>
    </xf>
    <xf numFmtId="44" fontId="0" fillId="10" borderId="58" xfId="0" applyNumberFormat="1" applyFill="1" applyBorder="1" applyAlignment="1">
      <alignment wrapText="1"/>
    </xf>
    <xf numFmtId="44" fontId="0" fillId="7" borderId="72" xfId="0" applyNumberFormat="1" applyFill="1" applyBorder="1" applyAlignment="1">
      <alignment wrapText="1"/>
    </xf>
    <xf numFmtId="0" fontId="6" fillId="2" borderId="80" xfId="0" applyFont="1" applyFill="1" applyBorder="1" applyAlignment="1">
      <alignment vertical="top" wrapText="1"/>
    </xf>
    <xf numFmtId="0" fontId="6" fillId="2" borderId="0" xfId="0" applyFont="1" applyFill="1" applyBorder="1" applyAlignment="1">
      <alignment vertical="top" wrapText="1"/>
    </xf>
    <xf numFmtId="0" fontId="0" fillId="18" borderId="0" xfId="0" applyFill="1"/>
    <xf numFmtId="0" fontId="14" fillId="18" borderId="0" xfId="0" applyFont="1" applyFill="1" applyAlignment="1">
      <alignment horizontal="center" vertical="center"/>
    </xf>
    <xf numFmtId="0" fontId="15" fillId="18" borderId="0" xfId="0" applyFont="1" applyFill="1" applyAlignment="1">
      <alignment horizontal="center" vertical="center"/>
    </xf>
    <xf numFmtId="0" fontId="11" fillId="10" borderId="5" xfId="0" applyFont="1" applyFill="1" applyBorder="1" applyAlignment="1">
      <alignment horizontal="center" vertical="center" wrapText="1"/>
    </xf>
    <xf numFmtId="44" fontId="19" fillId="17" borderId="5" xfId="6" applyFont="1" applyFill="1" applyBorder="1" applyAlignment="1">
      <alignment horizontal="left" vertical="top" wrapText="1"/>
    </xf>
    <xf numFmtId="0" fontId="19" fillId="10" borderId="5" xfId="0" applyFont="1" applyFill="1" applyBorder="1" applyAlignment="1">
      <alignment horizontal="left" vertical="top" wrapText="1"/>
    </xf>
    <xf numFmtId="0" fontId="17" fillId="17" borderId="9" xfId="0" applyFont="1" applyFill="1" applyBorder="1" applyAlignment="1">
      <alignment horizontal="center" vertical="center" wrapText="1"/>
    </xf>
    <xf numFmtId="0" fontId="17" fillId="17" borderId="14" xfId="0" applyFont="1" applyFill="1" applyBorder="1" applyAlignment="1">
      <alignment horizontal="center" vertical="center" wrapText="1"/>
    </xf>
    <xf numFmtId="0" fontId="11" fillId="10" borderId="49" xfId="0" applyFont="1" applyFill="1" applyBorder="1" applyAlignment="1">
      <alignment horizontal="center"/>
    </xf>
    <xf numFmtId="0" fontId="11" fillId="10" borderId="30" xfId="0" applyFont="1" applyFill="1" applyBorder="1" applyAlignment="1">
      <alignment horizontal="center"/>
    </xf>
    <xf numFmtId="0" fontId="11" fillId="10" borderId="50" xfId="0" applyFont="1" applyFill="1" applyBorder="1" applyAlignment="1">
      <alignment horizontal="center"/>
    </xf>
    <xf numFmtId="0" fontId="10" fillId="10" borderId="61" xfId="0" applyFont="1" applyFill="1" applyBorder="1" applyAlignment="1">
      <alignment horizontal="center"/>
    </xf>
    <xf numFmtId="0" fontId="10" fillId="10" borderId="53" xfId="0" applyFont="1" applyFill="1" applyBorder="1" applyAlignment="1">
      <alignment horizontal="center"/>
    </xf>
    <xf numFmtId="0" fontId="10" fillId="10" borderId="45" xfId="0" applyFont="1" applyFill="1" applyBorder="1" applyAlignment="1">
      <alignment horizontal="center" vertical="center" wrapText="1"/>
    </xf>
    <xf numFmtId="0" fontId="10" fillId="10" borderId="38" xfId="0" applyFont="1" applyFill="1" applyBorder="1" applyAlignment="1">
      <alignment horizontal="center" vertical="center" wrapText="1"/>
    </xf>
    <xf numFmtId="0" fontId="18" fillId="17" borderId="57" xfId="0" applyFont="1" applyFill="1" applyBorder="1" applyAlignment="1">
      <alignment horizontal="center" vertical="center"/>
    </xf>
    <xf numFmtId="0" fontId="10" fillId="10" borderId="22" xfId="0" applyFont="1" applyFill="1" applyBorder="1" applyAlignment="1">
      <alignment horizontal="center" vertical="center"/>
    </xf>
    <xf numFmtId="0" fontId="0" fillId="10" borderId="61" xfId="0" applyFill="1" applyBorder="1" applyAlignment="1">
      <alignment horizontal="left" wrapText="1"/>
    </xf>
    <xf numFmtId="0" fontId="10" fillId="10" borderId="29" xfId="0" applyFont="1" applyFill="1" applyBorder="1" applyAlignment="1">
      <alignment horizontal="center" vertical="center"/>
    </xf>
    <xf numFmtId="169" fontId="0" fillId="10" borderId="62" xfId="0" applyNumberFormat="1" applyFill="1" applyBorder="1" applyAlignment="1">
      <alignment horizontal="left" wrapText="1"/>
    </xf>
    <xf numFmtId="0" fontId="10" fillId="10" borderId="60" xfId="0" applyFont="1" applyFill="1" applyBorder="1" applyAlignment="1">
      <alignment horizontal="center" vertical="center"/>
    </xf>
    <xf numFmtId="169" fontId="0" fillId="10" borderId="63" xfId="0" applyNumberFormat="1" applyFill="1" applyBorder="1" applyAlignment="1">
      <alignment horizontal="left" wrapText="1"/>
    </xf>
    <xf numFmtId="169" fontId="0" fillId="10" borderId="61" xfId="0" applyNumberFormat="1" applyFill="1" applyBorder="1" applyAlignment="1">
      <alignment horizontal="left" wrapText="1"/>
    </xf>
    <xf numFmtId="0" fontId="10" fillId="10" borderId="29" xfId="0" applyFont="1" applyFill="1" applyBorder="1" applyAlignment="1">
      <alignment horizontal="center" vertical="center" wrapText="1"/>
    </xf>
    <xf numFmtId="169" fontId="0" fillId="10" borderId="62" xfId="0" applyNumberFormat="1" applyFill="1" applyBorder="1" applyAlignment="1">
      <alignment horizontal="left" vertical="center" wrapText="1"/>
    </xf>
    <xf numFmtId="169" fontId="0" fillId="10" borderId="61" xfId="0" applyNumberFormat="1" applyFill="1" applyBorder="1"/>
    <xf numFmtId="169" fontId="0" fillId="10" borderId="63" xfId="0" applyNumberFormat="1" applyFill="1" applyBorder="1"/>
    <xf numFmtId="0" fontId="10" fillId="17" borderId="20" xfId="0" applyFont="1" applyFill="1" applyBorder="1" applyAlignment="1">
      <alignment horizontal="center"/>
    </xf>
    <xf numFmtId="0" fontId="10" fillId="17" borderId="57" xfId="0" applyFont="1" applyFill="1" applyBorder="1" applyAlignment="1">
      <alignment horizontal="center"/>
    </xf>
    <xf numFmtId="0" fontId="10" fillId="10" borderId="39" xfId="0" applyFont="1" applyFill="1" applyBorder="1" applyAlignment="1">
      <alignment horizontal="center" vertical="center" wrapText="1"/>
    </xf>
    <xf numFmtId="0" fontId="10" fillId="10" borderId="48" xfId="0" applyFont="1" applyFill="1" applyBorder="1" applyAlignment="1">
      <alignment horizontal="center" vertical="center" wrapText="1"/>
    </xf>
    <xf numFmtId="44" fontId="0" fillId="6" borderId="36" xfId="6" applyFont="1" applyFill="1" applyBorder="1"/>
    <xf numFmtId="44" fontId="0" fillId="6" borderId="53" xfId="6" applyFont="1" applyFill="1" applyBorder="1"/>
    <xf numFmtId="44" fontId="0" fillId="6" borderId="64" xfId="6" applyFont="1" applyFill="1" applyBorder="1"/>
    <xf numFmtId="44" fontId="0" fillId="7" borderId="36" xfId="6" applyFont="1" applyFill="1" applyBorder="1"/>
    <xf numFmtId="44" fontId="0" fillId="7" borderId="53" xfId="6" applyFont="1" applyFill="1" applyBorder="1"/>
    <xf numFmtId="44" fontId="0" fillId="7" borderId="64" xfId="6" applyFont="1" applyFill="1" applyBorder="1"/>
    <xf numFmtId="44" fontId="0" fillId="8" borderId="36" xfId="6" applyFont="1" applyFill="1" applyBorder="1"/>
    <xf numFmtId="44" fontId="0" fillId="8" borderId="53" xfId="6" applyFont="1" applyFill="1" applyBorder="1"/>
    <xf numFmtId="44" fontId="0" fillId="9" borderId="22" xfId="6" applyFont="1" applyFill="1" applyBorder="1"/>
    <xf numFmtId="44" fontId="0" fillId="9" borderId="29" xfId="6" applyFont="1" applyFill="1" applyBorder="1"/>
    <xf numFmtId="44" fontId="0" fillId="9" borderId="60" xfId="6" applyFont="1" applyFill="1" applyBorder="1"/>
    <xf numFmtId="164" fontId="8" fillId="6" borderId="44" xfId="2" applyFont="1" applyFill="1" applyBorder="1" applyAlignment="1"/>
    <xf numFmtId="164" fontId="8" fillId="6" borderId="52" xfId="2" applyFont="1" applyFill="1" applyBorder="1" applyAlignment="1"/>
    <xf numFmtId="164" fontId="8" fillId="6" borderId="54" xfId="2" applyFont="1" applyFill="1" applyBorder="1" applyAlignment="1"/>
    <xf numFmtId="44" fontId="0" fillId="7" borderId="44" xfId="6" applyFont="1" applyFill="1" applyBorder="1"/>
    <xf numFmtId="44" fontId="0" fillId="7" borderId="52" xfId="6" applyFont="1" applyFill="1" applyBorder="1"/>
    <xf numFmtId="44" fontId="0" fillId="7" borderId="54" xfId="6" applyFont="1" applyFill="1" applyBorder="1"/>
    <xf numFmtId="165" fontId="8" fillId="2" borderId="5" xfId="3" applyNumberFormat="1" applyFont="1" applyFill="1" applyBorder="1" applyAlignment="1">
      <alignment horizontal="left" vertical="top" wrapText="1"/>
    </xf>
    <xf numFmtId="165" fontId="0" fillId="2" borderId="62" xfId="0" applyNumberFormat="1" applyFont="1" applyFill="1" applyBorder="1" applyAlignment="1">
      <alignment horizontal="center"/>
    </xf>
    <xf numFmtId="165" fontId="0" fillId="2" borderId="53" xfId="0" applyNumberFormat="1" applyFont="1" applyFill="1" applyBorder="1" applyAlignment="1">
      <alignment horizontal="center"/>
    </xf>
    <xf numFmtId="0" fontId="10" fillId="10" borderId="69" xfId="0" applyFont="1" applyFill="1" applyBorder="1" applyAlignment="1">
      <alignment horizontal="center" vertical="center" wrapText="1"/>
    </xf>
    <xf numFmtId="0" fontId="10" fillId="10" borderId="59" xfId="0" applyFont="1" applyFill="1" applyBorder="1" applyAlignment="1">
      <alignment horizontal="center" vertical="center" wrapText="1"/>
    </xf>
    <xf numFmtId="0" fontId="10" fillId="10" borderId="68" xfId="0" applyFont="1" applyFill="1" applyBorder="1" applyAlignment="1">
      <alignment horizontal="center" vertical="center" wrapText="1"/>
    </xf>
    <xf numFmtId="0" fontId="10" fillId="10" borderId="5" xfId="0" applyFont="1" applyFill="1" applyBorder="1" applyAlignment="1">
      <alignment horizontal="center" vertical="center" wrapText="1"/>
    </xf>
    <xf numFmtId="0" fontId="10" fillId="19" borderId="46" xfId="0" applyFont="1" applyFill="1" applyBorder="1" applyAlignment="1">
      <alignment wrapText="1"/>
    </xf>
    <xf numFmtId="44" fontId="10" fillId="19" borderId="41" xfId="0" applyNumberFormat="1" applyFont="1" applyFill="1" applyBorder="1" applyAlignment="1">
      <alignment wrapText="1"/>
    </xf>
    <xf numFmtId="44" fontId="10" fillId="19" borderId="42" xfId="0" applyNumberFormat="1" applyFont="1" applyFill="1" applyBorder="1" applyAlignment="1">
      <alignment wrapText="1"/>
    </xf>
    <xf numFmtId="164" fontId="11" fillId="10" borderId="49" xfId="2" applyFont="1" applyFill="1" applyBorder="1" applyAlignment="1">
      <alignment horizontal="center" wrapText="1"/>
    </xf>
    <xf numFmtId="164" fontId="20" fillId="10" borderId="30" xfId="2" applyFont="1" applyFill="1" applyBorder="1" applyAlignment="1">
      <alignment horizontal="center" vertical="center" wrapText="1"/>
    </xf>
    <xf numFmtId="164" fontId="20" fillId="10" borderId="50" xfId="2" applyFont="1" applyFill="1" applyBorder="1" applyAlignment="1">
      <alignment horizontal="center" vertical="center" wrapText="1"/>
    </xf>
    <xf numFmtId="0" fontId="10" fillId="10" borderId="5" xfId="0" applyFont="1" applyFill="1" applyBorder="1" applyAlignment="1">
      <alignment horizontal="center"/>
    </xf>
    <xf numFmtId="0" fontId="10" fillId="10" borderId="37" xfId="0" applyFont="1" applyFill="1" applyBorder="1" applyAlignment="1">
      <alignment horizontal="center"/>
    </xf>
    <xf numFmtId="0" fontId="10" fillId="10" borderId="47" xfId="0" applyFont="1" applyFill="1" applyBorder="1" applyAlignment="1">
      <alignment horizontal="center"/>
    </xf>
    <xf numFmtId="0" fontId="10" fillId="10" borderId="75" xfId="0" applyFont="1" applyFill="1" applyBorder="1" applyAlignment="1">
      <alignment horizontal="center"/>
    </xf>
    <xf numFmtId="0" fontId="10" fillId="10" borderId="25" xfId="0" applyFont="1" applyFill="1" applyBorder="1" applyAlignment="1">
      <alignment horizontal="center"/>
    </xf>
    <xf numFmtId="0" fontId="10" fillId="10" borderId="74" xfId="0" applyFont="1" applyFill="1" applyBorder="1" applyAlignment="1">
      <alignment horizontal="center"/>
    </xf>
    <xf numFmtId="0" fontId="10" fillId="10" borderId="57" xfId="0" applyFont="1" applyFill="1" applyBorder="1" applyAlignment="1">
      <alignment horizontal="center"/>
    </xf>
    <xf numFmtId="0" fontId="19" fillId="10" borderId="57" xfId="0" applyFont="1" applyFill="1" applyBorder="1" applyAlignment="1">
      <alignment horizontal="center"/>
    </xf>
    <xf numFmtId="0" fontId="10" fillId="10" borderId="23" xfId="0" applyFont="1" applyFill="1" applyBorder="1"/>
    <xf numFmtId="44" fontId="10" fillId="10" borderId="25" xfId="6" applyFont="1" applyFill="1" applyBorder="1" applyAlignment="1">
      <alignment horizontal="center"/>
    </xf>
    <xf numFmtId="44" fontId="10" fillId="10" borderId="74" xfId="6" applyFont="1" applyFill="1" applyBorder="1" applyAlignment="1">
      <alignment horizontal="center"/>
    </xf>
    <xf numFmtId="44" fontId="10" fillId="10" borderId="61" xfId="6" applyFont="1" applyFill="1" applyBorder="1" applyAlignment="1">
      <alignment horizontal="center"/>
    </xf>
    <xf numFmtId="44" fontId="10" fillId="10" borderId="62" xfId="6" applyFont="1" applyFill="1" applyBorder="1" applyAlignment="1">
      <alignment horizontal="center"/>
    </xf>
    <xf numFmtId="44" fontId="10" fillId="10" borderId="63" xfId="6" applyFont="1" applyFill="1" applyBorder="1" applyAlignment="1">
      <alignment horizontal="center"/>
    </xf>
    <xf numFmtId="44" fontId="10" fillId="10" borderId="61" xfId="6" applyFont="1" applyFill="1" applyBorder="1" applyAlignment="1">
      <alignment horizontal="left" vertical="center"/>
    </xf>
    <xf numFmtId="44" fontId="10" fillId="10" borderId="57" xfId="6" applyFont="1" applyFill="1" applyBorder="1" applyAlignment="1">
      <alignment horizontal="center"/>
    </xf>
    <xf numFmtId="44" fontId="10" fillId="10" borderId="71" xfId="6" applyFont="1" applyFill="1" applyBorder="1" applyAlignment="1">
      <alignment horizontal="center"/>
    </xf>
    <xf numFmtId="0" fontId="10" fillId="10" borderId="11" xfId="0" applyFont="1" applyFill="1" applyBorder="1" applyAlignment="1">
      <alignment horizontal="center"/>
    </xf>
    <xf numFmtId="0" fontId="11" fillId="10" borderId="65" xfId="0" applyFont="1" applyFill="1" applyBorder="1" applyAlignment="1">
      <alignment horizontal="center" vertical="center" wrapText="1"/>
    </xf>
    <xf numFmtId="0" fontId="11" fillId="10" borderId="7" xfId="0" applyFont="1" applyFill="1" applyBorder="1" applyAlignment="1">
      <alignment horizontal="center" vertical="center"/>
    </xf>
    <xf numFmtId="0" fontId="11" fillId="10" borderId="66" xfId="0" applyFont="1" applyFill="1" applyBorder="1" applyAlignment="1">
      <alignment horizontal="center" vertical="center"/>
    </xf>
    <xf numFmtId="0" fontId="11" fillId="19" borderId="23" xfId="0" applyFont="1" applyFill="1" applyBorder="1" applyAlignment="1">
      <alignment horizontal="center" vertical="center"/>
    </xf>
    <xf numFmtId="0" fontId="10" fillId="17" borderId="45" xfId="0" applyFont="1" applyFill="1" applyBorder="1" applyAlignment="1">
      <alignment horizontal="center"/>
    </xf>
    <xf numFmtId="0" fontId="10" fillId="17" borderId="38" xfId="0" applyFont="1" applyFill="1" applyBorder="1" applyAlignment="1">
      <alignment horizontal="center"/>
    </xf>
    <xf numFmtId="0" fontId="10" fillId="17" borderId="73" xfId="0" applyFont="1" applyFill="1" applyBorder="1" applyAlignment="1">
      <alignment horizontal="center"/>
    </xf>
    <xf numFmtId="0" fontId="10" fillId="17" borderId="67" xfId="0" applyFont="1" applyFill="1" applyBorder="1" applyAlignment="1">
      <alignment horizontal="center"/>
    </xf>
    <xf numFmtId="0" fontId="10" fillId="17" borderId="33" xfId="0" applyFont="1" applyFill="1" applyBorder="1" applyAlignment="1">
      <alignment horizontal="center"/>
    </xf>
    <xf numFmtId="0" fontId="10" fillId="17" borderId="20" xfId="0" applyFont="1" applyFill="1" applyBorder="1" applyAlignment="1">
      <alignment horizontal="center" vertical="center" wrapText="1"/>
    </xf>
    <xf numFmtId="0" fontId="10" fillId="17" borderId="19" xfId="0" applyFont="1" applyFill="1" applyBorder="1" applyAlignment="1">
      <alignment horizontal="center"/>
    </xf>
    <xf numFmtId="44" fontId="0" fillId="10" borderId="61" xfId="0" applyNumberFormat="1" applyFill="1" applyBorder="1"/>
    <xf numFmtId="44" fontId="0" fillId="10" borderId="62" xfId="0" applyNumberFormat="1" applyFill="1" applyBorder="1"/>
    <xf numFmtId="44" fontId="0" fillId="10" borderId="63" xfId="0" applyNumberFormat="1" applyFill="1" applyBorder="1"/>
    <xf numFmtId="44" fontId="0" fillId="10" borderId="72" xfId="0" applyNumberFormat="1" applyFill="1" applyBorder="1"/>
    <xf numFmtId="44" fontId="0" fillId="10" borderId="57" xfId="0" applyNumberFormat="1" applyFill="1" applyBorder="1"/>
    <xf numFmtId="171" fontId="0" fillId="10" borderId="77" xfId="0" applyNumberFormat="1" applyFill="1" applyBorder="1"/>
    <xf numFmtId="171" fontId="0" fillId="10" borderId="41" xfId="0" applyNumberFormat="1" applyFill="1" applyBorder="1"/>
    <xf numFmtId="0" fontId="11" fillId="10" borderId="70" xfId="0" applyFont="1" applyFill="1" applyBorder="1" applyAlignment="1">
      <alignment horizontal="center" vertical="center"/>
    </xf>
    <xf numFmtId="0" fontId="11" fillId="10" borderId="7" xfId="0" applyFont="1" applyFill="1" applyBorder="1" applyAlignment="1">
      <alignment horizontal="center" vertical="center" wrapText="1"/>
    </xf>
    <xf numFmtId="0" fontId="11" fillId="10" borderId="31" xfId="0" applyFont="1" applyFill="1" applyBorder="1" applyAlignment="1">
      <alignment horizontal="center" vertical="center" wrapText="1"/>
    </xf>
    <xf numFmtId="10" fontId="11" fillId="10" borderId="73" xfId="0" applyNumberFormat="1" applyFont="1" applyFill="1" applyBorder="1" applyAlignment="1">
      <alignment horizontal="center" vertical="center"/>
    </xf>
    <xf numFmtId="10" fontId="11" fillId="10" borderId="67" xfId="0" applyNumberFormat="1" applyFont="1" applyFill="1" applyBorder="1" applyAlignment="1">
      <alignment horizontal="center" vertical="center"/>
    </xf>
    <xf numFmtId="9" fontId="11" fillId="10" borderId="67" xfId="0" applyNumberFormat="1" applyFont="1" applyFill="1" applyBorder="1" applyAlignment="1">
      <alignment horizontal="center" vertical="center"/>
    </xf>
    <xf numFmtId="9" fontId="11" fillId="10" borderId="33" xfId="0" applyNumberFormat="1" applyFont="1" applyFill="1" applyBorder="1" applyAlignment="1">
      <alignment horizontal="center" vertical="center"/>
    </xf>
    <xf numFmtId="44" fontId="10" fillId="10" borderId="57" xfId="6" applyFont="1" applyFill="1" applyBorder="1"/>
    <xf numFmtId="44" fontId="10" fillId="10" borderId="61" xfId="6" applyFont="1" applyFill="1" applyBorder="1"/>
    <xf numFmtId="44" fontId="10" fillId="10" borderId="62" xfId="6" applyFont="1" applyFill="1" applyBorder="1"/>
    <xf numFmtId="44" fontId="10" fillId="10" borderId="63" xfId="6" applyFont="1" applyFill="1" applyBorder="1"/>
    <xf numFmtId="0" fontId="11" fillId="10" borderId="5" xfId="0" applyFont="1" applyFill="1" applyBorder="1" applyAlignment="1">
      <alignment horizontal="center" vertical="center"/>
    </xf>
    <xf numFmtId="169" fontId="0" fillId="10" borderId="47" xfId="0" applyNumberFormat="1" applyFill="1" applyBorder="1"/>
    <xf numFmtId="0" fontId="11" fillId="10" borderId="39" xfId="0" applyFont="1" applyFill="1" applyBorder="1" applyAlignment="1">
      <alignment horizontal="center" vertical="center"/>
    </xf>
    <xf numFmtId="0" fontId="10" fillId="10" borderId="40" xfId="0" applyFont="1" applyFill="1" applyBorder="1" applyAlignment="1">
      <alignment horizontal="center"/>
    </xf>
    <xf numFmtId="170" fontId="10" fillId="10" borderId="40" xfId="0" applyNumberFormat="1" applyFont="1" applyFill="1" applyBorder="1" applyAlignment="1">
      <alignment horizontal="center"/>
    </xf>
    <xf numFmtId="0" fontId="7" fillId="19" borderId="1" xfId="0" applyFont="1" applyFill="1" applyBorder="1" applyAlignment="1">
      <alignment horizontal="center"/>
    </xf>
    <xf numFmtId="0" fontId="6" fillId="10" borderId="2" xfId="1" applyFont="1" applyFill="1" applyBorder="1" applyAlignment="1">
      <alignment horizontal="center" vertical="center"/>
    </xf>
    <xf numFmtId="0" fontId="6" fillId="10" borderId="3" xfId="1" applyFont="1" applyFill="1" applyBorder="1" applyAlignment="1">
      <alignment horizontal="center" vertical="center"/>
    </xf>
    <xf numFmtId="0" fontId="6" fillId="10" borderId="4" xfId="1" applyFont="1" applyFill="1" applyBorder="1" applyAlignment="1">
      <alignment horizontal="center" vertical="center"/>
    </xf>
    <xf numFmtId="10" fontId="0" fillId="2" borderId="5" xfId="0" applyNumberFormat="1" applyFont="1" applyFill="1" applyBorder="1" applyAlignment="1">
      <alignment horizontal="center"/>
    </xf>
    <xf numFmtId="0" fontId="0" fillId="6" borderId="36" xfId="6" applyNumberFormat="1" applyFont="1" applyFill="1" applyBorder="1"/>
    <xf numFmtId="0" fontId="0" fillId="6" borderId="53" xfId="6" applyNumberFormat="1" applyFont="1" applyFill="1" applyBorder="1"/>
    <xf numFmtId="0" fontId="0" fillId="6" borderId="64" xfId="6" applyNumberFormat="1" applyFont="1" applyFill="1" applyBorder="1"/>
    <xf numFmtId="0" fontId="0" fillId="7" borderId="36" xfId="6" applyNumberFormat="1" applyFont="1" applyFill="1" applyBorder="1"/>
    <xf numFmtId="0" fontId="0" fillId="7" borderId="53" xfId="6" applyNumberFormat="1" applyFont="1" applyFill="1" applyBorder="1"/>
    <xf numFmtId="0" fontId="0" fillId="7" borderId="64" xfId="6" applyNumberFormat="1" applyFont="1" applyFill="1" applyBorder="1"/>
    <xf numFmtId="0" fontId="0" fillId="8" borderId="36" xfId="6" applyNumberFormat="1" applyFont="1" applyFill="1" applyBorder="1"/>
    <xf numFmtId="0" fontId="0" fillId="8" borderId="53" xfId="6" applyNumberFormat="1" applyFont="1" applyFill="1" applyBorder="1"/>
    <xf numFmtId="0" fontId="0" fillId="9" borderId="22" xfId="6" applyNumberFormat="1" applyFont="1" applyFill="1" applyBorder="1"/>
    <xf numFmtId="0" fontId="0" fillId="9" borderId="29" xfId="6" applyNumberFormat="1" applyFont="1" applyFill="1" applyBorder="1"/>
    <xf numFmtId="0" fontId="0" fillId="9" borderId="60" xfId="6" applyNumberFormat="1" applyFont="1" applyFill="1" applyBorder="1"/>
    <xf numFmtId="0" fontId="10" fillId="10" borderId="0" xfId="0" applyFont="1" applyFill="1" applyBorder="1" applyAlignment="1">
      <alignment horizontal="center" vertical="center"/>
    </xf>
    <xf numFmtId="169" fontId="0" fillId="10" borderId="9" xfId="0" applyNumberFormat="1" applyFill="1" applyBorder="1"/>
    <xf numFmtId="10" fontId="0" fillId="2" borderId="37" xfId="0" applyNumberFormat="1" applyFont="1" applyFill="1" applyBorder="1" applyAlignment="1">
      <alignment horizontal="center"/>
    </xf>
    <xf numFmtId="10" fontId="0" fillId="2" borderId="47" xfId="0" applyNumberFormat="1" applyFont="1" applyFill="1" applyBorder="1" applyAlignment="1">
      <alignment horizontal="center"/>
    </xf>
    <xf numFmtId="0" fontId="10" fillId="10" borderId="65" xfId="0" applyFont="1" applyFill="1" applyBorder="1" applyAlignment="1">
      <alignment horizontal="center"/>
    </xf>
    <xf numFmtId="0" fontId="10" fillId="10" borderId="7" xfId="0" applyFont="1" applyFill="1" applyBorder="1" applyAlignment="1">
      <alignment horizontal="center"/>
    </xf>
    <xf numFmtId="0" fontId="10" fillId="10" borderId="66" xfId="0" applyFont="1" applyFill="1" applyBorder="1" applyAlignment="1">
      <alignment horizontal="center"/>
    </xf>
    <xf numFmtId="0" fontId="11" fillId="10" borderId="65" xfId="0" applyFont="1" applyFill="1" applyBorder="1" applyAlignment="1">
      <alignment horizontal="center"/>
    </xf>
    <xf numFmtId="0" fontId="11" fillId="10" borderId="7" xfId="0" applyFont="1" applyFill="1" applyBorder="1" applyAlignment="1">
      <alignment horizontal="center"/>
    </xf>
    <xf numFmtId="0" fontId="11" fillId="10" borderId="66" xfId="0" applyFont="1" applyFill="1" applyBorder="1" applyAlignment="1">
      <alignment horizontal="center"/>
    </xf>
    <xf numFmtId="0" fontId="10" fillId="10" borderId="5" xfId="0" applyFont="1" applyFill="1" applyBorder="1" applyAlignment="1">
      <alignment horizontal="left"/>
    </xf>
    <xf numFmtId="0" fontId="0" fillId="0" borderId="37" xfId="0" applyBorder="1" applyAlignment="1">
      <alignment vertical="center"/>
    </xf>
    <xf numFmtId="0" fontId="0" fillId="2" borderId="9" xfId="0" applyFill="1" applyBorder="1" applyAlignment="1">
      <alignment horizontal="left" vertical="top" wrapText="1"/>
    </xf>
    <xf numFmtId="0" fontId="10" fillId="10" borderId="39" xfId="0" applyFont="1" applyFill="1" applyBorder="1" applyAlignment="1">
      <alignment horizontal="center" vertical="center"/>
    </xf>
    <xf numFmtId="0" fontId="10" fillId="10" borderId="40" xfId="0" applyFont="1" applyFill="1" applyBorder="1" applyAlignment="1">
      <alignment horizontal="center" vertical="center"/>
    </xf>
    <xf numFmtId="0" fontId="10" fillId="10" borderId="48" xfId="0" applyFont="1" applyFill="1" applyBorder="1" applyAlignment="1">
      <alignment horizontal="center" vertical="center"/>
    </xf>
    <xf numFmtId="0" fontId="10" fillId="17" borderId="28" xfId="0" applyFont="1" applyFill="1" applyBorder="1"/>
    <xf numFmtId="0" fontId="10" fillId="10" borderId="24" xfId="0" applyFont="1" applyFill="1" applyBorder="1" applyAlignment="1">
      <alignment horizontal="center"/>
    </xf>
    <xf numFmtId="169" fontId="0" fillId="17" borderId="35" xfId="0" applyNumberFormat="1" applyFill="1" applyBorder="1" applyAlignment="1">
      <alignment horizontal="right"/>
    </xf>
    <xf numFmtId="169" fontId="0" fillId="5" borderId="34" xfId="0" applyNumberFormat="1" applyFill="1" applyBorder="1" applyAlignment="1">
      <alignment horizontal="right"/>
    </xf>
    <xf numFmtId="169" fontId="0" fillId="17" borderId="51" xfId="0" applyNumberFormat="1" applyFill="1" applyBorder="1" applyAlignment="1">
      <alignment horizontal="right"/>
    </xf>
    <xf numFmtId="169" fontId="0" fillId="5" borderId="35" xfId="0" applyNumberFormat="1" applyFill="1" applyBorder="1" applyAlignment="1">
      <alignment horizontal="right"/>
    </xf>
    <xf numFmtId="169" fontId="0" fillId="5" borderId="51" xfId="0" applyNumberFormat="1" applyFill="1" applyBorder="1" applyAlignment="1">
      <alignment horizontal="right"/>
    </xf>
    <xf numFmtId="169" fontId="0" fillId="17" borderId="37" xfId="0" applyNumberFormat="1" applyFill="1" applyBorder="1" applyAlignment="1">
      <alignment horizontal="right"/>
    </xf>
    <xf numFmtId="169" fontId="0" fillId="17" borderId="5" xfId="0" applyNumberFormat="1" applyFill="1" applyBorder="1" applyAlignment="1">
      <alignment horizontal="right"/>
    </xf>
    <xf numFmtId="169" fontId="0" fillId="5" borderId="37" xfId="0" applyNumberFormat="1" applyFill="1" applyBorder="1" applyAlignment="1">
      <alignment horizontal="right"/>
    </xf>
    <xf numFmtId="169" fontId="0" fillId="17" borderId="47" xfId="0" applyNumberFormat="1" applyFill="1" applyBorder="1" applyAlignment="1">
      <alignment horizontal="right"/>
    </xf>
    <xf numFmtId="169" fontId="0" fillId="5" borderId="5" xfId="0" applyNumberFormat="1" applyFill="1" applyBorder="1" applyAlignment="1">
      <alignment horizontal="right"/>
    </xf>
    <xf numFmtId="169" fontId="0" fillId="5" borderId="47" xfId="0" applyNumberFormat="1" applyFill="1" applyBorder="1" applyAlignment="1">
      <alignment horizontal="right"/>
    </xf>
    <xf numFmtId="169" fontId="0" fillId="17" borderId="40" xfId="0" applyNumberFormat="1" applyFill="1" applyBorder="1" applyAlignment="1">
      <alignment horizontal="right"/>
    </xf>
    <xf numFmtId="169" fontId="0" fillId="5" borderId="48" xfId="0" applyNumberFormat="1" applyFill="1" applyBorder="1" applyAlignment="1">
      <alignment horizontal="right"/>
    </xf>
    <xf numFmtId="169" fontId="0" fillId="17" borderId="39" xfId="0" applyNumberFormat="1" applyFill="1" applyBorder="1" applyAlignment="1">
      <alignment horizontal="right"/>
    </xf>
    <xf numFmtId="169" fontId="0" fillId="0" borderId="5" xfId="0" applyNumberFormat="1" applyBorder="1" applyAlignment="1">
      <alignment horizontal="right"/>
    </xf>
    <xf numFmtId="169" fontId="0" fillId="0" borderId="47" xfId="0" applyNumberFormat="1" applyBorder="1" applyAlignment="1">
      <alignment horizontal="right"/>
    </xf>
    <xf numFmtId="169" fontId="0" fillId="0" borderId="40" xfId="0" applyNumberFormat="1" applyBorder="1" applyAlignment="1">
      <alignment horizontal="right"/>
    </xf>
    <xf numFmtId="169" fontId="10" fillId="5" borderId="57" xfId="0" applyNumberFormat="1" applyFont="1" applyFill="1" applyBorder="1" applyAlignment="1">
      <alignment horizontal="right"/>
    </xf>
    <xf numFmtId="0" fontId="0" fillId="0" borderId="5" xfId="0" applyBorder="1" applyAlignment="1">
      <alignment horizontal="right"/>
    </xf>
    <xf numFmtId="0" fontId="0" fillId="0" borderId="40" xfId="0" applyBorder="1" applyAlignment="1">
      <alignment horizontal="right"/>
    </xf>
    <xf numFmtId="0" fontId="0" fillId="2" borderId="7" xfId="0" applyFont="1" applyFill="1" applyBorder="1" applyAlignment="1">
      <alignment horizontal="right" vertical="center"/>
    </xf>
    <xf numFmtId="169" fontId="10" fillId="5" borderId="10" xfId="0" applyNumberFormat="1" applyFont="1" applyFill="1" applyBorder="1" applyAlignment="1">
      <alignment horizontal="right"/>
    </xf>
    <xf numFmtId="0" fontId="19" fillId="10" borderId="10" xfId="0" applyFont="1" applyFill="1" applyBorder="1" applyAlignment="1">
      <alignment horizontal="center" vertical="center" wrapText="1"/>
    </xf>
    <xf numFmtId="0" fontId="11" fillId="2" borderId="0" xfId="0" applyFont="1" applyFill="1" applyBorder="1"/>
    <xf numFmtId="168" fontId="11" fillId="2" borderId="0" xfId="0" applyNumberFormat="1" applyFont="1" applyFill="1" applyBorder="1"/>
    <xf numFmtId="0" fontId="10" fillId="19" borderId="57" xfId="0" applyFont="1" applyFill="1" applyBorder="1" applyAlignment="1">
      <alignment horizontal="center"/>
    </xf>
    <xf numFmtId="0" fontId="10" fillId="19" borderId="28" xfId="0" applyFont="1" applyFill="1" applyBorder="1" applyAlignment="1">
      <alignment horizontal="center" vertical="center" wrapText="1"/>
    </xf>
    <xf numFmtId="0" fontId="25" fillId="19" borderId="29" xfId="0" applyFont="1" applyFill="1" applyBorder="1" applyAlignment="1">
      <alignment vertical="center"/>
    </xf>
    <xf numFmtId="0" fontId="25" fillId="19" borderId="6" xfId="0" applyFont="1" applyFill="1" applyBorder="1" applyAlignment="1">
      <alignment vertical="center"/>
    </xf>
    <xf numFmtId="0" fontId="20" fillId="19" borderId="28" xfId="0" applyFont="1" applyFill="1" applyBorder="1" applyAlignment="1">
      <alignment vertical="center"/>
    </xf>
    <xf numFmtId="0" fontId="0" fillId="19" borderId="5" xfId="0" applyFill="1" applyBorder="1" applyAlignment="1">
      <alignment horizontal="center"/>
    </xf>
    <xf numFmtId="0" fontId="0" fillId="10" borderId="5" xfId="0" applyFill="1" applyBorder="1"/>
    <xf numFmtId="169" fontId="0" fillId="10" borderId="5" xfId="0" applyNumberFormat="1" applyFont="1" applyFill="1" applyBorder="1" applyAlignment="1">
      <alignment horizontal="center"/>
    </xf>
    <xf numFmtId="0" fontId="0" fillId="10" borderId="28" xfId="0" applyFill="1" applyBorder="1" applyAlignment="1">
      <alignment vertical="center"/>
    </xf>
    <xf numFmtId="0" fontId="0" fillId="10" borderId="6" xfId="0" applyFill="1" applyBorder="1" applyAlignment="1">
      <alignment vertical="center"/>
    </xf>
    <xf numFmtId="0" fontId="0" fillId="10" borderId="28" xfId="0" applyFill="1" applyBorder="1"/>
    <xf numFmtId="0" fontId="0" fillId="10" borderId="6" xfId="0" applyFill="1" applyBorder="1"/>
    <xf numFmtId="169" fontId="10" fillId="10" borderId="5" xfId="0" applyNumberFormat="1" applyFont="1" applyFill="1" applyBorder="1" applyAlignment="1">
      <alignment horizontal="right"/>
    </xf>
    <xf numFmtId="169" fontId="0" fillId="7" borderId="5" xfId="0" applyNumberFormat="1" applyFill="1" applyBorder="1" applyAlignment="1">
      <alignment horizontal="center" vertical="center"/>
    </xf>
    <xf numFmtId="0" fontId="0" fillId="19" borderId="28" xfId="0" applyFill="1" applyBorder="1" applyAlignment="1">
      <alignment vertical="center"/>
    </xf>
    <xf numFmtId="0" fontId="0" fillId="19" borderId="6" xfId="0" applyFill="1" applyBorder="1" applyAlignment="1">
      <alignment vertical="center"/>
    </xf>
    <xf numFmtId="169" fontId="0" fillId="10" borderId="65" xfId="0" applyNumberFormat="1" applyFill="1" applyBorder="1"/>
    <xf numFmtId="169" fontId="0" fillId="10" borderId="37" xfId="0" applyNumberFormat="1" applyFill="1" applyBorder="1"/>
    <xf numFmtId="169" fontId="0" fillId="10" borderId="39" xfId="0" applyNumberFormat="1" applyFill="1" applyBorder="1"/>
    <xf numFmtId="0" fontId="0" fillId="10" borderId="7" xfId="0" applyFill="1" applyBorder="1" applyAlignment="1">
      <alignment horizontal="center"/>
    </xf>
    <xf numFmtId="0" fontId="0" fillId="2" borderId="9" xfId="0" applyFill="1" applyBorder="1" applyAlignment="1">
      <alignment vertical="top" wrapText="1"/>
    </xf>
    <xf numFmtId="0" fontId="0" fillId="2" borderId="10" xfId="0" applyFill="1" applyBorder="1" applyAlignment="1">
      <alignment vertical="top" wrapText="1"/>
    </xf>
    <xf numFmtId="0" fontId="0" fillId="2" borderId="5" xfId="0" applyFill="1" applyBorder="1" applyAlignment="1">
      <alignment horizontal="left"/>
    </xf>
    <xf numFmtId="169" fontId="10" fillId="21" borderId="5" xfId="0" applyNumberFormat="1" applyFont="1" applyFill="1" applyBorder="1" applyAlignment="1">
      <alignment horizontal="right" vertical="center"/>
    </xf>
    <xf numFmtId="169" fontId="10" fillId="6" borderId="5" xfId="0" applyNumberFormat="1" applyFont="1" applyFill="1" applyBorder="1" applyAlignment="1">
      <alignment horizontal="right" vertical="center"/>
    </xf>
    <xf numFmtId="0" fontId="10" fillId="19" borderId="5" xfId="0" applyFont="1" applyFill="1" applyBorder="1" applyAlignment="1"/>
    <xf numFmtId="169" fontId="0" fillId="2" borderId="5" xfId="0" applyNumberFormat="1" applyFill="1" applyBorder="1"/>
    <xf numFmtId="0" fontId="0" fillId="6" borderId="5" xfId="0" applyFill="1" applyBorder="1"/>
    <xf numFmtId="169" fontId="0" fillId="6" borderId="5" xfId="0" applyNumberFormat="1" applyFill="1" applyBorder="1"/>
    <xf numFmtId="0" fontId="10" fillId="19" borderId="68" xfId="0" applyFont="1" applyFill="1" applyBorder="1" applyAlignment="1">
      <alignment horizontal="center"/>
    </xf>
    <xf numFmtId="0" fontId="10" fillId="19" borderId="69" xfId="0" applyFont="1" applyFill="1" applyBorder="1" applyAlignment="1">
      <alignment horizontal="center" vertical="center" wrapText="1"/>
    </xf>
    <xf numFmtId="0" fontId="10" fillId="19" borderId="69" xfId="0" applyFont="1" applyFill="1" applyBorder="1" applyAlignment="1">
      <alignment horizontal="center"/>
    </xf>
    <xf numFmtId="0" fontId="10" fillId="19" borderId="59" xfId="0" applyFont="1" applyFill="1" applyBorder="1" applyAlignment="1">
      <alignment horizontal="center"/>
    </xf>
    <xf numFmtId="0" fontId="10" fillId="19" borderId="37" xfId="0" applyFont="1" applyFill="1" applyBorder="1" applyAlignment="1">
      <alignment horizontal="center" vertical="center"/>
    </xf>
    <xf numFmtId="0" fontId="10" fillId="19" borderId="39" xfId="0" applyFont="1" applyFill="1" applyBorder="1" applyAlignment="1">
      <alignment horizontal="center" vertical="center"/>
    </xf>
    <xf numFmtId="169" fontId="0" fillId="2" borderId="5" xfId="0" applyNumberFormat="1" applyFill="1" applyBorder="1" applyAlignment="1">
      <alignment horizontal="right" vertical="center"/>
    </xf>
    <xf numFmtId="169" fontId="10" fillId="7" borderId="5" xfId="0" applyNumberFormat="1" applyFont="1" applyFill="1" applyBorder="1" applyAlignment="1">
      <alignment horizontal="right" vertical="center"/>
    </xf>
    <xf numFmtId="169" fontId="0" fillId="2" borderId="5" xfId="0" applyNumberFormat="1" applyFont="1" applyFill="1" applyBorder="1" applyAlignment="1">
      <alignment horizontal="right" vertical="center"/>
    </xf>
    <xf numFmtId="169" fontId="0" fillId="5" borderId="5" xfId="0" applyNumberFormat="1" applyFill="1" applyBorder="1" applyAlignment="1">
      <alignment horizontal="right" vertical="center"/>
    </xf>
    <xf numFmtId="9" fontId="0" fillId="2" borderId="66" xfId="0" applyNumberFormat="1" applyFill="1" applyBorder="1" applyAlignment="1">
      <alignment horizontal="right"/>
    </xf>
    <xf numFmtId="172" fontId="0" fillId="2" borderId="47" xfId="0" applyNumberFormat="1" applyFill="1" applyBorder="1" applyAlignment="1">
      <alignment horizontal="right"/>
    </xf>
    <xf numFmtId="165" fontId="0" fillId="2" borderId="48" xfId="0" applyNumberFormat="1" applyFill="1" applyBorder="1" applyAlignment="1">
      <alignment horizontal="right"/>
    </xf>
    <xf numFmtId="0" fontId="27" fillId="20" borderId="5" xfId="8" applyBorder="1" applyAlignment="1">
      <alignment horizontal="left" vertical="center" wrapText="1"/>
    </xf>
    <xf numFmtId="0" fontId="27" fillId="20" borderId="5" xfId="8" applyBorder="1" applyAlignment="1">
      <alignment horizontal="center" vertical="center"/>
    </xf>
    <xf numFmtId="0" fontId="27" fillId="20" borderId="47" xfId="8" applyBorder="1" applyAlignment="1">
      <alignment horizontal="center" vertical="center"/>
    </xf>
    <xf numFmtId="0" fontId="27" fillId="20" borderId="5" xfId="8" applyBorder="1" applyAlignment="1">
      <alignment vertical="center" wrapText="1"/>
    </xf>
    <xf numFmtId="0" fontId="0" fillId="2" borderId="5" xfId="0" applyFill="1" applyBorder="1" applyAlignment="1"/>
    <xf numFmtId="44" fontId="0" fillId="2" borderId="5" xfId="0" applyNumberFormat="1" applyFill="1" applyBorder="1" applyAlignment="1"/>
    <xf numFmtId="0" fontId="13" fillId="17" borderId="20" xfId="0" applyFont="1" applyFill="1" applyBorder="1" applyAlignment="1">
      <alignment horizontal="center"/>
    </xf>
    <xf numFmtId="0" fontId="13" fillId="17" borderId="21" xfId="0" applyFont="1" applyFill="1" applyBorder="1" applyAlignment="1">
      <alignment horizontal="center"/>
    </xf>
    <xf numFmtId="0" fontId="13" fillId="17" borderId="11" xfId="0" applyFont="1" applyFill="1" applyBorder="1" applyAlignment="1">
      <alignment horizontal="center"/>
    </xf>
    <xf numFmtId="0" fontId="13" fillId="17" borderId="23" xfId="0" applyFont="1" applyFill="1" applyBorder="1" applyAlignment="1">
      <alignment horizontal="left"/>
    </xf>
    <xf numFmtId="0" fontId="13" fillId="17" borderId="25" xfId="0" applyFont="1" applyFill="1" applyBorder="1" applyAlignment="1">
      <alignment horizontal="left"/>
    </xf>
    <xf numFmtId="0" fontId="13" fillId="17" borderId="24" xfId="0" applyFont="1" applyFill="1" applyBorder="1" applyAlignment="1">
      <alignment horizontal="left"/>
    </xf>
    <xf numFmtId="0" fontId="6" fillId="2" borderId="7" xfId="0" applyFont="1" applyFill="1" applyBorder="1" applyAlignment="1">
      <alignment horizontal="left" vertical="top" wrapText="1"/>
    </xf>
    <xf numFmtId="0" fontId="17" fillId="7" borderId="5" xfId="0" applyFont="1" applyFill="1" applyBorder="1" applyAlignment="1">
      <alignment horizontal="center" vertical="center" wrapText="1"/>
    </xf>
    <xf numFmtId="0" fontId="13" fillId="17" borderId="20" xfId="0" applyFont="1" applyFill="1" applyBorder="1" applyAlignment="1">
      <alignment horizontal="left"/>
    </xf>
    <xf numFmtId="0" fontId="13" fillId="17" borderId="21" xfId="0" applyFont="1" applyFill="1" applyBorder="1" applyAlignment="1">
      <alignment horizontal="left"/>
    </xf>
    <xf numFmtId="0" fontId="13" fillId="17" borderId="11" xfId="0" applyFont="1" applyFill="1" applyBorder="1" applyAlignment="1">
      <alignment horizontal="left"/>
    </xf>
    <xf numFmtId="0" fontId="17" fillId="6" borderId="5"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67" xfId="0" applyFont="1" applyFill="1" applyBorder="1" applyAlignment="1">
      <alignment horizontal="center" vertical="center" wrapText="1"/>
    </xf>
    <xf numFmtId="0" fontId="17" fillId="9" borderId="30" xfId="0" applyFont="1" applyFill="1" applyBorder="1" applyAlignment="1">
      <alignment horizontal="center" vertical="center" wrapText="1"/>
    </xf>
    <xf numFmtId="0" fontId="17" fillId="9" borderId="7"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8" fillId="19" borderId="28" xfId="0" applyFont="1" applyFill="1" applyBorder="1" applyAlignment="1">
      <alignment horizontal="left" vertical="top" wrapText="1"/>
    </xf>
    <xf numFmtId="0" fontId="18" fillId="19" borderId="29" xfId="0" applyFont="1" applyFill="1" applyBorder="1" applyAlignment="1">
      <alignment horizontal="left" vertical="top" wrapText="1"/>
    </xf>
    <xf numFmtId="0" fontId="18" fillId="19" borderId="6" xfId="0" applyFont="1" applyFill="1" applyBorder="1" applyAlignment="1">
      <alignment horizontal="left" vertical="top" wrapText="1"/>
    </xf>
    <xf numFmtId="0" fontId="17" fillId="10" borderId="17" xfId="0" applyFont="1" applyFill="1" applyBorder="1" applyAlignment="1">
      <alignment horizontal="center" vertical="center" wrapText="1"/>
    </xf>
    <xf numFmtId="0" fontId="17" fillId="10" borderId="12" xfId="0" applyFont="1" applyFill="1" applyBorder="1" applyAlignment="1">
      <alignment horizontal="center" vertical="center" wrapText="1"/>
    </xf>
    <xf numFmtId="0" fontId="17" fillId="10" borderId="13" xfId="0" applyFont="1" applyFill="1" applyBorder="1" applyAlignment="1">
      <alignment horizontal="center" vertical="center" wrapText="1"/>
    </xf>
    <xf numFmtId="0" fontId="17" fillId="10" borderId="18" xfId="0" applyFont="1" applyFill="1" applyBorder="1" applyAlignment="1">
      <alignment horizontal="center" vertical="center" wrapText="1"/>
    </xf>
    <xf numFmtId="0" fontId="17" fillId="10" borderId="0" xfId="0" applyFont="1" applyFill="1" applyBorder="1" applyAlignment="1">
      <alignment horizontal="center" vertical="center" wrapText="1"/>
    </xf>
    <xf numFmtId="0" fontId="17" fillId="10" borderId="14" xfId="0" applyFont="1" applyFill="1" applyBorder="1" applyAlignment="1">
      <alignment horizontal="center" vertical="center" wrapText="1"/>
    </xf>
    <xf numFmtId="0" fontId="17" fillId="10" borderId="19" xfId="0" applyFont="1" applyFill="1" applyBorder="1" applyAlignment="1">
      <alignment horizontal="center" vertical="center" wrapText="1"/>
    </xf>
    <xf numFmtId="0" fontId="17" fillId="10" borderId="15" xfId="0" applyFont="1" applyFill="1" applyBorder="1" applyAlignment="1">
      <alignment horizontal="center" vertical="center" wrapText="1"/>
    </xf>
    <xf numFmtId="0" fontId="17" fillId="10" borderId="16" xfId="0" applyFont="1" applyFill="1" applyBorder="1" applyAlignment="1">
      <alignment horizontal="center" vertical="center" wrapText="1"/>
    </xf>
    <xf numFmtId="0" fontId="17" fillId="10" borderId="17" xfId="0" applyFont="1" applyFill="1" applyBorder="1" applyAlignment="1">
      <alignment horizontal="center" vertical="center" textRotation="90" wrapText="1"/>
    </xf>
    <xf numFmtId="0" fontId="17" fillId="10" borderId="18" xfId="0" applyFont="1" applyFill="1" applyBorder="1" applyAlignment="1">
      <alignment horizontal="center" vertical="center" textRotation="90" wrapText="1"/>
    </xf>
    <xf numFmtId="0" fontId="17" fillId="10" borderId="19" xfId="0" applyFont="1" applyFill="1" applyBorder="1" applyAlignment="1">
      <alignment horizontal="center" vertical="center" textRotation="90" wrapText="1"/>
    </xf>
    <xf numFmtId="0" fontId="6" fillId="2" borderId="26" xfId="0" applyFont="1" applyFill="1" applyBorder="1" applyAlignment="1">
      <alignment horizontal="left" vertical="top" wrapText="1"/>
    </xf>
    <xf numFmtId="0" fontId="6" fillId="2" borderId="22" xfId="0" applyFont="1" applyFill="1" applyBorder="1" applyAlignment="1">
      <alignment horizontal="left" vertical="top" wrapText="1"/>
    </xf>
    <xf numFmtId="0" fontId="6" fillId="2" borderId="27" xfId="0" applyFont="1" applyFill="1" applyBorder="1" applyAlignment="1">
      <alignment horizontal="left" vertical="top" wrapText="1"/>
    </xf>
    <xf numFmtId="44" fontId="8" fillId="8" borderId="37" xfId="6" applyFont="1" applyFill="1" applyBorder="1" applyAlignment="1">
      <alignment horizontal="left"/>
    </xf>
    <xf numFmtId="44" fontId="8" fillId="8" borderId="47" xfId="6" applyFont="1" applyFill="1" applyBorder="1" applyAlignment="1">
      <alignment horizontal="left"/>
    </xf>
    <xf numFmtId="44" fontId="8" fillId="7" borderId="37" xfId="6" applyFont="1" applyFill="1" applyBorder="1" applyAlignment="1">
      <alignment horizontal="left"/>
    </xf>
    <xf numFmtId="44" fontId="8" fillId="7" borderId="47" xfId="6" applyFont="1" applyFill="1" applyBorder="1" applyAlignment="1">
      <alignment horizontal="left"/>
    </xf>
    <xf numFmtId="164" fontId="8" fillId="6" borderId="34" xfId="2" applyFont="1" applyFill="1" applyBorder="1" applyAlignment="1">
      <alignment horizontal="left"/>
    </xf>
    <xf numFmtId="164" fontId="8" fillId="6" borderId="51" xfId="2" applyFont="1" applyFill="1" applyBorder="1" applyAlignment="1">
      <alignment horizontal="left"/>
    </xf>
    <xf numFmtId="0" fontId="11" fillId="5" borderId="68" xfId="0" applyFont="1" applyFill="1" applyBorder="1" applyAlignment="1">
      <alignment horizontal="left"/>
    </xf>
    <xf numFmtId="0" fontId="11" fillId="5" borderId="59" xfId="0" applyFont="1" applyFill="1" applyBorder="1" applyAlignment="1">
      <alignment horizontal="left"/>
    </xf>
    <xf numFmtId="0" fontId="11" fillId="5" borderId="49" xfId="0" applyFont="1" applyFill="1" applyBorder="1" applyAlignment="1">
      <alignment horizontal="left"/>
    </xf>
    <xf numFmtId="0" fontId="11" fillId="5" borderId="50" xfId="0" applyFont="1" applyFill="1" applyBorder="1" applyAlignment="1">
      <alignment horizontal="left"/>
    </xf>
    <xf numFmtId="164" fontId="8" fillId="6" borderId="44" xfId="2" applyFont="1" applyFill="1" applyBorder="1" applyAlignment="1">
      <alignment horizontal="left"/>
    </xf>
    <xf numFmtId="164" fontId="8" fillId="6" borderId="36" xfId="2" applyFont="1" applyFill="1" applyBorder="1" applyAlignment="1">
      <alignment horizontal="left"/>
    </xf>
    <xf numFmtId="44" fontId="8" fillId="7" borderId="52" xfId="6" applyFont="1" applyFill="1" applyBorder="1" applyAlignment="1">
      <alignment horizontal="left"/>
    </xf>
    <xf numFmtId="44" fontId="8" fillId="7" borderId="53" xfId="6" applyFont="1" applyFill="1" applyBorder="1" applyAlignment="1">
      <alignment horizontal="left"/>
    </xf>
    <xf numFmtId="44" fontId="8" fillId="8" borderId="52" xfId="6" applyFont="1" applyFill="1" applyBorder="1" applyAlignment="1">
      <alignment horizontal="left"/>
    </xf>
    <xf numFmtId="44" fontId="8" fillId="8" borderId="53" xfId="6" applyFont="1" applyFill="1" applyBorder="1" applyAlignment="1">
      <alignment horizontal="left"/>
    </xf>
    <xf numFmtId="44" fontId="8" fillId="9" borderId="54" xfId="6" applyFont="1" applyFill="1" applyBorder="1" applyAlignment="1">
      <alignment horizontal="left"/>
    </xf>
    <xf numFmtId="44" fontId="8" fillId="9" borderId="64" xfId="6" applyFont="1" applyFill="1" applyBorder="1" applyAlignment="1">
      <alignment horizontal="left"/>
    </xf>
    <xf numFmtId="0" fontId="0" fillId="10" borderId="40" xfId="0" applyFont="1" applyFill="1" applyBorder="1" applyAlignment="1">
      <alignment horizontal="center" vertical="center"/>
    </xf>
    <xf numFmtId="0" fontId="0" fillId="10" borderId="35" xfId="0" applyFont="1" applyFill="1" applyBorder="1" applyAlignment="1">
      <alignment horizontal="center" vertical="center"/>
    </xf>
    <xf numFmtId="0" fontId="10" fillId="5" borderId="68" xfId="0" applyFont="1" applyFill="1" applyBorder="1" applyAlignment="1">
      <alignment horizontal="left"/>
    </xf>
    <xf numFmtId="0" fontId="10" fillId="5" borderId="59" xfId="0" applyFont="1" applyFill="1" applyBorder="1" applyAlignment="1">
      <alignment horizontal="left"/>
    </xf>
    <xf numFmtId="44" fontId="8" fillId="9" borderId="39" xfId="6" applyFont="1" applyFill="1" applyBorder="1" applyAlignment="1">
      <alignment horizontal="left"/>
    </xf>
    <xf numFmtId="44" fontId="8" fillId="9" borderId="48" xfId="6" applyFont="1" applyFill="1" applyBorder="1" applyAlignment="1">
      <alignment horizontal="left"/>
    </xf>
    <xf numFmtId="0" fontId="0" fillId="10" borderId="5" xfId="0" applyFont="1" applyFill="1" applyBorder="1" applyAlignment="1">
      <alignment horizontal="center" vertical="center"/>
    </xf>
    <xf numFmtId="169" fontId="0" fillId="10" borderId="52" xfId="0" applyNumberFormat="1" applyFill="1" applyBorder="1" applyAlignment="1">
      <alignment horizontal="center"/>
    </xf>
    <xf numFmtId="169" fontId="0" fillId="10" borderId="53" xfId="0" applyNumberFormat="1" applyFill="1" applyBorder="1" applyAlignment="1">
      <alignment horizontal="center"/>
    </xf>
    <xf numFmtId="0" fontId="0" fillId="10" borderId="58" xfId="0" applyFont="1" applyFill="1" applyBorder="1" applyAlignment="1">
      <alignment horizontal="center" vertical="center"/>
    </xf>
    <xf numFmtId="0" fontId="0" fillId="10" borderId="47" xfId="0" applyFont="1" applyFill="1" applyBorder="1" applyAlignment="1">
      <alignment horizontal="center" vertical="center"/>
    </xf>
    <xf numFmtId="0" fontId="0" fillId="10" borderId="6" xfId="0" applyFont="1" applyFill="1" applyBorder="1" applyAlignment="1">
      <alignment horizontal="center" vertical="center"/>
    </xf>
    <xf numFmtId="0" fontId="18" fillId="17" borderId="17" xfId="0" applyFont="1" applyFill="1" applyBorder="1" applyAlignment="1">
      <alignment horizontal="center" vertical="center"/>
    </xf>
    <xf numFmtId="0" fontId="18" fillId="17" borderId="13" xfId="0" applyFont="1" applyFill="1" applyBorder="1" applyAlignment="1">
      <alignment horizontal="center" vertical="center"/>
    </xf>
    <xf numFmtId="0" fontId="18" fillId="17" borderId="19" xfId="0" applyFont="1" applyFill="1" applyBorder="1" applyAlignment="1">
      <alignment horizontal="center" vertical="center"/>
    </xf>
    <xf numFmtId="0" fontId="18" fillId="17" borderId="16" xfId="0" applyFont="1" applyFill="1" applyBorder="1" applyAlignment="1">
      <alignment horizontal="center" vertical="center"/>
    </xf>
    <xf numFmtId="169" fontId="0" fillId="10" borderId="44" xfId="0" applyNumberFormat="1" applyFill="1" applyBorder="1" applyAlignment="1">
      <alignment horizontal="center"/>
    </xf>
    <xf numFmtId="169" fontId="0" fillId="10" borderId="36" xfId="0" applyNumberFormat="1" applyFill="1" applyBorder="1" applyAlignment="1">
      <alignment horizontal="center"/>
    </xf>
    <xf numFmtId="0" fontId="0" fillId="10" borderId="27" xfId="0" applyFont="1" applyFill="1" applyBorder="1" applyAlignment="1">
      <alignment horizontal="center" vertical="center"/>
    </xf>
    <xf numFmtId="0" fontId="0" fillId="10" borderId="48" xfId="0" applyFont="1" applyFill="1" applyBorder="1" applyAlignment="1">
      <alignment horizontal="center" vertical="center"/>
    </xf>
    <xf numFmtId="0" fontId="0" fillId="10" borderId="51" xfId="0" applyFont="1" applyFill="1" applyBorder="1" applyAlignment="1">
      <alignment horizontal="center" vertical="center"/>
    </xf>
    <xf numFmtId="169" fontId="0" fillId="10" borderId="54" xfId="0" applyNumberFormat="1" applyFill="1" applyBorder="1" applyAlignment="1">
      <alignment horizontal="center"/>
    </xf>
    <xf numFmtId="169" fontId="0" fillId="10" borderId="64" xfId="0" applyNumberFormat="1" applyFill="1" applyBorder="1" applyAlignment="1">
      <alignment horizontal="center"/>
    </xf>
    <xf numFmtId="0" fontId="18" fillId="17" borderId="18" xfId="0" applyFont="1" applyFill="1" applyBorder="1" applyAlignment="1">
      <alignment horizontal="center" vertical="center"/>
    </xf>
    <xf numFmtId="0" fontId="18" fillId="17" borderId="14" xfId="0" applyFont="1" applyFill="1" applyBorder="1" applyAlignment="1">
      <alignment horizontal="center" vertical="center"/>
    </xf>
    <xf numFmtId="0" fontId="10" fillId="10" borderId="5" xfId="0" applyFont="1" applyFill="1" applyBorder="1" applyAlignment="1">
      <alignment horizontal="center" vertical="center"/>
    </xf>
    <xf numFmtId="0" fontId="10" fillId="17" borderId="17" xfId="0" applyFont="1" applyFill="1" applyBorder="1" applyAlignment="1">
      <alignment horizontal="center" vertical="center"/>
    </xf>
    <xf numFmtId="0" fontId="10" fillId="17" borderId="13" xfId="0" applyFont="1" applyFill="1" applyBorder="1" applyAlignment="1">
      <alignment horizontal="center" vertical="center"/>
    </xf>
    <xf numFmtId="0" fontId="18" fillId="17" borderId="34" xfId="0" applyFont="1" applyFill="1" applyBorder="1" applyAlignment="1">
      <alignment horizontal="center" vertical="center"/>
    </xf>
    <xf numFmtId="0" fontId="18" fillId="17" borderId="51" xfId="0" applyFont="1" applyFill="1" applyBorder="1" applyAlignment="1">
      <alignment horizontal="center" vertical="center"/>
    </xf>
    <xf numFmtId="0" fontId="18" fillId="17" borderId="37" xfId="0" applyFont="1" applyFill="1" applyBorder="1" applyAlignment="1">
      <alignment horizontal="center" vertical="center"/>
    </xf>
    <xf numFmtId="0" fontId="18" fillId="17" borderId="47" xfId="0" applyFont="1" applyFill="1" applyBorder="1" applyAlignment="1">
      <alignment horizontal="center" vertical="center"/>
    </xf>
    <xf numFmtId="0" fontId="18" fillId="17" borderId="39" xfId="0" applyFont="1" applyFill="1" applyBorder="1" applyAlignment="1">
      <alignment horizontal="center" vertical="center"/>
    </xf>
    <xf numFmtId="0" fontId="18" fillId="17" borderId="48" xfId="0" applyFont="1" applyFill="1" applyBorder="1" applyAlignment="1">
      <alignment horizontal="center" vertical="center"/>
    </xf>
    <xf numFmtId="0" fontId="0" fillId="10" borderId="44" xfId="0" applyFill="1" applyBorder="1" applyAlignment="1">
      <alignment horizontal="center"/>
    </xf>
    <xf numFmtId="0" fontId="0" fillId="10" borderId="36" xfId="0" applyFill="1" applyBorder="1" applyAlignment="1">
      <alignment horizontal="center"/>
    </xf>
    <xf numFmtId="0" fontId="0" fillId="10" borderId="44" xfId="0" applyFont="1" applyFill="1" applyBorder="1" applyAlignment="1">
      <alignment horizontal="center" vertical="center"/>
    </xf>
    <xf numFmtId="0" fontId="0" fillId="10" borderId="26" xfId="0" applyFont="1" applyFill="1" applyBorder="1" applyAlignment="1">
      <alignment horizontal="center" vertical="center"/>
    </xf>
    <xf numFmtId="0" fontId="18" fillId="19" borderId="20" xfId="0" applyFont="1" applyFill="1" applyBorder="1" applyAlignment="1">
      <alignment horizontal="left"/>
    </xf>
    <xf numFmtId="0" fontId="18" fillId="19" borderId="21" xfId="0" applyFont="1" applyFill="1" applyBorder="1" applyAlignment="1">
      <alignment horizontal="left"/>
    </xf>
    <xf numFmtId="0" fontId="18" fillId="19" borderId="11" xfId="0" applyFont="1" applyFill="1" applyBorder="1" applyAlignment="1">
      <alignment horizontal="left"/>
    </xf>
    <xf numFmtId="0" fontId="7" fillId="17" borderId="45" xfId="0" applyFont="1" applyFill="1" applyBorder="1" applyAlignment="1">
      <alignment horizontal="center" vertical="center"/>
    </xf>
    <xf numFmtId="0" fontId="7" fillId="17" borderId="38" xfId="0" applyFont="1" applyFill="1" applyBorder="1" applyAlignment="1">
      <alignment horizontal="center" vertical="center"/>
    </xf>
    <xf numFmtId="0" fontId="10" fillId="17" borderId="20" xfId="0" applyFont="1" applyFill="1" applyBorder="1" applyAlignment="1">
      <alignment horizontal="center" vertical="center"/>
    </xf>
    <xf numFmtId="0" fontId="10" fillId="17" borderId="11" xfId="0" applyFont="1" applyFill="1" applyBorder="1" applyAlignment="1">
      <alignment horizontal="center" vertical="center"/>
    </xf>
    <xf numFmtId="0" fontId="10" fillId="17" borderId="12" xfId="0" applyFont="1" applyFill="1" applyBorder="1" applyAlignment="1">
      <alignment horizontal="center" vertical="center"/>
    </xf>
    <xf numFmtId="0" fontId="0" fillId="10" borderId="52" xfId="0" applyFont="1" applyFill="1" applyBorder="1" applyAlignment="1">
      <alignment horizontal="center" vertical="center"/>
    </xf>
    <xf numFmtId="0" fontId="0" fillId="10" borderId="28" xfId="0" applyFont="1" applyFill="1" applyBorder="1" applyAlignment="1">
      <alignment horizontal="center" vertical="center"/>
    </xf>
    <xf numFmtId="0" fontId="0" fillId="10" borderId="53" xfId="0" applyFont="1" applyFill="1" applyBorder="1" applyAlignment="1">
      <alignment horizontal="center" vertical="center"/>
    </xf>
    <xf numFmtId="167" fontId="0" fillId="10" borderId="6" xfId="0" applyNumberFormat="1" applyFont="1" applyFill="1" applyBorder="1" applyAlignment="1">
      <alignment horizontal="center" vertical="center"/>
    </xf>
    <xf numFmtId="0" fontId="7" fillId="17" borderId="15" xfId="0" applyFont="1" applyFill="1" applyBorder="1" applyAlignment="1">
      <alignment horizontal="left"/>
    </xf>
    <xf numFmtId="0" fontId="7" fillId="17" borderId="16" xfId="0" applyFont="1" applyFill="1" applyBorder="1" applyAlignment="1">
      <alignment horizontal="left"/>
    </xf>
    <xf numFmtId="0" fontId="7" fillId="17" borderId="34" xfId="0" applyFont="1" applyFill="1" applyBorder="1" applyAlignment="1">
      <alignment horizontal="center" vertical="center"/>
    </xf>
    <xf numFmtId="0" fontId="7" fillId="17" borderId="51" xfId="0" applyFont="1" applyFill="1" applyBorder="1" applyAlignment="1">
      <alignment horizontal="center" vertical="center"/>
    </xf>
    <xf numFmtId="167" fontId="0" fillId="10" borderId="27" xfId="0" applyNumberFormat="1" applyFont="1" applyFill="1" applyBorder="1" applyAlignment="1">
      <alignment horizontal="center" vertical="center"/>
    </xf>
    <xf numFmtId="9" fontId="10" fillId="5" borderId="52" xfId="3" applyFont="1" applyFill="1" applyBorder="1" applyAlignment="1">
      <alignment horizontal="center" vertical="center"/>
    </xf>
    <xf numFmtId="9" fontId="10" fillId="5" borderId="53" xfId="3" applyFont="1" applyFill="1" applyBorder="1" applyAlignment="1">
      <alignment horizontal="center" vertical="center"/>
    </xf>
    <xf numFmtId="164" fontId="20" fillId="10" borderId="44" xfId="2" applyFont="1" applyFill="1" applyBorder="1" applyAlignment="1">
      <alignment horizontal="center" vertical="center"/>
    </xf>
    <xf numFmtId="164" fontId="20" fillId="10" borderId="52" xfId="2" applyFont="1" applyFill="1" applyBorder="1" applyAlignment="1">
      <alignment horizontal="center" vertical="center"/>
    </xf>
    <xf numFmtId="164" fontId="20" fillId="10" borderId="54" xfId="2" applyFont="1" applyFill="1" applyBorder="1" applyAlignment="1">
      <alignment horizontal="center" vertical="center"/>
    </xf>
    <xf numFmtId="164" fontId="20" fillId="10" borderId="26" xfId="2" applyFont="1" applyFill="1" applyBorder="1" applyAlignment="1">
      <alignment horizontal="center" vertical="center"/>
    </xf>
    <xf numFmtId="164" fontId="20" fillId="10" borderId="28" xfId="2" applyFont="1" applyFill="1" applyBorder="1" applyAlignment="1">
      <alignment horizontal="center" vertical="center"/>
    </xf>
    <xf numFmtId="164" fontId="20" fillId="10" borderId="43" xfId="2" applyFont="1" applyFill="1" applyBorder="1" applyAlignment="1">
      <alignment horizontal="center" vertical="center"/>
    </xf>
    <xf numFmtId="164" fontId="20" fillId="10" borderId="36" xfId="2" applyFont="1" applyFill="1" applyBorder="1" applyAlignment="1">
      <alignment horizontal="center" vertical="center"/>
    </xf>
    <xf numFmtId="164" fontId="20" fillId="10" borderId="45" xfId="2" applyFont="1" applyFill="1" applyBorder="1" applyAlignment="1">
      <alignment horizontal="center" vertical="center"/>
    </xf>
    <xf numFmtId="164" fontId="20" fillId="10" borderId="46" xfId="2" applyFont="1" applyFill="1" applyBorder="1" applyAlignment="1">
      <alignment horizontal="center" vertical="center"/>
    </xf>
    <xf numFmtId="164" fontId="20" fillId="10" borderId="38" xfId="2" applyFont="1" applyFill="1" applyBorder="1" applyAlignment="1">
      <alignment horizontal="center" vertical="center"/>
    </xf>
    <xf numFmtId="164" fontId="20" fillId="10" borderId="42" xfId="2" applyFont="1" applyFill="1" applyBorder="1" applyAlignment="1">
      <alignment horizontal="center" vertical="center"/>
    </xf>
    <xf numFmtId="0" fontId="7" fillId="17" borderId="32" xfId="0" applyFont="1" applyFill="1" applyBorder="1" applyAlignment="1">
      <alignment horizontal="center" vertical="center"/>
    </xf>
    <xf numFmtId="0" fontId="7" fillId="17" borderId="59" xfId="0" applyFont="1" applyFill="1" applyBorder="1" applyAlignment="1">
      <alignment horizontal="center" vertical="center"/>
    </xf>
    <xf numFmtId="0" fontId="13" fillId="19" borderId="20" xfId="0" applyFont="1" applyFill="1" applyBorder="1" applyAlignment="1">
      <alignment horizontal="left"/>
    </xf>
    <xf numFmtId="0" fontId="13" fillId="19" borderId="21" xfId="0" applyFont="1" applyFill="1" applyBorder="1" applyAlignment="1">
      <alignment horizontal="left"/>
    </xf>
    <xf numFmtId="0" fontId="13" fillId="19" borderId="11" xfId="0" applyFont="1" applyFill="1" applyBorder="1" applyAlignment="1">
      <alignment horizontal="left"/>
    </xf>
    <xf numFmtId="164" fontId="20" fillId="10" borderId="33" xfId="2" applyFont="1" applyFill="1" applyBorder="1" applyAlignment="1">
      <alignment horizontal="center" vertical="center"/>
    </xf>
    <xf numFmtId="0" fontId="10" fillId="10" borderId="44" xfId="0" applyFont="1" applyFill="1" applyBorder="1" applyAlignment="1">
      <alignment horizontal="center" vertical="center"/>
    </xf>
    <xf numFmtId="0" fontId="10" fillId="10" borderId="36" xfId="0" applyFont="1" applyFill="1" applyBorder="1" applyAlignment="1">
      <alignment horizontal="center" vertical="center"/>
    </xf>
    <xf numFmtId="164" fontId="20" fillId="10" borderId="49" xfId="2" applyFont="1" applyFill="1" applyBorder="1" applyAlignment="1">
      <alignment horizontal="center" vertical="center"/>
    </xf>
    <xf numFmtId="164" fontId="20" fillId="10" borderId="50" xfId="2" applyFont="1" applyFill="1" applyBorder="1" applyAlignment="1">
      <alignment horizontal="center" vertical="center"/>
    </xf>
    <xf numFmtId="164" fontId="20" fillId="10" borderId="55" xfId="2" applyFont="1" applyFill="1" applyBorder="1" applyAlignment="1">
      <alignment horizontal="center" vertical="center"/>
    </xf>
    <xf numFmtId="164" fontId="20" fillId="10" borderId="31" xfId="2" applyFont="1" applyFill="1" applyBorder="1" applyAlignment="1">
      <alignment horizontal="center" vertical="center"/>
    </xf>
    <xf numFmtId="164" fontId="20" fillId="10" borderId="56" xfId="2" applyFont="1" applyFill="1" applyBorder="1" applyAlignment="1">
      <alignment horizontal="center" vertical="center"/>
    </xf>
    <xf numFmtId="0" fontId="10" fillId="10" borderId="55" xfId="0" applyFont="1" applyFill="1" applyBorder="1" applyAlignment="1">
      <alignment horizontal="center" vertical="center"/>
    </xf>
    <xf numFmtId="0" fontId="19" fillId="2" borderId="20" xfId="0" applyFont="1" applyFill="1" applyBorder="1" applyAlignment="1">
      <alignment horizontal="left" vertical="top" wrapText="1"/>
    </xf>
    <xf numFmtId="0" fontId="19" fillId="2" borderId="21" xfId="0" applyFont="1" applyFill="1" applyBorder="1" applyAlignment="1">
      <alignment horizontal="left" vertical="top"/>
    </xf>
    <xf numFmtId="0" fontId="19" fillId="2" borderId="11" xfId="0" applyFont="1" applyFill="1" applyBorder="1" applyAlignment="1">
      <alignment horizontal="left" vertical="top"/>
    </xf>
    <xf numFmtId="0" fontId="8" fillId="2" borderId="17" xfId="0" applyFont="1" applyFill="1" applyBorder="1" applyAlignment="1">
      <alignment horizontal="left" vertical="top" wrapText="1"/>
    </xf>
    <xf numFmtId="0" fontId="8" fillId="2" borderId="12" xfId="0" applyFont="1" applyFill="1" applyBorder="1" applyAlignment="1">
      <alignment horizontal="left" vertical="top" wrapText="1"/>
    </xf>
    <xf numFmtId="0" fontId="8" fillId="2" borderId="13" xfId="0" applyFont="1" applyFill="1" applyBorder="1" applyAlignment="1">
      <alignment horizontal="left" vertical="top" wrapText="1"/>
    </xf>
    <xf numFmtId="0" fontId="8" fillId="2" borderId="18" xfId="0" applyFont="1" applyFill="1" applyBorder="1" applyAlignment="1">
      <alignment horizontal="left" vertical="top" wrapText="1"/>
    </xf>
    <xf numFmtId="0" fontId="8" fillId="2" borderId="0" xfId="0" applyFont="1" applyFill="1" applyBorder="1" applyAlignment="1">
      <alignment horizontal="left" vertical="top" wrapText="1"/>
    </xf>
    <xf numFmtId="0" fontId="8" fillId="2" borderId="14" xfId="0" applyFont="1" applyFill="1" applyBorder="1" applyAlignment="1">
      <alignment horizontal="left" vertical="top" wrapText="1"/>
    </xf>
    <xf numFmtId="0" fontId="8" fillId="2" borderId="19" xfId="0" applyFont="1" applyFill="1" applyBorder="1" applyAlignment="1">
      <alignment horizontal="left" vertical="top" wrapText="1"/>
    </xf>
    <xf numFmtId="0" fontId="8" fillId="2" borderId="15" xfId="0" applyFont="1" applyFill="1" applyBorder="1" applyAlignment="1">
      <alignment horizontal="left" vertical="top" wrapText="1"/>
    </xf>
    <xf numFmtId="0" fontId="8" fillId="2" borderId="16" xfId="0" applyFont="1" applyFill="1" applyBorder="1" applyAlignment="1">
      <alignment horizontal="left" vertical="top" wrapText="1"/>
    </xf>
    <xf numFmtId="0" fontId="0" fillId="2" borderId="61" xfId="0" applyFill="1" applyBorder="1" applyAlignment="1">
      <alignment horizontal="center" vertical="center" wrapText="1"/>
    </xf>
    <xf numFmtId="0" fontId="0" fillId="2" borderId="63" xfId="0" applyFill="1" applyBorder="1" applyAlignment="1">
      <alignment horizontal="center" vertical="center" wrapText="1"/>
    </xf>
    <xf numFmtId="0" fontId="10" fillId="2" borderId="17" xfId="0" applyFont="1" applyFill="1" applyBorder="1" applyAlignment="1">
      <alignment horizontal="center" vertical="center" wrapText="1"/>
    </xf>
    <xf numFmtId="0" fontId="10" fillId="2" borderId="12"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19" xfId="0" applyFont="1" applyFill="1" applyBorder="1" applyAlignment="1">
      <alignment horizontal="center" vertical="center" wrapText="1"/>
    </xf>
    <xf numFmtId="0" fontId="10" fillId="2" borderId="15" xfId="0" applyFont="1" applyFill="1" applyBorder="1" applyAlignment="1">
      <alignment horizontal="center" vertical="center" wrapText="1"/>
    </xf>
    <xf numFmtId="0" fontId="10" fillId="2" borderId="16" xfId="0" applyFont="1" applyFill="1" applyBorder="1" applyAlignment="1">
      <alignment horizontal="center" vertical="center" wrapText="1"/>
    </xf>
    <xf numFmtId="0" fontId="0" fillId="2" borderId="18" xfId="0" applyFill="1" applyBorder="1" applyAlignment="1">
      <alignment horizontal="center" vertical="center" wrapText="1"/>
    </xf>
    <xf numFmtId="0" fontId="0" fillId="2" borderId="0" xfId="0" applyFill="1" applyBorder="1" applyAlignment="1">
      <alignment horizontal="center" vertical="center" wrapText="1"/>
    </xf>
    <xf numFmtId="0" fontId="0" fillId="2" borderId="14" xfId="0" applyFill="1" applyBorder="1" applyAlignment="1">
      <alignment horizontal="center" vertical="center" wrapText="1"/>
    </xf>
    <xf numFmtId="0" fontId="0" fillId="2" borderId="19"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13" fillId="19" borderId="20" xfId="0" applyFont="1" applyFill="1" applyBorder="1" applyAlignment="1">
      <alignment horizontal="center"/>
    </xf>
    <xf numFmtId="0" fontId="13" fillId="19" borderId="21" xfId="0" applyFont="1" applyFill="1" applyBorder="1" applyAlignment="1">
      <alignment horizontal="center"/>
    </xf>
    <xf numFmtId="0" fontId="13" fillId="19" borderId="11" xfId="0" applyFont="1" applyFill="1" applyBorder="1" applyAlignment="1">
      <alignment horizontal="center"/>
    </xf>
    <xf numFmtId="0" fontId="0" fillId="2" borderId="20" xfId="0" applyFill="1" applyBorder="1" applyAlignment="1">
      <alignment horizontal="left" vertical="top" wrapText="1"/>
    </xf>
    <xf numFmtId="0" fontId="0" fillId="2" borderId="21" xfId="0" applyFill="1" applyBorder="1" applyAlignment="1">
      <alignment horizontal="left" vertical="top" wrapText="1"/>
    </xf>
    <xf numFmtId="0" fontId="0" fillId="2" borderId="11" xfId="0" applyFill="1" applyBorder="1" applyAlignment="1">
      <alignment horizontal="left" vertical="top" wrapText="1"/>
    </xf>
    <xf numFmtId="0" fontId="3" fillId="3" borderId="5" xfId="0" applyFont="1" applyFill="1" applyBorder="1" applyAlignment="1">
      <alignment horizontal="center" vertical="center"/>
    </xf>
    <xf numFmtId="0" fontId="10" fillId="5" borderId="5" xfId="0" applyFont="1" applyFill="1" applyBorder="1" applyAlignment="1">
      <alignment horizontal="left"/>
    </xf>
    <xf numFmtId="0" fontId="0" fillId="2" borderId="7" xfId="0" applyFill="1" applyBorder="1" applyAlignment="1">
      <alignment horizontal="left" vertical="center" wrapText="1"/>
    </xf>
    <xf numFmtId="0" fontId="13" fillId="19" borderId="20" xfId="0" applyFont="1" applyFill="1" applyBorder="1" applyAlignment="1">
      <alignment horizontal="left" wrapText="1"/>
    </xf>
    <xf numFmtId="0" fontId="13" fillId="19" borderId="21" xfId="0" applyFont="1" applyFill="1" applyBorder="1" applyAlignment="1">
      <alignment horizontal="left" wrapText="1"/>
    </xf>
    <xf numFmtId="0" fontId="13" fillId="19" borderId="11" xfId="0" applyFont="1" applyFill="1" applyBorder="1" applyAlignment="1">
      <alignment horizontal="left" wrapText="1"/>
    </xf>
    <xf numFmtId="0" fontId="19" fillId="10" borderId="61" xfId="0" applyFont="1" applyFill="1" applyBorder="1" applyAlignment="1">
      <alignment horizontal="center" vertical="center"/>
    </xf>
    <xf numFmtId="0" fontId="19" fillId="10" borderId="62" xfId="0" applyFont="1" applyFill="1" applyBorder="1" applyAlignment="1">
      <alignment horizontal="center" vertical="center"/>
    </xf>
    <xf numFmtId="0" fontId="19" fillId="10" borderId="63" xfId="0" applyFont="1" applyFill="1" applyBorder="1" applyAlignment="1">
      <alignment horizontal="center" vertical="center"/>
    </xf>
    <xf numFmtId="0" fontId="19" fillId="10" borderId="20" xfId="0" applyFont="1" applyFill="1" applyBorder="1" applyAlignment="1">
      <alignment horizontal="center" vertical="center"/>
    </xf>
    <xf numFmtId="0" fontId="19" fillId="10" borderId="11" xfId="0" applyFont="1" applyFill="1" applyBorder="1" applyAlignment="1">
      <alignment horizontal="center" vertical="center"/>
    </xf>
    <xf numFmtId="0" fontId="19" fillId="10" borderId="8" xfId="0" applyFont="1" applyFill="1" applyBorder="1" applyAlignment="1">
      <alignment horizontal="center" vertical="center"/>
    </xf>
    <xf numFmtId="0" fontId="19" fillId="10" borderId="10" xfId="0" applyFont="1" applyFill="1" applyBorder="1" applyAlignment="1">
      <alignment horizontal="center" vertical="center"/>
    </xf>
    <xf numFmtId="0" fontId="13" fillId="10" borderId="20" xfId="0" applyFont="1" applyFill="1" applyBorder="1" applyAlignment="1">
      <alignment horizontal="left"/>
    </xf>
    <xf numFmtId="0" fontId="13" fillId="10" borderId="21" xfId="0" applyFont="1" applyFill="1" applyBorder="1" applyAlignment="1">
      <alignment horizontal="left"/>
    </xf>
    <xf numFmtId="0" fontId="13" fillId="10" borderId="11" xfId="0" applyFont="1" applyFill="1" applyBorder="1" applyAlignment="1">
      <alignment horizontal="left"/>
    </xf>
    <xf numFmtId="0" fontId="10" fillId="17" borderId="31" xfId="0" applyFont="1" applyFill="1" applyBorder="1" applyAlignment="1">
      <alignment horizontal="center"/>
    </xf>
    <xf numFmtId="0" fontId="10" fillId="17" borderId="70" xfId="0" applyFont="1" applyFill="1" applyBorder="1" applyAlignment="1">
      <alignment horizontal="center"/>
    </xf>
    <xf numFmtId="0" fontId="10" fillId="17" borderId="76" xfId="0" applyFont="1" applyFill="1" applyBorder="1" applyAlignment="1">
      <alignment horizontal="center"/>
    </xf>
    <xf numFmtId="0" fontId="10" fillId="17" borderId="44" xfId="0" applyFont="1" applyFill="1" applyBorder="1" applyAlignment="1">
      <alignment horizontal="center"/>
    </xf>
    <xf numFmtId="0" fontId="10" fillId="17" borderId="36" xfId="0" applyFont="1" applyFill="1" applyBorder="1" applyAlignment="1">
      <alignment horizontal="center"/>
    </xf>
    <xf numFmtId="0" fontId="10" fillId="17" borderId="9" xfId="0" applyFont="1" applyFill="1" applyBorder="1" applyAlignment="1">
      <alignment horizontal="center" vertical="center"/>
    </xf>
    <xf numFmtId="0" fontId="10" fillId="17" borderId="8" xfId="0" applyFont="1" applyFill="1" applyBorder="1" applyAlignment="1">
      <alignment horizontal="center" vertical="center"/>
    </xf>
    <xf numFmtId="0" fontId="10" fillId="17" borderId="44" xfId="0" applyFont="1" applyFill="1" applyBorder="1" applyAlignment="1">
      <alignment horizontal="center" vertical="center" wrapText="1"/>
    </xf>
    <xf numFmtId="0" fontId="10" fillId="17" borderId="54" xfId="0" applyFont="1" applyFill="1" applyBorder="1" applyAlignment="1">
      <alignment horizontal="center" vertical="center" wrapText="1"/>
    </xf>
    <xf numFmtId="0" fontId="10" fillId="17" borderId="61" xfId="0" applyFont="1" applyFill="1" applyBorder="1" applyAlignment="1">
      <alignment horizontal="center" vertical="center" wrapText="1"/>
    </xf>
    <xf numFmtId="0" fontId="10" fillId="17" borderId="62" xfId="0" applyFont="1" applyFill="1" applyBorder="1" applyAlignment="1">
      <alignment horizontal="center" vertical="center" wrapText="1"/>
    </xf>
    <xf numFmtId="0" fontId="10" fillId="17" borderId="63" xfId="0" applyFont="1" applyFill="1" applyBorder="1" applyAlignment="1">
      <alignment horizontal="center" vertical="center" wrapText="1"/>
    </xf>
    <xf numFmtId="0" fontId="11" fillId="10" borderId="59" xfId="0" applyFont="1" applyFill="1" applyBorder="1" applyAlignment="1">
      <alignment horizontal="center" vertical="center"/>
    </xf>
    <xf numFmtId="0" fontId="11" fillId="10" borderId="66" xfId="0" applyFont="1" applyFill="1" applyBorder="1" applyAlignment="1">
      <alignment horizontal="center" vertical="center"/>
    </xf>
    <xf numFmtId="0" fontId="11" fillId="10" borderId="68" xfId="0" applyFont="1" applyFill="1" applyBorder="1" applyAlignment="1">
      <alignment horizontal="center" vertical="center"/>
    </xf>
    <xf numFmtId="0" fontId="11" fillId="10" borderId="65" xfId="0" applyFont="1" applyFill="1" applyBorder="1" applyAlignment="1">
      <alignment horizontal="center" vertical="center"/>
    </xf>
    <xf numFmtId="0" fontId="11" fillId="10" borderId="26" xfId="0" applyFont="1" applyFill="1" applyBorder="1" applyAlignment="1">
      <alignment horizontal="center" vertical="center"/>
    </xf>
    <xf numFmtId="0" fontId="11" fillId="10" borderId="27" xfId="0" applyFont="1" applyFill="1" applyBorder="1" applyAlignment="1">
      <alignment horizontal="center" vertical="center"/>
    </xf>
    <xf numFmtId="0" fontId="11" fillId="10" borderId="7" xfId="0" applyFont="1" applyFill="1" applyBorder="1" applyAlignment="1">
      <alignment horizontal="center" vertical="center"/>
    </xf>
    <xf numFmtId="0" fontId="11" fillId="10" borderId="61" xfId="0" applyFont="1" applyFill="1" applyBorder="1" applyAlignment="1">
      <alignment horizontal="center" vertical="center" wrapText="1"/>
    </xf>
    <xf numFmtId="0" fontId="11" fillId="10" borderId="71" xfId="0" applyFont="1" applyFill="1" applyBorder="1" applyAlignment="1">
      <alignment horizontal="center" vertical="center" wrapText="1"/>
    </xf>
    <xf numFmtId="0" fontId="0" fillId="2" borderId="34" xfId="0" applyFill="1" applyBorder="1" applyAlignment="1">
      <alignment horizontal="center" vertical="center"/>
    </xf>
    <xf numFmtId="0" fontId="0" fillId="2" borderId="37" xfId="0" applyFill="1" applyBorder="1" applyAlignment="1">
      <alignment horizontal="center" vertical="center"/>
    </xf>
    <xf numFmtId="0" fontId="0" fillId="2" borderId="39" xfId="0" applyFill="1" applyBorder="1" applyAlignment="1">
      <alignment horizontal="center" vertical="center"/>
    </xf>
    <xf numFmtId="0" fontId="0" fillId="2" borderId="45" xfId="0" applyFill="1" applyBorder="1" applyAlignment="1">
      <alignment horizontal="center" vertical="center"/>
    </xf>
    <xf numFmtId="0" fontId="0" fillId="2" borderId="49" xfId="0" applyFill="1" applyBorder="1" applyAlignment="1">
      <alignment horizontal="center" vertical="center"/>
    </xf>
    <xf numFmtId="0" fontId="0" fillId="2" borderId="46" xfId="0" applyFill="1" applyBorder="1" applyAlignment="1">
      <alignment horizontal="center" vertical="center"/>
    </xf>
    <xf numFmtId="0" fontId="11" fillId="10" borderId="51" xfId="0" applyFont="1" applyFill="1" applyBorder="1" applyAlignment="1">
      <alignment horizontal="center" vertical="center" wrapText="1"/>
    </xf>
    <xf numFmtId="0" fontId="11" fillId="10" borderId="38" xfId="0" applyFont="1" applyFill="1" applyBorder="1" applyAlignment="1">
      <alignment horizontal="center" vertical="center" wrapText="1"/>
    </xf>
    <xf numFmtId="0" fontId="11" fillId="10" borderId="35" xfId="0" applyFont="1" applyFill="1" applyBorder="1" applyAlignment="1">
      <alignment horizontal="center" vertical="center"/>
    </xf>
    <xf numFmtId="0" fontId="11" fillId="10" borderId="67" xfId="0" applyFont="1" applyFill="1" applyBorder="1" applyAlignment="1">
      <alignment horizontal="center" vertical="center"/>
    </xf>
    <xf numFmtId="0" fontId="11" fillId="10" borderId="34" xfId="0" applyFont="1" applyFill="1" applyBorder="1" applyAlignment="1">
      <alignment horizontal="center" vertical="center"/>
    </xf>
    <xf numFmtId="0" fontId="11" fillId="10" borderId="45" xfId="0" applyFont="1" applyFill="1" applyBorder="1" applyAlignment="1">
      <alignment horizontal="center" vertical="center"/>
    </xf>
    <xf numFmtId="0" fontId="11" fillId="10" borderId="37" xfId="0" applyFont="1" applyFill="1" applyBorder="1" applyAlignment="1">
      <alignment horizontal="center" vertical="center"/>
    </xf>
    <xf numFmtId="0" fontId="13" fillId="19" borderId="23" xfId="0" applyFont="1" applyFill="1" applyBorder="1" applyAlignment="1">
      <alignment horizontal="left"/>
    </xf>
    <xf numFmtId="0" fontId="13" fillId="19" borderId="25" xfId="0" applyFont="1" applyFill="1" applyBorder="1" applyAlignment="1">
      <alignment horizontal="left"/>
    </xf>
    <xf numFmtId="0" fontId="13" fillId="19" borderId="24" xfId="0" applyFont="1" applyFill="1" applyBorder="1" applyAlignment="1">
      <alignment horizontal="left"/>
    </xf>
    <xf numFmtId="0" fontId="11" fillId="10" borderId="47" xfId="0" applyFont="1" applyFill="1" applyBorder="1" applyAlignment="1">
      <alignment horizontal="center" vertical="center"/>
    </xf>
    <xf numFmtId="0" fontId="0" fillId="2" borderId="68" xfId="0" applyFill="1" applyBorder="1" applyAlignment="1">
      <alignment horizontal="center" vertical="center"/>
    </xf>
    <xf numFmtId="0" fontId="2" fillId="0" borderId="28" xfId="1" applyBorder="1" applyAlignment="1">
      <alignment horizontal="left"/>
    </xf>
    <xf numFmtId="0" fontId="2" fillId="0" borderId="29" xfId="1" applyBorder="1" applyAlignment="1">
      <alignment horizontal="left"/>
    </xf>
    <xf numFmtId="0" fontId="2" fillId="0" borderId="6" xfId="1" applyBorder="1" applyAlignment="1">
      <alignment horizontal="left"/>
    </xf>
    <xf numFmtId="0" fontId="11" fillId="10" borderId="5" xfId="0" applyFont="1" applyFill="1" applyBorder="1" applyAlignment="1">
      <alignment horizontal="center"/>
    </xf>
    <xf numFmtId="0" fontId="13" fillId="19" borderId="12" xfId="0" applyFont="1" applyFill="1" applyBorder="1" applyAlignment="1">
      <alignment horizontal="left"/>
    </xf>
    <xf numFmtId="0" fontId="13" fillId="19" borderId="13" xfId="0" applyFont="1" applyFill="1" applyBorder="1" applyAlignment="1">
      <alignment horizontal="left"/>
    </xf>
    <xf numFmtId="0" fontId="0" fillId="2" borderId="28" xfId="0" applyFill="1" applyBorder="1" applyAlignment="1">
      <alignment horizontal="center"/>
    </xf>
    <xf numFmtId="0" fontId="0" fillId="2" borderId="29" xfId="0" applyFill="1" applyBorder="1" applyAlignment="1">
      <alignment horizontal="center"/>
    </xf>
    <xf numFmtId="0" fontId="0" fillId="2" borderId="6" xfId="0" applyFill="1" applyBorder="1" applyAlignment="1">
      <alignment horizontal="center"/>
    </xf>
    <xf numFmtId="0" fontId="10" fillId="10" borderId="46" xfId="0" applyFont="1" applyFill="1" applyBorder="1" applyAlignment="1">
      <alignment horizontal="center"/>
    </xf>
    <xf numFmtId="0" fontId="10" fillId="10" borderId="41" xfId="0" applyFont="1" applyFill="1" applyBorder="1" applyAlignment="1">
      <alignment horizontal="center"/>
    </xf>
    <xf numFmtId="0" fontId="10" fillId="10" borderId="77" xfId="0" applyFont="1" applyFill="1" applyBorder="1" applyAlignment="1">
      <alignment horizontal="center"/>
    </xf>
    <xf numFmtId="0" fontId="10" fillId="10" borderId="20" xfId="0" applyFont="1" applyFill="1" applyBorder="1" applyAlignment="1">
      <alignment horizontal="center"/>
    </xf>
    <xf numFmtId="0" fontId="10" fillId="10" borderId="21" xfId="0" applyFont="1" applyFill="1" applyBorder="1" applyAlignment="1">
      <alignment horizontal="center"/>
    </xf>
    <xf numFmtId="0" fontId="10" fillId="10" borderId="11" xfId="0" applyFont="1" applyFill="1" applyBorder="1" applyAlignment="1">
      <alignment horizontal="center"/>
    </xf>
    <xf numFmtId="0" fontId="0" fillId="2" borderId="0" xfId="0" applyFont="1" applyFill="1" applyBorder="1" applyAlignment="1">
      <alignment horizontal="center" vertical="center"/>
    </xf>
    <xf numFmtId="0" fontId="10" fillId="2" borderId="0" xfId="0" applyFont="1" applyFill="1" applyBorder="1" applyAlignment="1">
      <alignment horizontal="center" vertical="center"/>
    </xf>
    <xf numFmtId="0" fontId="2" fillId="2" borderId="5" xfId="1" applyFill="1" applyBorder="1" applyAlignment="1">
      <alignment horizontal="left"/>
    </xf>
    <xf numFmtId="0" fontId="0" fillId="2" borderId="28" xfId="0" applyFill="1" applyBorder="1" applyAlignment="1">
      <alignment horizontal="left"/>
    </xf>
    <xf numFmtId="0" fontId="0" fillId="2" borderId="29" xfId="0" applyFill="1" applyBorder="1" applyAlignment="1">
      <alignment horizontal="left"/>
    </xf>
    <xf numFmtId="0" fontId="0" fillId="2" borderId="6" xfId="0" applyFill="1" applyBorder="1" applyAlignment="1">
      <alignment horizontal="left"/>
    </xf>
    <xf numFmtId="0" fontId="2" fillId="2" borderId="28" xfId="1" applyFill="1" applyBorder="1" applyAlignment="1">
      <alignment horizontal="left"/>
    </xf>
    <xf numFmtId="0" fontId="2" fillId="2" borderId="29" xfId="1" applyFill="1" applyBorder="1" applyAlignment="1">
      <alignment horizontal="left"/>
    </xf>
    <xf numFmtId="0" fontId="2" fillId="2" borderId="6" xfId="1" applyFill="1" applyBorder="1" applyAlignment="1">
      <alignment horizontal="left"/>
    </xf>
    <xf numFmtId="0" fontId="10" fillId="10" borderId="34" xfId="0" applyFont="1" applyFill="1" applyBorder="1" applyAlignment="1">
      <alignment horizontal="center" vertical="center"/>
    </xf>
    <xf numFmtId="0" fontId="10" fillId="10" borderId="35" xfId="0" applyFont="1" applyFill="1" applyBorder="1" applyAlignment="1">
      <alignment horizontal="center" vertical="center"/>
    </xf>
    <xf numFmtId="0" fontId="10" fillId="10" borderId="51" xfId="0" applyFont="1" applyFill="1" applyBorder="1" applyAlignment="1">
      <alignment horizontal="center" vertical="center"/>
    </xf>
    <xf numFmtId="0" fontId="13" fillId="19" borderId="17" xfId="0" applyFont="1" applyFill="1" applyBorder="1" applyAlignment="1">
      <alignment horizontal="left"/>
    </xf>
    <xf numFmtId="0" fontId="10" fillId="10" borderId="39" xfId="0" applyFont="1" applyFill="1" applyBorder="1" applyAlignment="1">
      <alignment horizontal="center" vertical="center"/>
    </xf>
    <xf numFmtId="0" fontId="10" fillId="10" borderId="40" xfId="0" applyFont="1" applyFill="1" applyBorder="1" applyAlignment="1">
      <alignment horizontal="center" vertical="center"/>
    </xf>
    <xf numFmtId="0" fontId="0" fillId="0" borderId="68" xfId="0" applyBorder="1" applyAlignment="1">
      <alignment horizontal="center" vertical="center"/>
    </xf>
    <xf numFmtId="0" fontId="0" fillId="0" borderId="49" xfId="0" applyBorder="1" applyAlignment="1">
      <alignment horizontal="center" vertical="center"/>
    </xf>
    <xf numFmtId="0" fontId="0" fillId="0" borderId="46" xfId="0" applyBorder="1" applyAlignment="1">
      <alignment horizontal="center" vertical="center"/>
    </xf>
    <xf numFmtId="0" fontId="11" fillId="10" borderId="23" xfId="0" applyFont="1" applyFill="1" applyBorder="1" applyAlignment="1">
      <alignment horizontal="right"/>
    </xf>
    <xf numFmtId="0" fontId="11" fillId="10" borderId="25" xfId="0" applyFont="1" applyFill="1" applyBorder="1" applyAlignment="1">
      <alignment horizontal="right"/>
    </xf>
    <xf numFmtId="0" fontId="11" fillId="10" borderId="24" xfId="0" applyFont="1" applyFill="1" applyBorder="1" applyAlignment="1">
      <alignment horizontal="right"/>
    </xf>
    <xf numFmtId="0" fontId="10" fillId="10" borderId="26" xfId="0" applyFont="1" applyFill="1" applyBorder="1" applyAlignment="1">
      <alignment horizontal="center" vertical="center" wrapText="1"/>
    </xf>
    <xf numFmtId="0" fontId="10" fillId="10" borderId="43" xfId="0" applyFont="1" applyFill="1" applyBorder="1" applyAlignment="1">
      <alignment horizontal="center" vertical="center"/>
    </xf>
    <xf numFmtId="0" fontId="10" fillId="10" borderId="69" xfId="0" applyFont="1" applyFill="1" applyBorder="1" applyAlignment="1">
      <alignment horizontal="center" vertical="center"/>
    </xf>
    <xf numFmtId="0" fontId="10" fillId="10" borderId="41" xfId="0" applyFont="1" applyFill="1" applyBorder="1" applyAlignment="1">
      <alignment horizontal="center" vertical="center"/>
    </xf>
    <xf numFmtId="0" fontId="0" fillId="0" borderId="68" xfId="0" applyBorder="1" applyAlignment="1">
      <alignment horizontal="center" vertical="center" wrapText="1"/>
    </xf>
    <xf numFmtId="0" fontId="0" fillId="0" borderId="49" xfId="0" applyBorder="1" applyAlignment="1">
      <alignment horizontal="center" vertical="center" wrapText="1"/>
    </xf>
    <xf numFmtId="0" fontId="0" fillId="0" borderId="46" xfId="0" applyBorder="1" applyAlignment="1">
      <alignment horizontal="center" vertical="center" wrapText="1"/>
    </xf>
    <xf numFmtId="0" fontId="0" fillId="2" borderId="0" xfId="0" applyFill="1" applyAlignment="1">
      <alignment horizontal="left" wrapText="1"/>
    </xf>
    <xf numFmtId="0" fontId="0" fillId="5" borderId="23" xfId="0" applyFill="1" applyBorder="1" applyAlignment="1">
      <alignment horizontal="left"/>
    </xf>
    <xf numFmtId="0" fontId="0" fillId="5" borderId="24" xfId="0" applyFill="1" applyBorder="1" applyAlignment="1">
      <alignment horizontal="left"/>
    </xf>
    <xf numFmtId="0" fontId="0" fillId="5" borderId="20" xfId="0" applyFill="1" applyBorder="1" applyAlignment="1">
      <alignment horizontal="left"/>
    </xf>
    <xf numFmtId="0" fontId="0" fillId="5" borderId="11" xfId="0" applyFill="1" applyBorder="1" applyAlignment="1">
      <alignment horizontal="left"/>
    </xf>
    <xf numFmtId="0" fontId="0" fillId="0" borderId="65" xfId="0" applyBorder="1" applyAlignment="1">
      <alignment horizontal="left" vertical="center"/>
    </xf>
    <xf numFmtId="0" fontId="0" fillId="0" borderId="66" xfId="0" applyBorder="1" applyAlignment="1">
      <alignment horizontal="left" vertical="center"/>
    </xf>
    <xf numFmtId="0" fontId="0" fillId="0" borderId="37" xfId="0" applyBorder="1" applyAlignment="1">
      <alignment horizontal="center" vertical="center"/>
    </xf>
    <xf numFmtId="0" fontId="0" fillId="0" borderId="45" xfId="0" applyBorder="1" applyAlignment="1">
      <alignment horizontal="center" vertical="center"/>
    </xf>
    <xf numFmtId="0" fontId="0" fillId="0" borderId="37" xfId="0" applyBorder="1" applyAlignment="1">
      <alignment horizontal="left"/>
    </xf>
    <xf numFmtId="0" fontId="0" fillId="0" borderId="47" xfId="0" applyBorder="1" applyAlignment="1">
      <alignment horizontal="left"/>
    </xf>
    <xf numFmtId="0" fontId="10" fillId="10" borderId="23" xfId="0" applyFont="1" applyFill="1" applyBorder="1" applyAlignment="1">
      <alignment horizontal="left"/>
    </xf>
    <xf numFmtId="0" fontId="10" fillId="10" borderId="24" xfId="0" applyFont="1" applyFill="1" applyBorder="1" applyAlignment="1">
      <alignment horizontal="left"/>
    </xf>
    <xf numFmtId="0" fontId="0" fillId="0" borderId="49" xfId="0" applyBorder="1" applyAlignment="1">
      <alignment horizontal="left"/>
    </xf>
    <xf numFmtId="0" fontId="0" fillId="0" borderId="50" xfId="0" applyBorder="1" applyAlignment="1">
      <alignment horizontal="left"/>
    </xf>
    <xf numFmtId="0" fontId="0" fillId="0" borderId="65" xfId="0" applyBorder="1" applyAlignment="1">
      <alignment horizontal="left"/>
    </xf>
    <xf numFmtId="0" fontId="0" fillId="0" borderId="66" xfId="0" applyBorder="1" applyAlignment="1">
      <alignment horizontal="left"/>
    </xf>
    <xf numFmtId="0" fontId="0" fillId="0" borderId="45" xfId="0" applyBorder="1" applyAlignment="1">
      <alignment horizontal="left"/>
    </xf>
    <xf numFmtId="0" fontId="0" fillId="0" borderId="38" xfId="0" applyBorder="1" applyAlignment="1">
      <alignment horizontal="left"/>
    </xf>
    <xf numFmtId="0" fontId="14" fillId="16" borderId="0" xfId="0" applyFont="1" applyFill="1" applyAlignment="1">
      <alignment horizontal="center" vertical="center"/>
    </xf>
    <xf numFmtId="0" fontId="15" fillId="16" borderId="0" xfId="0" applyFont="1" applyFill="1" applyAlignment="1">
      <alignment horizontal="center" vertical="center"/>
    </xf>
    <xf numFmtId="9" fontId="0" fillId="2" borderId="28" xfId="0" applyNumberFormat="1" applyFill="1" applyBorder="1" applyAlignment="1">
      <alignment horizontal="center"/>
    </xf>
    <xf numFmtId="2" fontId="10" fillId="7" borderId="28" xfId="0" applyNumberFormat="1" applyFont="1" applyFill="1" applyBorder="1" applyAlignment="1">
      <alignment horizontal="center"/>
    </xf>
    <xf numFmtId="2" fontId="10" fillId="7" borderId="6" xfId="0" applyNumberFormat="1" applyFont="1" applyFill="1" applyBorder="1" applyAlignment="1">
      <alignment horizontal="center"/>
    </xf>
    <xf numFmtId="0" fontId="0" fillId="10" borderId="28" xfId="0" applyFill="1" applyBorder="1" applyAlignment="1">
      <alignment horizontal="left"/>
    </xf>
    <xf numFmtId="0" fontId="0" fillId="10" borderId="6" xfId="0" applyFill="1" applyBorder="1" applyAlignment="1">
      <alignment horizontal="left"/>
    </xf>
    <xf numFmtId="0" fontId="0" fillId="2" borderId="61" xfId="0" applyFill="1" applyBorder="1" applyAlignment="1">
      <alignment horizontal="left" vertical="center" wrapText="1"/>
    </xf>
    <xf numFmtId="0" fontId="0" fillId="2" borderId="62" xfId="0" applyFill="1" applyBorder="1" applyAlignment="1">
      <alignment horizontal="left" vertical="center" wrapText="1"/>
    </xf>
    <xf numFmtId="0" fontId="0" fillId="2" borderId="71" xfId="0" applyFill="1" applyBorder="1" applyAlignment="1">
      <alignment horizontal="left" vertical="center" wrapText="1"/>
    </xf>
    <xf numFmtId="0" fontId="0" fillId="2" borderId="72" xfId="0" applyFill="1" applyBorder="1" applyAlignment="1">
      <alignment horizontal="left" vertical="center" wrapText="1"/>
    </xf>
    <xf numFmtId="0" fontId="10" fillId="19" borderId="20" xfId="0" applyFont="1" applyFill="1" applyBorder="1" applyAlignment="1">
      <alignment horizontal="center"/>
    </xf>
    <xf numFmtId="0" fontId="10" fillId="19" borderId="21" xfId="0" applyFont="1" applyFill="1" applyBorder="1" applyAlignment="1">
      <alignment horizontal="center"/>
    </xf>
    <xf numFmtId="0" fontId="10" fillId="19" borderId="11" xfId="0" applyFont="1" applyFill="1" applyBorder="1" applyAlignment="1">
      <alignment horizontal="center"/>
    </xf>
    <xf numFmtId="0" fontId="10" fillId="19" borderId="28" xfId="0" applyFont="1" applyFill="1" applyBorder="1" applyAlignment="1">
      <alignment horizontal="center"/>
    </xf>
    <xf numFmtId="0" fontId="10" fillId="19" borderId="6" xfId="0" applyFont="1" applyFill="1" applyBorder="1" applyAlignment="1">
      <alignment horizontal="center"/>
    </xf>
    <xf numFmtId="0" fontId="0" fillId="2" borderId="8" xfId="0" applyFill="1" applyBorder="1" applyAlignment="1">
      <alignment horizontal="center" vertical="center" wrapText="1"/>
    </xf>
    <xf numFmtId="0" fontId="0" fillId="2" borderId="10" xfId="0" applyFill="1" applyBorder="1" applyAlignment="1">
      <alignment horizontal="center" vertical="center" wrapText="1"/>
    </xf>
    <xf numFmtId="0" fontId="0" fillId="10" borderId="67" xfId="0" applyFill="1" applyBorder="1" applyAlignment="1">
      <alignment horizontal="center" vertical="center"/>
    </xf>
    <xf numFmtId="0" fontId="0" fillId="10" borderId="30" xfId="0" applyFill="1" applyBorder="1" applyAlignment="1">
      <alignment horizontal="center" vertical="center"/>
    </xf>
    <xf numFmtId="0" fontId="0" fillId="10" borderId="7" xfId="0" applyFill="1" applyBorder="1" applyAlignment="1">
      <alignment horizontal="center" vertical="center"/>
    </xf>
    <xf numFmtId="0" fontId="10" fillId="19" borderId="28" xfId="0" applyFont="1" applyFill="1" applyBorder="1" applyAlignment="1">
      <alignment horizontal="left" vertical="center" wrapText="1"/>
    </xf>
    <xf numFmtId="0" fontId="10" fillId="19" borderId="29" xfId="0" applyFont="1" applyFill="1" applyBorder="1" applyAlignment="1">
      <alignment horizontal="left" vertical="center" wrapText="1"/>
    </xf>
    <xf numFmtId="0" fontId="10" fillId="19" borderId="6" xfId="0" applyFont="1" applyFill="1" applyBorder="1" applyAlignment="1">
      <alignment horizontal="left" vertical="center" wrapText="1"/>
    </xf>
    <xf numFmtId="0" fontId="0" fillId="2" borderId="0"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20" xfId="0" applyFill="1" applyBorder="1" applyAlignment="1">
      <alignment horizontal="left" vertical="center" wrapText="1"/>
    </xf>
    <xf numFmtId="0" fontId="0" fillId="2" borderId="21" xfId="0" applyFill="1" applyBorder="1" applyAlignment="1">
      <alignment horizontal="left" vertical="center" wrapText="1"/>
    </xf>
    <xf numFmtId="0" fontId="0" fillId="2" borderId="11" xfId="0" applyFill="1" applyBorder="1" applyAlignment="1">
      <alignment horizontal="left" vertical="center" wrapText="1"/>
    </xf>
    <xf numFmtId="0" fontId="7" fillId="19" borderId="20" xfId="0" applyFont="1" applyFill="1" applyBorder="1" applyAlignment="1">
      <alignment horizontal="center"/>
    </xf>
    <xf numFmtId="0" fontId="7" fillId="19" borderId="21" xfId="0" applyFont="1" applyFill="1" applyBorder="1" applyAlignment="1">
      <alignment horizontal="center"/>
    </xf>
    <xf numFmtId="0" fontId="7" fillId="19" borderId="11" xfId="0" applyFont="1" applyFill="1" applyBorder="1" applyAlignment="1">
      <alignment horizontal="center"/>
    </xf>
    <xf numFmtId="0" fontId="0" fillId="19" borderId="20" xfId="0" applyFill="1" applyBorder="1" applyAlignment="1">
      <alignment horizontal="center"/>
    </xf>
    <xf numFmtId="0" fontId="0" fillId="19" borderId="11" xfId="0" applyFill="1" applyBorder="1" applyAlignment="1">
      <alignment horizontal="center"/>
    </xf>
    <xf numFmtId="0" fontId="10" fillId="19" borderId="5" xfId="0" applyFont="1" applyFill="1" applyBorder="1" applyAlignment="1">
      <alignment horizontal="center"/>
    </xf>
    <xf numFmtId="0" fontId="10" fillId="13" borderId="17" xfId="0" applyFont="1" applyFill="1" applyBorder="1" applyAlignment="1">
      <alignment horizontal="center"/>
    </xf>
    <xf numFmtId="0" fontId="10" fillId="13" borderId="12" xfId="0" applyFont="1" applyFill="1" applyBorder="1" applyAlignment="1">
      <alignment horizontal="center"/>
    </xf>
    <xf numFmtId="0" fontId="10" fillId="13" borderId="13" xfId="0" applyFont="1" applyFill="1" applyBorder="1" applyAlignment="1">
      <alignment horizontal="center"/>
    </xf>
    <xf numFmtId="0" fontId="10" fillId="13" borderId="19" xfId="0" applyFont="1" applyFill="1" applyBorder="1" applyAlignment="1">
      <alignment horizontal="center"/>
    </xf>
    <xf numFmtId="0" fontId="10" fillId="13" borderId="15" xfId="0" applyFont="1" applyFill="1" applyBorder="1" applyAlignment="1">
      <alignment horizontal="center"/>
    </xf>
    <xf numFmtId="0" fontId="10" fillId="13" borderId="16" xfId="0" applyFont="1" applyFill="1" applyBorder="1" applyAlignment="1">
      <alignment horizontal="center"/>
    </xf>
    <xf numFmtId="0" fontId="10" fillId="19" borderId="28" xfId="0" applyFont="1" applyFill="1" applyBorder="1" applyAlignment="1">
      <alignment horizontal="center" vertical="center" wrapText="1"/>
    </xf>
    <xf numFmtId="0" fontId="10" fillId="19" borderId="29" xfId="0" applyFont="1" applyFill="1" applyBorder="1" applyAlignment="1">
      <alignment horizontal="center" vertical="center" wrapText="1"/>
    </xf>
    <xf numFmtId="0" fontId="10" fillId="19" borderId="6" xfId="0" applyFont="1" applyFill="1" applyBorder="1" applyAlignment="1">
      <alignment horizontal="center" vertical="center" wrapText="1"/>
    </xf>
  </cellXfs>
  <cellStyles count="9">
    <cellStyle name="Bueno" xfId="8" builtinId="26"/>
    <cellStyle name="Hipervínculo" xfId="1" builtinId="8"/>
    <cellStyle name="Millares" xfId="2" builtinId="3"/>
    <cellStyle name="Moneda" xfId="6" builtinId="4"/>
    <cellStyle name="Moneda 2" xfId="7" xr:uid="{9D5D67AB-93F1-4F26-B588-55F49DE665C1}"/>
    <cellStyle name="Normal" xfId="0" builtinId="0"/>
    <cellStyle name="Normal 2 14" xfId="4" xr:uid="{00000000-0005-0000-0000-000004000000}"/>
    <cellStyle name="Normal 2 15" xfId="5" xr:uid="{00000000-0005-0000-0000-000005000000}"/>
    <cellStyle name="Porcentaje"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7AFA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Evolución de la participación en el mercado</a:t>
            </a:r>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A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Hipótesis!$B$24</c:f>
              <c:strCache>
                <c:ptCount val="1"/>
                <c:pt idx="0">
                  <c:v>2021</c:v>
                </c:pt>
              </c:strCache>
            </c:strRef>
          </c:tx>
          <c:spPr>
            <a:solidFill>
              <a:schemeClr val="accent1"/>
            </a:solidFill>
            <a:ln>
              <a:noFill/>
            </a:ln>
            <a:effectLst/>
            <a:sp3d/>
          </c:spPr>
          <c:invertIfNegative val="0"/>
          <c:cat>
            <c:strRef>
              <c:f>Hipótesis!$D$23</c:f>
              <c:strCache>
                <c:ptCount val="1"/>
                <c:pt idx="0">
                  <c:v>Total</c:v>
                </c:pt>
              </c:strCache>
            </c:strRef>
          </c:cat>
          <c:val>
            <c:numRef>
              <c:f>Hipótesis!$D$24</c:f>
              <c:numCache>
                <c:formatCode>_("$"* #,##0.00_);_("$"* \(#,##0.00\);_("$"* "-"??_);_(@_)</c:formatCode>
                <c:ptCount val="1"/>
                <c:pt idx="0">
                  <c:v>31551000</c:v>
                </c:pt>
              </c:numCache>
            </c:numRef>
          </c:val>
          <c:extLst>
            <c:ext xmlns:c16="http://schemas.microsoft.com/office/drawing/2014/chart" uri="{C3380CC4-5D6E-409C-BE32-E72D297353CC}">
              <c16:uniqueId val="{00000000-8197-4CDA-AB2D-833E93D514F5}"/>
            </c:ext>
          </c:extLst>
        </c:ser>
        <c:ser>
          <c:idx val="1"/>
          <c:order val="1"/>
          <c:tx>
            <c:strRef>
              <c:f>Hipótesis!$B$25</c:f>
              <c:strCache>
                <c:ptCount val="1"/>
                <c:pt idx="0">
                  <c:v>2022</c:v>
                </c:pt>
              </c:strCache>
            </c:strRef>
          </c:tx>
          <c:spPr>
            <a:solidFill>
              <a:schemeClr val="accent2"/>
            </a:solidFill>
            <a:ln>
              <a:noFill/>
            </a:ln>
            <a:effectLst/>
            <a:sp3d/>
          </c:spPr>
          <c:invertIfNegative val="0"/>
          <c:cat>
            <c:strRef>
              <c:f>Hipótesis!$D$23</c:f>
              <c:strCache>
                <c:ptCount val="1"/>
                <c:pt idx="0">
                  <c:v>Total</c:v>
                </c:pt>
              </c:strCache>
            </c:strRef>
          </c:cat>
          <c:val>
            <c:numRef>
              <c:f>Hipótesis!$D$25</c:f>
              <c:numCache>
                <c:formatCode>_("$"* #,##0.00_);_("$"* \(#,##0.00\);_("$"* "-"??_);_(@_)</c:formatCode>
                <c:ptCount val="1"/>
                <c:pt idx="0">
                  <c:v>60675000</c:v>
                </c:pt>
              </c:numCache>
            </c:numRef>
          </c:val>
          <c:extLst>
            <c:ext xmlns:c16="http://schemas.microsoft.com/office/drawing/2014/chart" uri="{C3380CC4-5D6E-409C-BE32-E72D297353CC}">
              <c16:uniqueId val="{00000001-8197-4CDA-AB2D-833E93D514F5}"/>
            </c:ext>
          </c:extLst>
        </c:ser>
        <c:ser>
          <c:idx val="2"/>
          <c:order val="2"/>
          <c:tx>
            <c:strRef>
              <c:f>Hipótesis!$B$26</c:f>
              <c:strCache>
                <c:ptCount val="1"/>
                <c:pt idx="0">
                  <c:v>2023</c:v>
                </c:pt>
              </c:strCache>
            </c:strRef>
          </c:tx>
          <c:spPr>
            <a:solidFill>
              <a:schemeClr val="accent3"/>
            </a:solidFill>
            <a:ln>
              <a:noFill/>
            </a:ln>
            <a:effectLst/>
            <a:sp3d/>
          </c:spPr>
          <c:invertIfNegative val="0"/>
          <c:cat>
            <c:strRef>
              <c:f>Hipótesis!$D$23</c:f>
              <c:strCache>
                <c:ptCount val="1"/>
                <c:pt idx="0">
                  <c:v>Total</c:v>
                </c:pt>
              </c:strCache>
            </c:strRef>
          </c:cat>
          <c:val>
            <c:numRef>
              <c:f>Hipótesis!$D$26</c:f>
              <c:numCache>
                <c:formatCode>_("$"* #,##0.00_);_("$"* \(#,##0.00\);_("$"* "-"??_);_(@_)</c:formatCode>
                <c:ptCount val="1"/>
                <c:pt idx="0">
                  <c:v>97080000</c:v>
                </c:pt>
              </c:numCache>
            </c:numRef>
          </c:val>
          <c:extLst>
            <c:ext xmlns:c16="http://schemas.microsoft.com/office/drawing/2014/chart" uri="{C3380CC4-5D6E-409C-BE32-E72D297353CC}">
              <c16:uniqueId val="{00000002-8197-4CDA-AB2D-833E93D514F5}"/>
            </c:ext>
          </c:extLst>
        </c:ser>
        <c:dLbls>
          <c:showLegendKey val="0"/>
          <c:showVal val="0"/>
          <c:showCatName val="0"/>
          <c:showSerName val="0"/>
          <c:showPercent val="0"/>
          <c:showBubbleSize val="0"/>
        </c:dLbls>
        <c:gapWidth val="150"/>
        <c:shape val="box"/>
        <c:axId val="25175760"/>
        <c:axId val="91798656"/>
        <c:axId val="0"/>
      </c:bar3DChart>
      <c:catAx>
        <c:axId val="25175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91798656"/>
        <c:crosses val="autoZero"/>
        <c:auto val="1"/>
        <c:lblAlgn val="ctr"/>
        <c:lblOffset val="100"/>
        <c:noMultiLvlLbl val="0"/>
      </c:catAx>
      <c:valAx>
        <c:axId val="91798656"/>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AR"/>
          </a:p>
        </c:txPr>
        <c:crossAx val="25175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 Ingresos 2023 </a:t>
            </a:r>
          </a:p>
        </c:rich>
      </c:tx>
      <c:layout>
        <c:manualLayout>
          <c:xMode val="edge"/>
          <c:yMode val="edge"/>
          <c:x val="2.9709512065913237E-2"/>
          <c:y val="1.930035943753382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tx>
            <c:strRef>
              <c:f>'Mod. ingresos'!$E$16</c:f>
              <c:strCache>
                <c:ptCount val="1"/>
                <c:pt idx="0">
                  <c:v> 2.023,00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EA85-40A9-9793-B381DA40BF8B}"/>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EA85-40A9-9793-B381DA40BF8B}"/>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EA85-40A9-9793-B381DA40BF8B}"/>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EA85-40A9-9793-B381DA40BF8B}"/>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EA85-40A9-9793-B381DA40BF8B}"/>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EA85-40A9-9793-B381DA40BF8B}"/>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EA85-40A9-9793-B381DA40BF8B}"/>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EA85-40A9-9793-B381DA40BF8B}"/>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EA85-40A9-9793-B381DA40BF8B}"/>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85-40A9-9793-B381DA40BF8B}"/>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EA85-40A9-9793-B381DA40BF8B}"/>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85-40A9-9793-B381DA40BF8B}"/>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EA85-40A9-9793-B381DA40BF8B}"/>
                </c:ext>
              </c:extLst>
            </c:dLbl>
            <c:dLbl>
              <c:idx val="1"/>
              <c:layout>
                <c:manualLayout>
                  <c:x val="-1.2088909831745273E-2"/>
                  <c:y val="-3.739842982750963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8-EA85-40A9-9793-B381DA40BF8B}"/>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EA85-40A9-9793-B381DA40BF8B}"/>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EA85-40A9-9793-B381DA40BF8B}"/>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EA85-40A9-9793-B381DA40BF8B}"/>
                </c:ext>
              </c:extLst>
            </c:dLbl>
            <c:dLbl>
              <c:idx val="5"/>
              <c:layout>
                <c:manualLayout>
                  <c:x val="-1.6244921863008188E-2"/>
                  <c:y val="2.9268288935626538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D-EA85-40A9-9793-B381DA40BF8B}"/>
                </c:ext>
              </c:extLst>
            </c:dLbl>
            <c:dLbl>
              <c:idx val="6"/>
              <c:layout>
                <c:manualLayout>
                  <c:x val="-6.2480468703877724E-3"/>
                  <c:y val="2.4390240779688752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7-EA85-40A9-9793-B381DA40BF8B}"/>
                </c:ext>
              </c:extLst>
            </c:dLbl>
            <c:dLbl>
              <c:idx val="7"/>
              <c:layout>
                <c:manualLayout>
                  <c:x val="-1.1454620270960064E-17"/>
                  <c:y val="-4.878048155937756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6-EA85-40A9-9793-B381DA40BF8B}"/>
                </c:ext>
              </c:extLst>
            </c:dLbl>
            <c:dLbl>
              <c:idx val="8"/>
              <c:layout>
                <c:manualLayout>
                  <c:x val="-6.6229296826110257E-2"/>
                  <c:y val="-4.7154465507398324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EA85-40A9-9793-B381DA40BF8B}"/>
                </c:ext>
              </c:extLst>
            </c:dLbl>
            <c:dLbl>
              <c:idx val="9"/>
              <c:layout>
                <c:manualLayout>
                  <c:x val="2.7491406229706146E-2"/>
                  <c:y val="1.6260160519792222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EA85-40A9-9793-B381DA40BF8B}"/>
                </c:ext>
              </c:extLst>
            </c:dLbl>
            <c:dLbl>
              <c:idx val="10"/>
              <c:layout>
                <c:manualLayout>
                  <c:x val="1.9993749985240811E-2"/>
                  <c:y val="-2.113820867573026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EA85-40A9-9793-B381DA40BF8B}"/>
                </c:ext>
              </c:extLst>
            </c:dLbl>
            <c:dLbl>
              <c:idx val="11"/>
              <c:layout>
                <c:manualLayout>
                  <c:x val="4.6235546840869474E-2"/>
                  <c:y val="-1.4634144467813271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EA85-40A9-9793-B381DA40BF8B}"/>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ingresos'!$B$17:$B$28</c:f>
              <c:strCache>
                <c:ptCount val="12"/>
                <c:pt idx="0">
                  <c:v> Aviador </c:v>
                </c:pt>
                <c:pt idx="1">
                  <c:v> Cuadrado </c:v>
                </c:pt>
                <c:pt idx="2">
                  <c:v> Redondo </c:v>
                </c:pt>
                <c:pt idx="3">
                  <c:v> Running </c:v>
                </c:pt>
                <c:pt idx="4">
                  <c:v> Cilismo </c:v>
                </c:pt>
                <c:pt idx="5">
                  <c:v> Ski </c:v>
                </c:pt>
                <c:pt idx="6">
                  <c:v> Estilo 90 </c:v>
                </c:pt>
                <c:pt idx="7">
                  <c:v> Estilo 80 </c:v>
                </c:pt>
                <c:pt idx="8">
                  <c:v> Estilo 70 </c:v>
                </c:pt>
                <c:pt idx="9">
                  <c:v> Ovalado </c:v>
                </c:pt>
                <c:pt idx="10">
                  <c:v> Rectangular </c:v>
                </c:pt>
                <c:pt idx="11">
                  <c:v> Hexagonal </c:v>
                </c:pt>
              </c:strCache>
            </c:strRef>
          </c:cat>
          <c:val>
            <c:numRef>
              <c:f>'Mod. ingresos'!$E$17:$E$28</c:f>
              <c:numCache>
                <c:formatCode>_("$"* #,##0.00_);_("$"* \(#,##0.00\);_("$"* "-"??_);_(@_)</c:formatCode>
                <c:ptCount val="12"/>
                <c:pt idx="0">
                  <c:v>14700000</c:v>
                </c:pt>
                <c:pt idx="1">
                  <c:v>10800000</c:v>
                </c:pt>
                <c:pt idx="2">
                  <c:v>6000000</c:v>
                </c:pt>
                <c:pt idx="3">
                  <c:v>5250000</c:v>
                </c:pt>
                <c:pt idx="4">
                  <c:v>9000000</c:v>
                </c:pt>
                <c:pt idx="5">
                  <c:v>8400000</c:v>
                </c:pt>
                <c:pt idx="6">
                  <c:v>6300000</c:v>
                </c:pt>
                <c:pt idx="7">
                  <c:v>2700000</c:v>
                </c:pt>
                <c:pt idx="8">
                  <c:v>1500000</c:v>
                </c:pt>
                <c:pt idx="9">
                  <c:v>8250000</c:v>
                </c:pt>
                <c:pt idx="10">
                  <c:v>7200000</c:v>
                </c:pt>
                <c:pt idx="11">
                  <c:v>7350000</c:v>
                </c:pt>
              </c:numCache>
            </c:numRef>
          </c:val>
          <c:extLst>
            <c:ext xmlns:c16="http://schemas.microsoft.com/office/drawing/2014/chart" uri="{C3380CC4-5D6E-409C-BE32-E72D297353CC}">
              <c16:uniqueId val="{00000000-EA85-40A9-9793-B381DA40BF8B}"/>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AR"/>
              <a:t>Modelo de egresos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'Mod. egresos'!$A$10</c:f>
              <c:strCache>
                <c:ptCount val="1"/>
                <c:pt idx="0">
                  <c:v>Costos Fijos</c:v>
                </c:pt>
              </c:strCache>
            </c:strRef>
          </c:tx>
          <c:spPr>
            <a:solidFill>
              <a:schemeClr val="accent2"/>
            </a:solidFill>
            <a:ln>
              <a:noFill/>
            </a:ln>
            <a:effectLst/>
          </c:spPr>
          <c:invertIfNegative val="0"/>
          <c:cat>
            <c:numRef>
              <c:f>'Mod. egresos'!$B$9:$D$9</c:f>
              <c:numCache>
                <c:formatCode>General</c:formatCode>
                <c:ptCount val="3"/>
                <c:pt idx="0">
                  <c:v>2021</c:v>
                </c:pt>
                <c:pt idx="1">
                  <c:v>2022</c:v>
                </c:pt>
                <c:pt idx="2">
                  <c:v>2023</c:v>
                </c:pt>
              </c:numCache>
            </c:numRef>
          </c:cat>
          <c:val>
            <c:numRef>
              <c:f>'Mod. egresos'!$B$10:$D$10</c:f>
              <c:numCache>
                <c:formatCode>"$"\ #,##0.00</c:formatCode>
                <c:ptCount val="3"/>
                <c:pt idx="0">
                  <c:v>3351744</c:v>
                </c:pt>
                <c:pt idx="1">
                  <c:v>3951744</c:v>
                </c:pt>
                <c:pt idx="2">
                  <c:v>4551744</c:v>
                </c:pt>
              </c:numCache>
            </c:numRef>
          </c:val>
          <c:extLst>
            <c:ext xmlns:c16="http://schemas.microsoft.com/office/drawing/2014/chart" uri="{C3380CC4-5D6E-409C-BE32-E72D297353CC}">
              <c16:uniqueId val="{00000000-252F-41D5-9F1B-5A707FE5FD1F}"/>
            </c:ext>
          </c:extLst>
        </c:ser>
        <c:ser>
          <c:idx val="1"/>
          <c:order val="1"/>
          <c:tx>
            <c:strRef>
              <c:f>'Mod. egresos'!$A$11</c:f>
              <c:strCache>
                <c:ptCount val="1"/>
                <c:pt idx="0">
                  <c:v>Costos variables</c:v>
                </c:pt>
              </c:strCache>
            </c:strRef>
          </c:tx>
          <c:spPr>
            <a:solidFill>
              <a:schemeClr val="accent4"/>
            </a:solidFill>
            <a:ln>
              <a:noFill/>
            </a:ln>
            <a:effectLst/>
          </c:spPr>
          <c:invertIfNegative val="0"/>
          <c:cat>
            <c:numRef>
              <c:f>'Mod. egresos'!$B$9:$D$9</c:f>
              <c:numCache>
                <c:formatCode>General</c:formatCode>
                <c:ptCount val="3"/>
                <c:pt idx="0">
                  <c:v>2021</c:v>
                </c:pt>
                <c:pt idx="1">
                  <c:v>2022</c:v>
                </c:pt>
                <c:pt idx="2">
                  <c:v>2023</c:v>
                </c:pt>
              </c:numCache>
            </c:numRef>
          </c:cat>
          <c:val>
            <c:numRef>
              <c:f>'Mod. egresos'!$B$11:$D$11</c:f>
              <c:numCache>
                <c:formatCode>"$"\ #,##0.00</c:formatCode>
                <c:ptCount val="3"/>
                <c:pt idx="0">
                  <c:v>8753536</c:v>
                </c:pt>
                <c:pt idx="1">
                  <c:v>15604672</c:v>
                </c:pt>
                <c:pt idx="2">
                  <c:v>22455808</c:v>
                </c:pt>
              </c:numCache>
            </c:numRef>
          </c:val>
          <c:extLst>
            <c:ext xmlns:c16="http://schemas.microsoft.com/office/drawing/2014/chart" uri="{C3380CC4-5D6E-409C-BE32-E72D297353CC}">
              <c16:uniqueId val="{00000001-252F-41D5-9F1B-5A707FE5FD1F}"/>
            </c:ext>
          </c:extLst>
        </c:ser>
        <c:ser>
          <c:idx val="2"/>
          <c:order val="2"/>
          <c:tx>
            <c:strRef>
              <c:f>'Mod. egresos'!$A$12</c:f>
              <c:strCache>
                <c:ptCount val="1"/>
                <c:pt idx="0">
                  <c:v>Costos de RRHH</c:v>
                </c:pt>
              </c:strCache>
            </c:strRef>
          </c:tx>
          <c:spPr>
            <a:solidFill>
              <a:schemeClr val="accent6"/>
            </a:solidFill>
            <a:ln>
              <a:noFill/>
            </a:ln>
            <a:effectLst/>
          </c:spPr>
          <c:invertIfNegative val="0"/>
          <c:cat>
            <c:numRef>
              <c:f>'Mod. egresos'!$B$9:$D$9</c:f>
              <c:numCache>
                <c:formatCode>General</c:formatCode>
                <c:ptCount val="3"/>
                <c:pt idx="0">
                  <c:v>2021</c:v>
                </c:pt>
                <c:pt idx="1">
                  <c:v>2022</c:v>
                </c:pt>
                <c:pt idx="2">
                  <c:v>2023</c:v>
                </c:pt>
              </c:numCache>
            </c:numRef>
          </c:cat>
          <c:val>
            <c:numRef>
              <c:f>'Mod. egresos'!$B$12:$D$12</c:f>
              <c:numCache>
                <c:formatCode>"$"\ #,##0.00</c:formatCode>
                <c:ptCount val="3"/>
                <c:pt idx="0">
                  <c:v>17854117.440000001</c:v>
                </c:pt>
                <c:pt idx="1">
                  <c:v>26928160.68</c:v>
                </c:pt>
                <c:pt idx="2">
                  <c:v>38051296.439999998</c:v>
                </c:pt>
              </c:numCache>
            </c:numRef>
          </c:val>
          <c:extLst>
            <c:ext xmlns:c16="http://schemas.microsoft.com/office/drawing/2014/chart" uri="{C3380CC4-5D6E-409C-BE32-E72D297353CC}">
              <c16:uniqueId val="{00000002-252F-41D5-9F1B-5A707FE5FD1F}"/>
            </c:ext>
          </c:extLst>
        </c:ser>
        <c:dLbls>
          <c:showLegendKey val="0"/>
          <c:showVal val="0"/>
          <c:showCatName val="0"/>
          <c:showSerName val="0"/>
          <c:showPercent val="0"/>
          <c:showBubbleSize val="0"/>
        </c:dLbls>
        <c:gapWidth val="219"/>
        <c:overlap val="-27"/>
        <c:axId val="1022353200"/>
        <c:axId val="1177979744"/>
      </c:barChart>
      <c:lineChart>
        <c:grouping val="standard"/>
        <c:varyColors val="0"/>
        <c:ser>
          <c:idx val="3"/>
          <c:order val="3"/>
          <c:tx>
            <c:strRef>
              <c:f>'Mod. egresos'!$A$13</c:f>
              <c:strCache>
                <c:ptCount val="1"/>
                <c:pt idx="0">
                  <c:v>Costos totales</c:v>
                </c:pt>
              </c:strCache>
            </c:strRef>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'Mod. egresos'!$B$9:$D$9</c:f>
              <c:numCache>
                <c:formatCode>General</c:formatCode>
                <c:ptCount val="3"/>
                <c:pt idx="0">
                  <c:v>2021</c:v>
                </c:pt>
                <c:pt idx="1">
                  <c:v>2022</c:v>
                </c:pt>
                <c:pt idx="2">
                  <c:v>2023</c:v>
                </c:pt>
              </c:numCache>
            </c:numRef>
          </c:cat>
          <c:val>
            <c:numRef>
              <c:f>'Mod. egresos'!$B$13:$D$13</c:f>
              <c:numCache>
                <c:formatCode>"$"\ #,##0.00</c:formatCode>
                <c:ptCount val="3"/>
                <c:pt idx="0">
                  <c:v>29961418.440000001</c:v>
                </c:pt>
                <c:pt idx="1">
                  <c:v>46486598.68</c:v>
                </c:pt>
                <c:pt idx="2">
                  <c:v>65060871.439999998</c:v>
                </c:pt>
              </c:numCache>
            </c:numRef>
          </c:val>
          <c:smooth val="0"/>
          <c:extLst>
            <c:ext xmlns:c16="http://schemas.microsoft.com/office/drawing/2014/chart" uri="{C3380CC4-5D6E-409C-BE32-E72D297353CC}">
              <c16:uniqueId val="{00000003-252F-41D5-9F1B-5A707FE5FD1F}"/>
            </c:ext>
          </c:extLst>
        </c:ser>
        <c:dLbls>
          <c:showLegendKey val="0"/>
          <c:showVal val="0"/>
          <c:showCatName val="0"/>
          <c:showSerName val="0"/>
          <c:showPercent val="0"/>
          <c:showBubbleSize val="0"/>
        </c:dLbls>
        <c:marker val="1"/>
        <c:smooth val="0"/>
        <c:axId val="1022353200"/>
        <c:axId val="1177979744"/>
      </c:lineChart>
      <c:catAx>
        <c:axId val="10223532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177979744"/>
        <c:crosses val="autoZero"/>
        <c:auto val="1"/>
        <c:lblAlgn val="ctr"/>
        <c:lblOffset val="100"/>
        <c:noMultiLvlLbl val="0"/>
      </c:catAx>
      <c:valAx>
        <c:axId val="11779797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223532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s-AR"/>
              <a:t>Ingresos vs Egresos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s-AR"/>
        </a:p>
      </c:txPr>
    </c:title>
    <c:autoTitleDeleted val="0"/>
    <c:plotArea>
      <c:layout/>
      <c:lineChart>
        <c:grouping val="standard"/>
        <c:varyColors val="0"/>
        <c:ser>
          <c:idx val="0"/>
          <c:order val="0"/>
          <c:tx>
            <c:strRef>
              <c:f>'Mod. egresos'!$A$13</c:f>
              <c:strCache>
                <c:ptCount val="1"/>
                <c:pt idx="0">
                  <c:v>Costos totales</c:v>
                </c:pt>
              </c:strCache>
            </c:strRef>
          </c:tx>
          <c:spPr>
            <a:ln w="38100" cap="rnd">
              <a:solidFill>
                <a:schemeClr val="accent1"/>
              </a:solidFill>
              <a:round/>
            </a:ln>
            <a:effectLst/>
          </c:spPr>
          <c:marker>
            <c:symbol val="none"/>
          </c:marker>
          <c:cat>
            <c:numRef>
              <c:f>'Mod. egresos'!$B$9:$D$9</c:f>
              <c:numCache>
                <c:formatCode>General</c:formatCode>
                <c:ptCount val="3"/>
                <c:pt idx="0">
                  <c:v>2021</c:v>
                </c:pt>
                <c:pt idx="1">
                  <c:v>2022</c:v>
                </c:pt>
                <c:pt idx="2">
                  <c:v>2023</c:v>
                </c:pt>
              </c:numCache>
            </c:numRef>
          </c:cat>
          <c:val>
            <c:numRef>
              <c:f>'Mod. egresos'!$B$13:$D$13</c:f>
              <c:numCache>
                <c:formatCode>"$"\ #,##0.00</c:formatCode>
                <c:ptCount val="3"/>
                <c:pt idx="0">
                  <c:v>29961418.440000001</c:v>
                </c:pt>
                <c:pt idx="1">
                  <c:v>46486598.68</c:v>
                </c:pt>
                <c:pt idx="2">
                  <c:v>65060871.439999998</c:v>
                </c:pt>
              </c:numCache>
            </c:numRef>
          </c:val>
          <c:smooth val="0"/>
          <c:extLst>
            <c:ext xmlns:c16="http://schemas.microsoft.com/office/drawing/2014/chart" uri="{C3380CC4-5D6E-409C-BE32-E72D297353CC}">
              <c16:uniqueId val="{00000000-F8DF-4E16-9F13-7AC41150A311}"/>
            </c:ext>
          </c:extLst>
        </c:ser>
        <c:ser>
          <c:idx val="1"/>
          <c:order val="1"/>
          <c:tx>
            <c:strRef>
              <c:f>'Mod. egresos'!$A$14</c:f>
              <c:strCache>
                <c:ptCount val="1"/>
                <c:pt idx="0">
                  <c:v>Objetivo ingresos</c:v>
                </c:pt>
              </c:strCache>
            </c:strRef>
          </c:tx>
          <c:spPr>
            <a:ln w="38100" cap="rnd">
              <a:solidFill>
                <a:schemeClr val="accent2"/>
              </a:solidFill>
              <a:round/>
            </a:ln>
            <a:effectLst/>
          </c:spPr>
          <c:marker>
            <c:symbol val="none"/>
          </c:marker>
          <c:cat>
            <c:numRef>
              <c:f>'Mod. egresos'!$B$9:$D$9</c:f>
              <c:numCache>
                <c:formatCode>General</c:formatCode>
                <c:ptCount val="3"/>
                <c:pt idx="0">
                  <c:v>2021</c:v>
                </c:pt>
                <c:pt idx="1">
                  <c:v>2022</c:v>
                </c:pt>
                <c:pt idx="2">
                  <c:v>2023</c:v>
                </c:pt>
              </c:numCache>
            </c:numRef>
          </c:cat>
          <c:val>
            <c:numRef>
              <c:f>'Mod. egresos'!$B$14:$D$14</c:f>
              <c:numCache>
                <c:formatCode>"$"\ #,##0.00</c:formatCode>
                <c:ptCount val="3"/>
                <c:pt idx="0">
                  <c:v>31551000</c:v>
                </c:pt>
                <c:pt idx="1">
                  <c:v>60675000</c:v>
                </c:pt>
                <c:pt idx="2">
                  <c:v>97080000</c:v>
                </c:pt>
              </c:numCache>
            </c:numRef>
          </c:val>
          <c:smooth val="0"/>
          <c:extLst>
            <c:ext xmlns:c16="http://schemas.microsoft.com/office/drawing/2014/chart" uri="{C3380CC4-5D6E-409C-BE32-E72D297353CC}">
              <c16:uniqueId val="{00000001-F8DF-4E16-9F13-7AC41150A311}"/>
            </c:ext>
          </c:extLst>
        </c:ser>
        <c:dLbls>
          <c:showLegendKey val="0"/>
          <c:showVal val="0"/>
          <c:showCatName val="0"/>
          <c:showSerName val="0"/>
          <c:showPercent val="0"/>
          <c:showBubbleSize val="0"/>
        </c:dLbls>
        <c:smooth val="0"/>
        <c:axId val="1025409232"/>
        <c:axId val="1173350528"/>
      </c:lineChart>
      <c:catAx>
        <c:axId val="102540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s-AR"/>
          </a:p>
        </c:txPr>
        <c:crossAx val="1173350528"/>
        <c:crosses val="autoZero"/>
        <c:auto val="1"/>
        <c:lblAlgn val="ctr"/>
        <c:lblOffset val="100"/>
        <c:noMultiLvlLbl val="0"/>
      </c:catAx>
      <c:valAx>
        <c:axId val="11733505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025409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 de ventas 2019</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manualLayout>
          <c:layoutTarget val="inner"/>
          <c:xMode val="edge"/>
          <c:yMode val="edge"/>
          <c:x val="0.10072347391190987"/>
          <c:y val="8.3947929945699024E-2"/>
          <c:w val="0.88416923240132761"/>
          <c:h val="0.78659194141361466"/>
        </c:manualLayout>
      </c:layout>
      <c:barChart>
        <c:barDir val="col"/>
        <c:grouping val="clustered"/>
        <c:varyColors val="0"/>
        <c:ser>
          <c:idx val="0"/>
          <c:order val="0"/>
          <c:tx>
            <c:strRef>
              <c:f>'Proy. ventas'!$E$16:$F$16</c:f>
              <c:strCache>
                <c:ptCount val="1"/>
                <c:pt idx="0">
                  <c:v>Enero</c:v>
                </c:pt>
              </c:strCache>
            </c:strRef>
          </c:tx>
          <c:spPr>
            <a:solidFill>
              <a:schemeClr val="accent1"/>
            </a:solidFill>
            <a:ln>
              <a:noFill/>
            </a:ln>
            <a:effectLst/>
          </c:spPr>
          <c:invertIfNegative val="0"/>
          <c:val>
            <c:numRef>
              <c:f>'Proy. ventas'!$F$31</c:f>
              <c:numCache>
                <c:formatCode>_("$"* #,##0.00_);_("$"* \(#,##0.00\);_("$"* "-"??_);_(@_)</c:formatCode>
                <c:ptCount val="1"/>
                <c:pt idx="0">
                  <c:v>3498000</c:v>
                </c:pt>
              </c:numCache>
            </c:numRef>
          </c:val>
          <c:extLst>
            <c:ext xmlns:c16="http://schemas.microsoft.com/office/drawing/2014/chart" uri="{C3380CC4-5D6E-409C-BE32-E72D297353CC}">
              <c16:uniqueId val="{00000000-4DA9-477F-8514-E5E1C16EC836}"/>
            </c:ext>
          </c:extLst>
        </c:ser>
        <c:ser>
          <c:idx val="1"/>
          <c:order val="1"/>
          <c:tx>
            <c:strRef>
              <c:f>'Proy. ventas'!$G$16:$H$16</c:f>
              <c:strCache>
                <c:ptCount val="1"/>
                <c:pt idx="0">
                  <c:v>Febrero</c:v>
                </c:pt>
              </c:strCache>
            </c:strRef>
          </c:tx>
          <c:spPr>
            <a:solidFill>
              <a:schemeClr val="accent2"/>
            </a:solidFill>
            <a:ln>
              <a:noFill/>
            </a:ln>
            <a:effectLst/>
          </c:spPr>
          <c:invertIfNegative val="0"/>
          <c:val>
            <c:numRef>
              <c:f>'Proy. ventas'!$H$31</c:f>
              <c:numCache>
                <c:formatCode>_("$"* #,##0.00_);_("$"* \(#,##0.00\);_("$"* "-"??_);_(@_)</c:formatCode>
                <c:ptCount val="1"/>
                <c:pt idx="0">
                  <c:v>2915000</c:v>
                </c:pt>
              </c:numCache>
            </c:numRef>
          </c:val>
          <c:extLst>
            <c:ext xmlns:c16="http://schemas.microsoft.com/office/drawing/2014/chart" uri="{C3380CC4-5D6E-409C-BE32-E72D297353CC}">
              <c16:uniqueId val="{00000001-4DA9-477F-8514-E5E1C16EC836}"/>
            </c:ext>
          </c:extLst>
        </c:ser>
        <c:ser>
          <c:idx val="2"/>
          <c:order val="2"/>
          <c:tx>
            <c:strRef>
              <c:f>'Proy. ventas'!$I$16:$J$16</c:f>
              <c:strCache>
                <c:ptCount val="1"/>
                <c:pt idx="0">
                  <c:v>Marzo</c:v>
                </c:pt>
              </c:strCache>
            </c:strRef>
          </c:tx>
          <c:spPr>
            <a:solidFill>
              <a:schemeClr val="accent3"/>
            </a:solidFill>
            <a:ln>
              <a:noFill/>
            </a:ln>
            <a:effectLst/>
          </c:spPr>
          <c:invertIfNegative val="0"/>
          <c:val>
            <c:numRef>
              <c:f>'Proy. ventas'!$J$31</c:f>
              <c:numCache>
                <c:formatCode>_("$"* #,##0.00_);_("$"* \(#,##0.00\);_("$"* "-"??_);_(@_)</c:formatCode>
                <c:ptCount val="1"/>
                <c:pt idx="0">
                  <c:v>2332000</c:v>
                </c:pt>
              </c:numCache>
            </c:numRef>
          </c:val>
          <c:extLst>
            <c:ext xmlns:c16="http://schemas.microsoft.com/office/drawing/2014/chart" uri="{C3380CC4-5D6E-409C-BE32-E72D297353CC}">
              <c16:uniqueId val="{00000002-4DA9-477F-8514-E5E1C16EC836}"/>
            </c:ext>
          </c:extLst>
        </c:ser>
        <c:ser>
          <c:idx val="3"/>
          <c:order val="3"/>
          <c:tx>
            <c:strRef>
              <c:f>'Proy. ventas'!$K$16:$L$16</c:f>
              <c:strCache>
                <c:ptCount val="1"/>
                <c:pt idx="0">
                  <c:v>Abril</c:v>
                </c:pt>
              </c:strCache>
            </c:strRef>
          </c:tx>
          <c:spPr>
            <a:solidFill>
              <a:schemeClr val="accent4"/>
            </a:solidFill>
            <a:ln>
              <a:noFill/>
            </a:ln>
            <a:effectLst/>
          </c:spPr>
          <c:invertIfNegative val="0"/>
          <c:val>
            <c:numRef>
              <c:f>'Proy. ventas'!$L$31</c:f>
              <c:numCache>
                <c:formatCode>_("$"* #,##0.00_);_("$"* \(#,##0.00\);_("$"* "-"??_);_(@_)</c:formatCode>
                <c:ptCount val="1"/>
                <c:pt idx="0">
                  <c:v>2040500.0000000002</c:v>
                </c:pt>
              </c:numCache>
            </c:numRef>
          </c:val>
          <c:extLst>
            <c:ext xmlns:c16="http://schemas.microsoft.com/office/drawing/2014/chart" uri="{C3380CC4-5D6E-409C-BE32-E72D297353CC}">
              <c16:uniqueId val="{00000003-4DA9-477F-8514-E5E1C16EC836}"/>
            </c:ext>
          </c:extLst>
        </c:ser>
        <c:ser>
          <c:idx val="4"/>
          <c:order val="4"/>
          <c:tx>
            <c:strRef>
              <c:f>'Proy. ventas'!$M$16:$N$16</c:f>
              <c:strCache>
                <c:ptCount val="1"/>
                <c:pt idx="0">
                  <c:v>Mayo</c:v>
                </c:pt>
              </c:strCache>
            </c:strRef>
          </c:tx>
          <c:spPr>
            <a:solidFill>
              <a:schemeClr val="accent5"/>
            </a:solidFill>
            <a:ln>
              <a:noFill/>
            </a:ln>
            <a:effectLst/>
          </c:spPr>
          <c:invertIfNegative val="0"/>
          <c:val>
            <c:numRef>
              <c:f>'Proy. ventas'!$N$31</c:f>
              <c:numCache>
                <c:formatCode>_("$"* #,##0.00_);_("$"* \(#,##0.00\);_("$"* "-"??_);_(@_)</c:formatCode>
                <c:ptCount val="1"/>
                <c:pt idx="0">
                  <c:v>1166000</c:v>
                </c:pt>
              </c:numCache>
            </c:numRef>
          </c:val>
          <c:extLst>
            <c:ext xmlns:c16="http://schemas.microsoft.com/office/drawing/2014/chart" uri="{C3380CC4-5D6E-409C-BE32-E72D297353CC}">
              <c16:uniqueId val="{00000004-4DA9-477F-8514-E5E1C16EC836}"/>
            </c:ext>
          </c:extLst>
        </c:ser>
        <c:ser>
          <c:idx val="5"/>
          <c:order val="5"/>
          <c:tx>
            <c:strRef>
              <c:f>'Proy. ventas'!$O$16:$P$16</c:f>
              <c:strCache>
                <c:ptCount val="1"/>
                <c:pt idx="0">
                  <c:v>Junio</c:v>
                </c:pt>
              </c:strCache>
            </c:strRef>
          </c:tx>
          <c:spPr>
            <a:solidFill>
              <a:schemeClr val="accent6"/>
            </a:solidFill>
            <a:ln>
              <a:noFill/>
            </a:ln>
            <a:effectLst/>
          </c:spPr>
          <c:invertIfNegative val="0"/>
          <c:val>
            <c:numRef>
              <c:f>'Proy. ventas'!$P$31</c:f>
              <c:numCache>
                <c:formatCode>_("$"* #,##0.00_);_("$"* \(#,##0.00\);_("$"* "-"??_);_(@_)</c:formatCode>
                <c:ptCount val="1"/>
                <c:pt idx="0">
                  <c:v>1166000</c:v>
                </c:pt>
              </c:numCache>
            </c:numRef>
          </c:val>
          <c:extLst>
            <c:ext xmlns:c16="http://schemas.microsoft.com/office/drawing/2014/chart" uri="{C3380CC4-5D6E-409C-BE32-E72D297353CC}">
              <c16:uniqueId val="{00000005-4DA9-477F-8514-E5E1C16EC836}"/>
            </c:ext>
          </c:extLst>
        </c:ser>
        <c:ser>
          <c:idx val="6"/>
          <c:order val="6"/>
          <c:tx>
            <c:strRef>
              <c:f>'Proy. ventas'!$Q$16:$R$16</c:f>
              <c:strCache>
                <c:ptCount val="1"/>
                <c:pt idx="0">
                  <c:v>Julio</c:v>
                </c:pt>
              </c:strCache>
            </c:strRef>
          </c:tx>
          <c:spPr>
            <a:solidFill>
              <a:schemeClr val="accent1">
                <a:lumMod val="60000"/>
              </a:schemeClr>
            </a:solidFill>
            <a:ln>
              <a:noFill/>
            </a:ln>
            <a:effectLst/>
          </c:spPr>
          <c:invertIfNegative val="0"/>
          <c:val>
            <c:numRef>
              <c:f>'Proy. ventas'!$R$31</c:f>
              <c:numCache>
                <c:formatCode>_("$"* #,##0.00_);_("$"* \(#,##0.00\);_("$"* "-"??_);_(@_)</c:formatCode>
                <c:ptCount val="1"/>
                <c:pt idx="0">
                  <c:v>2332000</c:v>
                </c:pt>
              </c:numCache>
            </c:numRef>
          </c:val>
          <c:extLst>
            <c:ext xmlns:c16="http://schemas.microsoft.com/office/drawing/2014/chart" uri="{C3380CC4-5D6E-409C-BE32-E72D297353CC}">
              <c16:uniqueId val="{00000006-4DA9-477F-8514-E5E1C16EC836}"/>
            </c:ext>
          </c:extLst>
        </c:ser>
        <c:ser>
          <c:idx val="7"/>
          <c:order val="7"/>
          <c:tx>
            <c:strRef>
              <c:f>'Proy. ventas'!$S$16:$T$16</c:f>
              <c:strCache>
                <c:ptCount val="1"/>
                <c:pt idx="0">
                  <c:v>Agosto</c:v>
                </c:pt>
              </c:strCache>
            </c:strRef>
          </c:tx>
          <c:spPr>
            <a:solidFill>
              <a:schemeClr val="accent2">
                <a:lumMod val="60000"/>
              </a:schemeClr>
            </a:solidFill>
            <a:ln>
              <a:noFill/>
            </a:ln>
            <a:effectLst/>
          </c:spPr>
          <c:invertIfNegative val="0"/>
          <c:val>
            <c:numRef>
              <c:f>'Proy. ventas'!$T$31</c:f>
              <c:numCache>
                <c:formatCode>_("$"* #,##0.00_);_("$"* \(#,##0.00\);_("$"* "-"??_);_(@_)</c:formatCode>
                <c:ptCount val="1"/>
                <c:pt idx="0">
                  <c:v>1166000</c:v>
                </c:pt>
              </c:numCache>
            </c:numRef>
          </c:val>
          <c:extLst>
            <c:ext xmlns:c16="http://schemas.microsoft.com/office/drawing/2014/chart" uri="{C3380CC4-5D6E-409C-BE32-E72D297353CC}">
              <c16:uniqueId val="{00000007-4DA9-477F-8514-E5E1C16EC836}"/>
            </c:ext>
          </c:extLst>
        </c:ser>
        <c:ser>
          <c:idx val="8"/>
          <c:order val="8"/>
          <c:tx>
            <c:strRef>
              <c:f>'Proy. ventas'!$U$16:$V$16</c:f>
              <c:strCache>
                <c:ptCount val="1"/>
                <c:pt idx="0">
                  <c:v>Septiembre</c:v>
                </c:pt>
              </c:strCache>
            </c:strRef>
          </c:tx>
          <c:spPr>
            <a:solidFill>
              <a:schemeClr val="accent3">
                <a:lumMod val="60000"/>
              </a:schemeClr>
            </a:solidFill>
            <a:ln>
              <a:noFill/>
            </a:ln>
            <a:effectLst/>
          </c:spPr>
          <c:invertIfNegative val="0"/>
          <c:val>
            <c:numRef>
              <c:f>'Proy. ventas'!$V$31</c:f>
              <c:numCache>
                <c:formatCode>_("$"* #,##0.00_);_("$"* \(#,##0.00\);_("$"* "-"??_);_(@_)</c:formatCode>
                <c:ptCount val="1"/>
                <c:pt idx="0">
                  <c:v>2915000</c:v>
                </c:pt>
              </c:numCache>
            </c:numRef>
          </c:val>
          <c:extLst>
            <c:ext xmlns:c16="http://schemas.microsoft.com/office/drawing/2014/chart" uri="{C3380CC4-5D6E-409C-BE32-E72D297353CC}">
              <c16:uniqueId val="{00000008-4DA9-477F-8514-E5E1C16EC836}"/>
            </c:ext>
          </c:extLst>
        </c:ser>
        <c:ser>
          <c:idx val="9"/>
          <c:order val="9"/>
          <c:tx>
            <c:strRef>
              <c:f>'Proy. ventas'!$W$16:$X$16</c:f>
              <c:strCache>
                <c:ptCount val="1"/>
                <c:pt idx="0">
                  <c:v>Octubre</c:v>
                </c:pt>
              </c:strCache>
            </c:strRef>
          </c:tx>
          <c:spPr>
            <a:solidFill>
              <a:schemeClr val="accent4">
                <a:lumMod val="60000"/>
              </a:schemeClr>
            </a:solidFill>
            <a:ln>
              <a:noFill/>
            </a:ln>
            <a:effectLst/>
          </c:spPr>
          <c:invertIfNegative val="0"/>
          <c:val>
            <c:numRef>
              <c:f>'Proy. ventas'!$X$31</c:f>
              <c:numCache>
                <c:formatCode>_("$"* #,##0.00_);_("$"* \(#,##0.00\);_("$"* "-"??_);_(@_)</c:formatCode>
                <c:ptCount val="1"/>
                <c:pt idx="0">
                  <c:v>2915000</c:v>
                </c:pt>
              </c:numCache>
            </c:numRef>
          </c:val>
          <c:extLst>
            <c:ext xmlns:c16="http://schemas.microsoft.com/office/drawing/2014/chart" uri="{C3380CC4-5D6E-409C-BE32-E72D297353CC}">
              <c16:uniqueId val="{00000009-4DA9-477F-8514-E5E1C16EC836}"/>
            </c:ext>
          </c:extLst>
        </c:ser>
        <c:ser>
          <c:idx val="10"/>
          <c:order val="10"/>
          <c:tx>
            <c:strRef>
              <c:f>'Proy. ventas'!$Y$16:$Z$16</c:f>
              <c:strCache>
                <c:ptCount val="1"/>
                <c:pt idx="0">
                  <c:v>Noviembre</c:v>
                </c:pt>
              </c:strCache>
            </c:strRef>
          </c:tx>
          <c:spPr>
            <a:solidFill>
              <a:schemeClr val="accent5">
                <a:lumMod val="60000"/>
              </a:schemeClr>
            </a:solidFill>
            <a:ln>
              <a:noFill/>
            </a:ln>
            <a:effectLst/>
          </c:spPr>
          <c:invertIfNegative val="0"/>
          <c:val>
            <c:numRef>
              <c:f>'Proy. ventas'!$Z$31</c:f>
              <c:numCache>
                <c:formatCode>_("$"* #,##0.00_);_("$"* \(#,##0.00\);_("$"* "-"??_);_(@_)</c:formatCode>
                <c:ptCount val="1"/>
                <c:pt idx="0">
                  <c:v>3206500</c:v>
                </c:pt>
              </c:numCache>
            </c:numRef>
          </c:val>
          <c:extLst>
            <c:ext xmlns:c16="http://schemas.microsoft.com/office/drawing/2014/chart" uri="{C3380CC4-5D6E-409C-BE32-E72D297353CC}">
              <c16:uniqueId val="{0000000A-4DA9-477F-8514-E5E1C16EC836}"/>
            </c:ext>
          </c:extLst>
        </c:ser>
        <c:ser>
          <c:idx val="11"/>
          <c:order val="11"/>
          <c:tx>
            <c:strRef>
              <c:f>'Proy. ventas'!$AA$16:$AB$16</c:f>
              <c:strCache>
                <c:ptCount val="1"/>
                <c:pt idx="0">
                  <c:v>Diciembre</c:v>
                </c:pt>
              </c:strCache>
            </c:strRef>
          </c:tx>
          <c:spPr>
            <a:solidFill>
              <a:schemeClr val="accent6">
                <a:lumMod val="60000"/>
              </a:schemeClr>
            </a:solidFill>
            <a:ln>
              <a:noFill/>
            </a:ln>
            <a:effectLst/>
          </c:spPr>
          <c:invertIfNegative val="0"/>
          <c:val>
            <c:numRef>
              <c:f>'Proy. ventas'!$AB$31</c:f>
              <c:numCache>
                <c:formatCode>_("$"* #,##0.00_);_("$"* \(#,##0.00\);_("$"* "-"??_);_(@_)</c:formatCode>
                <c:ptCount val="1"/>
                <c:pt idx="0">
                  <c:v>4081000.0000000005</c:v>
                </c:pt>
              </c:numCache>
            </c:numRef>
          </c:val>
          <c:extLst>
            <c:ext xmlns:c16="http://schemas.microsoft.com/office/drawing/2014/chart" uri="{C3380CC4-5D6E-409C-BE32-E72D297353CC}">
              <c16:uniqueId val="{0000000B-4DA9-477F-8514-E5E1C16EC836}"/>
            </c:ext>
          </c:extLst>
        </c:ser>
        <c:dLbls>
          <c:showLegendKey val="0"/>
          <c:showVal val="0"/>
          <c:showCatName val="0"/>
          <c:showSerName val="0"/>
          <c:showPercent val="0"/>
          <c:showBubbleSize val="0"/>
        </c:dLbls>
        <c:gapWidth val="219"/>
        <c:overlap val="-27"/>
        <c:axId val="281132207"/>
        <c:axId val="283847231"/>
      </c:barChart>
      <c:catAx>
        <c:axId val="28113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83847231"/>
        <c:crosses val="autoZero"/>
        <c:auto val="1"/>
        <c:lblAlgn val="ctr"/>
        <c:lblOffset val="100"/>
        <c:noMultiLvlLbl val="0"/>
      </c:catAx>
      <c:valAx>
        <c:axId val="283847231"/>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s-AR"/>
          </a:p>
        </c:txPr>
        <c:crossAx val="281132207"/>
        <c:crosses val="autoZero"/>
        <c:crossBetween val="between"/>
      </c:valAx>
      <c:spPr>
        <a:noFill/>
        <a:ln>
          <a:noFill/>
        </a:ln>
        <a:effectLst/>
      </c:spPr>
    </c:plotArea>
    <c:legend>
      <c:legendPos val="b"/>
      <c:overlay val="1"/>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s-AR" sz="1600" b="1"/>
              <a:t>Proyección mensual</a:t>
            </a:r>
            <a:r>
              <a:rPr lang="es-AR" sz="1600" b="1" baseline="0"/>
              <a:t> de ventas 2020</a:t>
            </a:r>
            <a:endParaRPr lang="es-AR"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'Proy. ventas'!$E$77:$F$77</c:f>
              <c:strCache>
                <c:ptCount val="1"/>
                <c:pt idx="0">
                  <c:v>Enero</c:v>
                </c:pt>
              </c:strCache>
            </c:strRef>
          </c:tx>
          <c:spPr>
            <a:solidFill>
              <a:schemeClr val="accent1"/>
            </a:solidFill>
            <a:ln>
              <a:noFill/>
            </a:ln>
            <a:effectLst/>
          </c:spPr>
          <c:invertIfNegative val="0"/>
          <c:val>
            <c:numRef>
              <c:f>'Proy. ventas'!$F$92</c:f>
              <c:numCache>
                <c:formatCode>_("$"* #,##0.00_);_("$"* \(#,##0.00\);_("$"* "-"??_);_(@_)</c:formatCode>
                <c:ptCount val="1"/>
                <c:pt idx="0">
                  <c:v>6996000</c:v>
                </c:pt>
              </c:numCache>
            </c:numRef>
          </c:val>
          <c:extLst>
            <c:ext xmlns:c16="http://schemas.microsoft.com/office/drawing/2014/chart" uri="{C3380CC4-5D6E-409C-BE32-E72D297353CC}">
              <c16:uniqueId val="{00000000-916A-4904-8F5A-19D256CB58D9}"/>
            </c:ext>
          </c:extLst>
        </c:ser>
        <c:ser>
          <c:idx val="1"/>
          <c:order val="1"/>
          <c:tx>
            <c:strRef>
              <c:f>'Proy. ventas'!$G$77:$H$77</c:f>
              <c:strCache>
                <c:ptCount val="1"/>
                <c:pt idx="0">
                  <c:v>Febrero</c:v>
                </c:pt>
              </c:strCache>
            </c:strRef>
          </c:tx>
          <c:spPr>
            <a:solidFill>
              <a:schemeClr val="accent2"/>
            </a:solidFill>
            <a:ln>
              <a:noFill/>
            </a:ln>
            <a:effectLst/>
          </c:spPr>
          <c:invertIfNegative val="0"/>
          <c:val>
            <c:numRef>
              <c:f>'Proy. ventas'!$H$92</c:f>
              <c:numCache>
                <c:formatCode>_("$"* #,##0.00_);_("$"* \(#,##0.00\);_("$"* "-"??_);_(@_)</c:formatCode>
                <c:ptCount val="1"/>
                <c:pt idx="0">
                  <c:v>5830000</c:v>
                </c:pt>
              </c:numCache>
            </c:numRef>
          </c:val>
          <c:extLst>
            <c:ext xmlns:c16="http://schemas.microsoft.com/office/drawing/2014/chart" uri="{C3380CC4-5D6E-409C-BE32-E72D297353CC}">
              <c16:uniqueId val="{00000001-916A-4904-8F5A-19D256CB58D9}"/>
            </c:ext>
          </c:extLst>
        </c:ser>
        <c:ser>
          <c:idx val="2"/>
          <c:order val="2"/>
          <c:tx>
            <c:strRef>
              <c:f>'Proy. ventas'!$I$77:$J$77</c:f>
              <c:strCache>
                <c:ptCount val="1"/>
                <c:pt idx="0">
                  <c:v>Marzo</c:v>
                </c:pt>
              </c:strCache>
            </c:strRef>
          </c:tx>
          <c:spPr>
            <a:solidFill>
              <a:schemeClr val="accent3"/>
            </a:solidFill>
            <a:ln>
              <a:noFill/>
            </a:ln>
            <a:effectLst/>
          </c:spPr>
          <c:invertIfNegative val="0"/>
          <c:val>
            <c:numRef>
              <c:f>'Proy. ventas'!$J$92</c:f>
              <c:numCache>
                <c:formatCode>_("$"* #,##0.00_);_("$"* \(#,##0.00\);_("$"* "-"??_);_(@_)</c:formatCode>
                <c:ptCount val="1"/>
                <c:pt idx="0">
                  <c:v>4664000</c:v>
                </c:pt>
              </c:numCache>
            </c:numRef>
          </c:val>
          <c:extLst>
            <c:ext xmlns:c16="http://schemas.microsoft.com/office/drawing/2014/chart" uri="{C3380CC4-5D6E-409C-BE32-E72D297353CC}">
              <c16:uniqueId val="{00000002-916A-4904-8F5A-19D256CB58D9}"/>
            </c:ext>
          </c:extLst>
        </c:ser>
        <c:ser>
          <c:idx val="3"/>
          <c:order val="3"/>
          <c:tx>
            <c:strRef>
              <c:f>'Proy. ventas'!$K$77:$L$77</c:f>
              <c:strCache>
                <c:ptCount val="1"/>
                <c:pt idx="0">
                  <c:v>Abril</c:v>
                </c:pt>
              </c:strCache>
            </c:strRef>
          </c:tx>
          <c:spPr>
            <a:solidFill>
              <a:schemeClr val="accent4"/>
            </a:solidFill>
            <a:ln>
              <a:noFill/>
            </a:ln>
            <a:effectLst/>
          </c:spPr>
          <c:invertIfNegative val="0"/>
          <c:val>
            <c:numRef>
              <c:f>'Proy. ventas'!$L$92</c:f>
              <c:numCache>
                <c:formatCode>_("$"* #,##0.00_);_("$"* \(#,##0.00\);_("$"* "-"??_);_(@_)</c:formatCode>
                <c:ptCount val="1"/>
                <c:pt idx="0">
                  <c:v>4081000.0000000005</c:v>
                </c:pt>
              </c:numCache>
            </c:numRef>
          </c:val>
          <c:extLst>
            <c:ext xmlns:c16="http://schemas.microsoft.com/office/drawing/2014/chart" uri="{C3380CC4-5D6E-409C-BE32-E72D297353CC}">
              <c16:uniqueId val="{00000003-916A-4904-8F5A-19D256CB58D9}"/>
            </c:ext>
          </c:extLst>
        </c:ser>
        <c:ser>
          <c:idx val="4"/>
          <c:order val="4"/>
          <c:tx>
            <c:strRef>
              <c:f>'Proy. ventas'!$M$77:$N$77</c:f>
              <c:strCache>
                <c:ptCount val="1"/>
                <c:pt idx="0">
                  <c:v>Mayo</c:v>
                </c:pt>
              </c:strCache>
            </c:strRef>
          </c:tx>
          <c:spPr>
            <a:solidFill>
              <a:schemeClr val="accent5"/>
            </a:solidFill>
            <a:ln>
              <a:noFill/>
            </a:ln>
            <a:effectLst/>
          </c:spPr>
          <c:invertIfNegative val="0"/>
          <c:val>
            <c:numRef>
              <c:f>'Proy. ventas'!$N$92</c:f>
              <c:numCache>
                <c:formatCode>_("$"* #,##0.00_);_("$"* \(#,##0.00\);_("$"* "-"??_);_(@_)</c:formatCode>
                <c:ptCount val="1"/>
                <c:pt idx="0">
                  <c:v>2332000</c:v>
                </c:pt>
              </c:numCache>
            </c:numRef>
          </c:val>
          <c:extLst>
            <c:ext xmlns:c16="http://schemas.microsoft.com/office/drawing/2014/chart" uri="{C3380CC4-5D6E-409C-BE32-E72D297353CC}">
              <c16:uniqueId val="{00000004-916A-4904-8F5A-19D256CB58D9}"/>
            </c:ext>
          </c:extLst>
        </c:ser>
        <c:ser>
          <c:idx val="5"/>
          <c:order val="5"/>
          <c:tx>
            <c:strRef>
              <c:f>'Proy. ventas'!$O$77:$P$77</c:f>
              <c:strCache>
                <c:ptCount val="1"/>
                <c:pt idx="0">
                  <c:v>Junio</c:v>
                </c:pt>
              </c:strCache>
            </c:strRef>
          </c:tx>
          <c:spPr>
            <a:solidFill>
              <a:schemeClr val="accent6"/>
            </a:solidFill>
            <a:ln>
              <a:noFill/>
            </a:ln>
            <a:effectLst/>
          </c:spPr>
          <c:invertIfNegative val="0"/>
          <c:val>
            <c:numRef>
              <c:f>'Proy. ventas'!$P$92</c:f>
              <c:numCache>
                <c:formatCode>_("$"* #,##0.00_);_("$"* \(#,##0.00\);_("$"* "-"??_);_(@_)</c:formatCode>
                <c:ptCount val="1"/>
                <c:pt idx="0">
                  <c:v>2332000</c:v>
                </c:pt>
              </c:numCache>
            </c:numRef>
          </c:val>
          <c:extLst>
            <c:ext xmlns:c16="http://schemas.microsoft.com/office/drawing/2014/chart" uri="{C3380CC4-5D6E-409C-BE32-E72D297353CC}">
              <c16:uniqueId val="{00000005-916A-4904-8F5A-19D256CB58D9}"/>
            </c:ext>
          </c:extLst>
        </c:ser>
        <c:ser>
          <c:idx val="6"/>
          <c:order val="6"/>
          <c:tx>
            <c:strRef>
              <c:f>'Proy. ventas'!$Q$77:$R$77</c:f>
              <c:strCache>
                <c:ptCount val="1"/>
                <c:pt idx="0">
                  <c:v>Julio</c:v>
                </c:pt>
              </c:strCache>
            </c:strRef>
          </c:tx>
          <c:spPr>
            <a:solidFill>
              <a:schemeClr val="accent1">
                <a:lumMod val="60000"/>
              </a:schemeClr>
            </a:solidFill>
            <a:ln>
              <a:noFill/>
            </a:ln>
            <a:effectLst/>
          </c:spPr>
          <c:invertIfNegative val="0"/>
          <c:val>
            <c:numRef>
              <c:f>'Proy. ventas'!$R$92</c:f>
              <c:numCache>
                <c:formatCode>_("$"* #,##0.00_);_("$"* \(#,##0.00\);_("$"* "-"??_);_(@_)</c:formatCode>
                <c:ptCount val="1"/>
                <c:pt idx="0">
                  <c:v>4664000</c:v>
                </c:pt>
              </c:numCache>
            </c:numRef>
          </c:val>
          <c:extLst>
            <c:ext xmlns:c16="http://schemas.microsoft.com/office/drawing/2014/chart" uri="{C3380CC4-5D6E-409C-BE32-E72D297353CC}">
              <c16:uniqueId val="{00000006-916A-4904-8F5A-19D256CB58D9}"/>
            </c:ext>
          </c:extLst>
        </c:ser>
        <c:ser>
          <c:idx val="7"/>
          <c:order val="7"/>
          <c:tx>
            <c:strRef>
              <c:f>'Proy. ventas'!$S$77:$T$77</c:f>
              <c:strCache>
                <c:ptCount val="1"/>
                <c:pt idx="0">
                  <c:v>Agosto</c:v>
                </c:pt>
              </c:strCache>
            </c:strRef>
          </c:tx>
          <c:spPr>
            <a:solidFill>
              <a:schemeClr val="accent2">
                <a:lumMod val="60000"/>
              </a:schemeClr>
            </a:solidFill>
            <a:ln>
              <a:noFill/>
            </a:ln>
            <a:effectLst/>
          </c:spPr>
          <c:invertIfNegative val="0"/>
          <c:val>
            <c:numRef>
              <c:f>'Proy. ventas'!$T$92</c:f>
              <c:numCache>
                <c:formatCode>_("$"* #,##0.00_);_("$"* \(#,##0.00\);_("$"* "-"??_);_(@_)</c:formatCode>
                <c:ptCount val="1"/>
                <c:pt idx="0">
                  <c:v>2332000</c:v>
                </c:pt>
              </c:numCache>
            </c:numRef>
          </c:val>
          <c:extLst>
            <c:ext xmlns:c16="http://schemas.microsoft.com/office/drawing/2014/chart" uri="{C3380CC4-5D6E-409C-BE32-E72D297353CC}">
              <c16:uniqueId val="{00000007-916A-4904-8F5A-19D256CB58D9}"/>
            </c:ext>
          </c:extLst>
        </c:ser>
        <c:ser>
          <c:idx val="8"/>
          <c:order val="8"/>
          <c:tx>
            <c:strRef>
              <c:f>'Proy. ventas'!$U$77:$V$77</c:f>
              <c:strCache>
                <c:ptCount val="1"/>
                <c:pt idx="0">
                  <c:v>Septiembre</c:v>
                </c:pt>
              </c:strCache>
            </c:strRef>
          </c:tx>
          <c:spPr>
            <a:solidFill>
              <a:schemeClr val="accent3">
                <a:lumMod val="60000"/>
              </a:schemeClr>
            </a:solidFill>
            <a:ln>
              <a:noFill/>
            </a:ln>
            <a:effectLst/>
          </c:spPr>
          <c:invertIfNegative val="0"/>
          <c:val>
            <c:numRef>
              <c:f>'Proy. ventas'!$V$92</c:f>
              <c:numCache>
                <c:formatCode>_("$"* #,##0.00_);_("$"* \(#,##0.00\);_("$"* "-"??_);_(@_)</c:formatCode>
                <c:ptCount val="1"/>
                <c:pt idx="0">
                  <c:v>5830000</c:v>
                </c:pt>
              </c:numCache>
            </c:numRef>
          </c:val>
          <c:extLst>
            <c:ext xmlns:c16="http://schemas.microsoft.com/office/drawing/2014/chart" uri="{C3380CC4-5D6E-409C-BE32-E72D297353CC}">
              <c16:uniqueId val="{00000008-916A-4904-8F5A-19D256CB58D9}"/>
            </c:ext>
          </c:extLst>
        </c:ser>
        <c:ser>
          <c:idx val="9"/>
          <c:order val="9"/>
          <c:tx>
            <c:strRef>
              <c:f>'Proy. ventas'!$W$77:$X$77</c:f>
              <c:strCache>
                <c:ptCount val="1"/>
                <c:pt idx="0">
                  <c:v>Octubre</c:v>
                </c:pt>
              </c:strCache>
            </c:strRef>
          </c:tx>
          <c:spPr>
            <a:solidFill>
              <a:schemeClr val="accent4">
                <a:lumMod val="60000"/>
              </a:schemeClr>
            </a:solidFill>
            <a:ln>
              <a:noFill/>
            </a:ln>
            <a:effectLst/>
          </c:spPr>
          <c:invertIfNegative val="0"/>
          <c:val>
            <c:numRef>
              <c:f>'Proy. ventas'!$X$92</c:f>
              <c:numCache>
                <c:formatCode>_("$"* #,##0.00_);_("$"* \(#,##0.00\);_("$"* "-"??_);_(@_)</c:formatCode>
                <c:ptCount val="1"/>
                <c:pt idx="0">
                  <c:v>5830000</c:v>
                </c:pt>
              </c:numCache>
            </c:numRef>
          </c:val>
          <c:extLst>
            <c:ext xmlns:c16="http://schemas.microsoft.com/office/drawing/2014/chart" uri="{C3380CC4-5D6E-409C-BE32-E72D297353CC}">
              <c16:uniqueId val="{00000009-916A-4904-8F5A-19D256CB58D9}"/>
            </c:ext>
          </c:extLst>
        </c:ser>
        <c:ser>
          <c:idx val="10"/>
          <c:order val="10"/>
          <c:tx>
            <c:strRef>
              <c:f>'Proy. ventas'!$Y$77:$Z$77</c:f>
              <c:strCache>
                <c:ptCount val="1"/>
                <c:pt idx="0">
                  <c:v>Noviembre</c:v>
                </c:pt>
              </c:strCache>
            </c:strRef>
          </c:tx>
          <c:spPr>
            <a:solidFill>
              <a:schemeClr val="accent5">
                <a:lumMod val="60000"/>
              </a:schemeClr>
            </a:solidFill>
            <a:ln>
              <a:noFill/>
            </a:ln>
            <a:effectLst/>
          </c:spPr>
          <c:invertIfNegative val="0"/>
          <c:val>
            <c:numRef>
              <c:f>'Proy. ventas'!$Z$92</c:f>
              <c:numCache>
                <c:formatCode>_("$"* #,##0.00_);_("$"* \(#,##0.00\);_("$"* "-"??_);_(@_)</c:formatCode>
                <c:ptCount val="1"/>
                <c:pt idx="0">
                  <c:v>6413000</c:v>
                </c:pt>
              </c:numCache>
            </c:numRef>
          </c:val>
          <c:extLst>
            <c:ext xmlns:c16="http://schemas.microsoft.com/office/drawing/2014/chart" uri="{C3380CC4-5D6E-409C-BE32-E72D297353CC}">
              <c16:uniqueId val="{0000000A-916A-4904-8F5A-19D256CB58D9}"/>
            </c:ext>
          </c:extLst>
        </c:ser>
        <c:ser>
          <c:idx val="11"/>
          <c:order val="11"/>
          <c:tx>
            <c:strRef>
              <c:f>'Proy. ventas'!$AA$77:$AB$77</c:f>
              <c:strCache>
                <c:ptCount val="1"/>
                <c:pt idx="0">
                  <c:v>Diciembre</c:v>
                </c:pt>
              </c:strCache>
            </c:strRef>
          </c:tx>
          <c:spPr>
            <a:solidFill>
              <a:schemeClr val="accent6">
                <a:lumMod val="60000"/>
              </a:schemeClr>
            </a:solidFill>
            <a:ln>
              <a:noFill/>
            </a:ln>
            <a:effectLst/>
          </c:spPr>
          <c:invertIfNegative val="0"/>
          <c:val>
            <c:numRef>
              <c:f>'Proy. ventas'!$AB$92</c:f>
              <c:numCache>
                <c:formatCode>_("$"* #,##0.00_);_("$"* \(#,##0.00\);_("$"* "-"??_);_(@_)</c:formatCode>
                <c:ptCount val="1"/>
                <c:pt idx="0">
                  <c:v>8162000.0000000009</c:v>
                </c:pt>
              </c:numCache>
            </c:numRef>
          </c:val>
          <c:extLst>
            <c:ext xmlns:c16="http://schemas.microsoft.com/office/drawing/2014/chart" uri="{C3380CC4-5D6E-409C-BE32-E72D297353CC}">
              <c16:uniqueId val="{0000000B-916A-4904-8F5A-19D256CB58D9}"/>
            </c:ext>
          </c:extLst>
        </c:ser>
        <c:dLbls>
          <c:showLegendKey val="0"/>
          <c:showVal val="0"/>
          <c:showCatName val="0"/>
          <c:showSerName val="0"/>
          <c:showPercent val="0"/>
          <c:showBubbleSize val="0"/>
        </c:dLbls>
        <c:gapWidth val="219"/>
        <c:overlap val="-27"/>
        <c:axId val="281125407"/>
        <c:axId val="271408143"/>
      </c:barChart>
      <c:catAx>
        <c:axId val="281125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71408143"/>
        <c:crosses val="autoZero"/>
        <c:auto val="1"/>
        <c:lblAlgn val="ctr"/>
        <c:lblOffset val="100"/>
        <c:noMultiLvlLbl val="0"/>
      </c:catAx>
      <c:valAx>
        <c:axId val="27140814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AR"/>
          </a:p>
        </c:txPr>
        <c:crossAx val="2811254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s-AR" sz="1800" b="1"/>
              <a:t>Proyección mensual</a:t>
            </a:r>
            <a:r>
              <a:rPr lang="es-AR" sz="1800" b="1" baseline="0"/>
              <a:t> de ventas 2021</a:t>
            </a:r>
            <a:endParaRPr lang="es-AR"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0"/>
          <c:order val="0"/>
          <c:tx>
            <c:strRef>
              <c:f>'Proy. ventas'!$E$136:$F$136</c:f>
              <c:strCache>
                <c:ptCount val="1"/>
                <c:pt idx="0">
                  <c:v>Enero</c:v>
                </c:pt>
              </c:strCache>
            </c:strRef>
          </c:tx>
          <c:spPr>
            <a:solidFill>
              <a:schemeClr val="accent1"/>
            </a:solidFill>
            <a:ln>
              <a:noFill/>
            </a:ln>
            <a:effectLst/>
          </c:spPr>
          <c:invertIfNegative val="0"/>
          <c:val>
            <c:numRef>
              <c:f>'Proy. ventas'!$F$151</c:f>
              <c:numCache>
                <c:formatCode>_("$"* #,##0.00_);_("$"* \(#,##0.00\);_("$"* "-"??_);_(@_)</c:formatCode>
                <c:ptCount val="1"/>
                <c:pt idx="0">
                  <c:v>10494000</c:v>
                </c:pt>
              </c:numCache>
            </c:numRef>
          </c:val>
          <c:extLst>
            <c:ext xmlns:c16="http://schemas.microsoft.com/office/drawing/2014/chart" uri="{C3380CC4-5D6E-409C-BE32-E72D297353CC}">
              <c16:uniqueId val="{00000000-9191-4473-B9A1-489F425F65C4}"/>
            </c:ext>
          </c:extLst>
        </c:ser>
        <c:ser>
          <c:idx val="1"/>
          <c:order val="1"/>
          <c:tx>
            <c:strRef>
              <c:f>'Proy. ventas'!$G$136:$H$136</c:f>
              <c:strCache>
                <c:ptCount val="1"/>
                <c:pt idx="0">
                  <c:v>Febrero</c:v>
                </c:pt>
              </c:strCache>
            </c:strRef>
          </c:tx>
          <c:spPr>
            <a:solidFill>
              <a:schemeClr val="accent2"/>
            </a:solidFill>
            <a:ln>
              <a:noFill/>
            </a:ln>
            <a:effectLst/>
          </c:spPr>
          <c:invertIfNegative val="0"/>
          <c:val>
            <c:numRef>
              <c:f>'Proy. ventas'!$H$151</c:f>
              <c:numCache>
                <c:formatCode>_("$"* #,##0.00_);_("$"* \(#,##0.00\);_("$"* "-"??_);_(@_)</c:formatCode>
                <c:ptCount val="1"/>
                <c:pt idx="0">
                  <c:v>8745000</c:v>
                </c:pt>
              </c:numCache>
            </c:numRef>
          </c:val>
          <c:extLst>
            <c:ext xmlns:c16="http://schemas.microsoft.com/office/drawing/2014/chart" uri="{C3380CC4-5D6E-409C-BE32-E72D297353CC}">
              <c16:uniqueId val="{00000001-9191-4473-B9A1-489F425F65C4}"/>
            </c:ext>
          </c:extLst>
        </c:ser>
        <c:ser>
          <c:idx val="2"/>
          <c:order val="2"/>
          <c:tx>
            <c:strRef>
              <c:f>'Proy. ventas'!$I$136:$J$136</c:f>
              <c:strCache>
                <c:ptCount val="1"/>
                <c:pt idx="0">
                  <c:v>Marzo</c:v>
                </c:pt>
              </c:strCache>
            </c:strRef>
          </c:tx>
          <c:spPr>
            <a:solidFill>
              <a:schemeClr val="accent3"/>
            </a:solidFill>
            <a:ln>
              <a:noFill/>
            </a:ln>
            <a:effectLst/>
          </c:spPr>
          <c:invertIfNegative val="0"/>
          <c:val>
            <c:numRef>
              <c:f>'Proy. ventas'!$J$151</c:f>
              <c:numCache>
                <c:formatCode>_("$"* #,##0.00_);_("$"* \(#,##0.00\);_("$"* "-"??_);_(@_)</c:formatCode>
                <c:ptCount val="1"/>
                <c:pt idx="0">
                  <c:v>6996000</c:v>
                </c:pt>
              </c:numCache>
            </c:numRef>
          </c:val>
          <c:extLst>
            <c:ext xmlns:c16="http://schemas.microsoft.com/office/drawing/2014/chart" uri="{C3380CC4-5D6E-409C-BE32-E72D297353CC}">
              <c16:uniqueId val="{00000002-9191-4473-B9A1-489F425F65C4}"/>
            </c:ext>
          </c:extLst>
        </c:ser>
        <c:ser>
          <c:idx val="3"/>
          <c:order val="3"/>
          <c:tx>
            <c:strRef>
              <c:f>'Proy. ventas'!$K$136:$L$136</c:f>
              <c:strCache>
                <c:ptCount val="1"/>
                <c:pt idx="0">
                  <c:v>Abril</c:v>
                </c:pt>
              </c:strCache>
            </c:strRef>
          </c:tx>
          <c:spPr>
            <a:solidFill>
              <a:schemeClr val="accent4"/>
            </a:solidFill>
            <a:ln>
              <a:noFill/>
            </a:ln>
            <a:effectLst/>
          </c:spPr>
          <c:invertIfNegative val="0"/>
          <c:val>
            <c:numRef>
              <c:f>'Proy. ventas'!$L$151</c:f>
              <c:numCache>
                <c:formatCode>_("$"* #,##0.00_);_("$"* \(#,##0.00\);_("$"* "-"??_);_(@_)</c:formatCode>
                <c:ptCount val="1"/>
                <c:pt idx="0">
                  <c:v>6121500.0000000009</c:v>
                </c:pt>
              </c:numCache>
            </c:numRef>
          </c:val>
          <c:extLst>
            <c:ext xmlns:c16="http://schemas.microsoft.com/office/drawing/2014/chart" uri="{C3380CC4-5D6E-409C-BE32-E72D297353CC}">
              <c16:uniqueId val="{00000003-9191-4473-B9A1-489F425F65C4}"/>
            </c:ext>
          </c:extLst>
        </c:ser>
        <c:ser>
          <c:idx val="4"/>
          <c:order val="4"/>
          <c:tx>
            <c:strRef>
              <c:f>'Proy. ventas'!$M$136:$N$136</c:f>
              <c:strCache>
                <c:ptCount val="1"/>
                <c:pt idx="0">
                  <c:v>Mayo</c:v>
                </c:pt>
              </c:strCache>
            </c:strRef>
          </c:tx>
          <c:spPr>
            <a:solidFill>
              <a:schemeClr val="accent5"/>
            </a:solidFill>
            <a:ln>
              <a:noFill/>
            </a:ln>
            <a:effectLst/>
          </c:spPr>
          <c:invertIfNegative val="0"/>
          <c:val>
            <c:numRef>
              <c:f>'Proy. ventas'!$N$151</c:f>
              <c:numCache>
                <c:formatCode>_("$"* #,##0.00_);_("$"* \(#,##0.00\);_("$"* "-"??_);_(@_)</c:formatCode>
                <c:ptCount val="1"/>
                <c:pt idx="0">
                  <c:v>3498000</c:v>
                </c:pt>
              </c:numCache>
            </c:numRef>
          </c:val>
          <c:extLst>
            <c:ext xmlns:c16="http://schemas.microsoft.com/office/drawing/2014/chart" uri="{C3380CC4-5D6E-409C-BE32-E72D297353CC}">
              <c16:uniqueId val="{00000004-9191-4473-B9A1-489F425F65C4}"/>
            </c:ext>
          </c:extLst>
        </c:ser>
        <c:ser>
          <c:idx val="5"/>
          <c:order val="5"/>
          <c:tx>
            <c:strRef>
              <c:f>'Proy. ventas'!$O$136:$P$136</c:f>
              <c:strCache>
                <c:ptCount val="1"/>
                <c:pt idx="0">
                  <c:v>Junio</c:v>
                </c:pt>
              </c:strCache>
            </c:strRef>
          </c:tx>
          <c:spPr>
            <a:solidFill>
              <a:schemeClr val="accent6"/>
            </a:solidFill>
            <a:ln>
              <a:noFill/>
            </a:ln>
            <a:effectLst/>
          </c:spPr>
          <c:invertIfNegative val="0"/>
          <c:val>
            <c:numRef>
              <c:f>'Proy. ventas'!$P$151</c:f>
              <c:numCache>
                <c:formatCode>_("$"* #,##0.00_);_("$"* \(#,##0.00\);_("$"* "-"??_);_(@_)</c:formatCode>
                <c:ptCount val="1"/>
                <c:pt idx="0">
                  <c:v>3498000</c:v>
                </c:pt>
              </c:numCache>
            </c:numRef>
          </c:val>
          <c:extLst>
            <c:ext xmlns:c16="http://schemas.microsoft.com/office/drawing/2014/chart" uri="{C3380CC4-5D6E-409C-BE32-E72D297353CC}">
              <c16:uniqueId val="{00000005-9191-4473-B9A1-489F425F65C4}"/>
            </c:ext>
          </c:extLst>
        </c:ser>
        <c:ser>
          <c:idx val="6"/>
          <c:order val="6"/>
          <c:tx>
            <c:strRef>
              <c:f>'Proy. ventas'!$Q$136:$R$136</c:f>
              <c:strCache>
                <c:ptCount val="1"/>
                <c:pt idx="0">
                  <c:v>Julio</c:v>
                </c:pt>
              </c:strCache>
            </c:strRef>
          </c:tx>
          <c:spPr>
            <a:solidFill>
              <a:schemeClr val="accent1">
                <a:lumMod val="60000"/>
              </a:schemeClr>
            </a:solidFill>
            <a:ln>
              <a:noFill/>
            </a:ln>
            <a:effectLst/>
          </c:spPr>
          <c:invertIfNegative val="0"/>
          <c:val>
            <c:numRef>
              <c:f>'Proy. ventas'!$R$151</c:f>
              <c:numCache>
                <c:formatCode>_("$"* #,##0.00_);_("$"* \(#,##0.00\);_("$"* "-"??_);_(@_)</c:formatCode>
                <c:ptCount val="1"/>
                <c:pt idx="0">
                  <c:v>6996000</c:v>
                </c:pt>
              </c:numCache>
            </c:numRef>
          </c:val>
          <c:extLst>
            <c:ext xmlns:c16="http://schemas.microsoft.com/office/drawing/2014/chart" uri="{C3380CC4-5D6E-409C-BE32-E72D297353CC}">
              <c16:uniqueId val="{00000006-9191-4473-B9A1-489F425F65C4}"/>
            </c:ext>
          </c:extLst>
        </c:ser>
        <c:ser>
          <c:idx val="7"/>
          <c:order val="7"/>
          <c:tx>
            <c:strRef>
              <c:f>'Proy. ventas'!$S$136:$T$136</c:f>
              <c:strCache>
                <c:ptCount val="1"/>
                <c:pt idx="0">
                  <c:v>Agosto</c:v>
                </c:pt>
              </c:strCache>
            </c:strRef>
          </c:tx>
          <c:spPr>
            <a:solidFill>
              <a:schemeClr val="accent2">
                <a:lumMod val="60000"/>
              </a:schemeClr>
            </a:solidFill>
            <a:ln>
              <a:noFill/>
            </a:ln>
            <a:effectLst/>
          </c:spPr>
          <c:invertIfNegative val="0"/>
          <c:val>
            <c:numRef>
              <c:f>'Proy. ventas'!$T$151</c:f>
              <c:numCache>
                <c:formatCode>_("$"* #,##0.00_);_("$"* \(#,##0.00\);_("$"* "-"??_);_(@_)</c:formatCode>
                <c:ptCount val="1"/>
                <c:pt idx="0">
                  <c:v>3498000</c:v>
                </c:pt>
              </c:numCache>
            </c:numRef>
          </c:val>
          <c:extLst>
            <c:ext xmlns:c16="http://schemas.microsoft.com/office/drawing/2014/chart" uri="{C3380CC4-5D6E-409C-BE32-E72D297353CC}">
              <c16:uniqueId val="{00000007-9191-4473-B9A1-489F425F65C4}"/>
            </c:ext>
          </c:extLst>
        </c:ser>
        <c:ser>
          <c:idx val="8"/>
          <c:order val="8"/>
          <c:tx>
            <c:strRef>
              <c:f>'Proy. ventas'!$U$136:$V$136</c:f>
              <c:strCache>
                <c:ptCount val="1"/>
                <c:pt idx="0">
                  <c:v>Septiembre</c:v>
                </c:pt>
              </c:strCache>
            </c:strRef>
          </c:tx>
          <c:spPr>
            <a:solidFill>
              <a:schemeClr val="accent3">
                <a:lumMod val="60000"/>
              </a:schemeClr>
            </a:solidFill>
            <a:ln>
              <a:noFill/>
            </a:ln>
            <a:effectLst/>
          </c:spPr>
          <c:invertIfNegative val="0"/>
          <c:val>
            <c:numRef>
              <c:f>'Proy. ventas'!$V$151</c:f>
              <c:numCache>
                <c:formatCode>_("$"* #,##0.00_);_("$"* \(#,##0.00\);_("$"* "-"??_);_(@_)</c:formatCode>
                <c:ptCount val="1"/>
                <c:pt idx="0">
                  <c:v>8745000</c:v>
                </c:pt>
              </c:numCache>
            </c:numRef>
          </c:val>
          <c:extLst>
            <c:ext xmlns:c16="http://schemas.microsoft.com/office/drawing/2014/chart" uri="{C3380CC4-5D6E-409C-BE32-E72D297353CC}">
              <c16:uniqueId val="{00000008-9191-4473-B9A1-489F425F65C4}"/>
            </c:ext>
          </c:extLst>
        </c:ser>
        <c:ser>
          <c:idx val="9"/>
          <c:order val="9"/>
          <c:tx>
            <c:strRef>
              <c:f>'Proy. ventas'!$W$136:$X$136</c:f>
              <c:strCache>
                <c:ptCount val="1"/>
                <c:pt idx="0">
                  <c:v>Octubre</c:v>
                </c:pt>
              </c:strCache>
            </c:strRef>
          </c:tx>
          <c:spPr>
            <a:solidFill>
              <a:schemeClr val="accent4">
                <a:lumMod val="60000"/>
              </a:schemeClr>
            </a:solidFill>
            <a:ln>
              <a:noFill/>
            </a:ln>
            <a:effectLst/>
          </c:spPr>
          <c:invertIfNegative val="0"/>
          <c:val>
            <c:numRef>
              <c:f>'Proy. ventas'!$X$151</c:f>
              <c:numCache>
                <c:formatCode>_("$"* #,##0.00_);_("$"* \(#,##0.00\);_("$"* "-"??_);_(@_)</c:formatCode>
                <c:ptCount val="1"/>
                <c:pt idx="0">
                  <c:v>8745000</c:v>
                </c:pt>
              </c:numCache>
            </c:numRef>
          </c:val>
          <c:extLst>
            <c:ext xmlns:c16="http://schemas.microsoft.com/office/drawing/2014/chart" uri="{C3380CC4-5D6E-409C-BE32-E72D297353CC}">
              <c16:uniqueId val="{00000009-9191-4473-B9A1-489F425F65C4}"/>
            </c:ext>
          </c:extLst>
        </c:ser>
        <c:ser>
          <c:idx val="10"/>
          <c:order val="10"/>
          <c:tx>
            <c:strRef>
              <c:f>'Proy. ventas'!$Y$136:$Z$136</c:f>
              <c:strCache>
                <c:ptCount val="1"/>
                <c:pt idx="0">
                  <c:v>Noviembre</c:v>
                </c:pt>
              </c:strCache>
            </c:strRef>
          </c:tx>
          <c:spPr>
            <a:solidFill>
              <a:schemeClr val="accent5">
                <a:lumMod val="60000"/>
              </a:schemeClr>
            </a:solidFill>
            <a:ln>
              <a:noFill/>
            </a:ln>
            <a:effectLst/>
          </c:spPr>
          <c:invertIfNegative val="0"/>
          <c:val>
            <c:numRef>
              <c:f>'Proy. ventas'!$Z$151</c:f>
              <c:numCache>
                <c:formatCode>_("$"* #,##0.00_);_("$"* \(#,##0.00\);_("$"* "-"??_);_(@_)</c:formatCode>
                <c:ptCount val="1"/>
                <c:pt idx="0">
                  <c:v>9619500</c:v>
                </c:pt>
              </c:numCache>
            </c:numRef>
          </c:val>
          <c:extLst>
            <c:ext xmlns:c16="http://schemas.microsoft.com/office/drawing/2014/chart" uri="{C3380CC4-5D6E-409C-BE32-E72D297353CC}">
              <c16:uniqueId val="{0000000A-9191-4473-B9A1-489F425F65C4}"/>
            </c:ext>
          </c:extLst>
        </c:ser>
        <c:ser>
          <c:idx val="11"/>
          <c:order val="11"/>
          <c:tx>
            <c:strRef>
              <c:f>'Proy. ventas'!$AA$136:$AB$136</c:f>
              <c:strCache>
                <c:ptCount val="1"/>
                <c:pt idx="0">
                  <c:v>Diciembre</c:v>
                </c:pt>
              </c:strCache>
            </c:strRef>
          </c:tx>
          <c:spPr>
            <a:solidFill>
              <a:schemeClr val="accent6">
                <a:lumMod val="60000"/>
              </a:schemeClr>
            </a:solidFill>
            <a:ln>
              <a:noFill/>
            </a:ln>
            <a:effectLst/>
          </c:spPr>
          <c:invertIfNegative val="0"/>
          <c:val>
            <c:numRef>
              <c:f>'Proy. ventas'!$AB$151</c:f>
              <c:numCache>
                <c:formatCode>_("$"* #,##0.00_);_("$"* \(#,##0.00\);_("$"* "-"??_);_(@_)</c:formatCode>
                <c:ptCount val="1"/>
                <c:pt idx="0">
                  <c:v>12243000.000000002</c:v>
                </c:pt>
              </c:numCache>
            </c:numRef>
          </c:val>
          <c:extLst>
            <c:ext xmlns:c16="http://schemas.microsoft.com/office/drawing/2014/chart" uri="{C3380CC4-5D6E-409C-BE32-E72D297353CC}">
              <c16:uniqueId val="{0000000B-9191-4473-B9A1-489F425F65C4}"/>
            </c:ext>
          </c:extLst>
        </c:ser>
        <c:dLbls>
          <c:showLegendKey val="0"/>
          <c:showVal val="0"/>
          <c:showCatName val="0"/>
          <c:showSerName val="0"/>
          <c:showPercent val="0"/>
          <c:showBubbleSize val="0"/>
        </c:dLbls>
        <c:gapWidth val="219"/>
        <c:overlap val="-27"/>
        <c:axId val="282684127"/>
        <c:axId val="271410223"/>
      </c:barChart>
      <c:catAx>
        <c:axId val="28268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271410223"/>
        <c:crosses val="autoZero"/>
        <c:auto val="1"/>
        <c:lblAlgn val="ctr"/>
        <c:lblOffset val="100"/>
        <c:noMultiLvlLbl val="0"/>
      </c:catAx>
      <c:valAx>
        <c:axId val="271410223"/>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s-AR"/>
          </a:p>
        </c:txPr>
        <c:crossAx val="2826841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s-A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Cantidad de ventas en 2019 de productos</a:t>
            </a:r>
            <a:r>
              <a:rPr lang="en-US" baseline="0"/>
              <a:t> fabricados en nuestra empresa</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lineChart>
        <c:grouping val="standard"/>
        <c:varyColors val="0"/>
        <c:ser>
          <c:idx val="0"/>
          <c:order val="0"/>
          <c:tx>
            <c:strRef>
              <c:f>'Proy. ventas'!$A$19</c:f>
              <c:strCache>
                <c:ptCount val="1"/>
                <c:pt idx="0">
                  <c:v> Aviador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ventas'!$E$19,'Proy. ventas'!$G$19,'Proy. ventas'!$I$19,'Proy. ventas'!$K$19,'Proy. ventas'!$M$19,'Proy. ventas'!$O$19,'Proy. ventas'!$Q$19,'Proy. ventas'!$S$19,'Proy. ventas'!$U$19,'Proy. ventas'!$W$19,'Proy. ventas'!$Y$19,'Proy. ventas'!$AA$19)</c:f>
              <c:numCache>
                <c:formatCode>_-* #,##0\ _€_-;\-* #,##0\ _€_-;_-* "-"??\ _€_-;_-@_-</c:formatCode>
                <c:ptCount val="12"/>
                <c:pt idx="0">
                  <c:v>168</c:v>
                </c:pt>
                <c:pt idx="1">
                  <c:v>140</c:v>
                </c:pt>
                <c:pt idx="2">
                  <c:v>112</c:v>
                </c:pt>
                <c:pt idx="3">
                  <c:v>98.000000000000014</c:v>
                </c:pt>
                <c:pt idx="4">
                  <c:v>56</c:v>
                </c:pt>
                <c:pt idx="5">
                  <c:v>56</c:v>
                </c:pt>
                <c:pt idx="6">
                  <c:v>112</c:v>
                </c:pt>
                <c:pt idx="7">
                  <c:v>56</c:v>
                </c:pt>
                <c:pt idx="8">
                  <c:v>140</c:v>
                </c:pt>
                <c:pt idx="9">
                  <c:v>140</c:v>
                </c:pt>
                <c:pt idx="10">
                  <c:v>154</c:v>
                </c:pt>
                <c:pt idx="11">
                  <c:v>196.00000000000003</c:v>
                </c:pt>
              </c:numCache>
            </c:numRef>
          </c:val>
          <c:smooth val="0"/>
          <c:extLst>
            <c:ext xmlns:c16="http://schemas.microsoft.com/office/drawing/2014/chart" uri="{C3380CC4-5D6E-409C-BE32-E72D297353CC}">
              <c16:uniqueId val="{00000000-396A-4246-A5F4-AB115A34A6FA}"/>
            </c:ext>
          </c:extLst>
        </c:ser>
        <c:ser>
          <c:idx val="1"/>
          <c:order val="1"/>
          <c:tx>
            <c:strRef>
              <c:f>'Proy. ventas'!$A$20</c:f>
              <c:strCache>
                <c:ptCount val="1"/>
                <c:pt idx="0">
                  <c:v> Cuadrado </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ventas'!$E$20,'Proy. ventas'!$G$20,'Proy. ventas'!$I$20,'Proy. ventas'!$K$20,'Proy. ventas'!$M$20,'Proy. ventas'!$O$20,'Proy. ventas'!$Q$20,'Proy. ventas'!$S$20,'Proy. ventas'!$U$20,'Proy. ventas'!$W$20,'Proy. ventas'!$Y$20,'Proy. ventas'!$AA$20)</c:f>
              <c:numCache>
                <c:formatCode>_-* #,##0\ _€_-;\-* #,##0\ _€_-;_-* "-"??\ _€_-;_-@_-</c:formatCode>
                <c:ptCount val="12"/>
                <c:pt idx="0">
                  <c:v>144</c:v>
                </c:pt>
                <c:pt idx="1">
                  <c:v>120</c:v>
                </c:pt>
                <c:pt idx="2">
                  <c:v>96</c:v>
                </c:pt>
                <c:pt idx="3">
                  <c:v>84.000000000000014</c:v>
                </c:pt>
                <c:pt idx="4">
                  <c:v>48</c:v>
                </c:pt>
                <c:pt idx="5">
                  <c:v>48</c:v>
                </c:pt>
                <c:pt idx="6">
                  <c:v>96</c:v>
                </c:pt>
                <c:pt idx="7">
                  <c:v>48</c:v>
                </c:pt>
                <c:pt idx="8">
                  <c:v>120</c:v>
                </c:pt>
                <c:pt idx="9">
                  <c:v>120</c:v>
                </c:pt>
                <c:pt idx="10">
                  <c:v>132</c:v>
                </c:pt>
                <c:pt idx="11">
                  <c:v>168.00000000000003</c:v>
                </c:pt>
              </c:numCache>
            </c:numRef>
          </c:val>
          <c:smooth val="0"/>
          <c:extLst>
            <c:ext xmlns:c16="http://schemas.microsoft.com/office/drawing/2014/chart" uri="{C3380CC4-5D6E-409C-BE32-E72D297353CC}">
              <c16:uniqueId val="{00000001-396A-4246-A5F4-AB115A34A6FA}"/>
            </c:ext>
          </c:extLst>
        </c:ser>
        <c:ser>
          <c:idx val="2"/>
          <c:order val="2"/>
          <c:tx>
            <c:strRef>
              <c:f>'Proy. ventas'!$A$21</c:f>
              <c:strCache>
                <c:ptCount val="1"/>
                <c:pt idx="0">
                  <c:v> Redondo </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ventas'!$E$21,'Proy. ventas'!$G$21,'Proy. ventas'!$I$21,'Proy. ventas'!$K$21,'Proy. ventas'!$M$21,'Proy. ventas'!$O$21,'Proy. ventas'!$Q$21,'Proy. ventas'!$S$21,'Proy. ventas'!$U$21,'Proy. ventas'!$W$21,'Proy. ventas'!$Y$21,'Proy. ventas'!$AA$21)</c:f>
              <c:numCache>
                <c:formatCode>_-* #,##0\ _€_-;\-* #,##0\ _€_-;_-* "-"??\ _€_-;_-@_-</c:formatCode>
                <c:ptCount val="12"/>
                <c:pt idx="0">
                  <c:v>96</c:v>
                </c:pt>
                <c:pt idx="1">
                  <c:v>80</c:v>
                </c:pt>
                <c:pt idx="2">
                  <c:v>64</c:v>
                </c:pt>
                <c:pt idx="3">
                  <c:v>56.000000000000007</c:v>
                </c:pt>
                <c:pt idx="4">
                  <c:v>32</c:v>
                </c:pt>
                <c:pt idx="5">
                  <c:v>32</c:v>
                </c:pt>
                <c:pt idx="6">
                  <c:v>64</c:v>
                </c:pt>
                <c:pt idx="7">
                  <c:v>32</c:v>
                </c:pt>
                <c:pt idx="8">
                  <c:v>80</c:v>
                </c:pt>
                <c:pt idx="9">
                  <c:v>80</c:v>
                </c:pt>
                <c:pt idx="10">
                  <c:v>88</c:v>
                </c:pt>
                <c:pt idx="11">
                  <c:v>112.00000000000001</c:v>
                </c:pt>
              </c:numCache>
            </c:numRef>
          </c:val>
          <c:smooth val="0"/>
          <c:extLst>
            <c:ext xmlns:c16="http://schemas.microsoft.com/office/drawing/2014/chart" uri="{C3380CC4-5D6E-409C-BE32-E72D297353CC}">
              <c16:uniqueId val="{00000002-396A-4246-A5F4-AB115A34A6FA}"/>
            </c:ext>
          </c:extLst>
        </c:ser>
        <c:dLbls>
          <c:dLblPos val="ctr"/>
          <c:showLegendKey val="0"/>
          <c:showVal val="1"/>
          <c:showCatName val="0"/>
          <c:showSerName val="0"/>
          <c:showPercent val="0"/>
          <c:showBubbleSize val="0"/>
        </c:dLbls>
        <c:marker val="1"/>
        <c:smooth val="0"/>
        <c:axId val="262473679"/>
        <c:axId val="258788111"/>
      </c:lineChart>
      <c:catAx>
        <c:axId val="262473679"/>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2400" b="0" i="0" u="none" strike="noStrike" kern="1200" cap="all" baseline="0">
                <a:solidFill>
                  <a:schemeClr val="dk1">
                    <a:lumMod val="75000"/>
                    <a:lumOff val="25000"/>
                  </a:schemeClr>
                </a:solidFill>
                <a:latin typeface="+mn-lt"/>
                <a:ea typeface="+mn-ea"/>
                <a:cs typeface="+mn-cs"/>
              </a:defRPr>
            </a:pPr>
            <a:endParaRPr lang="es-AR"/>
          </a:p>
        </c:txPr>
        <c:crossAx val="258788111"/>
        <c:crosses val="autoZero"/>
        <c:auto val="1"/>
        <c:lblAlgn val="ctr"/>
        <c:lblOffset val="100"/>
        <c:noMultiLvlLbl val="0"/>
      </c:catAx>
      <c:valAx>
        <c:axId val="2587881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2624736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20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lineChart>
        <c:grouping val="standard"/>
        <c:varyColors val="0"/>
        <c:ser>
          <c:idx val="0"/>
          <c:order val="0"/>
          <c:tx>
            <c:strRef>
              <c:f>'Proy. ventas'!$A$80</c:f>
              <c:strCache>
                <c:ptCount val="1"/>
                <c:pt idx="0">
                  <c:v> Aviador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ventas'!$E$80,'Proy. ventas'!$G$80,'Proy. ventas'!$I$80,'Proy. ventas'!$K$80,'Proy. ventas'!$M$80,'Proy. ventas'!$O$80,'Proy. ventas'!$Q$80,'Proy. ventas'!$S$80,'Proy. ventas'!$U$80,'Proy. ventas'!$W$80,'Proy. ventas'!$Y$80,'Proy. ventas'!$AA$80)</c:f>
              <c:numCache>
                <c:formatCode>_-* #,##0\ _€_-;\-* #,##0\ _€_-;_-* "-"??\ _€_-;_-@_-</c:formatCode>
                <c:ptCount val="12"/>
                <c:pt idx="0">
                  <c:v>336</c:v>
                </c:pt>
                <c:pt idx="1">
                  <c:v>280</c:v>
                </c:pt>
                <c:pt idx="2">
                  <c:v>224</c:v>
                </c:pt>
                <c:pt idx="3">
                  <c:v>196.00000000000003</c:v>
                </c:pt>
                <c:pt idx="4">
                  <c:v>112</c:v>
                </c:pt>
                <c:pt idx="5">
                  <c:v>112</c:v>
                </c:pt>
                <c:pt idx="6">
                  <c:v>224</c:v>
                </c:pt>
                <c:pt idx="7">
                  <c:v>112</c:v>
                </c:pt>
                <c:pt idx="8">
                  <c:v>280</c:v>
                </c:pt>
                <c:pt idx="9">
                  <c:v>280</c:v>
                </c:pt>
                <c:pt idx="10">
                  <c:v>308</c:v>
                </c:pt>
                <c:pt idx="11">
                  <c:v>392.00000000000006</c:v>
                </c:pt>
              </c:numCache>
            </c:numRef>
          </c:val>
          <c:smooth val="0"/>
          <c:extLst>
            <c:ext xmlns:c16="http://schemas.microsoft.com/office/drawing/2014/chart" uri="{C3380CC4-5D6E-409C-BE32-E72D297353CC}">
              <c16:uniqueId val="{00000000-4FB4-4DAA-AE13-4A7CBDA485EA}"/>
            </c:ext>
          </c:extLst>
        </c:ser>
        <c:ser>
          <c:idx val="1"/>
          <c:order val="1"/>
          <c:tx>
            <c:strRef>
              <c:f>'Proy. ventas'!$A$81</c:f>
              <c:strCache>
                <c:ptCount val="1"/>
                <c:pt idx="0">
                  <c:v> Cuadrado </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ventas'!$E$81,'Proy. ventas'!$G$81,'Proy. ventas'!$I$81,'Proy. ventas'!$K$81,'Proy. ventas'!$M$81,'Proy. ventas'!$O$81,'Proy. ventas'!$Q$81,'Proy. ventas'!$S$81,'Proy. ventas'!$U$81,'Proy. ventas'!$W$81,'Proy. ventas'!$Y$81,'Proy. ventas'!$AA$81)</c:f>
              <c:numCache>
                <c:formatCode>_-* #,##0\ _€_-;\-* #,##0\ _€_-;_-* "-"??\ _€_-;_-@_-</c:formatCode>
                <c:ptCount val="12"/>
                <c:pt idx="0">
                  <c:v>288</c:v>
                </c:pt>
                <c:pt idx="1">
                  <c:v>240</c:v>
                </c:pt>
                <c:pt idx="2">
                  <c:v>192</c:v>
                </c:pt>
                <c:pt idx="3">
                  <c:v>168.00000000000003</c:v>
                </c:pt>
                <c:pt idx="4">
                  <c:v>96</c:v>
                </c:pt>
                <c:pt idx="5">
                  <c:v>96</c:v>
                </c:pt>
                <c:pt idx="6">
                  <c:v>192</c:v>
                </c:pt>
                <c:pt idx="7">
                  <c:v>96</c:v>
                </c:pt>
                <c:pt idx="8">
                  <c:v>240</c:v>
                </c:pt>
                <c:pt idx="9">
                  <c:v>240</c:v>
                </c:pt>
                <c:pt idx="10">
                  <c:v>264</c:v>
                </c:pt>
                <c:pt idx="11">
                  <c:v>336.00000000000006</c:v>
                </c:pt>
              </c:numCache>
            </c:numRef>
          </c:val>
          <c:smooth val="0"/>
          <c:extLst>
            <c:ext xmlns:c16="http://schemas.microsoft.com/office/drawing/2014/chart" uri="{C3380CC4-5D6E-409C-BE32-E72D297353CC}">
              <c16:uniqueId val="{00000001-4FB4-4DAA-AE13-4A7CBDA485EA}"/>
            </c:ext>
          </c:extLst>
        </c:ser>
        <c:ser>
          <c:idx val="2"/>
          <c:order val="2"/>
          <c:tx>
            <c:strRef>
              <c:f>'Proy. ventas'!$A$82</c:f>
              <c:strCache>
                <c:ptCount val="1"/>
                <c:pt idx="0">
                  <c:v> Redondo </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ventas'!$E$82,'Proy. ventas'!$G$82,'Proy. ventas'!$I$82,'Proy. ventas'!$K$82,'Proy. ventas'!$M$82,'Proy. ventas'!$O$82,'Proy. ventas'!$Q$82,'Proy. ventas'!$S$82,'Proy. ventas'!$U$82,'Proy. ventas'!$W$82,'Proy. ventas'!$Y$82,'Proy. ventas'!$AA$82)</c:f>
              <c:numCache>
                <c:formatCode>_-* #,##0\ _€_-;\-* #,##0\ _€_-;_-* "-"??\ _€_-;_-@_-</c:formatCode>
                <c:ptCount val="12"/>
                <c:pt idx="0">
                  <c:v>192</c:v>
                </c:pt>
                <c:pt idx="1">
                  <c:v>160</c:v>
                </c:pt>
                <c:pt idx="2">
                  <c:v>128</c:v>
                </c:pt>
                <c:pt idx="3">
                  <c:v>112.00000000000001</c:v>
                </c:pt>
                <c:pt idx="4">
                  <c:v>64</c:v>
                </c:pt>
                <c:pt idx="5">
                  <c:v>64</c:v>
                </c:pt>
                <c:pt idx="6">
                  <c:v>128</c:v>
                </c:pt>
                <c:pt idx="7">
                  <c:v>64</c:v>
                </c:pt>
                <c:pt idx="8">
                  <c:v>160</c:v>
                </c:pt>
                <c:pt idx="9">
                  <c:v>160</c:v>
                </c:pt>
                <c:pt idx="10">
                  <c:v>176</c:v>
                </c:pt>
                <c:pt idx="11">
                  <c:v>224.00000000000003</c:v>
                </c:pt>
              </c:numCache>
            </c:numRef>
          </c:val>
          <c:smooth val="0"/>
          <c:extLst>
            <c:ext xmlns:c16="http://schemas.microsoft.com/office/drawing/2014/chart" uri="{C3380CC4-5D6E-409C-BE32-E72D297353CC}">
              <c16:uniqueId val="{00000002-4FB4-4DAA-AE13-4A7CBDA485EA}"/>
            </c:ext>
          </c:extLst>
        </c:ser>
        <c:dLbls>
          <c:dLblPos val="ctr"/>
          <c:showLegendKey val="0"/>
          <c:showVal val="1"/>
          <c:showCatName val="0"/>
          <c:showSerName val="0"/>
          <c:showPercent val="0"/>
          <c:showBubbleSize val="0"/>
        </c:dLbls>
        <c:marker val="1"/>
        <c:smooth val="0"/>
        <c:axId val="387721455"/>
        <c:axId val="253992239"/>
      </c:lineChart>
      <c:catAx>
        <c:axId val="387721455"/>
        <c:scaling>
          <c:orientation val="minMax"/>
        </c:scaling>
        <c:delete val="0"/>
        <c:axPos val="b"/>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253992239"/>
        <c:crosses val="autoZero"/>
        <c:auto val="1"/>
        <c:lblAlgn val="ctr"/>
        <c:lblOffset val="100"/>
        <c:noMultiLvlLbl val="0"/>
      </c:catAx>
      <c:valAx>
        <c:axId val="2539922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387721455"/>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18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lineChart>
        <c:grouping val="standard"/>
        <c:varyColors val="0"/>
        <c:ser>
          <c:idx val="0"/>
          <c:order val="0"/>
          <c:tx>
            <c:strRef>
              <c:f>'Proy. ventas'!$A$139</c:f>
              <c:strCache>
                <c:ptCount val="1"/>
                <c:pt idx="0">
                  <c:v> Aviador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ventas'!$E$139,'Proy. ventas'!$G$139,'Proy. ventas'!$I$139,'Proy. ventas'!$K$139,'Proy. ventas'!$M$139,'Proy. ventas'!$O$139,'Proy. ventas'!$Q$139,'Proy. ventas'!$S$139,'Proy. ventas'!$U$139,'Proy. ventas'!$W$139,'Proy. ventas'!$Y$139,'Proy. ventas'!$AA$139)</c:f>
              <c:numCache>
                <c:formatCode>_-* #,##0\ _€_-;\-* #,##0\ _€_-;_-* "-"??\ _€_-;_-@_-</c:formatCode>
                <c:ptCount val="12"/>
                <c:pt idx="0">
                  <c:v>504</c:v>
                </c:pt>
                <c:pt idx="1">
                  <c:v>420</c:v>
                </c:pt>
                <c:pt idx="2">
                  <c:v>336</c:v>
                </c:pt>
                <c:pt idx="3">
                  <c:v>294</c:v>
                </c:pt>
                <c:pt idx="4">
                  <c:v>168</c:v>
                </c:pt>
                <c:pt idx="5">
                  <c:v>168</c:v>
                </c:pt>
                <c:pt idx="6">
                  <c:v>336</c:v>
                </c:pt>
                <c:pt idx="7">
                  <c:v>168</c:v>
                </c:pt>
                <c:pt idx="8">
                  <c:v>420</c:v>
                </c:pt>
                <c:pt idx="9">
                  <c:v>420</c:v>
                </c:pt>
                <c:pt idx="10">
                  <c:v>462</c:v>
                </c:pt>
                <c:pt idx="11">
                  <c:v>588</c:v>
                </c:pt>
              </c:numCache>
            </c:numRef>
          </c:val>
          <c:smooth val="0"/>
          <c:extLst>
            <c:ext xmlns:c16="http://schemas.microsoft.com/office/drawing/2014/chart" uri="{C3380CC4-5D6E-409C-BE32-E72D297353CC}">
              <c16:uniqueId val="{00000000-8413-472A-B852-1050BCF984DB}"/>
            </c:ext>
          </c:extLst>
        </c:ser>
        <c:ser>
          <c:idx val="1"/>
          <c:order val="1"/>
          <c:tx>
            <c:strRef>
              <c:f>'Proy. ventas'!$A$140</c:f>
              <c:strCache>
                <c:ptCount val="1"/>
                <c:pt idx="0">
                  <c:v> Cuadrado </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ventas'!$E$140,'Proy. ventas'!$G$140,'Proy. ventas'!$I$140,'Proy. ventas'!$K$140,'Proy. ventas'!$M$140,'Proy. ventas'!$O$140,'Proy. ventas'!$Q$140,'Proy. ventas'!$S$140,'Proy. ventas'!$U$140,'Proy. ventas'!$W$140,'Proy. ventas'!$Y$140,'Proy. ventas'!$AA$140)</c:f>
              <c:numCache>
                <c:formatCode>_-* #,##0\ _€_-;\-* #,##0\ _€_-;_-* "-"??\ _€_-;_-@_-</c:formatCode>
                <c:ptCount val="12"/>
                <c:pt idx="0">
                  <c:v>432</c:v>
                </c:pt>
                <c:pt idx="1">
                  <c:v>360</c:v>
                </c:pt>
                <c:pt idx="2">
                  <c:v>288</c:v>
                </c:pt>
                <c:pt idx="3">
                  <c:v>252.00000000000003</c:v>
                </c:pt>
                <c:pt idx="4">
                  <c:v>144</c:v>
                </c:pt>
                <c:pt idx="5">
                  <c:v>144</c:v>
                </c:pt>
                <c:pt idx="6">
                  <c:v>288</c:v>
                </c:pt>
                <c:pt idx="7">
                  <c:v>144</c:v>
                </c:pt>
                <c:pt idx="8">
                  <c:v>360</c:v>
                </c:pt>
                <c:pt idx="9">
                  <c:v>360</c:v>
                </c:pt>
                <c:pt idx="10">
                  <c:v>396</c:v>
                </c:pt>
                <c:pt idx="11">
                  <c:v>504.00000000000006</c:v>
                </c:pt>
              </c:numCache>
            </c:numRef>
          </c:val>
          <c:smooth val="0"/>
          <c:extLst>
            <c:ext xmlns:c16="http://schemas.microsoft.com/office/drawing/2014/chart" uri="{C3380CC4-5D6E-409C-BE32-E72D297353CC}">
              <c16:uniqueId val="{00000001-8413-472A-B852-1050BCF984DB}"/>
            </c:ext>
          </c:extLst>
        </c:ser>
        <c:ser>
          <c:idx val="2"/>
          <c:order val="2"/>
          <c:tx>
            <c:strRef>
              <c:f>'Proy. ventas'!$A$141</c:f>
              <c:strCache>
                <c:ptCount val="1"/>
                <c:pt idx="0">
                  <c:v> Redondo </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('Proy. ventas'!$E$141,'Proy. ventas'!$G$141,'Proy. ventas'!$I$141,'Proy. ventas'!$K$141,'Proy. ventas'!$M$141,'Proy. ventas'!$O$141,'Proy. ventas'!$Q$141,'Proy. ventas'!$S$141,'Proy. ventas'!$U$141,'Proy. ventas'!$W$141,'Proy. ventas'!$Y$141,'Proy. ventas'!$AA$141)</c:f>
              <c:numCache>
                <c:formatCode>_-* #,##0\ _€_-;\-* #,##0\ _€_-;_-* "-"??\ _€_-;_-@_-</c:formatCode>
                <c:ptCount val="12"/>
                <c:pt idx="0">
                  <c:v>288</c:v>
                </c:pt>
                <c:pt idx="1">
                  <c:v>240</c:v>
                </c:pt>
                <c:pt idx="2">
                  <c:v>192</c:v>
                </c:pt>
                <c:pt idx="3">
                  <c:v>168.00000000000003</c:v>
                </c:pt>
                <c:pt idx="4">
                  <c:v>96</c:v>
                </c:pt>
                <c:pt idx="5">
                  <c:v>96</c:v>
                </c:pt>
                <c:pt idx="6">
                  <c:v>192</c:v>
                </c:pt>
                <c:pt idx="7">
                  <c:v>96</c:v>
                </c:pt>
                <c:pt idx="8">
                  <c:v>240</c:v>
                </c:pt>
                <c:pt idx="9">
                  <c:v>240</c:v>
                </c:pt>
                <c:pt idx="10">
                  <c:v>264</c:v>
                </c:pt>
                <c:pt idx="11">
                  <c:v>336.00000000000006</c:v>
                </c:pt>
              </c:numCache>
            </c:numRef>
          </c:val>
          <c:smooth val="0"/>
          <c:extLst>
            <c:ext xmlns:c16="http://schemas.microsoft.com/office/drawing/2014/chart" uri="{C3380CC4-5D6E-409C-BE32-E72D297353CC}">
              <c16:uniqueId val="{00000002-8413-472A-B852-1050BCF984DB}"/>
            </c:ext>
          </c:extLst>
        </c:ser>
        <c:dLbls>
          <c:dLblPos val="ctr"/>
          <c:showLegendKey val="0"/>
          <c:showVal val="1"/>
          <c:showCatName val="0"/>
          <c:showSerName val="0"/>
          <c:showPercent val="0"/>
          <c:showBubbleSize val="0"/>
        </c:dLbls>
        <c:marker val="1"/>
        <c:smooth val="0"/>
        <c:axId val="387710655"/>
        <c:axId val="253998479"/>
      </c:lineChart>
      <c:catAx>
        <c:axId val="387710655"/>
        <c:scaling>
          <c:orientation val="minMax"/>
        </c:scaling>
        <c:delete val="0"/>
        <c:axPos val="b"/>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253998479"/>
        <c:crosses val="autoZero"/>
        <c:auto val="1"/>
        <c:lblAlgn val="ctr"/>
        <c:lblOffset val="100"/>
        <c:noMultiLvlLbl val="0"/>
      </c:catAx>
      <c:valAx>
        <c:axId val="25399847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0\ _€_-;\-* #,##0\ _€_-;_-* &quot;-&quot;??\ _€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crossAx val="38771065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 Ingresos 2021 </a:t>
            </a:r>
          </a:p>
        </c:rich>
      </c:tx>
      <c:layout>
        <c:manualLayout>
          <c:xMode val="edge"/>
          <c:yMode val="edge"/>
          <c:x val="2.5349948100218969E-2"/>
          <c:y val="2.1921979957061258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tx>
            <c:strRef>
              <c:f>'Mod. ingresos'!$C$16</c:f>
              <c:strCache>
                <c:ptCount val="1"/>
                <c:pt idx="0">
                  <c:v> 2.021,00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1DD-4CD8-B158-0B704BE81697}"/>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1DD-4CD8-B158-0B704BE81697}"/>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61DD-4CD8-B158-0B704BE81697}"/>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61DD-4CD8-B158-0B704BE81697}"/>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61DD-4CD8-B158-0B704BE81697}"/>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61DD-4CD8-B158-0B704BE81697}"/>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61DD-4CD8-B158-0B704BE81697}"/>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61DD-4CD8-B158-0B704BE81697}"/>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61DD-4CD8-B158-0B704BE81697}"/>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61DD-4CD8-B158-0B704BE81697}"/>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61DD-4CD8-B158-0B704BE81697}"/>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61DD-4CD8-B158-0B704BE81697}"/>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1-61DD-4CD8-B158-0B704BE81697}"/>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2-61DD-4CD8-B158-0B704BE81697}"/>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3-61DD-4CD8-B158-0B704BE81697}"/>
                </c:ext>
              </c:extLst>
            </c:dLbl>
            <c:dLbl>
              <c:idx val="3"/>
              <c:layout>
                <c:manualLayout>
                  <c:x val="0"/>
                  <c:y val="3.2434116604479993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AR"/>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61DD-4CD8-B158-0B704BE81697}"/>
                </c:ext>
              </c:extLst>
            </c:dLbl>
            <c:dLbl>
              <c:idx val="4"/>
              <c:layout>
                <c:manualLayout>
                  <c:x val="0"/>
                  <c:y val="3.243411660447999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AR"/>
                </a:p>
              </c:txPr>
              <c:dLblPos val="bestFit"/>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1DD-4CD8-B158-0B704BE81697}"/>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6-61DD-4CD8-B158-0B704BE81697}"/>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7-61DD-4CD8-B158-0B704BE81697}"/>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8-61DD-4CD8-B158-0B704BE81697}"/>
                </c:ext>
              </c:extLst>
            </c:dLbl>
            <c:dLbl>
              <c:idx val="8"/>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9-61DD-4CD8-B158-0B704BE81697}"/>
                </c:ext>
              </c:extLst>
            </c:dLbl>
            <c:dLbl>
              <c:idx val="9"/>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A-61DD-4CD8-B158-0B704BE81697}"/>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B-61DD-4CD8-B158-0B704BE81697}"/>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6="http://schemas.microsoft.com/office/drawing/2014/chart" uri="{C3380CC4-5D6E-409C-BE32-E72D297353CC}">
                  <c16:uniqueId val="{0000000C-61DD-4CD8-B158-0B704BE81697}"/>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showLeaderLines val="0"/>
            <c:extLst>
              <c:ext xmlns:c15="http://schemas.microsoft.com/office/drawing/2012/chart" uri="{CE6537A1-D6FC-4f65-9D91-7224C49458BB}"/>
            </c:extLst>
          </c:dLbls>
          <c:cat>
            <c:strRef>
              <c:f>'Mod. ingresos'!$B$17:$B$28</c:f>
              <c:strCache>
                <c:ptCount val="12"/>
                <c:pt idx="0">
                  <c:v> Aviador </c:v>
                </c:pt>
                <c:pt idx="1">
                  <c:v> Cuadrado </c:v>
                </c:pt>
                <c:pt idx="2">
                  <c:v> Redondo </c:v>
                </c:pt>
                <c:pt idx="3">
                  <c:v> Running </c:v>
                </c:pt>
                <c:pt idx="4">
                  <c:v> Cilismo </c:v>
                </c:pt>
                <c:pt idx="5">
                  <c:v> Ski </c:v>
                </c:pt>
                <c:pt idx="6">
                  <c:v> Estilo 90 </c:v>
                </c:pt>
                <c:pt idx="7">
                  <c:v> Estilo 80 </c:v>
                </c:pt>
                <c:pt idx="8">
                  <c:v> Estilo 70 </c:v>
                </c:pt>
                <c:pt idx="9">
                  <c:v> Ovalado </c:v>
                </c:pt>
                <c:pt idx="10">
                  <c:v> Rectangular </c:v>
                </c:pt>
                <c:pt idx="11">
                  <c:v> Hexagonal </c:v>
                </c:pt>
              </c:strCache>
            </c:strRef>
          </c:cat>
          <c:val>
            <c:numRef>
              <c:f>'Mod. ingresos'!$C$17:$C$28</c:f>
              <c:numCache>
                <c:formatCode>_("$"* #,##0.00_);_("$"* \(#,##0.00\);_("$"* "-"??_);_(@_)</c:formatCode>
                <c:ptCount val="12"/>
                <c:pt idx="0">
                  <c:v>4900000</c:v>
                </c:pt>
                <c:pt idx="1">
                  <c:v>3600000</c:v>
                </c:pt>
                <c:pt idx="2">
                  <c:v>2000000</c:v>
                </c:pt>
                <c:pt idx="3">
                  <c:v>1750000</c:v>
                </c:pt>
                <c:pt idx="4">
                  <c:v>3000000</c:v>
                </c:pt>
                <c:pt idx="5">
                  <c:v>2800000</c:v>
                </c:pt>
                <c:pt idx="6">
                  <c:v>2100000</c:v>
                </c:pt>
                <c:pt idx="7">
                  <c:v>900000</c:v>
                </c:pt>
                <c:pt idx="8">
                  <c:v>500000</c:v>
                </c:pt>
                <c:pt idx="9">
                  <c:v>2750000</c:v>
                </c:pt>
                <c:pt idx="10">
                  <c:v>2400000</c:v>
                </c:pt>
                <c:pt idx="11">
                  <c:v>2450000</c:v>
                </c:pt>
              </c:numCache>
            </c:numRef>
          </c:val>
          <c:extLst>
            <c:ext xmlns:c16="http://schemas.microsoft.com/office/drawing/2014/chart" uri="{C3380CC4-5D6E-409C-BE32-E72D297353CC}">
              <c16:uniqueId val="{00000000-61DD-4CD8-B158-0B704BE81697}"/>
            </c:ext>
          </c:extLst>
        </c:ser>
        <c:dLbls>
          <c:dLblPos val="outEnd"/>
          <c:showLegendKey val="0"/>
          <c:showVal val="0"/>
          <c:showCatName val="0"/>
          <c:showSerName val="0"/>
          <c:showPercent val="1"/>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rot="0"/>
    <a:lstStyle/>
    <a:p>
      <a:pPr>
        <a:defRPr/>
      </a:pPr>
      <a:endParaRPr lang="es-A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 Ingresos 2022 </a:t>
            </a:r>
          </a:p>
        </c:rich>
      </c:tx>
      <c:layout>
        <c:manualLayout>
          <c:xMode val="edge"/>
          <c:yMode val="edge"/>
          <c:x val="1.9229267110841854E-2"/>
          <c:y val="1.9206864918584209E-2"/>
        </c:manualLayout>
      </c:layout>
      <c:overlay val="0"/>
      <c:spPr>
        <a:noFill/>
        <a:ln>
          <a:noFill/>
        </a:ln>
        <a:effectLst/>
      </c:spPr>
      <c:txPr>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endParaRPr lang="es-AR"/>
        </a:p>
      </c:txPr>
    </c:title>
    <c:autoTitleDeleted val="0"/>
    <c:plotArea>
      <c:layout/>
      <c:pieChart>
        <c:varyColors val="1"/>
        <c:ser>
          <c:idx val="0"/>
          <c:order val="0"/>
          <c:tx>
            <c:strRef>
              <c:f>'Mod. ingresos'!$D$16</c:f>
              <c:strCache>
                <c:ptCount val="1"/>
                <c:pt idx="0">
                  <c:v> 2.022,00   </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374-4368-97F6-BBDA83FD1D3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8374-4368-97F6-BBDA83FD1D3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8374-4368-97F6-BBDA83FD1D3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8374-4368-97F6-BBDA83FD1D3E}"/>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8374-4368-97F6-BBDA83FD1D3E}"/>
              </c:ext>
            </c:extLst>
          </c:dPt>
          <c:dPt>
            <c:idx val="5"/>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8374-4368-97F6-BBDA83FD1D3E}"/>
              </c:ext>
            </c:extLst>
          </c:dPt>
          <c:dPt>
            <c:idx val="6"/>
            <c:bubble3D val="0"/>
            <c:spPr>
              <a:solidFill>
                <a:schemeClr val="accent1">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8374-4368-97F6-BBDA83FD1D3E}"/>
              </c:ext>
            </c:extLst>
          </c:dPt>
          <c:dPt>
            <c:idx val="7"/>
            <c:bubble3D val="0"/>
            <c:spPr>
              <a:solidFill>
                <a:schemeClr val="accent2">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8374-4368-97F6-BBDA83FD1D3E}"/>
              </c:ext>
            </c:extLst>
          </c:dPt>
          <c:dPt>
            <c:idx val="8"/>
            <c:bubble3D val="0"/>
            <c:spPr>
              <a:solidFill>
                <a:schemeClr val="accent3">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8374-4368-97F6-BBDA83FD1D3E}"/>
              </c:ext>
            </c:extLst>
          </c:dPt>
          <c:dPt>
            <c:idx val="9"/>
            <c:bubble3D val="0"/>
            <c:spPr>
              <a:solidFill>
                <a:schemeClr val="accent4">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B-8374-4368-97F6-BBDA83FD1D3E}"/>
              </c:ext>
            </c:extLst>
          </c:dPt>
          <c:dPt>
            <c:idx val="10"/>
            <c:bubble3D val="0"/>
            <c:spPr>
              <a:solidFill>
                <a:schemeClr val="accent5">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8374-4368-97F6-BBDA83FD1D3E}"/>
              </c:ext>
            </c:extLst>
          </c:dPt>
          <c:dPt>
            <c:idx val="11"/>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D-8374-4368-97F6-BBDA83FD1D3E}"/>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374-4368-97F6-BBDA83FD1D3E}"/>
                </c:ext>
              </c:extLst>
            </c:dLbl>
            <c:dLbl>
              <c:idx val="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8374-4368-97F6-BBDA83FD1D3E}"/>
                </c:ext>
              </c:extLst>
            </c:dLbl>
            <c:dLbl>
              <c:idx val="2"/>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8374-4368-97F6-BBDA83FD1D3E}"/>
                </c:ext>
              </c:extLst>
            </c:dLbl>
            <c:dLbl>
              <c:idx val="3"/>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8374-4368-97F6-BBDA83FD1D3E}"/>
                </c:ext>
              </c:extLst>
            </c:dLbl>
            <c:dLbl>
              <c:idx val="4"/>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8374-4368-97F6-BBDA83FD1D3E}"/>
                </c:ext>
              </c:extLst>
            </c:dLbl>
            <c:dLbl>
              <c:idx val="5"/>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8374-4368-97F6-BBDA83FD1D3E}"/>
                </c:ext>
              </c:extLst>
            </c:dLbl>
            <c:dLbl>
              <c:idx val="6"/>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8374-4368-97F6-BBDA83FD1D3E}"/>
                </c:ext>
              </c:extLst>
            </c:dLbl>
            <c:dLbl>
              <c:idx val="7"/>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2">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8374-4368-97F6-BBDA83FD1D3E}"/>
                </c:ext>
              </c:extLst>
            </c:dLbl>
            <c:dLbl>
              <c:idx val="8"/>
              <c:layout>
                <c:manualLayout>
                  <c:x val="-6.2769230769230772E-2"/>
                  <c:y val="-3.0744336569579259E-2"/>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3">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A-8374-4368-97F6-BBDA83FD1D3E}"/>
                </c:ext>
              </c:extLst>
            </c:dLbl>
            <c:dLbl>
              <c:idx val="9"/>
              <c:layout>
                <c:manualLayout>
                  <c:x val="1.6E-2"/>
                  <c:y val="4.8543689320388345E-3"/>
                </c:manualLayout>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4">
                          <a:lumMod val="60000"/>
                        </a:schemeClr>
                      </a:solidFill>
                      <a:latin typeface="+mn-lt"/>
                      <a:ea typeface="+mn-ea"/>
                      <a:cs typeface="+mn-cs"/>
                    </a:defRPr>
                  </a:pPr>
                  <a:endParaRPr lang="es-AR"/>
                </a:p>
              </c:txPr>
              <c:dLblPos val="bestFit"/>
              <c:showLegendKey val="1"/>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B-8374-4368-97F6-BBDA83FD1D3E}"/>
                </c:ext>
              </c:extLst>
            </c:dLbl>
            <c:dLbl>
              <c:idx val="10"/>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5">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8374-4368-97F6-BBDA83FD1D3E}"/>
                </c:ext>
              </c:extLst>
            </c:dLbl>
            <c:dLbl>
              <c:idx val="11"/>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6">
                          <a:lumMod val="60000"/>
                        </a:schemeClr>
                      </a:solidFill>
                      <a:latin typeface="+mn-lt"/>
                      <a:ea typeface="+mn-ea"/>
                      <a:cs typeface="+mn-cs"/>
                    </a:defRPr>
                  </a:pPr>
                  <a:endParaRPr lang="es-AR"/>
                </a:p>
              </c:txPr>
              <c:dLblPos val="outEnd"/>
              <c:showLegendKey val="1"/>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8374-4368-97F6-BBDA83FD1D3E}"/>
                </c:ext>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spc="0" baseline="0">
                    <a:solidFill>
                      <a:schemeClr val="accent1"/>
                    </a:solidFill>
                    <a:latin typeface="+mn-lt"/>
                    <a:ea typeface="+mn-ea"/>
                    <a:cs typeface="+mn-cs"/>
                  </a:defRPr>
                </a:pPr>
                <a:endParaRPr lang="es-AR"/>
              </a:p>
            </c:txPr>
            <c:dLblPos val="outEnd"/>
            <c:showLegendKey val="1"/>
            <c:showVal val="0"/>
            <c:showCatName val="1"/>
            <c:showSerName val="0"/>
            <c:showPercent val="1"/>
            <c:showBubbleSize val="0"/>
            <c:separator>
</c:separator>
            <c:showLeaderLines val="0"/>
            <c:extLst>
              <c:ext xmlns:c15="http://schemas.microsoft.com/office/drawing/2012/chart" uri="{CE6537A1-D6FC-4f65-9D91-7224C49458BB}"/>
            </c:extLst>
          </c:dLbls>
          <c:cat>
            <c:strRef>
              <c:f>'Mod. ingresos'!$B$17:$B$28</c:f>
              <c:strCache>
                <c:ptCount val="12"/>
                <c:pt idx="0">
                  <c:v> Aviador </c:v>
                </c:pt>
                <c:pt idx="1">
                  <c:v> Cuadrado </c:v>
                </c:pt>
                <c:pt idx="2">
                  <c:v> Redondo </c:v>
                </c:pt>
                <c:pt idx="3">
                  <c:v> Running </c:v>
                </c:pt>
                <c:pt idx="4">
                  <c:v> Cilismo </c:v>
                </c:pt>
                <c:pt idx="5">
                  <c:v> Ski </c:v>
                </c:pt>
                <c:pt idx="6">
                  <c:v> Estilo 90 </c:v>
                </c:pt>
                <c:pt idx="7">
                  <c:v> Estilo 80 </c:v>
                </c:pt>
                <c:pt idx="8">
                  <c:v> Estilo 70 </c:v>
                </c:pt>
                <c:pt idx="9">
                  <c:v> Ovalado </c:v>
                </c:pt>
                <c:pt idx="10">
                  <c:v> Rectangular </c:v>
                </c:pt>
                <c:pt idx="11">
                  <c:v> Hexagonal </c:v>
                </c:pt>
              </c:strCache>
            </c:strRef>
          </c:cat>
          <c:val>
            <c:numRef>
              <c:f>'Mod. ingresos'!$D$17:$D$28</c:f>
              <c:numCache>
                <c:formatCode>_("$"* #,##0.00_);_("$"* \(#,##0.00\);_("$"* "-"??_);_(@_)</c:formatCode>
                <c:ptCount val="12"/>
                <c:pt idx="0">
                  <c:v>9800000</c:v>
                </c:pt>
                <c:pt idx="1">
                  <c:v>7200000</c:v>
                </c:pt>
                <c:pt idx="2">
                  <c:v>4000000</c:v>
                </c:pt>
                <c:pt idx="3">
                  <c:v>3500000</c:v>
                </c:pt>
                <c:pt idx="4">
                  <c:v>6000000</c:v>
                </c:pt>
                <c:pt idx="5">
                  <c:v>5600000</c:v>
                </c:pt>
                <c:pt idx="6">
                  <c:v>4200000</c:v>
                </c:pt>
                <c:pt idx="7">
                  <c:v>1800000</c:v>
                </c:pt>
                <c:pt idx="8">
                  <c:v>1000000</c:v>
                </c:pt>
                <c:pt idx="9">
                  <c:v>5500000</c:v>
                </c:pt>
                <c:pt idx="10">
                  <c:v>4800000</c:v>
                </c:pt>
                <c:pt idx="11">
                  <c:v>4900000</c:v>
                </c:pt>
              </c:numCache>
            </c:numRef>
          </c:val>
          <c:extLst>
            <c:ext xmlns:c16="http://schemas.microsoft.com/office/drawing/2014/chart" uri="{C3380CC4-5D6E-409C-BE32-E72D297353CC}">
              <c16:uniqueId val="{00000000-8374-4368-97F6-BBDA83FD1D3E}"/>
            </c:ext>
          </c:extLst>
        </c:ser>
        <c:dLbls>
          <c:dLblPos val="outEnd"/>
          <c:showLegendKey val="0"/>
          <c:showVal val="0"/>
          <c:showCatName val="1"/>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Indice!A1"/></Relationships>
</file>

<file path=xl/drawings/_rels/drawing11.xml.rels><?xml version="1.0" encoding="UTF-8" standalone="yes"?>
<Relationships xmlns="http://schemas.openxmlformats.org/package/2006/relationships"><Relationship Id="rId1" Type="http://schemas.openxmlformats.org/officeDocument/2006/relationships/hyperlink" Target="#Indice!A1"/></Relationships>
</file>

<file path=xl/drawings/_rels/drawing12.xml.rels><?xml version="1.0" encoding="UTF-8" standalone="yes"?>
<Relationships xmlns="http://schemas.openxmlformats.org/package/2006/relationships"><Relationship Id="rId1" Type="http://schemas.openxmlformats.org/officeDocument/2006/relationships/hyperlink" Target="#Indice!A1"/></Relationships>
</file>

<file path=xl/drawings/_rels/drawing13.xml.rels><?xml version="1.0" encoding="UTF-8" standalone="yes"?>
<Relationships xmlns="http://schemas.openxmlformats.org/package/2006/relationships"><Relationship Id="rId1" Type="http://schemas.openxmlformats.org/officeDocument/2006/relationships/hyperlink" Target="#Indice!A1"/></Relationships>
</file>

<file path=xl/drawings/_rels/drawing14.xml.rels><?xml version="1.0" encoding="UTF-8" standalone="yes"?>
<Relationships xmlns="http://schemas.openxmlformats.org/package/2006/relationships"><Relationship Id="rId1" Type="http://schemas.openxmlformats.org/officeDocument/2006/relationships/hyperlink" Target="#Indice!A1"/></Relationships>
</file>

<file path=xl/drawings/_rels/drawing15.xml.rels><?xml version="1.0" encoding="UTF-8" standalone="yes"?>
<Relationships xmlns="http://schemas.openxmlformats.org/package/2006/relationships"><Relationship Id="rId1" Type="http://schemas.openxmlformats.org/officeDocument/2006/relationships/hyperlink" Target="#Indice!A1"/></Relationships>
</file>

<file path=xl/drawings/_rels/drawing16.xml.rels><?xml version="1.0" encoding="UTF-8" standalone="yes"?>
<Relationships xmlns="http://schemas.openxmlformats.org/package/2006/relationships"><Relationship Id="rId1" Type="http://schemas.openxmlformats.org/officeDocument/2006/relationships/hyperlink" Target="#Indice!A1"/></Relationships>
</file>

<file path=xl/drawings/_rels/drawing17.xml.rels><?xml version="1.0" encoding="UTF-8" standalone="yes"?>
<Relationships xmlns="http://schemas.openxmlformats.org/package/2006/relationships"><Relationship Id="rId1" Type="http://schemas.openxmlformats.org/officeDocument/2006/relationships/hyperlink" Target="#Indice!A1"/></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hyperlink" Target="#Indice!A1"/></Relationships>
</file>

<file path=xl/drawings/_rels/drawing3.xml.rels><?xml version="1.0" encoding="UTF-8" standalone="yes"?>
<Relationships xmlns="http://schemas.openxmlformats.org/package/2006/relationships"><Relationship Id="rId8" Type="http://schemas.openxmlformats.org/officeDocument/2006/relationships/hyperlink" Target="#'Anexo capacidad operativa'!A1"/><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hyperlink" Target="#Indice!A1"/><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hyperlink" Target="#Indice!A1"/><Relationship Id="rId1" Type="http://schemas.openxmlformats.org/officeDocument/2006/relationships/hyperlink" Target="#'Proy. ventas'!A1"/></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hyperlink" Target="#Indice!A1"/><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hyperlink" Target="#Indice!A1"/></Relationships>
</file>

<file path=xl/drawings/_rels/drawing7.xml.rels><?xml version="1.0" encoding="UTF-8" standalone="yes"?>
<Relationships xmlns="http://schemas.openxmlformats.org/package/2006/relationships"><Relationship Id="rId1" Type="http://schemas.openxmlformats.org/officeDocument/2006/relationships/hyperlink" Target="#Indice!A1"/></Relationships>
</file>

<file path=xl/drawings/_rels/drawing8.xml.rels><?xml version="1.0" encoding="UTF-8" standalone="yes"?>
<Relationships xmlns="http://schemas.openxmlformats.org/package/2006/relationships"><Relationship Id="rId1" Type="http://schemas.openxmlformats.org/officeDocument/2006/relationships/hyperlink" Target="#Indice!A1"/></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hyperlink" Target="#Indice!A1"/></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9525</xdr:rowOff>
    </xdr:from>
    <xdr:to>
      <xdr:col>7</xdr:col>
      <xdr:colOff>390049</xdr:colOff>
      <xdr:row>7</xdr:row>
      <xdr:rowOff>3810</xdr:rowOff>
    </xdr:to>
    <xdr:pic>
      <xdr:nvPicPr>
        <xdr:cNvPr id="3" name="Imagen 2" descr="Resultado de imagen para uai">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8650" y="390525"/>
          <a:ext cx="5612130" cy="946785"/>
        </a:xfrm>
        <a:prstGeom prst="rect">
          <a:avLst/>
        </a:prstGeom>
        <a:noFill/>
        <a:ln>
          <a:noFill/>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203387</xdr:colOff>
      <xdr:row>0</xdr:row>
      <xdr:rowOff>215713</xdr:rowOff>
    </xdr:from>
    <xdr:to>
      <xdr:col>2</xdr:col>
      <xdr:colOff>622487</xdr:colOff>
      <xdr:row>0</xdr:row>
      <xdr:rowOff>501463</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AD96748B-B460-4E8C-9A94-8C9A666ECF20}"/>
            </a:ext>
          </a:extLst>
        </xdr:cNvPr>
        <xdr:cNvSpPr/>
      </xdr:nvSpPr>
      <xdr:spPr>
        <a:xfrm>
          <a:off x="965387" y="215713"/>
          <a:ext cx="2682688"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ED2F9AF6-E8B9-48D3-919B-A2F3EECD8194}"/>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238125</xdr:rowOff>
    </xdr:from>
    <xdr:to>
      <xdr:col>1</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CE31AC0B-3E3D-41C1-AF72-BF1096BD1383}"/>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86ABE255-E756-487C-A001-4B94AE59DBDF}"/>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xdr:col>
      <xdr:colOff>752475</xdr:colOff>
      <xdr:row>0</xdr:row>
      <xdr:rowOff>238125</xdr:rowOff>
    </xdr:from>
    <xdr:to>
      <xdr:col>3</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55D7E974-B1DE-497B-98BD-4CF4F6AF76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295275</xdr:colOff>
      <xdr:row>0</xdr:row>
      <xdr:rowOff>238125</xdr:rowOff>
    </xdr:from>
    <xdr:to>
      <xdr:col>3</xdr:col>
      <xdr:colOff>47625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0A6F96F-E37C-4A5B-B216-6A4ACBD551EF}"/>
            </a:ext>
          </a:extLst>
        </xdr:cNvPr>
        <xdr:cNvSpPr/>
      </xdr:nvSpPr>
      <xdr:spPr>
        <a:xfrm>
          <a:off x="295275" y="238125"/>
          <a:ext cx="1288256"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314325</xdr:colOff>
      <xdr:row>0</xdr:row>
      <xdr:rowOff>238125</xdr:rowOff>
    </xdr:from>
    <xdr:to>
      <xdr:col>3</xdr:col>
      <xdr:colOff>116417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4AF1FEC-F722-4E86-8D8D-28EB6AECD6EF}"/>
            </a:ext>
          </a:extLst>
        </xdr:cNvPr>
        <xdr:cNvSpPr/>
      </xdr:nvSpPr>
      <xdr:spPr>
        <a:xfrm>
          <a:off x="314325" y="238125"/>
          <a:ext cx="1453092"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C57868B-13A8-4524-8201-2E020DE2303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710144</xdr:colOff>
      <xdr:row>0</xdr:row>
      <xdr:rowOff>238125</xdr:rowOff>
    </xdr:from>
    <xdr:to>
      <xdr:col>1</xdr:col>
      <xdr:colOff>1534584</xdr:colOff>
      <xdr:row>0</xdr:row>
      <xdr:rowOff>523875</xdr:rowOff>
    </xdr:to>
    <xdr:sp macro="" textlink="">
      <xdr:nvSpPr>
        <xdr:cNvPr id="2" name="Rectángulo: esquinas redondeadas 1">
          <a:hlinkClick xmlns:r="http://schemas.openxmlformats.org/officeDocument/2006/relationships" r:id="rId1"/>
          <a:extLst>
            <a:ext uri="{FF2B5EF4-FFF2-40B4-BE49-F238E27FC236}">
              <a16:creationId xmlns:a16="http://schemas.microsoft.com/office/drawing/2014/main" id="{5FC0E6FE-4B7F-4155-977B-6C7CF6EFE75B}"/>
            </a:ext>
          </a:extLst>
        </xdr:cNvPr>
        <xdr:cNvSpPr/>
      </xdr:nvSpPr>
      <xdr:spPr>
        <a:xfrm>
          <a:off x="710144" y="238125"/>
          <a:ext cx="158644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4</xdr:col>
      <xdr:colOff>319765</xdr:colOff>
      <xdr:row>17</xdr:row>
      <xdr:rowOff>54430</xdr:rowOff>
    </xdr:from>
    <xdr:to>
      <xdr:col>9</xdr:col>
      <xdr:colOff>625927</xdr:colOff>
      <xdr:row>30</xdr:row>
      <xdr:rowOff>40820</xdr:rowOff>
    </xdr:to>
    <xdr:graphicFrame macro="">
      <xdr:nvGraphicFramePr>
        <xdr:cNvPr id="3" name="Gráfico 2">
          <a:extLst>
            <a:ext uri="{FF2B5EF4-FFF2-40B4-BE49-F238E27FC236}">
              <a16:creationId xmlns:a16="http://schemas.microsoft.com/office/drawing/2014/main" id="{7C652CA2-4199-4A96-977C-3B0D83C7D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575582</xdr:colOff>
      <xdr:row>0</xdr:row>
      <xdr:rowOff>176893</xdr:rowOff>
    </xdr:from>
    <xdr:to>
      <xdr:col>0</xdr:col>
      <xdr:colOff>2204357</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572E3C2-A315-4012-A914-E6B6C8EB05F7}"/>
            </a:ext>
          </a:extLst>
        </xdr:cNvPr>
        <xdr:cNvSpPr/>
      </xdr:nvSpPr>
      <xdr:spPr>
        <a:xfrm>
          <a:off x="575582" y="176893"/>
          <a:ext cx="1628775" cy="34698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30</xdr:col>
      <xdr:colOff>442910</xdr:colOff>
      <xdr:row>17</xdr:row>
      <xdr:rowOff>8616</xdr:rowOff>
    </xdr:from>
    <xdr:to>
      <xdr:col>42</xdr:col>
      <xdr:colOff>546099</xdr:colOff>
      <xdr:row>37</xdr:row>
      <xdr:rowOff>1733549</xdr:rowOff>
    </xdr:to>
    <xdr:graphicFrame macro="">
      <xdr:nvGraphicFramePr>
        <xdr:cNvPr id="4" name="Gráfico 3">
          <a:extLst>
            <a:ext uri="{FF2B5EF4-FFF2-40B4-BE49-F238E27FC236}">
              <a16:creationId xmlns:a16="http://schemas.microsoft.com/office/drawing/2014/main" id="{2F9DA8A6-869C-4C71-B6CB-D16B1D07B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29</xdr:col>
      <xdr:colOff>495300</xdr:colOff>
      <xdr:row>81</xdr:row>
      <xdr:rowOff>171450</xdr:rowOff>
    </xdr:from>
    <xdr:to>
      <xdr:col>43</xdr:col>
      <xdr:colOff>38100</xdr:colOff>
      <xdr:row>103</xdr:row>
      <xdr:rowOff>152400</xdr:rowOff>
    </xdr:to>
    <xdr:graphicFrame macro="">
      <xdr:nvGraphicFramePr>
        <xdr:cNvPr id="5" name="Gráfico 4">
          <a:extLst>
            <a:ext uri="{FF2B5EF4-FFF2-40B4-BE49-F238E27FC236}">
              <a16:creationId xmlns:a16="http://schemas.microsoft.com/office/drawing/2014/main" id="{47521083-FD90-4620-9714-6BEB9B3FA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371474</xdr:colOff>
      <xdr:row>137</xdr:row>
      <xdr:rowOff>47624</xdr:rowOff>
    </xdr:from>
    <xdr:to>
      <xdr:col>42</xdr:col>
      <xdr:colOff>571500</xdr:colOff>
      <xdr:row>160</xdr:row>
      <xdr:rowOff>133350</xdr:rowOff>
    </xdr:to>
    <xdr:graphicFrame macro="">
      <xdr:nvGraphicFramePr>
        <xdr:cNvPr id="6" name="Gráfico 5">
          <a:extLst>
            <a:ext uri="{FF2B5EF4-FFF2-40B4-BE49-F238E27FC236}">
              <a16:creationId xmlns:a16="http://schemas.microsoft.com/office/drawing/2014/main" id="{929DAE4F-1B98-46E7-933D-02F24E98A6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30</xdr:col>
      <xdr:colOff>329044</xdr:colOff>
      <xdr:row>39</xdr:row>
      <xdr:rowOff>117762</xdr:rowOff>
    </xdr:from>
    <xdr:to>
      <xdr:col>43</xdr:col>
      <xdr:colOff>571500</xdr:colOff>
      <xdr:row>69</xdr:row>
      <xdr:rowOff>69273</xdr:rowOff>
    </xdr:to>
    <xdr:graphicFrame macro="">
      <xdr:nvGraphicFramePr>
        <xdr:cNvPr id="9" name="Gráfico 8">
          <a:extLst>
            <a:ext uri="{FF2B5EF4-FFF2-40B4-BE49-F238E27FC236}">
              <a16:creationId xmlns:a16="http://schemas.microsoft.com/office/drawing/2014/main" id="{0F6C5F57-6458-4CE0-B9BC-92417A89F2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519546</xdr:colOff>
      <xdr:row>105</xdr:row>
      <xdr:rowOff>51955</xdr:rowOff>
    </xdr:from>
    <xdr:to>
      <xdr:col>42</xdr:col>
      <xdr:colOff>571500</xdr:colOff>
      <xdr:row>130</xdr:row>
      <xdr:rowOff>69273</xdr:rowOff>
    </xdr:to>
    <xdr:graphicFrame macro="">
      <xdr:nvGraphicFramePr>
        <xdr:cNvPr id="10" name="Gráfico 9">
          <a:extLst>
            <a:ext uri="{FF2B5EF4-FFF2-40B4-BE49-F238E27FC236}">
              <a16:creationId xmlns:a16="http://schemas.microsoft.com/office/drawing/2014/main" id="{E42BB335-A567-4C02-8D36-6BEE078D2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346364</xdr:colOff>
      <xdr:row>162</xdr:row>
      <xdr:rowOff>86591</xdr:rowOff>
    </xdr:from>
    <xdr:to>
      <xdr:col>43</xdr:col>
      <xdr:colOff>155864</xdr:colOff>
      <xdr:row>194</xdr:row>
      <xdr:rowOff>-1</xdr:rowOff>
    </xdr:to>
    <xdr:graphicFrame macro="">
      <xdr:nvGraphicFramePr>
        <xdr:cNvPr id="11" name="Gráfico 10">
          <a:extLst>
            <a:ext uri="{FF2B5EF4-FFF2-40B4-BE49-F238E27FC236}">
              <a16:creationId xmlns:a16="http://schemas.microsoft.com/office/drawing/2014/main" id="{4F7F650F-5085-48F5-A311-89C1D6217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1396999</xdr:colOff>
      <xdr:row>102</xdr:row>
      <xdr:rowOff>63500</xdr:rowOff>
    </xdr:from>
    <xdr:to>
      <xdr:col>1</xdr:col>
      <xdr:colOff>1016000</xdr:colOff>
      <xdr:row>105</xdr:row>
      <xdr:rowOff>132772</xdr:rowOff>
    </xdr:to>
    <xdr:sp macro="" textlink="">
      <xdr:nvSpPr>
        <xdr:cNvPr id="15" name="Rectángulo: esquinas redondeadas 14">
          <a:hlinkClick xmlns:r="http://schemas.openxmlformats.org/officeDocument/2006/relationships" r:id="rId8"/>
          <a:extLst>
            <a:ext uri="{FF2B5EF4-FFF2-40B4-BE49-F238E27FC236}">
              <a16:creationId xmlns:a16="http://schemas.microsoft.com/office/drawing/2014/main" id="{8B83D8D3-3715-43A7-8EC2-52FFD9690EA5}"/>
            </a:ext>
          </a:extLst>
        </xdr:cNvPr>
        <xdr:cNvSpPr/>
      </xdr:nvSpPr>
      <xdr:spPr>
        <a:xfrm>
          <a:off x="1396999" y="285273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1317625</xdr:colOff>
      <xdr:row>43</xdr:row>
      <xdr:rowOff>111125</xdr:rowOff>
    </xdr:from>
    <xdr:to>
      <xdr:col>1</xdr:col>
      <xdr:colOff>936626</xdr:colOff>
      <xdr:row>46</xdr:row>
      <xdr:rowOff>180397</xdr:rowOff>
    </xdr:to>
    <xdr:sp macro="" textlink="">
      <xdr:nvSpPr>
        <xdr:cNvPr id="16" name="Rectángulo: esquinas redondeadas 15">
          <a:hlinkClick xmlns:r="http://schemas.openxmlformats.org/officeDocument/2006/relationships" r:id="rId8"/>
          <a:extLst>
            <a:ext uri="{FF2B5EF4-FFF2-40B4-BE49-F238E27FC236}">
              <a16:creationId xmlns:a16="http://schemas.microsoft.com/office/drawing/2014/main" id="{BCD8EB8A-1A07-422B-9A36-46626E7D50F6}"/>
            </a:ext>
          </a:extLst>
        </xdr:cNvPr>
        <xdr:cNvSpPr/>
      </xdr:nvSpPr>
      <xdr:spPr>
        <a:xfrm>
          <a:off x="1317625" y="13731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twoCellAnchor>
    <xdr:from>
      <xdr:col>0</xdr:col>
      <xdr:colOff>1285875</xdr:colOff>
      <xdr:row>161</xdr:row>
      <xdr:rowOff>158750</xdr:rowOff>
    </xdr:from>
    <xdr:to>
      <xdr:col>1</xdr:col>
      <xdr:colOff>904876</xdr:colOff>
      <xdr:row>165</xdr:row>
      <xdr:rowOff>37522</xdr:rowOff>
    </xdr:to>
    <xdr:sp macro="" textlink="">
      <xdr:nvSpPr>
        <xdr:cNvPr id="17" name="Rectángulo: esquinas redondeadas 16">
          <a:hlinkClick xmlns:r="http://schemas.openxmlformats.org/officeDocument/2006/relationships" r:id="rId8"/>
          <a:extLst>
            <a:ext uri="{FF2B5EF4-FFF2-40B4-BE49-F238E27FC236}">
              <a16:creationId xmlns:a16="http://schemas.microsoft.com/office/drawing/2014/main" id="{5736D737-38BE-481F-9632-9A0585D8973D}"/>
            </a:ext>
          </a:extLst>
        </xdr:cNvPr>
        <xdr:cNvSpPr/>
      </xdr:nvSpPr>
      <xdr:spPr>
        <a:xfrm>
          <a:off x="1285875" y="42179875"/>
          <a:ext cx="2587626" cy="640772"/>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400"/>
            <a:t>Ver</a:t>
          </a:r>
          <a:r>
            <a:rPr lang="es-AR" sz="1400" baseline="0"/>
            <a:t> Anexo Capacidad Operativa</a:t>
          </a:r>
          <a:endParaRPr lang="es-AR"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95250</xdr:colOff>
      <xdr:row>0</xdr:row>
      <xdr:rowOff>238125</xdr:rowOff>
    </xdr:from>
    <xdr:to>
      <xdr:col>1</xdr:col>
      <xdr:colOff>1581150</xdr:colOff>
      <xdr:row>0</xdr:row>
      <xdr:rowOff>523875</xdr:rowOff>
    </xdr:to>
    <xdr:sp macro="" textlink="">
      <xdr:nvSpPr>
        <xdr:cNvPr id="4" name="Rectángulo: esquinas redondeadas 3">
          <a:hlinkClick xmlns:r="http://schemas.openxmlformats.org/officeDocument/2006/relationships" r:id="rId1"/>
          <a:extLst>
            <a:ext uri="{FF2B5EF4-FFF2-40B4-BE49-F238E27FC236}">
              <a16:creationId xmlns:a16="http://schemas.microsoft.com/office/drawing/2014/main" id="{0BD6CB56-49D1-41F8-A6A2-EEAEAE6F64D8}"/>
            </a:ext>
          </a:extLst>
        </xdr:cNvPr>
        <xdr:cNvSpPr/>
      </xdr:nvSpPr>
      <xdr:spPr>
        <a:xfrm>
          <a:off x="1409700" y="238125"/>
          <a:ext cx="14859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 a Proy. ventas</a:t>
          </a:r>
        </a:p>
      </xdr:txBody>
    </xdr:sp>
    <xdr:clientData/>
  </xdr:twoCellAnchor>
  <xdr:twoCellAnchor>
    <xdr:from>
      <xdr:col>0</xdr:col>
      <xdr:colOff>114300</xdr:colOff>
      <xdr:row>0</xdr:row>
      <xdr:rowOff>238125</xdr:rowOff>
    </xdr:from>
    <xdr:to>
      <xdr:col>0</xdr:col>
      <xdr:colOff>1228725</xdr:colOff>
      <xdr:row>0</xdr:row>
      <xdr:rowOff>523875</xdr:rowOff>
    </xdr:to>
    <xdr:sp macro="" textlink="">
      <xdr:nvSpPr>
        <xdr:cNvPr id="7" name="Rectángulo: esquinas redondeadas 6">
          <a:hlinkClick xmlns:r="http://schemas.openxmlformats.org/officeDocument/2006/relationships" r:id="rId2"/>
          <a:extLst>
            <a:ext uri="{FF2B5EF4-FFF2-40B4-BE49-F238E27FC236}">
              <a16:creationId xmlns:a16="http://schemas.microsoft.com/office/drawing/2014/main" id="{EE9074D6-8650-40CA-BBBF-8B6127FE5EE8}"/>
            </a:ext>
          </a:extLst>
        </xdr:cNvPr>
        <xdr:cNvSpPr/>
      </xdr:nvSpPr>
      <xdr:spPr>
        <a:xfrm>
          <a:off x="114300" y="238125"/>
          <a:ext cx="1114425"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17ECC99-AC21-4EF9-AAA0-096DD587B40D}"/>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9</xdr:col>
      <xdr:colOff>59573</xdr:colOff>
      <xdr:row>3</xdr:row>
      <xdr:rowOff>9520</xdr:rowOff>
    </xdr:from>
    <xdr:to>
      <xdr:col>21</xdr:col>
      <xdr:colOff>471490</xdr:colOff>
      <xdr:row>39</xdr:row>
      <xdr:rowOff>81134</xdr:rowOff>
    </xdr:to>
    <xdr:graphicFrame macro="">
      <xdr:nvGraphicFramePr>
        <xdr:cNvPr id="4" name="Gráfico 3">
          <a:extLst>
            <a:ext uri="{FF2B5EF4-FFF2-40B4-BE49-F238E27FC236}">
              <a16:creationId xmlns:a16="http://schemas.microsoft.com/office/drawing/2014/main" id="{69832ACF-0F35-4E72-9ED4-3750225CB5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102892</xdr:colOff>
      <xdr:row>41</xdr:row>
      <xdr:rowOff>16143</xdr:rowOff>
    </xdr:from>
    <xdr:to>
      <xdr:col>7</xdr:col>
      <xdr:colOff>807204</xdr:colOff>
      <xdr:row>79</xdr:row>
      <xdr:rowOff>129151</xdr:rowOff>
    </xdr:to>
    <xdr:graphicFrame macro="">
      <xdr:nvGraphicFramePr>
        <xdr:cNvPr id="5" name="Gráfico 4">
          <a:extLst>
            <a:ext uri="{FF2B5EF4-FFF2-40B4-BE49-F238E27FC236}">
              <a16:creationId xmlns:a16="http://schemas.microsoft.com/office/drawing/2014/main" id="{D789AC21-0B30-4AF6-A357-9CB0E79AF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32125</xdr:colOff>
      <xdr:row>41</xdr:row>
      <xdr:rowOff>16144</xdr:rowOff>
    </xdr:from>
    <xdr:to>
      <xdr:col>21</xdr:col>
      <xdr:colOff>468178</xdr:colOff>
      <xdr:row>79</xdr:row>
      <xdr:rowOff>129152</xdr:rowOff>
    </xdr:to>
    <xdr:graphicFrame macro="">
      <xdr:nvGraphicFramePr>
        <xdr:cNvPr id="6" name="Gráfico 5">
          <a:extLst>
            <a:ext uri="{FF2B5EF4-FFF2-40B4-BE49-F238E27FC236}">
              <a16:creationId xmlns:a16="http://schemas.microsoft.com/office/drawing/2014/main" id="{37AD291C-126F-49A7-89F7-F114102F5C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0682C863-661A-452B-9063-A603E1ADF416}"/>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0</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D7580633-A34A-4A44-A585-87E0792E7792}"/>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33C79AE7-9846-4F41-8A4D-A53479BEFC5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752475</xdr:colOff>
      <xdr:row>0</xdr:row>
      <xdr:rowOff>238125</xdr:rowOff>
    </xdr:from>
    <xdr:to>
      <xdr:col>2</xdr:col>
      <xdr:colOff>409575</xdr:colOff>
      <xdr:row>0</xdr:row>
      <xdr:rowOff>523875</xdr:rowOff>
    </xdr:to>
    <xdr:sp macro="" textlink="">
      <xdr:nvSpPr>
        <xdr:cNvPr id="3" name="Rectángulo: esquinas redondeadas 2">
          <a:hlinkClick xmlns:r="http://schemas.openxmlformats.org/officeDocument/2006/relationships" r:id="rId1"/>
          <a:extLst>
            <a:ext uri="{FF2B5EF4-FFF2-40B4-BE49-F238E27FC236}">
              <a16:creationId xmlns:a16="http://schemas.microsoft.com/office/drawing/2014/main" id="{FF84262D-55FB-4CBD-A74D-D0410A50B277}"/>
            </a:ext>
          </a:extLst>
        </xdr:cNvPr>
        <xdr:cNvSpPr/>
      </xdr:nvSpPr>
      <xdr:spPr>
        <a:xfrm>
          <a:off x="752475" y="238125"/>
          <a:ext cx="1181100" cy="285750"/>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s-AR" sz="1100"/>
            <a:t>Volver</a:t>
          </a:r>
          <a:r>
            <a:rPr lang="es-AR" sz="1100" baseline="0"/>
            <a:t> al índice</a:t>
          </a:r>
          <a:endParaRPr lang="es-AR" sz="1100"/>
        </a:p>
      </xdr:txBody>
    </xdr:sp>
    <xdr:clientData/>
  </xdr:twoCellAnchor>
  <xdr:twoCellAnchor>
    <xdr:from>
      <xdr:col>0</xdr:col>
      <xdr:colOff>240847</xdr:colOff>
      <xdr:row>15</xdr:row>
      <xdr:rowOff>21091</xdr:rowOff>
    </xdr:from>
    <xdr:to>
      <xdr:col>4</xdr:col>
      <xdr:colOff>522515</xdr:colOff>
      <xdr:row>29</xdr:row>
      <xdr:rowOff>100012</xdr:rowOff>
    </xdr:to>
    <xdr:graphicFrame macro="">
      <xdr:nvGraphicFramePr>
        <xdr:cNvPr id="6" name="Gráfico 5">
          <a:extLst>
            <a:ext uri="{FF2B5EF4-FFF2-40B4-BE49-F238E27FC236}">
              <a16:creationId xmlns:a16="http://schemas.microsoft.com/office/drawing/2014/main" id="{4C10C708-52C2-4FAB-81F4-B8C2B1A7B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119063</xdr:colOff>
      <xdr:row>15</xdr:row>
      <xdr:rowOff>15647</xdr:rowOff>
    </xdr:from>
    <xdr:to>
      <xdr:col>10</xdr:col>
      <xdr:colOff>604838</xdr:colOff>
      <xdr:row>29</xdr:row>
      <xdr:rowOff>91847</xdr:rowOff>
    </xdr:to>
    <xdr:graphicFrame macro="">
      <xdr:nvGraphicFramePr>
        <xdr:cNvPr id="8" name="Gráfico 7">
          <a:extLst>
            <a:ext uri="{FF2B5EF4-FFF2-40B4-BE49-F238E27FC236}">
              <a16:creationId xmlns:a16="http://schemas.microsoft.com/office/drawing/2014/main" id="{55872761-E8D1-425E-9C87-A7EDDAFFA4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cristiangentile1@gmail.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hyperlink" Target="https://articulo.mercadolibre.com.ar/MLA-686209005-sillon-ejecutivo-silla-oficina-pc-escritorio-gerencial-_JM" TargetMode="External"/><Relationship Id="rId2" Type="http://schemas.openxmlformats.org/officeDocument/2006/relationships/hyperlink" Target="https://articulo.mercadolibre.com.ar/MLA-787060296-kit-set-herramientas-y-accesorios-p-impresora-impresion-3d-_JM" TargetMode="External"/><Relationship Id="rId1" Type="http://schemas.openxmlformats.org/officeDocument/2006/relationships/hyperlink" Target="https://www.mercadolibre.com.ar/impresora-creality-3d-ender-3-pro-color-negro-100v-120v200v-240v-con-tecnologia-de-impresion-fdm" TargetMode="External"/><Relationship Id="rId5" Type="http://schemas.openxmlformats.org/officeDocument/2006/relationships/drawing" Target="../drawings/drawing10.xml"/><Relationship Id="rId4"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9:D26"/>
  <sheetViews>
    <sheetView tabSelected="1" zoomScale="80" zoomScaleNormal="80" workbookViewId="0">
      <selection activeCell="D18" sqref="D18"/>
    </sheetView>
  </sheetViews>
  <sheetFormatPr baseColWidth="10" defaultColWidth="11.42578125" defaultRowHeight="15" x14ac:dyDescent="0.25"/>
  <cols>
    <col min="1" max="1" width="11.42578125" style="1"/>
    <col min="2" max="2" width="12.5703125" style="1" customWidth="1"/>
    <col min="3" max="3" width="18" style="1" customWidth="1"/>
    <col min="4" max="16384" width="11.42578125" style="1"/>
  </cols>
  <sheetData>
    <row r="9" spans="3:3" ht="28.5" x14ac:dyDescent="0.45">
      <c r="C9" s="2" t="s">
        <v>0</v>
      </c>
    </row>
    <row r="21" spans="3:4" ht="18" x14ac:dyDescent="0.25">
      <c r="C21" s="3" t="s">
        <v>211</v>
      </c>
      <c r="D21" s="356"/>
    </row>
    <row r="22" spans="3:4" ht="18" x14ac:dyDescent="0.25">
      <c r="C22" s="3" t="s">
        <v>212</v>
      </c>
      <c r="D22" s="356"/>
    </row>
    <row r="23" spans="3:4" ht="18" x14ac:dyDescent="0.25">
      <c r="C23" s="3" t="s">
        <v>218</v>
      </c>
      <c r="D23" s="356"/>
    </row>
    <row r="24" spans="3:4" ht="18" x14ac:dyDescent="0.25">
      <c r="C24" s="3" t="s">
        <v>213</v>
      </c>
      <c r="D24" s="356" t="s">
        <v>216</v>
      </c>
    </row>
    <row r="25" spans="3:4" ht="18" x14ac:dyDescent="0.25">
      <c r="C25" s="3" t="s">
        <v>214</v>
      </c>
      <c r="D25" s="356" t="s">
        <v>217</v>
      </c>
    </row>
    <row r="26" spans="3:4" ht="18" x14ac:dyDescent="0.25">
      <c r="C26" s="3" t="s">
        <v>215</v>
      </c>
      <c r="D26" s="357"/>
    </row>
  </sheetData>
  <hyperlinks>
    <hyperlink ref="C26" r:id="rId1" display="mailto:cristiangentile1@gmail.com" xr:uid="{00000000-0004-0000-0000-000000000000}"/>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14"/>
  <sheetViews>
    <sheetView zoomScale="90" zoomScaleNormal="90" workbookViewId="0">
      <pane ySplit="1" topLeftCell="A2" activePane="bottomLeft" state="frozen"/>
      <selection pane="bottomLeft" activeCell="N18" sqref="N18"/>
    </sheetView>
  </sheetViews>
  <sheetFormatPr baseColWidth="10" defaultColWidth="11.42578125" defaultRowHeight="15" x14ac:dyDescent="0.25"/>
  <cols>
    <col min="1" max="1" width="17.7109375" style="1" customWidth="1"/>
    <col min="2" max="3" width="15.28515625" style="1" bestFit="1" customWidth="1"/>
    <col min="4" max="4" width="18.42578125" style="1" customWidth="1"/>
    <col min="5" max="7" width="11.42578125" style="1"/>
    <col min="8" max="8" width="15.5703125" style="1" customWidth="1"/>
    <col min="9" max="16384" width="11.42578125" style="1"/>
  </cols>
  <sheetData>
    <row r="1" spans="1:15" s="341" customFormat="1" ht="58.5" customHeight="1" x14ac:dyDescent="0.25">
      <c r="A1" s="344"/>
      <c r="B1" s="344"/>
      <c r="C1" s="344"/>
      <c r="D1" s="344"/>
      <c r="E1" s="344"/>
      <c r="F1" s="349" t="s">
        <v>7</v>
      </c>
      <c r="G1" s="350"/>
      <c r="H1" s="350"/>
      <c r="I1" s="344"/>
      <c r="J1" s="344"/>
      <c r="K1" s="344"/>
      <c r="L1" s="344"/>
      <c r="M1" s="344"/>
      <c r="N1" s="344"/>
      <c r="O1" s="344"/>
    </row>
    <row r="2" spans="1:15" ht="15.75" thickBot="1" x14ac:dyDescent="0.3"/>
    <row r="3" spans="1:15" ht="27" thickBot="1" x14ac:dyDescent="0.45">
      <c r="B3" s="785" t="s">
        <v>22</v>
      </c>
      <c r="C3" s="786"/>
      <c r="D3" s="787"/>
    </row>
    <row r="4" spans="1:15" x14ac:dyDescent="0.25">
      <c r="B4" s="503">
        <v>2021</v>
      </c>
      <c r="C4" s="503">
        <v>2022</v>
      </c>
      <c r="D4" s="503">
        <v>2023</v>
      </c>
    </row>
    <row r="5" spans="1:15" x14ac:dyDescent="0.25">
      <c r="B5" s="19">
        <f>Hipótesis!C24</f>
        <v>1.2999999999999999E-2</v>
      </c>
      <c r="C5" s="19">
        <f>Hipótesis!C25</f>
        <v>2.5000000000000001E-2</v>
      </c>
      <c r="D5" s="19">
        <f>Hipótesis!C26</f>
        <v>0.04</v>
      </c>
    </row>
    <row r="6" spans="1:15" x14ac:dyDescent="0.25">
      <c r="B6" s="16">
        <f>Hipótesis!D24</f>
        <v>31551000</v>
      </c>
      <c r="C6" s="16">
        <f>Hipótesis!D25</f>
        <v>60675000</v>
      </c>
      <c r="D6" s="16">
        <f>Hipótesis!D26</f>
        <v>97080000</v>
      </c>
    </row>
    <row r="7" spans="1:15" ht="15.75" thickBot="1" x14ac:dyDescent="0.3">
      <c r="B7" s="204"/>
      <c r="C7" s="204"/>
      <c r="D7" s="204"/>
    </row>
    <row r="8" spans="1:15" ht="27" thickBot="1" x14ac:dyDescent="0.45">
      <c r="B8" s="785" t="s">
        <v>143</v>
      </c>
      <c r="C8" s="786"/>
      <c r="D8" s="787"/>
    </row>
    <row r="9" spans="1:15" x14ac:dyDescent="0.25">
      <c r="B9" s="503">
        <v>2021</v>
      </c>
      <c r="C9" s="503">
        <v>2022</v>
      </c>
      <c r="D9" s="503">
        <v>2023</v>
      </c>
    </row>
    <row r="10" spans="1:15" x14ac:dyDescent="0.25">
      <c r="A10" s="581" t="s">
        <v>140</v>
      </c>
      <c r="B10" s="259">
        <f>'Costos fijos'!$G$5</f>
        <v>3351744</v>
      </c>
      <c r="C10" s="259">
        <f>'Costos fijos'!$H$5</f>
        <v>3951744</v>
      </c>
      <c r="D10" s="259">
        <f>'Costos fijos'!$I$5</f>
        <v>4551744</v>
      </c>
    </row>
    <row r="11" spans="1:15" x14ac:dyDescent="0.25">
      <c r="A11" s="581" t="s">
        <v>141</v>
      </c>
      <c r="B11" s="259">
        <f>'Costos variables'!$H$6</f>
        <v>8753536</v>
      </c>
      <c r="C11" s="259">
        <f>'Costos variables'!$I$6</f>
        <v>15604672</v>
      </c>
      <c r="D11" s="259">
        <f>'Costos variables'!$J$6</f>
        <v>22455808</v>
      </c>
    </row>
    <row r="12" spans="1:15" x14ac:dyDescent="0.25">
      <c r="A12" s="581" t="s">
        <v>142</v>
      </c>
      <c r="B12" s="259">
        <f>'Costos RRHH'!$H$6</f>
        <v>17854117.440000001</v>
      </c>
      <c r="C12" s="259">
        <f>'Costos RRHH'!$I$6</f>
        <v>26928160.68</v>
      </c>
      <c r="D12" s="259">
        <f>'Costos RRHH'!$J$6</f>
        <v>38051296.439999998</v>
      </c>
    </row>
    <row r="13" spans="1:15" x14ac:dyDescent="0.25">
      <c r="A13" s="581" t="s">
        <v>143</v>
      </c>
      <c r="B13" s="260">
        <f t="shared" ref="B13:D13" si="0">SUM(B9:B12)</f>
        <v>29961418.440000001</v>
      </c>
      <c r="C13" s="260">
        <f t="shared" si="0"/>
        <v>46486598.68</v>
      </c>
      <c r="D13" s="260">
        <f t="shared" si="0"/>
        <v>65060871.439999998</v>
      </c>
    </row>
    <row r="14" spans="1:15" x14ac:dyDescent="0.25">
      <c r="A14" s="581" t="s">
        <v>144</v>
      </c>
      <c r="B14" s="259">
        <f>$B$6</f>
        <v>31551000</v>
      </c>
      <c r="C14" s="259">
        <f>$C$6</f>
        <v>60675000</v>
      </c>
      <c r="D14" s="259">
        <f>$D$6</f>
        <v>97080000</v>
      </c>
    </row>
  </sheetData>
  <mergeCells count="2">
    <mergeCell ref="B3:D3"/>
    <mergeCell ref="B8:D8"/>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1"/>
  <sheetViews>
    <sheetView zoomScale="80" zoomScaleNormal="80" workbookViewId="0">
      <pane ySplit="1" topLeftCell="A2" activePane="bottomLeft" state="frozen"/>
      <selection pane="bottomLeft" activeCell="F35" sqref="F35"/>
    </sheetView>
  </sheetViews>
  <sheetFormatPr baseColWidth="10" defaultColWidth="11.42578125" defaultRowHeight="15" x14ac:dyDescent="0.25"/>
  <cols>
    <col min="1" max="1" width="11.42578125" style="1"/>
    <col min="2" max="2" width="48" style="1" customWidth="1"/>
    <col min="3" max="3" width="16.140625" style="1" customWidth="1"/>
    <col min="4" max="4" width="19.140625" style="1" customWidth="1"/>
    <col min="5" max="5" width="14.5703125" style="1" customWidth="1"/>
    <col min="6" max="6" width="46.140625" style="1" customWidth="1"/>
    <col min="7" max="7" width="21.42578125" style="1" customWidth="1"/>
    <col min="8" max="8" width="15.5703125" style="1" customWidth="1"/>
    <col min="9" max="9" width="16" style="1" customWidth="1"/>
    <col min="10" max="10" width="16.7109375" style="1" customWidth="1"/>
    <col min="11" max="16384" width="11.42578125" style="1"/>
  </cols>
  <sheetData>
    <row r="1" spans="1:12" s="341" customFormat="1" ht="58.5" customHeight="1" x14ac:dyDescent="0.25">
      <c r="A1" s="344"/>
      <c r="B1" s="344"/>
      <c r="C1" s="344"/>
      <c r="D1" s="344"/>
      <c r="E1" s="344"/>
      <c r="F1" s="349" t="s">
        <v>8</v>
      </c>
      <c r="G1" s="350"/>
      <c r="H1" s="350"/>
      <c r="I1" s="344"/>
      <c r="J1" s="344"/>
      <c r="K1" s="344"/>
      <c r="L1" s="344"/>
    </row>
    <row r="2" spans="1:12" ht="15.75" thickBot="1" x14ac:dyDescent="0.3"/>
    <row r="3" spans="1:12" ht="27" thickBot="1" x14ac:dyDescent="0.45">
      <c r="B3" s="785" t="s">
        <v>22</v>
      </c>
      <c r="C3" s="786"/>
      <c r="D3" s="787"/>
      <c r="G3" s="823" t="s">
        <v>145</v>
      </c>
      <c r="H3" s="824"/>
      <c r="I3" s="824"/>
      <c r="J3" s="825"/>
    </row>
    <row r="4" spans="1:12" x14ac:dyDescent="0.25">
      <c r="B4" s="504">
        <v>2021</v>
      </c>
      <c r="C4" s="503">
        <v>2022</v>
      </c>
      <c r="D4" s="505">
        <v>2023</v>
      </c>
      <c r="G4" s="575" t="s">
        <v>146</v>
      </c>
      <c r="H4" s="576">
        <v>2021</v>
      </c>
      <c r="I4" s="576">
        <v>2022</v>
      </c>
      <c r="J4" s="577">
        <v>2023</v>
      </c>
    </row>
    <row r="5" spans="1:12" ht="15.75" thickBot="1" x14ac:dyDescent="0.3">
      <c r="B5" s="44">
        <f>Hipótesis!$C$24</f>
        <v>1.2999999999999999E-2</v>
      </c>
      <c r="C5" s="19">
        <f>Hipótesis!$C$25</f>
        <v>2.5000000000000001E-2</v>
      </c>
      <c r="D5" s="45">
        <f>Hipótesis!$C$26</f>
        <v>0.04</v>
      </c>
      <c r="G5" s="262">
        <f>$E$23</f>
        <v>4084150</v>
      </c>
      <c r="H5" s="263">
        <f>$E$35</f>
        <v>0</v>
      </c>
      <c r="I5" s="263">
        <f>$E$48</f>
        <v>1663000</v>
      </c>
      <c r="J5" s="264">
        <f>$E$61</f>
        <v>2322000</v>
      </c>
    </row>
    <row r="6" spans="1:12" ht="15.75" thickBot="1" x14ac:dyDescent="0.3">
      <c r="B6" s="46">
        <f>Hipótesis!$D$24</f>
        <v>31551000</v>
      </c>
      <c r="C6" s="47">
        <f>Hipótesis!$D$25</f>
        <v>60675000</v>
      </c>
      <c r="D6" s="48">
        <f>Hipótesis!$D$26</f>
        <v>97080000</v>
      </c>
    </row>
    <row r="8" spans="1:12" ht="15.75" thickBot="1" x14ac:dyDescent="0.3"/>
    <row r="9" spans="1:12" ht="27" thickBot="1" x14ac:dyDescent="0.45">
      <c r="B9" s="785" t="s">
        <v>372</v>
      </c>
      <c r="C9" s="786"/>
      <c r="D9" s="786"/>
      <c r="E9" s="786"/>
      <c r="F9" s="888"/>
      <c r="G9" s="888"/>
      <c r="H9" s="888"/>
      <c r="I9" s="888"/>
      <c r="J9" s="888"/>
      <c r="K9" s="889"/>
    </row>
    <row r="10" spans="1:12" ht="15.75" x14ac:dyDescent="0.25">
      <c r="B10" s="578" t="s">
        <v>47</v>
      </c>
      <c r="C10" s="579" t="s">
        <v>43</v>
      </c>
      <c r="D10" s="579" t="s">
        <v>148</v>
      </c>
      <c r="E10" s="579" t="s">
        <v>108</v>
      </c>
      <c r="F10" s="887" t="s">
        <v>149</v>
      </c>
      <c r="G10" s="887"/>
      <c r="H10" s="887"/>
      <c r="I10" s="887"/>
      <c r="J10" s="887"/>
      <c r="K10" s="887"/>
    </row>
    <row r="11" spans="1:12" x14ac:dyDescent="0.25">
      <c r="B11" s="266" t="s">
        <v>305</v>
      </c>
      <c r="C11" s="609">
        <v>500</v>
      </c>
      <c r="D11" s="603">
        <f>'Costos variables'!$E$19</f>
        <v>680.5</v>
      </c>
      <c r="E11" s="603">
        <f>C11*D11</f>
        <v>340250</v>
      </c>
      <c r="F11" s="890"/>
      <c r="G11" s="891"/>
      <c r="H11" s="891"/>
      <c r="I11" s="891"/>
      <c r="J11" s="891"/>
      <c r="K11" s="892"/>
    </row>
    <row r="12" spans="1:12" x14ac:dyDescent="0.25">
      <c r="B12" s="266" t="s">
        <v>300</v>
      </c>
      <c r="C12" s="609">
        <v>200</v>
      </c>
      <c r="D12" s="603">
        <f>'Costos variables'!$E$19</f>
        <v>680.5</v>
      </c>
      <c r="E12" s="603">
        <f t="shared" ref="E12:E14" si="0">C12*D12</f>
        <v>136100</v>
      </c>
      <c r="F12" s="901"/>
      <c r="G12" s="901"/>
      <c r="H12" s="901"/>
      <c r="I12" s="901"/>
      <c r="J12" s="901"/>
      <c r="K12" s="901"/>
    </row>
    <row r="13" spans="1:12" x14ac:dyDescent="0.25">
      <c r="B13" s="266" t="s">
        <v>304</v>
      </c>
      <c r="C13" s="609">
        <v>400</v>
      </c>
      <c r="D13" s="603">
        <f>'Costos variables'!$E$19</f>
        <v>680.5</v>
      </c>
      <c r="E13" s="603">
        <f t="shared" si="0"/>
        <v>272200</v>
      </c>
      <c r="F13" s="901"/>
      <c r="G13" s="901"/>
      <c r="H13" s="901"/>
      <c r="I13" s="901"/>
      <c r="J13" s="901"/>
      <c r="K13" s="901"/>
    </row>
    <row r="14" spans="1:12" x14ac:dyDescent="0.25">
      <c r="B14" s="266" t="s">
        <v>306</v>
      </c>
      <c r="C14" s="609">
        <v>400</v>
      </c>
      <c r="D14" s="603">
        <f>'Costos variables'!$E$29</f>
        <v>696.5</v>
      </c>
      <c r="E14" s="603">
        <f t="shared" si="0"/>
        <v>278600</v>
      </c>
      <c r="F14" s="905"/>
      <c r="G14" s="906"/>
      <c r="H14" s="906"/>
      <c r="I14" s="906"/>
      <c r="J14" s="906"/>
      <c r="K14" s="907"/>
    </row>
    <row r="15" spans="1:12" x14ac:dyDescent="0.25">
      <c r="B15" s="266" t="s">
        <v>307</v>
      </c>
      <c r="C15" s="607">
        <v>10</v>
      </c>
      <c r="D15" s="603">
        <v>60000</v>
      </c>
      <c r="E15" s="603">
        <f>C15*D15</f>
        <v>600000</v>
      </c>
      <c r="F15" s="905" t="s">
        <v>316</v>
      </c>
      <c r="G15" s="906"/>
      <c r="H15" s="906"/>
      <c r="I15" s="906"/>
      <c r="J15" s="906"/>
      <c r="K15" s="907"/>
    </row>
    <row r="16" spans="1:12" x14ac:dyDescent="0.25">
      <c r="B16" s="266" t="s">
        <v>147</v>
      </c>
      <c r="C16" s="607">
        <v>7</v>
      </c>
      <c r="D16" s="603">
        <v>6000</v>
      </c>
      <c r="E16" s="603">
        <f t="shared" ref="E16:E20" si="1">C16*D16</f>
        <v>42000</v>
      </c>
      <c r="F16" s="884" t="s">
        <v>317</v>
      </c>
      <c r="G16" s="885"/>
      <c r="H16" s="885"/>
      <c r="I16" s="885"/>
      <c r="J16" s="885"/>
      <c r="K16" s="886"/>
    </row>
    <row r="17" spans="2:11" x14ac:dyDescent="0.25">
      <c r="B17" s="266" t="s">
        <v>308</v>
      </c>
      <c r="C17" s="607">
        <v>13</v>
      </c>
      <c r="D17" s="603">
        <v>122000</v>
      </c>
      <c r="E17" s="603">
        <f t="shared" si="1"/>
        <v>1586000</v>
      </c>
      <c r="F17" s="884" t="s">
        <v>318</v>
      </c>
      <c r="G17" s="885"/>
      <c r="H17" s="885"/>
      <c r="I17" s="885"/>
      <c r="J17" s="885"/>
      <c r="K17" s="886"/>
    </row>
    <row r="18" spans="2:11" x14ac:dyDescent="0.25">
      <c r="B18" s="266" t="s">
        <v>151</v>
      </c>
      <c r="C18" s="607">
        <v>23</v>
      </c>
      <c r="D18" s="603">
        <v>3000</v>
      </c>
      <c r="E18" s="603">
        <f t="shared" si="1"/>
        <v>69000</v>
      </c>
      <c r="F18" s="884" t="s">
        <v>319</v>
      </c>
      <c r="G18" s="885"/>
      <c r="H18" s="885"/>
      <c r="I18" s="885"/>
      <c r="J18" s="885"/>
      <c r="K18" s="886"/>
    </row>
    <row r="19" spans="2:11" x14ac:dyDescent="0.25">
      <c r="B19" s="266" t="s">
        <v>153</v>
      </c>
      <c r="C19" s="607">
        <v>16</v>
      </c>
      <c r="D19" s="603">
        <v>10000</v>
      </c>
      <c r="E19" s="603">
        <f t="shared" si="1"/>
        <v>160000</v>
      </c>
      <c r="F19" s="884" t="s">
        <v>320</v>
      </c>
      <c r="G19" s="885"/>
      <c r="H19" s="885"/>
      <c r="I19" s="885"/>
      <c r="J19" s="885"/>
      <c r="K19" s="886"/>
    </row>
    <row r="20" spans="2:11" x14ac:dyDescent="0.25">
      <c r="B20" s="582" t="s">
        <v>150</v>
      </c>
      <c r="C20" s="607">
        <v>1</v>
      </c>
      <c r="D20" s="603">
        <v>600000</v>
      </c>
      <c r="E20" s="603">
        <f t="shared" si="1"/>
        <v>600000</v>
      </c>
      <c r="F20" s="884"/>
      <c r="G20" s="885"/>
      <c r="H20" s="885"/>
      <c r="I20" s="885"/>
      <c r="J20" s="885"/>
      <c r="K20" s="886"/>
    </row>
    <row r="21" spans="2:11" x14ac:dyDescent="0.25">
      <c r="B21" s="582"/>
      <c r="C21" s="607"/>
      <c r="D21" s="603"/>
      <c r="E21" s="603"/>
      <c r="F21" s="884"/>
      <c r="G21" s="885"/>
      <c r="H21" s="885"/>
      <c r="I21" s="885"/>
      <c r="J21" s="885"/>
      <c r="K21" s="886"/>
    </row>
    <row r="22" spans="2:11" ht="15.75" thickBot="1" x14ac:dyDescent="0.3">
      <c r="B22" s="270"/>
      <c r="C22" s="608"/>
      <c r="D22" s="605"/>
      <c r="E22" s="603"/>
      <c r="F22" s="902"/>
      <c r="G22" s="903"/>
      <c r="H22" s="903"/>
      <c r="I22" s="903"/>
      <c r="J22" s="903"/>
      <c r="K22" s="904"/>
    </row>
    <row r="23" spans="2:11" ht="15.75" thickBot="1" x14ac:dyDescent="0.3">
      <c r="B23" s="893" t="s">
        <v>15</v>
      </c>
      <c r="C23" s="894"/>
      <c r="D23" s="895"/>
      <c r="E23" s="610">
        <f>SUM(E11:E22)</f>
        <v>4084150</v>
      </c>
    </row>
    <row r="24" spans="2:11" ht="15.75" thickBot="1" x14ac:dyDescent="0.3"/>
    <row r="25" spans="2:11" ht="27" thickBot="1" x14ac:dyDescent="0.45">
      <c r="B25" s="785" t="s">
        <v>152</v>
      </c>
      <c r="C25" s="786"/>
      <c r="D25" s="786"/>
      <c r="E25" s="787"/>
      <c r="F25" s="273"/>
    </row>
    <row r="26" spans="2:11" ht="15.75" x14ac:dyDescent="0.25">
      <c r="B26" s="578" t="s">
        <v>47</v>
      </c>
      <c r="C26" s="579" t="s">
        <v>43</v>
      </c>
      <c r="D26" s="579" t="s">
        <v>148</v>
      </c>
      <c r="E26" s="580" t="s">
        <v>108</v>
      </c>
    </row>
    <row r="27" spans="2:11" x14ac:dyDescent="0.25">
      <c r="B27" s="582" t="s">
        <v>307</v>
      </c>
      <c r="C27" s="607">
        <v>0</v>
      </c>
      <c r="D27" s="603">
        <v>60000</v>
      </c>
      <c r="E27" s="604">
        <f>D27*C27</f>
        <v>0</v>
      </c>
    </row>
    <row r="28" spans="2:11" x14ac:dyDescent="0.25">
      <c r="B28" s="582" t="s">
        <v>147</v>
      </c>
      <c r="C28" s="607">
        <v>0</v>
      </c>
      <c r="D28" s="603">
        <v>6000</v>
      </c>
      <c r="E28" s="604">
        <f t="shared" ref="E28:E32" si="2">D28*C28</f>
        <v>0</v>
      </c>
      <c r="G28" s="50"/>
      <c r="H28" s="50"/>
    </row>
    <row r="29" spans="2:11" x14ac:dyDescent="0.25">
      <c r="B29" s="582" t="s">
        <v>308</v>
      </c>
      <c r="C29" s="607">
        <v>0</v>
      </c>
      <c r="D29" s="603">
        <v>122000</v>
      </c>
      <c r="E29" s="604">
        <f t="shared" si="2"/>
        <v>0</v>
      </c>
      <c r="G29" s="50"/>
      <c r="H29" s="50"/>
    </row>
    <row r="30" spans="2:11" x14ac:dyDescent="0.25">
      <c r="B30" s="582" t="s">
        <v>151</v>
      </c>
      <c r="C30" s="607">
        <v>0</v>
      </c>
      <c r="D30" s="603">
        <v>3000</v>
      </c>
      <c r="E30" s="604">
        <f t="shared" si="2"/>
        <v>0</v>
      </c>
      <c r="G30" s="900"/>
      <c r="H30" s="900"/>
    </row>
    <row r="31" spans="2:11" x14ac:dyDescent="0.25">
      <c r="B31" s="582" t="s">
        <v>153</v>
      </c>
      <c r="C31" s="607">
        <v>0</v>
      </c>
      <c r="D31" s="603">
        <v>10000</v>
      </c>
      <c r="E31" s="604">
        <f t="shared" si="2"/>
        <v>0</v>
      </c>
      <c r="G31" s="899"/>
      <c r="H31" s="899"/>
    </row>
    <row r="32" spans="2:11" x14ac:dyDescent="0.25">
      <c r="B32" s="582" t="s">
        <v>150</v>
      </c>
      <c r="C32" s="607">
        <v>0</v>
      </c>
      <c r="D32" s="603">
        <v>600000</v>
      </c>
      <c r="E32" s="604">
        <f t="shared" si="2"/>
        <v>0</v>
      </c>
      <c r="G32" s="900"/>
      <c r="H32" s="900"/>
    </row>
    <row r="33" spans="2:8" x14ac:dyDescent="0.25">
      <c r="B33" s="582"/>
      <c r="C33" s="607"/>
      <c r="D33" s="603"/>
      <c r="E33" s="604"/>
      <c r="G33" s="899"/>
      <c r="H33" s="899"/>
    </row>
    <row r="34" spans="2:8" ht="15.75" thickBot="1" x14ac:dyDescent="0.3">
      <c r="B34" s="270"/>
      <c r="C34" s="608"/>
      <c r="D34" s="605"/>
      <c r="E34" s="604"/>
      <c r="G34" s="50"/>
      <c r="H34" s="50"/>
    </row>
    <row r="35" spans="2:8" ht="15.75" thickBot="1" x14ac:dyDescent="0.3">
      <c r="B35" s="896" t="s">
        <v>15</v>
      </c>
      <c r="C35" s="897"/>
      <c r="D35" s="898"/>
      <c r="E35" s="606">
        <f>SUM(E27:E34)</f>
        <v>0</v>
      </c>
      <c r="F35" s="1" t="s">
        <v>373</v>
      </c>
    </row>
    <row r="37" spans="2:8" ht="15.75" thickBot="1" x14ac:dyDescent="0.3"/>
    <row r="38" spans="2:8" ht="27" thickBot="1" x14ac:dyDescent="0.45">
      <c r="B38" s="785" t="s">
        <v>299</v>
      </c>
      <c r="C38" s="786"/>
      <c r="D38" s="786"/>
      <c r="E38" s="787"/>
    </row>
    <row r="39" spans="2:8" ht="15.75" x14ac:dyDescent="0.25">
      <c r="B39" s="578" t="s">
        <v>47</v>
      </c>
      <c r="C39" s="579" t="s">
        <v>43</v>
      </c>
      <c r="D39" s="579" t="s">
        <v>148</v>
      </c>
      <c r="E39" s="580" t="s">
        <v>108</v>
      </c>
    </row>
    <row r="40" spans="2:8" x14ac:dyDescent="0.25">
      <c r="B40" s="582" t="s">
        <v>307</v>
      </c>
      <c r="C40" s="607">
        <v>10</v>
      </c>
      <c r="D40" s="603">
        <v>60000</v>
      </c>
      <c r="E40" s="604">
        <f>C40*D40</f>
        <v>600000</v>
      </c>
    </row>
    <row r="41" spans="2:8" x14ac:dyDescent="0.25">
      <c r="B41" s="582" t="s">
        <v>147</v>
      </c>
      <c r="C41" s="607">
        <v>8</v>
      </c>
      <c r="D41" s="603">
        <v>6000</v>
      </c>
      <c r="E41" s="604">
        <f t="shared" ref="E41:E45" si="3">C41*D41</f>
        <v>48000</v>
      </c>
    </row>
    <row r="42" spans="2:8" x14ac:dyDescent="0.25">
      <c r="B42" s="582" t="s">
        <v>308</v>
      </c>
      <c r="C42" s="607">
        <v>7</v>
      </c>
      <c r="D42" s="603">
        <v>122000</v>
      </c>
      <c r="E42" s="604">
        <f t="shared" si="3"/>
        <v>854000</v>
      </c>
    </row>
    <row r="43" spans="2:8" x14ac:dyDescent="0.25">
      <c r="B43" s="582" t="s">
        <v>151</v>
      </c>
      <c r="C43" s="607">
        <v>17</v>
      </c>
      <c r="D43" s="603">
        <v>3000</v>
      </c>
      <c r="E43" s="604">
        <f t="shared" si="3"/>
        <v>51000</v>
      </c>
    </row>
    <row r="44" spans="2:8" x14ac:dyDescent="0.25">
      <c r="B44" s="582" t="s">
        <v>153</v>
      </c>
      <c r="C44" s="607">
        <v>11</v>
      </c>
      <c r="D44" s="603">
        <v>10000</v>
      </c>
      <c r="E44" s="604">
        <f t="shared" si="3"/>
        <v>110000</v>
      </c>
    </row>
    <row r="45" spans="2:8" x14ac:dyDescent="0.25">
      <c r="B45" s="582" t="s">
        <v>150</v>
      </c>
      <c r="C45" s="607">
        <v>0</v>
      </c>
      <c r="D45" s="603">
        <v>600000</v>
      </c>
      <c r="E45" s="604">
        <f t="shared" si="3"/>
        <v>0</v>
      </c>
    </row>
    <row r="46" spans="2:8" x14ac:dyDescent="0.25">
      <c r="B46" s="582"/>
      <c r="C46" s="607"/>
      <c r="D46" s="603"/>
      <c r="E46" s="604"/>
    </row>
    <row r="47" spans="2:8" ht="15.75" thickBot="1" x14ac:dyDescent="0.3">
      <c r="B47" s="270"/>
      <c r="C47" s="608"/>
      <c r="D47" s="605"/>
      <c r="E47" s="604"/>
    </row>
    <row r="48" spans="2:8" ht="15.75" thickBot="1" x14ac:dyDescent="0.3">
      <c r="B48" s="893" t="s">
        <v>15</v>
      </c>
      <c r="C48" s="894"/>
      <c r="D48" s="895"/>
      <c r="E48" s="606">
        <f>SUM(E40:E47)</f>
        <v>1663000</v>
      </c>
    </row>
    <row r="50" spans="2:5" ht="15.75" thickBot="1" x14ac:dyDescent="0.3"/>
    <row r="51" spans="2:5" ht="27" thickBot="1" x14ac:dyDescent="0.45">
      <c r="B51" s="785" t="s">
        <v>371</v>
      </c>
      <c r="C51" s="786"/>
      <c r="D51" s="786"/>
      <c r="E51" s="787"/>
    </row>
    <row r="52" spans="2:5" ht="15.75" x14ac:dyDescent="0.25">
      <c r="B52" s="578" t="s">
        <v>47</v>
      </c>
      <c r="C52" s="579" t="s">
        <v>43</v>
      </c>
      <c r="D52" s="579" t="s">
        <v>148</v>
      </c>
      <c r="E52" s="580" t="s">
        <v>108</v>
      </c>
    </row>
    <row r="53" spans="2:5" x14ac:dyDescent="0.25">
      <c r="B53" s="582" t="s">
        <v>307</v>
      </c>
      <c r="C53" s="607">
        <v>10</v>
      </c>
      <c r="D53" s="603">
        <v>60000</v>
      </c>
      <c r="E53" s="604">
        <f>C53*D53</f>
        <v>600000</v>
      </c>
    </row>
    <row r="54" spans="2:5" x14ac:dyDescent="0.25">
      <c r="B54" s="582" t="s">
        <v>147</v>
      </c>
      <c r="C54" s="607">
        <v>7</v>
      </c>
      <c r="D54" s="603">
        <v>6000</v>
      </c>
      <c r="E54" s="604">
        <f t="shared" ref="E54:E58" si="4">C54*D54</f>
        <v>42000</v>
      </c>
    </row>
    <row r="55" spans="2:5" x14ac:dyDescent="0.25">
      <c r="B55" s="582" t="s">
        <v>308</v>
      </c>
      <c r="C55" s="607">
        <v>12</v>
      </c>
      <c r="D55" s="603">
        <v>122000</v>
      </c>
      <c r="E55" s="604">
        <f t="shared" si="4"/>
        <v>1464000</v>
      </c>
    </row>
    <row r="56" spans="2:5" x14ac:dyDescent="0.25">
      <c r="B56" s="582" t="s">
        <v>151</v>
      </c>
      <c r="C56" s="607">
        <v>22</v>
      </c>
      <c r="D56" s="603">
        <v>3000</v>
      </c>
      <c r="E56" s="604">
        <f t="shared" si="4"/>
        <v>66000</v>
      </c>
    </row>
    <row r="57" spans="2:5" x14ac:dyDescent="0.25">
      <c r="B57" s="582" t="s">
        <v>153</v>
      </c>
      <c r="C57" s="607">
        <v>15</v>
      </c>
      <c r="D57" s="603">
        <v>10000</v>
      </c>
      <c r="E57" s="604">
        <f t="shared" si="4"/>
        <v>150000</v>
      </c>
    </row>
    <row r="58" spans="2:5" x14ac:dyDescent="0.25">
      <c r="B58" s="582" t="s">
        <v>150</v>
      </c>
      <c r="C58" s="607">
        <v>0</v>
      </c>
      <c r="D58" s="603">
        <v>600000</v>
      </c>
      <c r="E58" s="604">
        <f t="shared" si="4"/>
        <v>0</v>
      </c>
    </row>
    <row r="59" spans="2:5" x14ac:dyDescent="0.25">
      <c r="B59" s="582"/>
      <c r="C59" s="607"/>
      <c r="D59" s="603"/>
      <c r="E59" s="604"/>
    </row>
    <row r="60" spans="2:5" ht="15.75" thickBot="1" x14ac:dyDescent="0.3">
      <c r="B60" s="270"/>
      <c r="C60" s="271"/>
      <c r="D60" s="605"/>
      <c r="E60" s="604"/>
    </row>
    <row r="61" spans="2:5" ht="15.75" thickBot="1" x14ac:dyDescent="0.3">
      <c r="B61" s="893" t="s">
        <v>15</v>
      </c>
      <c r="C61" s="894"/>
      <c r="D61" s="895"/>
      <c r="E61" s="606">
        <f>SUM(E53:E60)</f>
        <v>2322000</v>
      </c>
    </row>
  </sheetData>
  <mergeCells count="27">
    <mergeCell ref="B51:E51"/>
    <mergeCell ref="B61:D61"/>
    <mergeCell ref="B25:E25"/>
    <mergeCell ref="B38:E38"/>
    <mergeCell ref="B48:D48"/>
    <mergeCell ref="B3:D3"/>
    <mergeCell ref="G3:J3"/>
    <mergeCell ref="B23:D23"/>
    <mergeCell ref="B35:D35"/>
    <mergeCell ref="G33:H33"/>
    <mergeCell ref="G32:H32"/>
    <mergeCell ref="G31:H31"/>
    <mergeCell ref="G30:H30"/>
    <mergeCell ref="F12:K12"/>
    <mergeCell ref="F13:K13"/>
    <mergeCell ref="F20:K20"/>
    <mergeCell ref="F21:K21"/>
    <mergeCell ref="F22:K22"/>
    <mergeCell ref="F14:K14"/>
    <mergeCell ref="F15:K15"/>
    <mergeCell ref="F16:K16"/>
    <mergeCell ref="F19:K19"/>
    <mergeCell ref="F17:K17"/>
    <mergeCell ref="F10:K10"/>
    <mergeCell ref="B9:K9"/>
    <mergeCell ref="F11:K11"/>
    <mergeCell ref="F18:K18"/>
  </mergeCells>
  <hyperlinks>
    <hyperlink ref="F15" r:id="rId1" xr:uid="{1BE93A93-84D7-48F2-9BB2-43B948B89315}"/>
    <hyperlink ref="F16" r:id="rId2" xr:uid="{B4E5F853-63EB-4825-B2C1-999F2EAD4A68}"/>
    <hyperlink ref="F19" r:id="rId3" xr:uid="{3EE34A5C-4A2F-4DEA-9F95-AAC2335C15E6}"/>
  </hyperlinks>
  <pageMargins left="0.7" right="0.7" top="0.75" bottom="0.75" header="0.3" footer="0.3"/>
  <pageSetup orientation="portrait" r:id="rId4"/>
  <drawing r:id="rId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6"/>
  <sheetViews>
    <sheetView zoomScale="80" zoomScaleNormal="80" workbookViewId="0">
      <pane ySplit="1" topLeftCell="A2" activePane="bottomLeft" state="frozen"/>
      <selection pane="bottomLeft" activeCell="B8" sqref="B8:M8"/>
    </sheetView>
  </sheetViews>
  <sheetFormatPr baseColWidth="10" defaultColWidth="11.42578125" defaultRowHeight="15" x14ac:dyDescent="0.25"/>
  <cols>
    <col min="1" max="1" width="11.42578125" style="1"/>
    <col min="2" max="2" width="19.28515625" style="1" customWidth="1"/>
    <col min="3" max="3" width="41" style="1" customWidth="1"/>
    <col min="4" max="4" width="15.28515625" style="1" bestFit="1" customWidth="1"/>
    <col min="5" max="5" width="14.140625" style="1" bestFit="1" customWidth="1"/>
    <col min="6" max="6" width="12.85546875" style="1" bestFit="1" customWidth="1"/>
    <col min="7" max="7" width="14.85546875" style="1" customWidth="1"/>
    <col min="8" max="8" width="10.7109375" style="1" customWidth="1"/>
    <col min="9" max="9" width="13.7109375" style="1" customWidth="1"/>
    <col min="10" max="10" width="14.7109375" style="1" customWidth="1"/>
    <col min="11" max="11" width="15" style="1" customWidth="1"/>
    <col min="12" max="12" width="14.7109375" style="1" customWidth="1"/>
    <col min="13" max="13" width="14.140625" style="1" customWidth="1"/>
    <col min="14" max="16384" width="11.42578125" style="1"/>
  </cols>
  <sheetData>
    <row r="1" spans="1:15" s="341" customFormat="1" ht="58.5" customHeight="1" x14ac:dyDescent="0.25">
      <c r="A1" s="344"/>
      <c r="B1" s="344"/>
      <c r="C1" s="344"/>
      <c r="D1" s="344"/>
      <c r="E1" s="344"/>
      <c r="F1" s="344"/>
      <c r="G1" s="349" t="s">
        <v>9</v>
      </c>
      <c r="H1" s="350"/>
      <c r="I1" s="344"/>
      <c r="J1" s="344"/>
      <c r="K1" s="344"/>
      <c r="L1" s="344"/>
      <c r="M1" s="344"/>
      <c r="N1" s="344"/>
      <c r="O1" s="344"/>
    </row>
    <row r="2" spans="1:15" ht="15.75" thickBot="1" x14ac:dyDescent="0.3"/>
    <row r="3" spans="1:15" ht="27" thickBot="1" x14ac:dyDescent="0.45">
      <c r="B3" s="785" t="s">
        <v>22</v>
      </c>
      <c r="C3" s="786"/>
      <c r="D3" s="787"/>
      <c r="E3" s="18"/>
      <c r="I3" s="785" t="s">
        <v>9</v>
      </c>
      <c r="J3" s="786"/>
      <c r="K3" s="787"/>
    </row>
    <row r="4" spans="1:15" x14ac:dyDescent="0.25">
      <c r="B4" s="503">
        <v>2021</v>
      </c>
      <c r="C4" s="503">
        <v>2022</v>
      </c>
      <c r="D4" s="503">
        <v>2023</v>
      </c>
      <c r="E4" s="127"/>
      <c r="I4" s="575">
        <v>2021</v>
      </c>
      <c r="J4" s="576">
        <v>2022</v>
      </c>
      <c r="K4" s="577">
        <v>2023</v>
      </c>
    </row>
    <row r="5" spans="1:15" ht="15.75" thickBot="1" x14ac:dyDescent="0.3">
      <c r="B5" s="559">
        <f>Hipótesis!$C$24</f>
        <v>1.2999999999999999E-2</v>
      </c>
      <c r="C5" s="559">
        <f>Hipótesis!$C$25</f>
        <v>2.5000000000000001E-2</v>
      </c>
      <c r="D5" s="559">
        <f>Hipótesis!$C$26</f>
        <v>0.04</v>
      </c>
      <c r="E5" s="207"/>
      <c r="I5" s="262">
        <f>$K$26</f>
        <v>142914.10256410256</v>
      </c>
      <c r="J5" s="263">
        <f>$L$26</f>
        <v>276776.00732600736</v>
      </c>
      <c r="K5" s="264">
        <f>$M$26</f>
        <v>815126.00732600736</v>
      </c>
    </row>
    <row r="6" spans="1:15" x14ac:dyDescent="0.25">
      <c r="B6" s="16">
        <f>Hipótesis!$D$24</f>
        <v>31551000</v>
      </c>
      <c r="C6" s="16">
        <f>Hipótesis!D25</f>
        <v>60675000</v>
      </c>
      <c r="D6" s="16">
        <f>Hipótesis!D26</f>
        <v>97080000</v>
      </c>
      <c r="E6" s="204"/>
    </row>
    <row r="7" spans="1:15" ht="15.75" thickBot="1" x14ac:dyDescent="0.3"/>
    <row r="8" spans="1:15" ht="27" thickBot="1" x14ac:dyDescent="0.45">
      <c r="B8" s="911" t="s">
        <v>9</v>
      </c>
      <c r="C8" s="888"/>
      <c r="D8" s="888"/>
      <c r="E8" s="888"/>
      <c r="F8" s="888"/>
      <c r="G8" s="888"/>
      <c r="H8" s="888"/>
      <c r="I8" s="888"/>
      <c r="J8" s="888"/>
      <c r="K8" s="888"/>
      <c r="L8" s="888"/>
      <c r="M8" s="889"/>
    </row>
    <row r="9" spans="1:15" x14ac:dyDescent="0.25">
      <c r="B9" s="908" t="s">
        <v>155</v>
      </c>
      <c r="C9" s="909" t="s">
        <v>47</v>
      </c>
      <c r="D9" s="909" t="s">
        <v>43</v>
      </c>
      <c r="E9" s="922" t="s">
        <v>148</v>
      </c>
      <c r="F9" s="920" t="s">
        <v>157</v>
      </c>
      <c r="G9" s="908" t="s">
        <v>158</v>
      </c>
      <c r="H9" s="909"/>
      <c r="I9" s="909"/>
      <c r="J9" s="910"/>
      <c r="K9" s="908" t="s">
        <v>154</v>
      </c>
      <c r="L9" s="909"/>
      <c r="M9" s="910"/>
    </row>
    <row r="10" spans="1:15" ht="15.75" thickBot="1" x14ac:dyDescent="0.3">
      <c r="B10" s="912"/>
      <c r="C10" s="913"/>
      <c r="D10" s="913"/>
      <c r="E10" s="923"/>
      <c r="F10" s="921"/>
      <c r="G10" s="584" t="s">
        <v>156</v>
      </c>
      <c r="H10" s="585">
        <v>2021</v>
      </c>
      <c r="I10" s="585" t="s">
        <v>312</v>
      </c>
      <c r="J10" s="586" t="s">
        <v>374</v>
      </c>
      <c r="K10" s="584" t="s">
        <v>163</v>
      </c>
      <c r="L10" s="585" t="s">
        <v>312</v>
      </c>
      <c r="M10" s="586" t="s">
        <v>374</v>
      </c>
    </row>
    <row r="11" spans="1:15" x14ac:dyDescent="0.25">
      <c r="B11" s="924" t="s">
        <v>159</v>
      </c>
      <c r="C11" s="282" t="s">
        <v>307</v>
      </c>
      <c r="D11" s="283">
        <v>10</v>
      </c>
      <c r="E11" s="284">
        <v>60000</v>
      </c>
      <c r="F11" s="285">
        <v>6</v>
      </c>
      <c r="G11" s="590">
        <f>D11*E11</f>
        <v>600000</v>
      </c>
      <c r="H11" s="589">
        <v>0</v>
      </c>
      <c r="I11" s="589">
        <v>0</v>
      </c>
      <c r="J11" s="591">
        <v>0</v>
      </c>
      <c r="K11" s="590">
        <f>G11/F11</f>
        <v>100000</v>
      </c>
      <c r="L11" s="592">
        <f>G11/F11</f>
        <v>100000</v>
      </c>
      <c r="M11" s="593">
        <f>G11/F11</f>
        <v>100000</v>
      </c>
    </row>
    <row r="12" spans="1:15" x14ac:dyDescent="0.25">
      <c r="B12" s="925"/>
      <c r="C12" s="278" t="s">
        <v>307</v>
      </c>
      <c r="D12" s="205">
        <v>10</v>
      </c>
      <c r="E12" s="261">
        <v>60000</v>
      </c>
      <c r="F12" s="279">
        <v>6</v>
      </c>
      <c r="G12" s="594">
        <v>0</v>
      </c>
      <c r="H12" s="595">
        <v>0</v>
      </c>
      <c r="I12" s="596">
        <f>D12*E12</f>
        <v>600000</v>
      </c>
      <c r="J12" s="597">
        <v>0</v>
      </c>
      <c r="K12" s="594">
        <v>0</v>
      </c>
      <c r="L12" s="598">
        <f>I12/F12</f>
        <v>100000</v>
      </c>
      <c r="M12" s="599">
        <f>I12/F12</f>
        <v>100000</v>
      </c>
    </row>
    <row r="13" spans="1:15" x14ac:dyDescent="0.25">
      <c r="B13" s="925"/>
      <c r="C13" s="278" t="s">
        <v>307</v>
      </c>
      <c r="D13" s="205">
        <v>10</v>
      </c>
      <c r="E13" s="261">
        <v>60000</v>
      </c>
      <c r="F13" s="279">
        <v>6</v>
      </c>
      <c r="G13" s="594">
        <v>0</v>
      </c>
      <c r="H13" s="595">
        <v>0</v>
      </c>
      <c r="I13" s="595">
        <v>0</v>
      </c>
      <c r="J13" s="598">
        <f>D13*E13</f>
        <v>600000</v>
      </c>
      <c r="K13" s="594">
        <v>0</v>
      </c>
      <c r="L13" s="595">
        <v>0</v>
      </c>
      <c r="M13" s="599">
        <f>J13/F13</f>
        <v>100000</v>
      </c>
    </row>
    <row r="14" spans="1:15" x14ac:dyDescent="0.25">
      <c r="B14" s="925"/>
      <c r="C14" s="278" t="s">
        <v>147</v>
      </c>
      <c r="D14" s="205">
        <v>7</v>
      </c>
      <c r="E14" s="261">
        <v>500</v>
      </c>
      <c r="F14" s="279">
        <v>2</v>
      </c>
      <c r="G14" s="596">
        <f>D14*E14</f>
        <v>3500</v>
      </c>
      <c r="H14" s="595">
        <v>0</v>
      </c>
      <c r="I14" s="595">
        <v>0</v>
      </c>
      <c r="J14" s="597">
        <v>0</v>
      </c>
      <c r="K14" s="596">
        <f>G14/F14</f>
        <v>1750</v>
      </c>
      <c r="L14" s="598">
        <f>G14/F14</f>
        <v>1750</v>
      </c>
      <c r="M14" s="599">
        <f>G14/F14</f>
        <v>1750</v>
      </c>
    </row>
    <row r="15" spans="1:15" x14ac:dyDescent="0.25">
      <c r="B15" s="925"/>
      <c r="C15" s="278" t="s">
        <v>147</v>
      </c>
      <c r="D15" s="205">
        <v>8</v>
      </c>
      <c r="E15" s="261">
        <v>500</v>
      </c>
      <c r="F15" s="279">
        <v>2</v>
      </c>
      <c r="G15" s="594">
        <v>0</v>
      </c>
      <c r="H15" s="595">
        <v>0</v>
      </c>
      <c r="I15" s="598">
        <f>D15*E15</f>
        <v>4000</v>
      </c>
      <c r="J15" s="595">
        <v>0</v>
      </c>
      <c r="K15" s="594"/>
      <c r="L15" s="598">
        <f>I15/F15</f>
        <v>2000</v>
      </c>
      <c r="M15" s="599">
        <f>I15/F15</f>
        <v>2000</v>
      </c>
    </row>
    <row r="16" spans="1:15" ht="15.75" thickBot="1" x14ac:dyDescent="0.3">
      <c r="B16" s="926"/>
      <c r="C16" s="278" t="s">
        <v>147</v>
      </c>
      <c r="D16" s="271">
        <v>7</v>
      </c>
      <c r="E16" s="261">
        <v>500</v>
      </c>
      <c r="F16" s="288">
        <v>2</v>
      </c>
      <c r="G16" s="594">
        <v>0</v>
      </c>
      <c r="H16" s="600">
        <v>0</v>
      </c>
      <c r="I16" s="600">
        <v>0</v>
      </c>
      <c r="J16" s="601">
        <f>D16*E16</f>
        <v>3500</v>
      </c>
      <c r="K16" s="594"/>
      <c r="L16" s="595"/>
      <c r="M16" s="599">
        <f>J16/F16</f>
        <v>1750</v>
      </c>
    </row>
    <row r="17" spans="2:13" x14ac:dyDescent="0.25">
      <c r="B17" s="924" t="s">
        <v>160</v>
      </c>
      <c r="C17" s="282" t="s">
        <v>308</v>
      </c>
      <c r="D17" s="283">
        <v>13</v>
      </c>
      <c r="E17" s="284">
        <v>100000</v>
      </c>
      <c r="F17" s="285">
        <v>3</v>
      </c>
      <c r="G17" s="590">
        <f>E17/D17</f>
        <v>7692.3076923076924</v>
      </c>
      <c r="H17" s="589">
        <v>0</v>
      </c>
      <c r="I17" s="589">
        <v>0</v>
      </c>
      <c r="J17" s="591">
        <v>0</v>
      </c>
      <c r="K17" s="592">
        <f>G17/F17</f>
        <v>2564.102564102564</v>
      </c>
      <c r="L17" s="592">
        <f>G17/F17</f>
        <v>2564.102564102564</v>
      </c>
      <c r="M17" s="592">
        <f>G17/F17</f>
        <v>2564.102564102564</v>
      </c>
    </row>
    <row r="18" spans="2:13" x14ac:dyDescent="0.25">
      <c r="B18" s="925"/>
      <c r="C18" s="278" t="s">
        <v>308</v>
      </c>
      <c r="D18" s="205">
        <v>7</v>
      </c>
      <c r="E18" s="261">
        <v>100000</v>
      </c>
      <c r="F18" s="279">
        <v>3</v>
      </c>
      <c r="G18" s="594">
        <v>0</v>
      </c>
      <c r="H18" s="595">
        <v>0</v>
      </c>
      <c r="I18" s="598">
        <f>E18/D18</f>
        <v>14285.714285714286</v>
      </c>
      <c r="J18" s="597">
        <v>0</v>
      </c>
      <c r="K18" s="594">
        <v>0</v>
      </c>
      <c r="L18" s="598">
        <f>I18/F18</f>
        <v>4761.9047619047624</v>
      </c>
      <c r="M18" s="599">
        <f>I18/F18</f>
        <v>4761.9047619047624</v>
      </c>
    </row>
    <row r="19" spans="2:13" ht="15.75" thickBot="1" x14ac:dyDescent="0.3">
      <c r="B19" s="925"/>
      <c r="C19" s="278" t="s">
        <v>308</v>
      </c>
      <c r="D19" s="205">
        <v>12</v>
      </c>
      <c r="E19" s="261">
        <v>100000</v>
      </c>
      <c r="F19" s="279">
        <v>3</v>
      </c>
      <c r="G19" s="594">
        <v>0</v>
      </c>
      <c r="H19" s="595">
        <v>0</v>
      </c>
      <c r="I19" s="595">
        <v>0</v>
      </c>
      <c r="J19" s="599">
        <f>E19*D19</f>
        <v>1200000</v>
      </c>
      <c r="K19" s="594">
        <v>0</v>
      </c>
      <c r="L19" s="595">
        <v>0</v>
      </c>
      <c r="M19" s="599">
        <f>J19/F19</f>
        <v>400000</v>
      </c>
    </row>
    <row r="20" spans="2:13" x14ac:dyDescent="0.25">
      <c r="B20" s="914" t="s">
        <v>161</v>
      </c>
      <c r="C20" s="282" t="s">
        <v>151</v>
      </c>
      <c r="D20" s="283">
        <v>22</v>
      </c>
      <c r="E20" s="284">
        <v>3000</v>
      </c>
      <c r="F20" s="285">
        <v>10</v>
      </c>
      <c r="G20" s="590">
        <f>E20*D20</f>
        <v>66000</v>
      </c>
      <c r="H20" s="589">
        <v>0</v>
      </c>
      <c r="I20" s="589">
        <v>0</v>
      </c>
      <c r="J20" s="591">
        <v>0</v>
      </c>
      <c r="K20" s="592">
        <f>G20/F20</f>
        <v>6600</v>
      </c>
      <c r="L20" s="592">
        <f>G20/F20</f>
        <v>6600</v>
      </c>
      <c r="M20" s="592">
        <f>G20/F20</f>
        <v>6600</v>
      </c>
    </row>
    <row r="21" spans="2:13" x14ac:dyDescent="0.25">
      <c r="B21" s="915"/>
      <c r="C21" s="278" t="s">
        <v>151</v>
      </c>
      <c r="D21" s="205">
        <v>17</v>
      </c>
      <c r="E21" s="261">
        <v>3000</v>
      </c>
      <c r="F21" s="279">
        <v>10</v>
      </c>
      <c r="G21" s="594">
        <v>0</v>
      </c>
      <c r="H21" s="595">
        <v>0</v>
      </c>
      <c r="I21" s="598">
        <f>E21*D21</f>
        <v>51000</v>
      </c>
      <c r="J21" s="597">
        <v>0</v>
      </c>
      <c r="K21" s="596">
        <v>0</v>
      </c>
      <c r="L21" s="598">
        <f>I21/F21</f>
        <v>5100</v>
      </c>
      <c r="M21" s="599">
        <f>I21/F21</f>
        <v>5100</v>
      </c>
    </row>
    <row r="22" spans="2:13" x14ac:dyDescent="0.25">
      <c r="B22" s="915"/>
      <c r="C22" s="278" t="s">
        <v>151</v>
      </c>
      <c r="D22" s="205">
        <v>22</v>
      </c>
      <c r="E22" s="261">
        <v>3000</v>
      </c>
      <c r="F22" s="279">
        <v>10</v>
      </c>
      <c r="G22" s="594">
        <v>0</v>
      </c>
      <c r="H22" s="595">
        <v>0</v>
      </c>
      <c r="I22" s="595">
        <v>0</v>
      </c>
      <c r="J22" s="599">
        <f>E22*D22</f>
        <v>66000</v>
      </c>
      <c r="K22" s="594">
        <v>0</v>
      </c>
      <c r="L22" s="595">
        <v>0</v>
      </c>
      <c r="M22" s="599">
        <f>J22/F22</f>
        <v>6600</v>
      </c>
    </row>
    <row r="23" spans="2:13" x14ac:dyDescent="0.25">
      <c r="B23" s="915"/>
      <c r="C23" s="278" t="s">
        <v>153</v>
      </c>
      <c r="D23" s="276">
        <v>16</v>
      </c>
      <c r="E23" s="261">
        <v>10000</v>
      </c>
      <c r="F23" s="279">
        <v>5</v>
      </c>
      <c r="G23" s="596">
        <f>E23*D23</f>
        <v>160000</v>
      </c>
      <c r="H23" s="595">
        <v>0</v>
      </c>
      <c r="I23" s="595">
        <v>0</v>
      </c>
      <c r="J23" s="597">
        <v>0</v>
      </c>
      <c r="K23" s="596">
        <f>G23/F23</f>
        <v>32000</v>
      </c>
      <c r="L23" s="598">
        <f>G23/F23</f>
        <v>32000</v>
      </c>
      <c r="M23" s="599">
        <f>G23/F23</f>
        <v>32000</v>
      </c>
    </row>
    <row r="24" spans="2:13" x14ac:dyDescent="0.25">
      <c r="B24" s="915"/>
      <c r="C24" s="278" t="s">
        <v>153</v>
      </c>
      <c r="D24" s="276">
        <v>11</v>
      </c>
      <c r="E24" s="261">
        <v>10000</v>
      </c>
      <c r="F24" s="279">
        <v>5</v>
      </c>
      <c r="G24" s="594">
        <v>0</v>
      </c>
      <c r="H24" s="595">
        <v>0</v>
      </c>
      <c r="I24" s="598">
        <f>E24*D24</f>
        <v>110000</v>
      </c>
      <c r="J24" s="597">
        <v>0</v>
      </c>
      <c r="K24" s="594">
        <v>0</v>
      </c>
      <c r="L24" s="598">
        <f>I24/F24</f>
        <v>22000</v>
      </c>
      <c r="M24" s="599">
        <f>I24/F24</f>
        <v>22000</v>
      </c>
    </row>
    <row r="25" spans="2:13" ht="15.75" thickBot="1" x14ac:dyDescent="0.3">
      <c r="B25" s="916"/>
      <c r="C25" s="286" t="s">
        <v>153</v>
      </c>
      <c r="D25" s="271">
        <v>15</v>
      </c>
      <c r="E25" s="263">
        <v>10000</v>
      </c>
      <c r="F25" s="287">
        <v>5</v>
      </c>
      <c r="G25" s="602">
        <v>0</v>
      </c>
      <c r="H25" s="600">
        <v>0</v>
      </c>
      <c r="I25" s="600">
        <v>0</v>
      </c>
      <c r="J25" s="601">
        <f>E25*D25</f>
        <v>150000</v>
      </c>
      <c r="K25" s="594">
        <v>0</v>
      </c>
      <c r="L25" s="595">
        <v>0</v>
      </c>
      <c r="M25" s="599">
        <f>J25/F25</f>
        <v>30000</v>
      </c>
    </row>
    <row r="26" spans="2:13" ht="16.5" thickBot="1" x14ac:dyDescent="0.3">
      <c r="B26" s="917" t="s">
        <v>138</v>
      </c>
      <c r="C26" s="918"/>
      <c r="D26" s="918"/>
      <c r="E26" s="918"/>
      <c r="F26" s="918"/>
      <c r="G26" s="918"/>
      <c r="H26" s="918"/>
      <c r="I26" s="918"/>
      <c r="J26" s="919"/>
      <c r="K26" s="289">
        <f>SUM(K11:K25)</f>
        <v>142914.10256410256</v>
      </c>
      <c r="L26" s="280">
        <f>SUM(L11:L25)</f>
        <v>276776.00732600736</v>
      </c>
      <c r="M26" s="281">
        <f>SUM(M11:M25)</f>
        <v>815126.00732600736</v>
      </c>
    </row>
  </sheetData>
  <mergeCells count="14">
    <mergeCell ref="B20:B25"/>
    <mergeCell ref="B26:J26"/>
    <mergeCell ref="F9:F10"/>
    <mergeCell ref="E9:E10"/>
    <mergeCell ref="B11:B16"/>
    <mergeCell ref="B17:B19"/>
    <mergeCell ref="B3:D3"/>
    <mergeCell ref="I3:K3"/>
    <mergeCell ref="G9:J9"/>
    <mergeCell ref="K9:M9"/>
    <mergeCell ref="B8:M8"/>
    <mergeCell ref="B9:B10"/>
    <mergeCell ref="C9:C10"/>
    <mergeCell ref="D9:D10"/>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8"/>
  <sheetViews>
    <sheetView zoomScaleNormal="100" workbookViewId="0">
      <pane ySplit="1" topLeftCell="A2" activePane="bottomLeft" state="frozen"/>
      <selection pane="bottomLeft" activeCell="H42" sqref="H42"/>
    </sheetView>
  </sheetViews>
  <sheetFormatPr baseColWidth="10" defaultColWidth="11.42578125" defaultRowHeight="15" x14ac:dyDescent="0.25"/>
  <cols>
    <col min="1" max="1" width="6" style="1" customWidth="1"/>
    <col min="2" max="2" width="15" style="1" bestFit="1" customWidth="1"/>
    <col min="3" max="3" width="29.5703125" style="1" customWidth="1"/>
    <col min="4" max="4" width="19.7109375" style="1" customWidth="1"/>
    <col min="5" max="5" width="19" style="1" customWidth="1"/>
    <col min="6" max="6" width="15.140625" style="1" bestFit="1" customWidth="1"/>
    <col min="7" max="7" width="23.140625" style="1" customWidth="1"/>
    <col min="8" max="8" width="14.140625" style="1" bestFit="1" customWidth="1"/>
    <col min="9" max="9" width="14.5703125" style="1" bestFit="1" customWidth="1"/>
    <col min="10" max="10" width="15.140625" style="1" customWidth="1"/>
    <col min="11" max="11" width="16.5703125" style="1" customWidth="1"/>
    <col min="12" max="12" width="17" style="1" customWidth="1"/>
    <col min="13" max="13" width="18.28515625" style="1" customWidth="1"/>
    <col min="14" max="16384" width="11.42578125" style="1"/>
  </cols>
  <sheetData>
    <row r="1" spans="1:15" s="341" customFormat="1" ht="58.5" customHeight="1" x14ac:dyDescent="0.25">
      <c r="A1" s="344"/>
      <c r="B1" s="344"/>
      <c r="C1" s="344"/>
      <c r="D1" s="344"/>
      <c r="E1" s="349" t="s">
        <v>13</v>
      </c>
      <c r="F1" s="350"/>
      <c r="G1" s="350"/>
      <c r="H1" s="344"/>
      <c r="I1" s="344"/>
      <c r="J1" s="344"/>
      <c r="K1" s="344"/>
      <c r="L1" s="344"/>
      <c r="M1" s="344"/>
      <c r="N1" s="344"/>
      <c r="O1" s="344"/>
    </row>
    <row r="2" spans="1:15" ht="15.75" thickBot="1" x14ac:dyDescent="0.3"/>
    <row r="3" spans="1:15" ht="27" thickBot="1" x14ac:dyDescent="0.45">
      <c r="H3" s="138"/>
      <c r="K3" s="785" t="s">
        <v>22</v>
      </c>
      <c r="L3" s="786"/>
      <c r="M3" s="787"/>
    </row>
    <row r="4" spans="1:15" x14ac:dyDescent="0.25">
      <c r="H4" s="127"/>
      <c r="K4" s="503">
        <v>2021</v>
      </c>
      <c r="L4" s="503">
        <v>2022</v>
      </c>
      <c r="M4" s="503">
        <v>2023</v>
      </c>
    </row>
    <row r="5" spans="1:15" x14ac:dyDescent="0.25">
      <c r="H5" s="204"/>
      <c r="K5" s="559">
        <f>Hipótesis!$C$24</f>
        <v>1.2999999999999999E-2</v>
      </c>
      <c r="L5" s="559">
        <f>Hipótesis!$C$25</f>
        <v>2.5000000000000001E-2</v>
      </c>
      <c r="M5" s="559">
        <f>Hipótesis!$C$26</f>
        <v>0.04</v>
      </c>
    </row>
    <row r="6" spans="1:15" x14ac:dyDescent="0.25">
      <c r="H6" s="50"/>
      <c r="K6" s="16">
        <f>Hipótesis!$D$24</f>
        <v>31551000</v>
      </c>
      <c r="L6" s="16">
        <f>Hipótesis!$D$25</f>
        <v>60675000</v>
      </c>
      <c r="M6" s="16">
        <f>Hipótesis!$D$26</f>
        <v>97080000</v>
      </c>
    </row>
    <row r="7" spans="1:15" ht="15.75" thickBot="1" x14ac:dyDescent="0.3">
      <c r="H7" s="50"/>
    </row>
    <row r="8" spans="1:15" ht="27" thickBot="1" x14ac:dyDescent="0.45">
      <c r="H8" s="138"/>
      <c r="K8" s="785" t="s">
        <v>192</v>
      </c>
      <c r="L8" s="786"/>
      <c r="M8" s="787"/>
    </row>
    <row r="9" spans="1:15" ht="15.75" thickBot="1" x14ac:dyDescent="0.3">
      <c r="H9" s="127"/>
      <c r="K9" s="504">
        <v>2021</v>
      </c>
      <c r="L9" s="503">
        <v>2022</v>
      </c>
      <c r="M9" s="505">
        <v>2023</v>
      </c>
    </row>
    <row r="10" spans="1:15" ht="27" thickBot="1" x14ac:dyDescent="0.45">
      <c r="B10" s="879" t="s">
        <v>13</v>
      </c>
      <c r="C10" s="880"/>
      <c r="D10" s="880"/>
      <c r="E10" s="880"/>
      <c r="F10" s="880"/>
      <c r="G10" s="881"/>
      <c r="H10" s="204"/>
      <c r="J10" s="587" t="s">
        <v>164</v>
      </c>
      <c r="K10" s="323">
        <f>'Costos fijos'!$G$5</f>
        <v>3351744</v>
      </c>
      <c r="L10" s="16">
        <f>'Costos fijos'!$H$5</f>
        <v>3951744</v>
      </c>
      <c r="M10" s="324">
        <f>'Costos fijos'!$I$5</f>
        <v>4551744</v>
      </c>
    </row>
    <row r="11" spans="1:15" ht="15.75" thickBot="1" x14ac:dyDescent="0.3">
      <c r="B11" s="938" t="s">
        <v>177</v>
      </c>
      <c r="C11" s="939"/>
      <c r="D11" s="506" t="s">
        <v>178</v>
      </c>
      <c r="E11" s="507">
        <v>2021</v>
      </c>
      <c r="F11" s="507">
        <v>2022</v>
      </c>
      <c r="G11" s="588">
        <v>2023</v>
      </c>
      <c r="H11" s="50"/>
      <c r="J11" s="587" t="s">
        <v>141</v>
      </c>
      <c r="K11" s="323">
        <f>'Costos variables'!$H$6</f>
        <v>8753536</v>
      </c>
      <c r="L11" s="16">
        <f>'Costos variables'!$I$6</f>
        <v>15604672</v>
      </c>
      <c r="M11" s="324">
        <f>'Costos variables'!$J$6</f>
        <v>22455808</v>
      </c>
    </row>
    <row r="12" spans="1:15" ht="15.75" thickBot="1" x14ac:dyDescent="0.3">
      <c r="B12" s="932" t="s">
        <v>26</v>
      </c>
      <c r="C12" s="933"/>
      <c r="D12" s="277" t="s">
        <v>165</v>
      </c>
      <c r="E12" s="265">
        <f>K6</f>
        <v>31551000</v>
      </c>
      <c r="F12" s="265">
        <f>L6</f>
        <v>60675000</v>
      </c>
      <c r="G12" s="292">
        <f>M6</f>
        <v>97080000</v>
      </c>
      <c r="J12" s="587" t="s">
        <v>142</v>
      </c>
      <c r="K12" s="46">
        <f>'Costos RRHH'!$H$6</f>
        <v>17854117.440000001</v>
      </c>
      <c r="L12" s="47">
        <f>'Costos RRHH'!$I$6</f>
        <v>26928160.68</v>
      </c>
      <c r="M12" s="48">
        <f>'Costos RRHH'!$J$6</f>
        <v>38051296.439999998</v>
      </c>
    </row>
    <row r="13" spans="1:15" ht="15.75" thickBot="1" x14ac:dyDescent="0.3">
      <c r="B13" s="934" t="s">
        <v>166</v>
      </c>
      <c r="C13" s="291" t="s">
        <v>164</v>
      </c>
      <c r="D13" s="290" t="s">
        <v>165</v>
      </c>
      <c r="E13" s="261">
        <f t="shared" ref="E13:G15" si="0">K10</f>
        <v>3351744</v>
      </c>
      <c r="F13" s="261">
        <f t="shared" si="0"/>
        <v>3951744</v>
      </c>
      <c r="G13" s="274">
        <f t="shared" si="0"/>
        <v>4551744</v>
      </c>
    </row>
    <row r="14" spans="1:15" ht="27" thickBot="1" x14ac:dyDescent="0.45">
      <c r="B14" s="934"/>
      <c r="C14" s="291" t="s">
        <v>141</v>
      </c>
      <c r="D14" s="290" t="s">
        <v>165</v>
      </c>
      <c r="E14" s="261">
        <f t="shared" si="0"/>
        <v>8753536</v>
      </c>
      <c r="F14" s="261">
        <f t="shared" si="0"/>
        <v>15604672</v>
      </c>
      <c r="G14" s="274">
        <f t="shared" si="0"/>
        <v>22455808</v>
      </c>
      <c r="K14" s="785" t="s">
        <v>9</v>
      </c>
      <c r="L14" s="786"/>
      <c r="M14" s="787"/>
    </row>
    <row r="15" spans="1:15" ht="15.75" thickBot="1" x14ac:dyDescent="0.3">
      <c r="B15" s="935"/>
      <c r="C15" s="293" t="s">
        <v>142</v>
      </c>
      <c r="D15" s="294" t="s">
        <v>165</v>
      </c>
      <c r="E15" s="272">
        <f t="shared" si="0"/>
        <v>17854117.440000001</v>
      </c>
      <c r="F15" s="272">
        <f t="shared" si="0"/>
        <v>26928160.68</v>
      </c>
      <c r="G15" s="274">
        <f t="shared" si="0"/>
        <v>38051296.439999998</v>
      </c>
      <c r="K15" s="575">
        <v>2021</v>
      </c>
      <c r="L15" s="576">
        <v>2022</v>
      </c>
      <c r="M15" s="577">
        <v>2023</v>
      </c>
    </row>
    <row r="16" spans="1:15" ht="15.75" thickBot="1" x14ac:dyDescent="0.3">
      <c r="B16" s="928" t="s">
        <v>167</v>
      </c>
      <c r="C16" s="929"/>
      <c r="D16" s="295" t="s">
        <v>165</v>
      </c>
      <c r="E16" s="296">
        <f>E12-E13-E14-E15</f>
        <v>1591602.5599999987</v>
      </c>
      <c r="F16" s="296">
        <f t="shared" ref="F16:G16" si="1">F12-F13-F14-F15</f>
        <v>14190423.32</v>
      </c>
      <c r="G16" s="297">
        <f t="shared" si="1"/>
        <v>32021151.560000002</v>
      </c>
      <c r="K16" s="262">
        <f>Amortizaciones!$I$5</f>
        <v>142914.10256410256</v>
      </c>
      <c r="L16" s="263">
        <f>Amortizaciones!$J$5</f>
        <v>276776.00732600736</v>
      </c>
      <c r="M16" s="264">
        <f>Amortizaciones!$K$5</f>
        <v>815126.00732600736</v>
      </c>
    </row>
    <row r="17" spans="2:13" ht="15.75" thickBot="1" x14ac:dyDescent="0.3">
      <c r="B17" s="942" t="s">
        <v>168</v>
      </c>
      <c r="C17" s="943"/>
      <c r="D17" s="277" t="s">
        <v>165</v>
      </c>
      <c r="E17" s="265">
        <f>E12*0.03</f>
        <v>946530</v>
      </c>
      <c r="F17" s="265">
        <f t="shared" ref="F17:G17" si="2">F12*0.03</f>
        <v>1820250</v>
      </c>
      <c r="G17" s="292">
        <f t="shared" si="2"/>
        <v>2912400</v>
      </c>
    </row>
    <row r="18" spans="2:13" ht="15.75" hidden="1" thickBot="1" x14ac:dyDescent="0.3">
      <c r="B18" s="936" t="s">
        <v>169</v>
      </c>
      <c r="C18" s="937"/>
      <c r="D18" s="290"/>
      <c r="E18" s="261">
        <f>E16-E17-K16</f>
        <v>502158.4574358961</v>
      </c>
      <c r="F18" s="261">
        <f>F16-F17-L16</f>
        <v>12093397.312673993</v>
      </c>
      <c r="G18" s="274">
        <f>G16-G17-M16</f>
        <v>28293625.552673995</v>
      </c>
    </row>
    <row r="19" spans="2:13" ht="27" thickBot="1" x14ac:dyDescent="0.45">
      <c r="B19" s="944" t="s">
        <v>170</v>
      </c>
      <c r="C19" s="945"/>
      <c r="D19" s="294" t="s">
        <v>165</v>
      </c>
      <c r="E19" s="272">
        <v>0</v>
      </c>
      <c r="F19" s="272">
        <v>0</v>
      </c>
      <c r="G19" s="275">
        <f>F18*0.35</f>
        <v>4232689.0594358975</v>
      </c>
      <c r="J19" s="785" t="s">
        <v>145</v>
      </c>
      <c r="K19" s="786"/>
      <c r="L19" s="786"/>
      <c r="M19" s="787"/>
    </row>
    <row r="20" spans="2:13" ht="15.75" thickBot="1" x14ac:dyDescent="0.3">
      <c r="B20" s="928" t="s">
        <v>171</v>
      </c>
      <c r="C20" s="929"/>
      <c r="D20" s="295" t="s">
        <v>165</v>
      </c>
      <c r="E20" s="296">
        <f>E16-E17-E19</f>
        <v>645072.55999999866</v>
      </c>
      <c r="F20" s="296">
        <f>F16-F17-F19</f>
        <v>12370173.32</v>
      </c>
      <c r="G20" s="297">
        <f>G16-G17-G19</f>
        <v>24876062.500564106</v>
      </c>
      <c r="J20" s="575" t="s">
        <v>146</v>
      </c>
      <c r="K20" s="576">
        <v>2021</v>
      </c>
      <c r="L20" s="576">
        <v>2022</v>
      </c>
      <c r="M20" s="577">
        <v>2023</v>
      </c>
    </row>
    <row r="21" spans="2:13" ht="15.75" thickBot="1" x14ac:dyDescent="0.3">
      <c r="B21" s="940" t="s">
        <v>172</v>
      </c>
      <c r="C21" s="941"/>
      <c r="D21" s="298">
        <f>-J21</f>
        <v>-4084150</v>
      </c>
      <c r="E21" s="299">
        <f>-K21</f>
        <v>0</v>
      </c>
      <c r="F21" s="299">
        <f>-L21</f>
        <v>-1663000</v>
      </c>
      <c r="G21" s="300">
        <f>-M21</f>
        <v>-2322000</v>
      </c>
      <c r="J21" s="262">
        <f>'Mod. inversión'!$G$5</f>
        <v>4084150</v>
      </c>
      <c r="K21" s="263">
        <f>'Mod. inversión'!$H$5</f>
        <v>0</v>
      </c>
      <c r="L21" s="263">
        <f>'Mod. inversión'!$I$5</f>
        <v>1663000</v>
      </c>
      <c r="M21" s="264">
        <f>'Mod. inversión'!$J$5</f>
        <v>2322000</v>
      </c>
    </row>
    <row r="22" spans="2:13" ht="15.75" thickBot="1" x14ac:dyDescent="0.3">
      <c r="B22" s="930" t="s">
        <v>173</v>
      </c>
      <c r="C22" s="931"/>
      <c r="D22" s="309">
        <f>D21</f>
        <v>-4084150</v>
      </c>
      <c r="E22" s="296">
        <f>E20+E21</f>
        <v>645072.55999999866</v>
      </c>
      <c r="F22" s="296">
        <f t="shared" ref="F22:G22" si="3">F20+F21</f>
        <v>10707173.32</v>
      </c>
      <c r="G22" s="297">
        <f t="shared" si="3"/>
        <v>22554062.500564106</v>
      </c>
      <c r="K22" s="1" t="s">
        <v>373</v>
      </c>
    </row>
    <row r="25" spans="2:13" ht="15.75" customHeight="1" thickBot="1" x14ac:dyDescent="0.3">
      <c r="B25" s="927" t="s">
        <v>321</v>
      </c>
      <c r="C25" s="927"/>
      <c r="D25" s="927"/>
    </row>
    <row r="26" spans="2:13" ht="15" customHeight="1" x14ac:dyDescent="0.25">
      <c r="B26" s="927"/>
      <c r="C26" s="927"/>
      <c r="D26" s="927"/>
      <c r="F26" s="303" t="s">
        <v>174</v>
      </c>
      <c r="G26" s="304">
        <v>0.52</v>
      </c>
    </row>
    <row r="27" spans="2:13" x14ac:dyDescent="0.25">
      <c r="B27" s="927"/>
      <c r="C27" s="927"/>
      <c r="D27" s="927"/>
      <c r="F27" s="305" t="s">
        <v>175</v>
      </c>
      <c r="G27" s="306">
        <f>NPV(G26,J21,K21:M21)</f>
        <v>3595484.6446466795</v>
      </c>
    </row>
    <row r="28" spans="2:13" ht="15.75" thickBot="1" x14ac:dyDescent="0.3">
      <c r="B28" s="927"/>
      <c r="C28" s="927"/>
      <c r="D28" s="927"/>
      <c r="F28" s="307" t="s">
        <v>176</v>
      </c>
      <c r="G28" s="308">
        <f>IRR(D22:G22,G26)</f>
        <v>1.3174562554023632</v>
      </c>
    </row>
    <row r="29" spans="2:13" x14ac:dyDescent="0.25">
      <c r="B29" s="927"/>
      <c r="C29" s="927"/>
      <c r="D29" s="927"/>
    </row>
    <row r="30" spans="2:13" x14ac:dyDescent="0.25">
      <c r="B30" s="927"/>
      <c r="C30" s="927"/>
      <c r="D30" s="927"/>
    </row>
    <row r="31" spans="2:13" ht="0.6" customHeight="1" x14ac:dyDescent="0.25">
      <c r="B31" s="927"/>
      <c r="C31" s="927"/>
      <c r="D31" s="927"/>
      <c r="I31" s="310"/>
    </row>
    <row r="32" spans="2:13" x14ac:dyDescent="0.25">
      <c r="B32" s="927"/>
      <c r="C32" s="927"/>
      <c r="D32" s="927"/>
      <c r="I32" s="310"/>
    </row>
    <row r="33" spans="2:9" x14ac:dyDescent="0.25">
      <c r="B33" s="927"/>
      <c r="C33" s="927"/>
      <c r="D33" s="927"/>
    </row>
    <row r="34" spans="2:9" x14ac:dyDescent="0.25">
      <c r="B34" s="122"/>
      <c r="C34" s="122"/>
      <c r="D34" s="122"/>
    </row>
    <row r="35" spans="2:9" x14ac:dyDescent="0.25">
      <c r="B35" s="122"/>
      <c r="C35" s="122"/>
      <c r="D35" s="122"/>
    </row>
    <row r="36" spans="2:9" x14ac:dyDescent="0.25">
      <c r="B36" s="122"/>
      <c r="C36" s="122"/>
      <c r="D36" s="122"/>
      <c r="E36" s="21"/>
      <c r="F36" s="21"/>
      <c r="G36" s="21"/>
      <c r="I36" s="22"/>
    </row>
    <row r="37" spans="2:9" x14ac:dyDescent="0.25">
      <c r="B37" s="122"/>
      <c r="C37" s="122"/>
      <c r="D37" s="122"/>
      <c r="I37" s="22"/>
    </row>
    <row r="38" spans="2:9" x14ac:dyDescent="0.25">
      <c r="B38" s="122"/>
      <c r="C38" s="122"/>
      <c r="D38" s="122"/>
      <c r="H38" s="302"/>
    </row>
  </sheetData>
  <mergeCells count="16">
    <mergeCell ref="B25:D33"/>
    <mergeCell ref="B16:C16"/>
    <mergeCell ref="K3:M3"/>
    <mergeCell ref="K8:M8"/>
    <mergeCell ref="B22:C22"/>
    <mergeCell ref="J19:M19"/>
    <mergeCell ref="K14:M14"/>
    <mergeCell ref="B12:C12"/>
    <mergeCell ref="B13:B15"/>
    <mergeCell ref="B18:C18"/>
    <mergeCell ref="B10:G10"/>
    <mergeCell ref="B11:C11"/>
    <mergeCell ref="B21:C21"/>
    <mergeCell ref="B20:C20"/>
    <mergeCell ref="B17:C17"/>
    <mergeCell ref="B19:C19"/>
  </mergeCells>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22"/>
  <sheetViews>
    <sheetView zoomScale="70" zoomScaleNormal="70" workbookViewId="0">
      <pane xSplit="2" ySplit="5" topLeftCell="C6" activePane="bottomRight" state="frozen"/>
      <selection pane="topRight" activeCell="C1" sqref="C1"/>
      <selection pane="bottomLeft" activeCell="A6" sqref="A6"/>
      <selection pane="bottomRight" activeCell="F2" sqref="F2"/>
    </sheetView>
  </sheetViews>
  <sheetFormatPr baseColWidth="10" defaultColWidth="11.42578125" defaultRowHeight="15" x14ac:dyDescent="0.25"/>
  <cols>
    <col min="1" max="1" width="11.42578125" style="1"/>
    <col min="2" max="2" width="8.42578125" style="1" bestFit="1" customWidth="1"/>
    <col min="3" max="3" width="53.28515625" style="1" customWidth="1"/>
    <col min="4" max="4" width="44.7109375" style="1" customWidth="1"/>
    <col min="5" max="5" width="46.5703125" style="1" customWidth="1"/>
    <col min="6" max="7" width="11.42578125" style="1"/>
    <col min="8" max="8" width="15.5703125" style="1" customWidth="1"/>
    <col min="9" max="16384" width="11.42578125" style="1"/>
  </cols>
  <sheetData>
    <row r="1" spans="1:14" s="341" customFormat="1" ht="58.5" customHeight="1" x14ac:dyDescent="0.25">
      <c r="A1" s="344"/>
      <c r="B1" s="344"/>
      <c r="C1" s="344"/>
      <c r="D1" s="349" t="s">
        <v>11</v>
      </c>
      <c r="E1" s="344"/>
      <c r="F1" s="344"/>
      <c r="G1" s="350"/>
      <c r="H1" s="350"/>
      <c r="I1" s="344"/>
      <c r="J1" s="344"/>
      <c r="K1" s="344"/>
      <c r="L1" s="344"/>
      <c r="M1" s="344"/>
      <c r="N1" s="344"/>
    </row>
    <row r="3" spans="1:14" ht="15.75" thickBot="1" x14ac:dyDescent="0.3"/>
    <row r="4" spans="1:14" ht="27" thickBot="1" x14ac:dyDescent="0.45">
      <c r="B4" s="823" t="s">
        <v>11</v>
      </c>
      <c r="C4" s="824"/>
      <c r="D4" s="824"/>
      <c r="E4" s="824"/>
      <c r="F4" s="824"/>
      <c r="G4" s="825"/>
    </row>
    <row r="5" spans="1:14" x14ac:dyDescent="0.25">
      <c r="B5" s="643" t="s">
        <v>191</v>
      </c>
      <c r="C5" s="644" t="s">
        <v>179</v>
      </c>
      <c r="D5" s="644" t="s">
        <v>180</v>
      </c>
      <c r="E5" s="644" t="s">
        <v>181</v>
      </c>
      <c r="F5" s="645" t="s">
        <v>182</v>
      </c>
      <c r="G5" s="646" t="s">
        <v>183</v>
      </c>
      <c r="H5"/>
    </row>
    <row r="6" spans="1:14" ht="45" x14ac:dyDescent="0.25">
      <c r="B6" s="647">
        <v>1</v>
      </c>
      <c r="C6" s="656" t="s">
        <v>375</v>
      </c>
      <c r="D6" s="656" t="s">
        <v>384</v>
      </c>
      <c r="E6" s="656" t="s">
        <v>380</v>
      </c>
      <c r="F6" s="657" t="s">
        <v>310</v>
      </c>
      <c r="G6" s="658" t="s">
        <v>184</v>
      </c>
      <c r="H6" s="337"/>
    </row>
    <row r="7" spans="1:14" ht="30" x14ac:dyDescent="0.25">
      <c r="B7" s="647">
        <v>2</v>
      </c>
      <c r="C7" s="311" t="s">
        <v>345</v>
      </c>
      <c r="D7" s="311" t="s">
        <v>385</v>
      </c>
      <c r="E7" s="311" t="s">
        <v>343</v>
      </c>
      <c r="F7" s="147" t="s">
        <v>310</v>
      </c>
      <c r="G7" s="157" t="s">
        <v>187</v>
      </c>
      <c r="H7" s="337"/>
    </row>
    <row r="8" spans="1:14" ht="30" x14ac:dyDescent="0.25">
      <c r="B8" s="647">
        <v>3</v>
      </c>
      <c r="C8" s="656" t="s">
        <v>346</v>
      </c>
      <c r="D8" s="659" t="s">
        <v>347</v>
      </c>
      <c r="E8" s="659" t="s">
        <v>357</v>
      </c>
      <c r="F8" s="657" t="s">
        <v>185</v>
      </c>
      <c r="G8" s="658" t="s">
        <v>184</v>
      </c>
      <c r="H8" s="337"/>
    </row>
    <row r="9" spans="1:14" ht="30" x14ac:dyDescent="0.25">
      <c r="B9" s="647">
        <v>4</v>
      </c>
      <c r="C9" s="311" t="s">
        <v>348</v>
      </c>
      <c r="D9" s="311" t="s">
        <v>386</v>
      </c>
      <c r="E9" s="311" t="s">
        <v>349</v>
      </c>
      <c r="F9" s="147" t="s">
        <v>188</v>
      </c>
      <c r="G9" s="157" t="s">
        <v>189</v>
      </c>
      <c r="H9" s="50"/>
    </row>
    <row r="10" spans="1:14" ht="30" x14ac:dyDescent="0.25">
      <c r="B10" s="647">
        <v>5</v>
      </c>
      <c r="C10" s="656" t="s">
        <v>376</v>
      </c>
      <c r="D10" s="656" t="s">
        <v>387</v>
      </c>
      <c r="E10" s="656" t="s">
        <v>383</v>
      </c>
      <c r="F10" s="657" t="s">
        <v>185</v>
      </c>
      <c r="G10" s="658" t="s">
        <v>184</v>
      </c>
      <c r="H10" s="50"/>
    </row>
    <row r="11" spans="1:14" ht="30" x14ac:dyDescent="0.25">
      <c r="B11" s="647">
        <v>6</v>
      </c>
      <c r="C11" s="311" t="s">
        <v>352</v>
      </c>
      <c r="D11" s="311" t="s">
        <v>353</v>
      </c>
      <c r="E11" s="311" t="s">
        <v>388</v>
      </c>
      <c r="F11" s="147" t="s">
        <v>188</v>
      </c>
      <c r="G11" s="157" t="s">
        <v>189</v>
      </c>
      <c r="H11" s="50"/>
    </row>
    <row r="12" spans="1:14" ht="30" x14ac:dyDescent="0.25">
      <c r="B12" s="647">
        <v>7</v>
      </c>
      <c r="C12" s="311" t="s">
        <v>354</v>
      </c>
      <c r="D12" s="311" t="s">
        <v>389</v>
      </c>
      <c r="E12" s="311" t="s">
        <v>390</v>
      </c>
      <c r="F12" s="147" t="s">
        <v>188</v>
      </c>
      <c r="G12" s="157" t="s">
        <v>188</v>
      </c>
      <c r="H12" s="50"/>
    </row>
    <row r="13" spans="1:14" ht="30" x14ac:dyDescent="0.25">
      <c r="B13" s="647">
        <v>8</v>
      </c>
      <c r="C13" s="311" t="s">
        <v>355</v>
      </c>
      <c r="D13" s="311" t="s">
        <v>356</v>
      </c>
      <c r="E13" s="311" t="s">
        <v>349</v>
      </c>
      <c r="F13" s="147" t="s">
        <v>185</v>
      </c>
      <c r="G13" s="157" t="s">
        <v>188</v>
      </c>
      <c r="H13" s="50"/>
    </row>
    <row r="14" spans="1:14" ht="30" x14ac:dyDescent="0.25">
      <c r="B14" s="647">
        <v>9</v>
      </c>
      <c r="C14" s="311" t="s">
        <v>193</v>
      </c>
      <c r="D14" s="311" t="s">
        <v>391</v>
      </c>
      <c r="E14" s="311" t="s">
        <v>309</v>
      </c>
      <c r="F14" s="147" t="s">
        <v>310</v>
      </c>
      <c r="G14" s="157" t="s">
        <v>185</v>
      </c>
      <c r="H14" s="50"/>
    </row>
    <row r="15" spans="1:14" ht="30" x14ac:dyDescent="0.25">
      <c r="B15" s="647">
        <v>10</v>
      </c>
      <c r="C15" s="311" t="s">
        <v>194</v>
      </c>
      <c r="D15" s="312" t="s">
        <v>350</v>
      </c>
      <c r="E15" s="312" t="s">
        <v>351</v>
      </c>
      <c r="F15" s="147" t="s">
        <v>188</v>
      </c>
      <c r="G15" s="157" t="s">
        <v>187</v>
      </c>
      <c r="H15" s="337"/>
    </row>
    <row r="16" spans="1:14" ht="30" x14ac:dyDescent="0.25">
      <c r="B16" s="647">
        <v>11</v>
      </c>
      <c r="C16" s="311" t="s">
        <v>195</v>
      </c>
      <c r="D16" s="311" t="s">
        <v>392</v>
      </c>
      <c r="E16" s="311" t="s">
        <v>397</v>
      </c>
      <c r="F16" s="147" t="s">
        <v>188</v>
      </c>
      <c r="G16" s="157" t="s">
        <v>189</v>
      </c>
      <c r="H16" s="50"/>
    </row>
    <row r="17" spans="2:8" ht="30" x14ac:dyDescent="0.25">
      <c r="B17" s="647">
        <v>12</v>
      </c>
      <c r="C17" s="311" t="s">
        <v>196</v>
      </c>
      <c r="D17" s="311" t="s">
        <v>393</v>
      </c>
      <c r="E17" s="311" t="s">
        <v>394</v>
      </c>
      <c r="F17" s="147" t="s">
        <v>188</v>
      </c>
      <c r="G17" s="157" t="s">
        <v>187</v>
      </c>
      <c r="H17" s="50"/>
    </row>
    <row r="18" spans="2:8" ht="30" x14ac:dyDescent="0.25">
      <c r="B18" s="647">
        <v>13</v>
      </c>
      <c r="C18" s="311" t="s">
        <v>197</v>
      </c>
      <c r="D18" s="311" t="s">
        <v>395</v>
      </c>
      <c r="E18" s="311" t="s">
        <v>396</v>
      </c>
      <c r="F18" s="147" t="s">
        <v>188</v>
      </c>
      <c r="G18" s="157" t="s">
        <v>189</v>
      </c>
      <c r="H18" s="50"/>
    </row>
    <row r="19" spans="2:8" ht="30" x14ac:dyDescent="0.25">
      <c r="B19" s="647">
        <v>14</v>
      </c>
      <c r="C19" s="311" t="s">
        <v>344</v>
      </c>
      <c r="D19" s="311" t="s">
        <v>398</v>
      </c>
      <c r="E19" s="311" t="s">
        <v>399</v>
      </c>
      <c r="F19" s="147" t="s">
        <v>188</v>
      </c>
      <c r="G19" s="157" t="s">
        <v>188</v>
      </c>
      <c r="H19" s="337"/>
    </row>
    <row r="20" spans="2:8" ht="30.75" thickBot="1" x14ac:dyDescent="0.3">
      <c r="B20" s="648">
        <v>15</v>
      </c>
      <c r="C20" s="311" t="s">
        <v>198</v>
      </c>
      <c r="D20" s="311" t="s">
        <v>400</v>
      </c>
      <c r="E20" s="311" t="s">
        <v>401</v>
      </c>
      <c r="F20" s="147" t="s">
        <v>185</v>
      </c>
      <c r="G20" s="157" t="s">
        <v>188</v>
      </c>
      <c r="H20" s="50"/>
    </row>
    <row r="21" spans="2:8" x14ac:dyDescent="0.25">
      <c r="H21" s="50"/>
    </row>
    <row r="22" spans="2:8" x14ac:dyDescent="0.25">
      <c r="H22" s="50"/>
    </row>
  </sheetData>
  <mergeCells count="1">
    <mergeCell ref="B4:G4"/>
  </mergeCells>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77"/>
  <sheetViews>
    <sheetView zoomScale="70" zoomScaleNormal="70" workbookViewId="0">
      <pane ySplit="1" topLeftCell="A2" activePane="bottomLeft" state="frozen"/>
      <selection pane="bottomLeft" activeCell="H36" sqref="H36"/>
    </sheetView>
  </sheetViews>
  <sheetFormatPr baseColWidth="10" defaultColWidth="11.42578125" defaultRowHeight="15" x14ac:dyDescent="0.25"/>
  <cols>
    <col min="1" max="1" width="4" style="1" customWidth="1"/>
    <col min="2" max="2" width="5.42578125" style="1" customWidth="1"/>
    <col min="3" max="3" width="11.42578125" style="1"/>
    <col min="4" max="4" width="25.140625" style="1" customWidth="1"/>
    <col min="5" max="5" width="18.28515625" style="1" customWidth="1"/>
    <col min="6" max="6" width="26.5703125" style="1" bestFit="1" customWidth="1"/>
    <col min="7" max="7" width="20" style="1" customWidth="1"/>
    <col min="8" max="8" width="21.42578125" style="1" customWidth="1"/>
    <col min="9" max="9" width="15.5703125" style="1" customWidth="1"/>
    <col min="10" max="10" width="2.28515625" style="1" customWidth="1"/>
    <col min="11" max="11" width="58.85546875" style="1" customWidth="1"/>
    <col min="12" max="16384" width="11.42578125" style="1"/>
  </cols>
  <sheetData>
    <row r="1" spans="1:38" s="341" customFormat="1" ht="58.5" customHeight="1" x14ac:dyDescent="0.25">
      <c r="A1" s="344"/>
      <c r="B1" s="344"/>
      <c r="C1" s="344"/>
      <c r="D1" s="344"/>
      <c r="E1" s="344"/>
      <c r="F1" s="344"/>
      <c r="G1" s="946" t="s">
        <v>200</v>
      </c>
      <c r="H1" s="947"/>
      <c r="I1" s="947"/>
      <c r="J1" s="344"/>
      <c r="K1" s="344"/>
      <c r="L1" s="344"/>
      <c r="M1" s="344"/>
      <c r="N1" s="344"/>
    </row>
    <row r="2" spans="1:38" ht="20.25" customHeight="1" thickBot="1" x14ac:dyDescent="0.3">
      <c r="G2" s="326"/>
      <c r="H2" s="327"/>
      <c r="I2" s="327"/>
    </row>
    <row r="3" spans="1:38" ht="15.75" thickBot="1" x14ac:dyDescent="0.3">
      <c r="B3" s="328"/>
      <c r="C3" s="329"/>
      <c r="D3" s="329"/>
      <c r="E3" s="329"/>
      <c r="F3" s="329"/>
      <c r="G3" s="329"/>
      <c r="H3" s="329"/>
      <c r="I3" s="329"/>
      <c r="J3" s="329"/>
      <c r="K3" s="329"/>
      <c r="L3" s="330"/>
    </row>
    <row r="4" spans="1:38" ht="15.75" thickBot="1" x14ac:dyDescent="0.3">
      <c r="B4" s="331"/>
      <c r="C4" s="957" t="s">
        <v>199</v>
      </c>
      <c r="D4" s="958"/>
      <c r="E4" s="958"/>
      <c r="F4" s="958"/>
      <c r="G4" s="958"/>
      <c r="H4" s="958"/>
      <c r="I4" s="958"/>
      <c r="J4" s="958"/>
      <c r="K4" s="959"/>
      <c r="L4" s="332"/>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row>
    <row r="5" spans="1:38" ht="15.75" thickBot="1" x14ac:dyDescent="0.3">
      <c r="B5" s="331"/>
      <c r="C5" s="333"/>
      <c r="D5" s="333"/>
      <c r="E5" s="333"/>
      <c r="F5" s="333"/>
      <c r="G5" s="333"/>
      <c r="H5" s="333"/>
      <c r="I5" s="333"/>
      <c r="J5" s="333"/>
      <c r="K5" s="333"/>
      <c r="L5" s="332"/>
      <c r="M5" s="163"/>
      <c r="N5" s="163"/>
      <c r="O5" s="163"/>
      <c r="P5" s="163"/>
      <c r="Q5" s="163"/>
      <c r="R5" s="163"/>
      <c r="S5" s="163"/>
      <c r="T5" s="163"/>
      <c r="U5" s="163"/>
      <c r="V5" s="163"/>
      <c r="W5" s="163"/>
      <c r="X5" s="163"/>
      <c r="Y5" s="163"/>
      <c r="Z5" s="163"/>
      <c r="AA5" s="163"/>
      <c r="AB5" s="163"/>
      <c r="AC5" s="163"/>
      <c r="AD5" s="163"/>
      <c r="AE5" s="163"/>
      <c r="AF5" s="163"/>
      <c r="AG5" s="163"/>
      <c r="AH5" s="163"/>
      <c r="AI5" s="163"/>
      <c r="AJ5" s="163"/>
      <c r="AK5" s="163"/>
      <c r="AL5" s="163"/>
    </row>
    <row r="6" spans="1:38" ht="15.75" thickBot="1" x14ac:dyDescent="0.3">
      <c r="B6" s="331"/>
      <c r="C6" s="50"/>
      <c r="D6" s="50"/>
      <c r="E6" s="50"/>
      <c r="F6" s="615" t="s">
        <v>22</v>
      </c>
      <c r="G6" s="616"/>
      <c r="H6" s="617"/>
      <c r="I6" s="333"/>
      <c r="J6" s="333"/>
      <c r="K6" s="614" t="s">
        <v>207</v>
      </c>
      <c r="L6" s="332"/>
      <c r="M6" s="163"/>
      <c r="N6" s="163"/>
      <c r="O6" s="163"/>
      <c r="P6" s="163"/>
      <c r="Q6" s="163"/>
      <c r="R6" s="163"/>
      <c r="S6" s="163"/>
      <c r="T6" s="163"/>
      <c r="U6" s="163"/>
      <c r="V6" s="163"/>
      <c r="W6" s="163"/>
      <c r="X6" s="163"/>
      <c r="Y6" s="163"/>
      <c r="Z6" s="163"/>
      <c r="AA6" s="163"/>
      <c r="AB6" s="163"/>
      <c r="AC6" s="163"/>
      <c r="AD6" s="163"/>
      <c r="AE6" s="163"/>
      <c r="AF6" s="163"/>
      <c r="AG6" s="163"/>
      <c r="AH6" s="163"/>
      <c r="AI6" s="163"/>
      <c r="AJ6" s="163"/>
      <c r="AK6" s="163"/>
      <c r="AL6" s="163"/>
    </row>
    <row r="7" spans="1:38" x14ac:dyDescent="0.25">
      <c r="B7" s="331"/>
      <c r="E7" s="50"/>
      <c r="F7" s="317">
        <v>2021</v>
      </c>
      <c r="G7" s="317">
        <v>2022</v>
      </c>
      <c r="H7" s="317">
        <v>2023</v>
      </c>
      <c r="I7" s="333"/>
      <c r="J7" s="333"/>
      <c r="K7" s="953" t="str">
        <f>'Matriz riesgo'!C6</f>
        <v>Baja de Ventas por nuevo competidor</v>
      </c>
      <c r="L7" s="332"/>
      <c r="M7" s="163"/>
      <c r="N7" s="163"/>
      <c r="O7" s="163"/>
      <c r="P7" s="163"/>
      <c r="Q7" s="163"/>
      <c r="R7" s="163"/>
      <c r="S7" s="163"/>
      <c r="T7" s="163"/>
      <c r="U7" s="163"/>
      <c r="V7" s="163"/>
      <c r="W7" s="163"/>
      <c r="X7" s="163"/>
      <c r="Y7" s="163"/>
      <c r="Z7" s="163"/>
      <c r="AA7" s="163"/>
      <c r="AB7" s="163"/>
      <c r="AC7" s="163"/>
      <c r="AD7" s="163"/>
      <c r="AE7" s="163"/>
      <c r="AF7" s="163"/>
      <c r="AG7" s="163"/>
      <c r="AH7" s="163"/>
      <c r="AI7" s="163"/>
      <c r="AJ7" s="163"/>
      <c r="AK7" s="163"/>
      <c r="AL7" s="163"/>
    </row>
    <row r="8" spans="1:38" x14ac:dyDescent="0.25">
      <c r="B8" s="331"/>
      <c r="E8" s="50"/>
      <c r="F8" s="315">
        <f>'Presupuesto financiero'!K5</f>
        <v>1.2999999999999999E-2</v>
      </c>
      <c r="G8" s="315">
        <f>'Presupuesto financiero'!L5</f>
        <v>2.5000000000000001E-2</v>
      </c>
      <c r="H8" s="315">
        <f>'Presupuesto financiero'!M5</f>
        <v>0.04</v>
      </c>
      <c r="I8" s="333"/>
      <c r="J8" s="333"/>
      <c r="K8" s="954"/>
      <c r="L8" s="332"/>
      <c r="M8" s="163"/>
      <c r="N8" s="163"/>
      <c r="O8" s="163"/>
      <c r="P8" s="163"/>
      <c r="Q8" s="163"/>
      <c r="R8" s="163"/>
      <c r="S8" s="163"/>
      <c r="T8" s="163"/>
      <c r="U8" s="163"/>
      <c r="V8" s="163"/>
      <c r="W8" s="163"/>
      <c r="X8" s="163"/>
      <c r="Y8" s="163"/>
      <c r="Z8" s="163"/>
      <c r="AA8" s="163"/>
      <c r="AB8" s="163"/>
      <c r="AC8" s="163"/>
      <c r="AD8" s="163"/>
      <c r="AE8" s="163"/>
      <c r="AF8" s="163"/>
      <c r="AG8" s="163"/>
      <c r="AH8" s="163"/>
      <c r="AI8" s="163"/>
      <c r="AJ8" s="163"/>
      <c r="AK8" s="163"/>
      <c r="AL8" s="163"/>
    </row>
    <row r="9" spans="1:38" ht="15.75" thickBot="1" x14ac:dyDescent="0.3">
      <c r="B9" s="331"/>
      <c r="E9" s="620" t="s">
        <v>205</v>
      </c>
      <c r="F9" s="621">
        <f>Hipótesis!$D$24</f>
        <v>31551000</v>
      </c>
      <c r="G9" s="621">
        <f>Hipótesis!$D$25</f>
        <v>60675000</v>
      </c>
      <c r="H9" s="621">
        <f>Hipótesis!$D$26</f>
        <v>97080000</v>
      </c>
      <c r="I9" s="333"/>
      <c r="J9" s="333"/>
      <c r="K9" s="955"/>
      <c r="L9" s="332"/>
      <c r="M9" s="163"/>
      <c r="N9" s="163"/>
      <c r="O9" s="163"/>
      <c r="P9" s="163"/>
      <c r="Q9" s="163"/>
      <c r="R9" s="163"/>
      <c r="S9" s="163"/>
      <c r="T9" s="163"/>
      <c r="U9" s="163"/>
      <c r="V9" s="163"/>
      <c r="W9" s="163"/>
      <c r="X9" s="163"/>
      <c r="Y9" s="163"/>
      <c r="Z9" s="163"/>
      <c r="AA9" s="163"/>
      <c r="AB9" s="163"/>
      <c r="AC9" s="163"/>
      <c r="AD9" s="163"/>
      <c r="AE9" s="163"/>
      <c r="AF9" s="163"/>
      <c r="AG9" s="163"/>
      <c r="AH9" s="163"/>
      <c r="AI9" s="163"/>
      <c r="AJ9" s="163"/>
      <c r="AK9" s="163"/>
      <c r="AL9" s="163"/>
    </row>
    <row r="10" spans="1:38" ht="15.75" thickBot="1" x14ac:dyDescent="0.3">
      <c r="B10" s="331"/>
      <c r="C10" s="50"/>
      <c r="D10" s="50"/>
      <c r="E10" s="620" t="s">
        <v>164</v>
      </c>
      <c r="F10" s="316">
        <f>'Presupuesto financiero'!K10</f>
        <v>3351744</v>
      </c>
      <c r="G10" s="316">
        <f>'Presupuesto financiero'!L10</f>
        <v>3951744</v>
      </c>
      <c r="H10" s="316">
        <f>'Presupuesto financiero'!M10</f>
        <v>4551744</v>
      </c>
      <c r="I10" s="333"/>
      <c r="J10" s="333"/>
      <c r="K10" s="614" t="s">
        <v>180</v>
      </c>
      <c r="L10" s="332"/>
      <c r="M10" s="163"/>
      <c r="N10" s="163"/>
      <c r="O10" s="163"/>
      <c r="P10" s="163"/>
      <c r="Q10" s="163"/>
      <c r="R10" s="163"/>
      <c r="S10" s="163"/>
      <c r="T10" s="163"/>
      <c r="U10" s="163"/>
      <c r="V10" s="163"/>
      <c r="W10" s="163"/>
      <c r="X10" s="163"/>
      <c r="Y10" s="163"/>
      <c r="Z10" s="163"/>
      <c r="AA10" s="163"/>
      <c r="AB10" s="163"/>
      <c r="AC10" s="163"/>
      <c r="AD10" s="163"/>
      <c r="AE10" s="163"/>
      <c r="AF10" s="163"/>
      <c r="AG10" s="163"/>
      <c r="AH10" s="163"/>
      <c r="AI10" s="163"/>
      <c r="AJ10" s="163"/>
      <c r="AK10" s="163"/>
      <c r="AL10" s="163"/>
    </row>
    <row r="11" spans="1:38" x14ac:dyDescent="0.25">
      <c r="B11" s="331"/>
      <c r="C11" s="50"/>
      <c r="D11" s="50"/>
      <c r="E11" s="620" t="s">
        <v>141</v>
      </c>
      <c r="F11" s="316">
        <f>'Presupuesto financiero'!K11</f>
        <v>8753536</v>
      </c>
      <c r="G11" s="316">
        <f>'Presupuesto financiero'!L11</f>
        <v>15604672</v>
      </c>
      <c r="H11" s="316">
        <f>'Presupuesto financiero'!M11</f>
        <v>22455808</v>
      </c>
      <c r="I11" s="333"/>
      <c r="J11" s="333"/>
      <c r="K11" s="956" t="str">
        <f>'Matriz riesgo'!D6</f>
        <v>Luego del primer año, al ser un producto éxitoso, en 2022 aparece un competidor intentando copiar el producto.</v>
      </c>
      <c r="L11" s="332"/>
      <c r="M11" s="163"/>
      <c r="N11" s="163"/>
      <c r="O11" s="163"/>
      <c r="P11" s="163"/>
      <c r="Q11" s="163"/>
      <c r="R11" s="163"/>
      <c r="S11" s="163"/>
      <c r="T11" s="163"/>
      <c r="U11" s="163"/>
      <c r="V11" s="163"/>
      <c r="W11" s="163"/>
      <c r="X11" s="163"/>
      <c r="Y11" s="163"/>
      <c r="Z11" s="163"/>
      <c r="AA11" s="163"/>
      <c r="AB11" s="163"/>
      <c r="AC11" s="163"/>
      <c r="AD11" s="163"/>
      <c r="AE11" s="163"/>
      <c r="AF11" s="163"/>
      <c r="AG11" s="163"/>
      <c r="AH11" s="163"/>
      <c r="AI11" s="163"/>
      <c r="AJ11" s="163"/>
      <c r="AK11" s="163"/>
      <c r="AL11" s="163"/>
    </row>
    <row r="12" spans="1:38" x14ac:dyDescent="0.25">
      <c r="B12" s="331"/>
      <c r="C12" s="50"/>
      <c r="D12" s="50"/>
      <c r="E12" s="620" t="s">
        <v>204</v>
      </c>
      <c r="F12" s="316">
        <f>'Presupuesto financiero'!K12</f>
        <v>17854117.440000001</v>
      </c>
      <c r="G12" s="316">
        <f>'Presupuesto financiero'!L12</f>
        <v>26928160.68</v>
      </c>
      <c r="H12" s="316">
        <f>'Presupuesto financiero'!M12</f>
        <v>38051296.439999998</v>
      </c>
      <c r="I12" s="333"/>
      <c r="J12" s="333"/>
      <c r="K12" s="954"/>
      <c r="L12" s="332"/>
      <c r="M12" s="163"/>
      <c r="N12" s="163"/>
      <c r="O12" s="163"/>
      <c r="P12" s="163"/>
      <c r="Q12" s="163"/>
      <c r="R12" s="163"/>
      <c r="S12" s="163"/>
      <c r="T12" s="163"/>
      <c r="U12" s="163"/>
      <c r="V12" s="163"/>
      <c r="W12" s="163"/>
      <c r="X12" s="163"/>
      <c r="Y12" s="163"/>
      <c r="Z12" s="163"/>
      <c r="AA12" s="163"/>
      <c r="AB12" s="163"/>
      <c r="AC12" s="163"/>
      <c r="AD12" s="163"/>
      <c r="AE12" s="163"/>
      <c r="AF12" s="163"/>
      <c r="AG12" s="163"/>
      <c r="AH12" s="163"/>
      <c r="AI12" s="163"/>
      <c r="AJ12" s="163"/>
      <c r="AK12" s="163"/>
      <c r="AL12" s="163"/>
    </row>
    <row r="13" spans="1:38" ht="15.75" thickBot="1" x14ac:dyDescent="0.3">
      <c r="B13" s="331"/>
      <c r="C13" s="50"/>
      <c r="D13" s="50"/>
      <c r="E13" s="50"/>
      <c r="F13" s="50"/>
      <c r="G13" s="50"/>
      <c r="H13" s="50"/>
      <c r="I13" s="333"/>
      <c r="J13" s="333"/>
      <c r="K13" s="955"/>
      <c r="L13" s="332"/>
      <c r="M13" s="163"/>
      <c r="N13" s="163"/>
      <c r="O13" s="163"/>
      <c r="P13" s="163"/>
      <c r="Q13" s="163"/>
      <c r="R13" s="163"/>
      <c r="S13" s="163"/>
      <c r="T13" s="163"/>
      <c r="U13" s="163"/>
      <c r="V13" s="163"/>
      <c r="W13" s="163"/>
      <c r="X13" s="163"/>
      <c r="Y13" s="163"/>
      <c r="Z13" s="163"/>
      <c r="AA13" s="163"/>
      <c r="AB13" s="163"/>
      <c r="AC13" s="163"/>
      <c r="AD13" s="163"/>
      <c r="AE13" s="163"/>
      <c r="AF13" s="163"/>
      <c r="AG13" s="163"/>
      <c r="AH13" s="163"/>
      <c r="AI13" s="163"/>
      <c r="AJ13" s="163"/>
      <c r="AK13" s="163"/>
      <c r="AL13" s="163"/>
    </row>
    <row r="14" spans="1:38" ht="16.5" customHeight="1" thickBot="1" x14ac:dyDescent="0.3">
      <c r="B14" s="331"/>
      <c r="C14" s="960" t="s">
        <v>206</v>
      </c>
      <c r="D14" s="961"/>
      <c r="E14" s="50"/>
      <c r="F14" s="618" t="s">
        <v>154</v>
      </c>
      <c r="G14" s="616"/>
      <c r="H14" s="617"/>
      <c r="I14" s="333"/>
      <c r="J14" s="333"/>
      <c r="K14" s="614" t="s">
        <v>181</v>
      </c>
      <c r="L14" s="332"/>
      <c r="M14" s="163"/>
      <c r="N14" s="163"/>
      <c r="O14" s="163"/>
      <c r="P14" s="163"/>
      <c r="Q14" s="163"/>
      <c r="R14" s="163"/>
      <c r="S14" s="163"/>
      <c r="T14" s="163"/>
      <c r="U14" s="163"/>
      <c r="V14" s="163"/>
      <c r="W14" s="163"/>
      <c r="X14" s="163"/>
      <c r="Y14" s="163"/>
      <c r="Z14" s="163"/>
      <c r="AA14" s="163"/>
      <c r="AB14" s="163"/>
      <c r="AC14" s="163"/>
      <c r="AD14" s="163"/>
      <c r="AE14" s="163"/>
      <c r="AF14" s="163"/>
      <c r="AG14" s="163"/>
      <c r="AH14" s="163"/>
      <c r="AI14" s="163"/>
      <c r="AJ14" s="163"/>
      <c r="AK14" s="163"/>
      <c r="AL14" s="163"/>
    </row>
    <row r="15" spans="1:38" ht="15.75" customHeight="1" x14ac:dyDescent="0.25">
      <c r="B15" s="331"/>
      <c r="C15" s="948">
        <v>-0.15</v>
      </c>
      <c r="D15" s="892"/>
      <c r="E15" s="50"/>
      <c r="F15" s="208">
        <v>2021</v>
      </c>
      <c r="G15" s="208">
        <v>2022</v>
      </c>
      <c r="H15" s="208">
        <v>2023</v>
      </c>
      <c r="I15" s="333"/>
      <c r="J15" s="333"/>
      <c r="K15" s="962" t="str">
        <f>'Matriz riesgo'!E6</f>
        <v>Caen las ventas un 35% en 2022 y 2023,</v>
      </c>
      <c r="L15" s="332"/>
      <c r="M15" s="163"/>
      <c r="N15" s="163"/>
      <c r="O15" s="163"/>
      <c r="P15" s="163"/>
      <c r="Q15" s="163"/>
      <c r="R15" s="163"/>
      <c r="S15" s="163"/>
      <c r="T15" s="163"/>
      <c r="U15" s="163"/>
      <c r="V15" s="163"/>
      <c r="W15" s="163"/>
      <c r="X15" s="163"/>
      <c r="Y15" s="163"/>
      <c r="Z15" s="163"/>
      <c r="AA15" s="163"/>
      <c r="AB15" s="163"/>
      <c r="AC15" s="163"/>
      <c r="AD15" s="163"/>
      <c r="AE15" s="163"/>
      <c r="AF15" s="163"/>
      <c r="AG15" s="163"/>
      <c r="AH15" s="163"/>
      <c r="AI15" s="163"/>
      <c r="AJ15" s="163"/>
      <c r="AK15" s="163"/>
      <c r="AL15" s="163"/>
    </row>
    <row r="16" spans="1:38" ht="15.75" thickBot="1" x14ac:dyDescent="0.3">
      <c r="B16" s="331"/>
      <c r="C16" s="949">
        <v>0.75</v>
      </c>
      <c r="D16" s="950"/>
      <c r="E16" s="322"/>
      <c r="F16" s="316">
        <f>'Presupuesto financiero'!K16</f>
        <v>142914.10256410256</v>
      </c>
      <c r="G16" s="316">
        <f>'Presupuesto financiero'!L16</f>
        <v>276776.00732600736</v>
      </c>
      <c r="H16" s="316">
        <f>'Presupuesto financiero'!M16</f>
        <v>815126.00732600736</v>
      </c>
      <c r="I16" s="333"/>
      <c r="J16" s="333"/>
      <c r="K16" s="963"/>
      <c r="L16" s="332"/>
      <c r="M16" s="163"/>
      <c r="N16" s="163"/>
      <c r="O16" s="163"/>
      <c r="P16" s="163"/>
      <c r="Q16" s="163"/>
      <c r="R16" s="163"/>
      <c r="S16" s="163"/>
      <c r="T16" s="163"/>
      <c r="U16" s="163"/>
      <c r="V16" s="163"/>
      <c r="W16" s="163"/>
      <c r="X16" s="163"/>
      <c r="Y16" s="163"/>
      <c r="Z16" s="163"/>
      <c r="AA16" s="163"/>
      <c r="AB16" s="163"/>
      <c r="AC16" s="163"/>
      <c r="AD16" s="163"/>
      <c r="AE16" s="163"/>
      <c r="AF16" s="163"/>
      <c r="AG16" s="163"/>
      <c r="AH16" s="163"/>
      <c r="AI16" s="163"/>
      <c r="AJ16" s="163"/>
      <c r="AK16" s="163"/>
      <c r="AL16" s="163"/>
    </row>
    <row r="17" spans="2:38" x14ac:dyDescent="0.25">
      <c r="B17" s="331"/>
      <c r="C17" s="50"/>
      <c r="D17" s="50"/>
      <c r="E17" s="322"/>
      <c r="F17" s="21"/>
      <c r="G17" s="21"/>
      <c r="H17" s="21"/>
      <c r="I17" s="333"/>
      <c r="J17" s="333"/>
      <c r="K17" s="333"/>
      <c r="L17" s="332"/>
      <c r="M17" s="163"/>
      <c r="N17" s="163"/>
      <c r="O17" s="163"/>
      <c r="P17" s="163"/>
      <c r="Q17" s="163"/>
      <c r="R17" s="163"/>
      <c r="S17" s="163"/>
      <c r="T17" s="163"/>
      <c r="U17" s="163"/>
      <c r="V17" s="163"/>
      <c r="W17" s="163"/>
      <c r="X17" s="163"/>
      <c r="Y17" s="163"/>
      <c r="Z17" s="163"/>
      <c r="AA17" s="163"/>
      <c r="AB17" s="163"/>
      <c r="AC17" s="163"/>
      <c r="AD17" s="163"/>
      <c r="AE17" s="163"/>
      <c r="AF17" s="163"/>
      <c r="AG17" s="163"/>
      <c r="AH17" s="163"/>
      <c r="AI17" s="163"/>
      <c r="AJ17" s="163"/>
      <c r="AK17" s="163"/>
      <c r="AL17" s="163"/>
    </row>
    <row r="18" spans="2:38" x14ac:dyDescent="0.25">
      <c r="B18" s="331"/>
      <c r="C18" s="50"/>
      <c r="D18" s="50"/>
      <c r="E18" s="618" t="s">
        <v>145</v>
      </c>
      <c r="F18" s="616"/>
      <c r="G18" s="616"/>
      <c r="H18" s="617"/>
      <c r="I18" s="333"/>
      <c r="J18" s="333"/>
      <c r="K18" s="333"/>
      <c r="L18" s="332"/>
      <c r="M18" s="163"/>
      <c r="N18" s="163"/>
      <c r="O18" s="163"/>
      <c r="P18" s="163"/>
      <c r="Q18" s="163"/>
      <c r="R18" s="163"/>
      <c r="S18" s="163"/>
      <c r="T18" s="163"/>
      <c r="U18" s="163"/>
      <c r="V18" s="163"/>
      <c r="W18" s="163"/>
      <c r="X18" s="163"/>
      <c r="Y18" s="163"/>
      <c r="Z18" s="163"/>
      <c r="AA18" s="163"/>
      <c r="AB18" s="163"/>
      <c r="AC18" s="163"/>
      <c r="AD18" s="163"/>
      <c r="AE18" s="163"/>
      <c r="AF18" s="163"/>
      <c r="AG18" s="163"/>
      <c r="AH18" s="163"/>
      <c r="AI18" s="163"/>
      <c r="AJ18" s="163"/>
      <c r="AK18" s="163"/>
      <c r="AL18" s="163"/>
    </row>
    <row r="19" spans="2:38" x14ac:dyDescent="0.25">
      <c r="B19" s="331"/>
      <c r="C19" s="50"/>
      <c r="D19" s="50"/>
      <c r="E19" s="317" t="s">
        <v>146</v>
      </c>
      <c r="F19" s="317">
        <v>2021</v>
      </c>
      <c r="G19" s="317">
        <v>2022</v>
      </c>
      <c r="H19" s="317">
        <v>2023</v>
      </c>
      <c r="I19" s="333"/>
      <c r="J19" s="333"/>
      <c r="K19" s="333"/>
      <c r="L19" s="332"/>
      <c r="M19" s="163"/>
      <c r="N19" s="163"/>
      <c r="O19" s="163"/>
      <c r="P19" s="163"/>
      <c r="Q19" s="163"/>
      <c r="R19" s="163"/>
      <c r="S19" s="163"/>
      <c r="T19" s="163"/>
      <c r="U19" s="163"/>
      <c r="V19" s="163"/>
      <c r="W19" s="163"/>
      <c r="X19" s="163"/>
      <c r="Y19" s="163"/>
      <c r="Z19" s="163"/>
      <c r="AA19" s="163"/>
      <c r="AB19" s="163"/>
      <c r="AC19" s="163"/>
      <c r="AD19" s="163"/>
      <c r="AE19" s="163"/>
      <c r="AF19" s="163"/>
      <c r="AG19" s="163"/>
      <c r="AH19" s="163"/>
      <c r="AI19" s="163"/>
      <c r="AJ19" s="163"/>
      <c r="AK19" s="163"/>
      <c r="AL19" s="163"/>
    </row>
    <row r="20" spans="2:38" x14ac:dyDescent="0.25">
      <c r="B20" s="331"/>
      <c r="C20" s="50"/>
      <c r="D20" s="50"/>
      <c r="E20" s="316">
        <f>'Presupuesto financiero'!J21</f>
        <v>4084150</v>
      </c>
      <c r="F20" s="316">
        <f>'Presupuesto financiero'!K21</f>
        <v>0</v>
      </c>
      <c r="G20" s="316">
        <f>'Presupuesto financiero'!L21</f>
        <v>1663000</v>
      </c>
      <c r="H20" s="316">
        <f>'Presupuesto financiero'!M21</f>
        <v>2322000</v>
      </c>
      <c r="I20" s="333"/>
      <c r="J20" s="333"/>
      <c r="K20" s="333"/>
      <c r="L20" s="332"/>
      <c r="M20" s="163"/>
      <c r="N20" s="163"/>
      <c r="O20" s="163"/>
      <c r="P20" s="163"/>
      <c r="Q20" s="163"/>
      <c r="R20" s="163"/>
      <c r="S20" s="163"/>
      <c r="T20" s="163"/>
      <c r="U20" s="163"/>
      <c r="V20" s="163"/>
      <c r="W20" s="163"/>
      <c r="X20" s="163"/>
      <c r="Y20" s="163"/>
      <c r="Z20" s="163"/>
      <c r="AA20" s="163"/>
      <c r="AB20" s="163"/>
      <c r="AC20" s="163"/>
      <c r="AD20" s="163"/>
      <c r="AE20" s="163"/>
      <c r="AF20" s="163"/>
      <c r="AG20" s="163"/>
      <c r="AH20" s="163"/>
      <c r="AI20" s="163"/>
      <c r="AJ20" s="163"/>
      <c r="AK20" s="163"/>
      <c r="AL20" s="163"/>
    </row>
    <row r="21" spans="2:38" x14ac:dyDescent="0.25">
      <c r="B21" s="331"/>
      <c r="C21" s="50"/>
      <c r="D21" s="50"/>
      <c r="E21" s="50"/>
      <c r="F21" s="50"/>
      <c r="G21" s="50"/>
      <c r="H21" s="50"/>
      <c r="I21" s="333"/>
      <c r="J21" s="333"/>
      <c r="K21" s="333"/>
      <c r="L21" s="332"/>
      <c r="M21" s="163"/>
      <c r="N21" s="163"/>
      <c r="O21" s="163"/>
      <c r="P21" s="163"/>
      <c r="Q21" s="163"/>
      <c r="R21" s="163"/>
      <c r="S21" s="163"/>
      <c r="T21" s="163"/>
      <c r="U21" s="163"/>
      <c r="V21" s="163"/>
      <c r="W21" s="163"/>
      <c r="X21" s="163"/>
      <c r="Y21" s="163"/>
      <c r="Z21" s="163"/>
      <c r="AA21" s="163"/>
      <c r="AB21" s="163"/>
      <c r="AC21" s="163"/>
      <c r="AD21" s="163"/>
      <c r="AE21" s="163"/>
      <c r="AF21" s="163"/>
      <c r="AG21" s="163"/>
      <c r="AH21" s="163"/>
      <c r="AI21" s="163"/>
      <c r="AJ21" s="163"/>
      <c r="AK21" s="163"/>
      <c r="AL21" s="163"/>
    </row>
    <row r="22" spans="2:38" x14ac:dyDescent="0.25">
      <c r="B22" s="331"/>
      <c r="C22" s="50"/>
      <c r="D22" s="50"/>
      <c r="E22" s="619" t="s">
        <v>178</v>
      </c>
      <c r="F22" s="619">
        <v>2021</v>
      </c>
      <c r="G22" s="619">
        <v>2022</v>
      </c>
      <c r="H22" s="619">
        <v>2023</v>
      </c>
      <c r="I22" s="333"/>
      <c r="J22" s="333"/>
      <c r="K22" s="333"/>
      <c r="L22" s="332"/>
      <c r="M22" s="163"/>
      <c r="N22" s="163"/>
      <c r="O22" s="163"/>
      <c r="P22" s="163"/>
      <c r="Q22" s="163"/>
      <c r="R22" s="163"/>
      <c r="S22" s="163"/>
      <c r="T22" s="163"/>
      <c r="U22" s="163"/>
      <c r="V22" s="163"/>
      <c r="W22" s="163"/>
      <c r="X22" s="163"/>
      <c r="Y22" s="163"/>
      <c r="Z22" s="163"/>
      <c r="AA22" s="163"/>
      <c r="AB22" s="163"/>
      <c r="AC22" s="163"/>
      <c r="AD22" s="163"/>
      <c r="AE22" s="163"/>
      <c r="AF22" s="163"/>
      <c r="AG22" s="163"/>
      <c r="AH22" s="163"/>
      <c r="AI22" s="163"/>
      <c r="AJ22" s="163"/>
      <c r="AK22" s="163"/>
      <c r="AL22" s="163"/>
    </row>
    <row r="23" spans="2:38" x14ac:dyDescent="0.25">
      <c r="B23" s="331"/>
      <c r="C23" s="622" t="s">
        <v>26</v>
      </c>
      <c r="D23" s="623"/>
      <c r="E23" s="318" t="s">
        <v>165</v>
      </c>
      <c r="F23" s="319">
        <f>F9</f>
        <v>31551000</v>
      </c>
      <c r="G23" s="627">
        <f>G9*C16</f>
        <v>45506250</v>
      </c>
      <c r="H23" s="627">
        <f>H9*C16</f>
        <v>72810000</v>
      </c>
      <c r="I23" s="333"/>
      <c r="J23" s="333"/>
      <c r="K23" s="333"/>
      <c r="L23" s="332"/>
      <c r="M23" s="163"/>
      <c r="N23" s="163"/>
      <c r="O23" s="163"/>
      <c r="P23" s="163"/>
      <c r="Q23" s="163"/>
      <c r="R23" s="163"/>
      <c r="S23" s="163"/>
      <c r="T23" s="163"/>
      <c r="U23" s="163"/>
      <c r="V23" s="163"/>
      <c r="W23" s="163"/>
      <c r="X23" s="163"/>
      <c r="Y23" s="163"/>
      <c r="Z23" s="163"/>
      <c r="AA23" s="163"/>
      <c r="AB23" s="163"/>
      <c r="AC23" s="163"/>
      <c r="AD23" s="163"/>
      <c r="AE23" s="163"/>
      <c r="AF23" s="163"/>
      <c r="AG23" s="163"/>
      <c r="AH23" s="163"/>
      <c r="AI23" s="163"/>
      <c r="AJ23" s="163"/>
      <c r="AK23" s="163"/>
      <c r="AL23" s="163"/>
    </row>
    <row r="24" spans="2:38" x14ac:dyDescent="0.25">
      <c r="B24" s="331"/>
      <c r="C24" s="964" t="s">
        <v>166</v>
      </c>
      <c r="D24" s="620" t="s">
        <v>201</v>
      </c>
      <c r="E24" s="318" t="s">
        <v>165</v>
      </c>
      <c r="F24" s="319">
        <f>F10</f>
        <v>3351744</v>
      </c>
      <c r="G24" s="319">
        <f t="shared" ref="G24:H24" si="0">G10</f>
        <v>3951744</v>
      </c>
      <c r="H24" s="319">
        <f t="shared" si="0"/>
        <v>4551744</v>
      </c>
      <c r="I24" s="333"/>
      <c r="J24" s="333"/>
      <c r="K24" s="333"/>
      <c r="L24" s="332"/>
      <c r="M24" s="163"/>
      <c r="N24" s="163"/>
      <c r="O24" s="163"/>
      <c r="P24" s="163"/>
      <c r="Q24" s="163"/>
      <c r="R24" s="163"/>
      <c r="S24" s="163"/>
      <c r="T24" s="163"/>
      <c r="U24" s="163"/>
      <c r="V24" s="163"/>
      <c r="W24" s="163"/>
      <c r="X24" s="163"/>
      <c r="Y24" s="163"/>
      <c r="Z24" s="163"/>
      <c r="AA24" s="163"/>
      <c r="AB24" s="163"/>
      <c r="AC24" s="163"/>
      <c r="AD24" s="163"/>
      <c r="AE24" s="163"/>
      <c r="AF24" s="163"/>
      <c r="AG24" s="163"/>
      <c r="AH24" s="163"/>
      <c r="AI24" s="163"/>
      <c r="AJ24" s="163"/>
      <c r="AK24" s="163"/>
      <c r="AL24" s="163"/>
    </row>
    <row r="25" spans="2:38" x14ac:dyDescent="0.25">
      <c r="B25" s="331"/>
      <c r="C25" s="965"/>
      <c r="D25" s="620" t="s">
        <v>202</v>
      </c>
      <c r="E25" s="318" t="s">
        <v>165</v>
      </c>
      <c r="F25" s="319">
        <f>F11</f>
        <v>8753536</v>
      </c>
      <c r="G25" s="627">
        <f>G11*C16</f>
        <v>11703504</v>
      </c>
      <c r="H25" s="627">
        <f>H11*C16</f>
        <v>16841856</v>
      </c>
      <c r="I25" s="333"/>
      <c r="J25" s="333"/>
      <c r="K25" s="333"/>
      <c r="L25" s="332"/>
      <c r="M25" s="163"/>
      <c r="N25" s="163"/>
      <c r="O25" s="163"/>
      <c r="P25" s="163"/>
      <c r="Q25" s="163"/>
      <c r="R25" s="163"/>
      <c r="S25" s="163"/>
      <c r="T25" s="163"/>
      <c r="U25" s="163"/>
      <c r="V25" s="163"/>
      <c r="W25" s="163"/>
      <c r="X25" s="163"/>
      <c r="Y25" s="163"/>
      <c r="Z25" s="163"/>
      <c r="AA25" s="163"/>
      <c r="AB25" s="163"/>
      <c r="AC25" s="163"/>
      <c r="AD25" s="163"/>
      <c r="AE25" s="163"/>
      <c r="AF25" s="163"/>
      <c r="AG25" s="163"/>
      <c r="AH25" s="163"/>
      <c r="AI25" s="163"/>
      <c r="AJ25" s="163"/>
      <c r="AK25" s="163"/>
      <c r="AL25" s="163"/>
    </row>
    <row r="26" spans="2:38" x14ac:dyDescent="0.25">
      <c r="B26" s="331"/>
      <c r="C26" s="966"/>
      <c r="D26" s="620" t="s">
        <v>203</v>
      </c>
      <c r="E26" s="318" t="s">
        <v>165</v>
      </c>
      <c r="F26" s="319">
        <f>F12</f>
        <v>17854117.440000001</v>
      </c>
      <c r="G26" s="319">
        <f t="shared" ref="G26:H26" si="1">G12</f>
        <v>26928160.68</v>
      </c>
      <c r="H26" s="319">
        <f t="shared" si="1"/>
        <v>38051296.439999998</v>
      </c>
      <c r="I26" s="333"/>
      <c r="J26" s="333"/>
      <c r="K26" s="333"/>
      <c r="L26" s="332"/>
      <c r="M26" s="163"/>
      <c r="N26" s="163"/>
      <c r="O26" s="163"/>
      <c r="P26" s="163"/>
      <c r="Q26" s="163"/>
      <c r="R26" s="163"/>
      <c r="S26" s="163"/>
      <c r="T26" s="163"/>
      <c r="U26" s="163"/>
      <c r="V26" s="163"/>
      <c r="W26" s="163"/>
      <c r="X26" s="163"/>
      <c r="Y26" s="163"/>
      <c r="Z26" s="163"/>
      <c r="AA26" s="163"/>
      <c r="AB26" s="163"/>
      <c r="AC26" s="163"/>
      <c r="AD26" s="163"/>
      <c r="AE26" s="163"/>
      <c r="AF26" s="163"/>
      <c r="AG26" s="163"/>
      <c r="AH26" s="163"/>
      <c r="AI26" s="163"/>
      <c r="AJ26" s="163"/>
      <c r="AK26" s="163"/>
      <c r="AL26" s="163"/>
    </row>
    <row r="27" spans="2:38" x14ac:dyDescent="0.25">
      <c r="B27" s="331"/>
      <c r="C27" s="313" t="s">
        <v>167</v>
      </c>
      <c r="D27" s="314"/>
      <c r="E27" s="320" t="s">
        <v>165</v>
      </c>
      <c r="F27" s="321">
        <f>F23-F24-F25-F26</f>
        <v>1591602.5599999987</v>
      </c>
      <c r="G27" s="321">
        <f t="shared" ref="G27:H27" si="2">G23-G24-G25-G26</f>
        <v>2922841.3200000003</v>
      </c>
      <c r="H27" s="321">
        <f t="shared" si="2"/>
        <v>13365103.560000002</v>
      </c>
      <c r="I27" s="333"/>
      <c r="J27" s="333"/>
      <c r="K27" s="333"/>
      <c r="L27" s="332"/>
      <c r="M27" s="163"/>
      <c r="N27" s="163"/>
      <c r="O27" s="163"/>
      <c r="P27" s="163"/>
      <c r="Q27" s="163"/>
      <c r="R27" s="163"/>
      <c r="S27" s="163"/>
      <c r="T27" s="163"/>
      <c r="U27" s="163"/>
      <c r="V27" s="163"/>
      <c r="W27" s="163"/>
      <c r="X27" s="163"/>
      <c r="Y27" s="163"/>
      <c r="Z27" s="163"/>
      <c r="AA27" s="163"/>
      <c r="AB27" s="163"/>
      <c r="AC27" s="163"/>
      <c r="AD27" s="163"/>
      <c r="AE27" s="163"/>
      <c r="AF27" s="163"/>
      <c r="AG27" s="163"/>
      <c r="AH27" s="163"/>
      <c r="AI27" s="163"/>
      <c r="AJ27" s="163"/>
      <c r="AK27" s="163"/>
      <c r="AL27" s="163"/>
    </row>
    <row r="28" spans="2:38" x14ac:dyDescent="0.25">
      <c r="B28" s="331"/>
      <c r="C28" s="624" t="s">
        <v>168</v>
      </c>
      <c r="D28" s="625"/>
      <c r="E28" s="147" t="s">
        <v>165</v>
      </c>
      <c r="F28" s="319">
        <f>F23*0.03</f>
        <v>946530</v>
      </c>
      <c r="G28" s="319">
        <f t="shared" ref="G28:H28" si="3">G23*0.03</f>
        <v>1365187.5</v>
      </c>
      <c r="H28" s="319">
        <f t="shared" si="3"/>
        <v>2184300</v>
      </c>
      <c r="I28" s="333"/>
      <c r="J28" s="333"/>
      <c r="K28" s="333"/>
      <c r="L28" s="332"/>
      <c r="M28" s="163"/>
      <c r="N28" s="163"/>
      <c r="O28" s="163"/>
      <c r="P28" s="163"/>
      <c r="Q28" s="163"/>
      <c r="R28" s="163"/>
      <c r="S28" s="163"/>
      <c r="T28" s="163"/>
      <c r="U28" s="163"/>
      <c r="V28" s="163"/>
      <c r="W28" s="163"/>
      <c r="X28" s="163"/>
      <c r="Y28" s="163"/>
      <c r="Z28" s="163"/>
      <c r="AA28" s="163"/>
      <c r="AB28" s="163"/>
      <c r="AC28" s="163"/>
      <c r="AD28" s="163"/>
      <c r="AE28" s="163"/>
      <c r="AF28" s="163"/>
      <c r="AG28" s="163"/>
      <c r="AH28" s="163"/>
      <c r="AI28" s="163"/>
      <c r="AJ28" s="163"/>
      <c r="AK28" s="163"/>
      <c r="AL28" s="163"/>
    </row>
    <row r="29" spans="2:38" hidden="1" x14ac:dyDescent="0.25">
      <c r="B29" s="331"/>
      <c r="C29" s="951" t="s">
        <v>169</v>
      </c>
      <c r="D29" s="952"/>
      <c r="E29" s="147"/>
      <c r="F29" s="319">
        <f>F27-F28</f>
        <v>645072.55999999866</v>
      </c>
      <c r="G29" s="319">
        <f>G27-G28-G16</f>
        <v>1280877.8126739929</v>
      </c>
      <c r="H29" s="319">
        <f>H27-H28-H16</f>
        <v>10365677.552673995</v>
      </c>
      <c r="I29" s="333"/>
      <c r="J29" s="333"/>
      <c r="K29" s="333"/>
      <c r="L29" s="332"/>
      <c r="M29" s="163"/>
      <c r="N29" s="163"/>
      <c r="O29" s="163"/>
      <c r="P29" s="163"/>
      <c r="Q29" s="163"/>
      <c r="R29" s="163"/>
      <c r="S29" s="163"/>
      <c r="T29" s="163"/>
      <c r="U29" s="163"/>
      <c r="V29" s="163"/>
      <c r="W29" s="163"/>
      <c r="X29" s="163"/>
      <c r="Y29" s="163"/>
      <c r="Z29" s="163"/>
      <c r="AA29" s="163"/>
      <c r="AB29" s="163"/>
      <c r="AC29" s="163"/>
      <c r="AD29" s="163"/>
      <c r="AE29" s="163"/>
      <c r="AF29" s="163"/>
      <c r="AG29" s="163"/>
      <c r="AH29" s="163"/>
      <c r="AI29" s="163"/>
      <c r="AJ29" s="163"/>
      <c r="AK29" s="163"/>
      <c r="AL29" s="163"/>
    </row>
    <row r="30" spans="2:38" x14ac:dyDescent="0.25">
      <c r="B30" s="331"/>
      <c r="C30" s="624" t="s">
        <v>170</v>
      </c>
      <c r="D30" s="625"/>
      <c r="E30" s="147" t="s">
        <v>165</v>
      </c>
      <c r="F30" s="319">
        <v>0</v>
      </c>
      <c r="G30" s="319">
        <v>0</v>
      </c>
      <c r="H30" s="319">
        <f>0.35*G29</f>
        <v>448307.2344358975</v>
      </c>
      <c r="I30" s="333"/>
      <c r="J30" s="333"/>
      <c r="K30" s="333"/>
      <c r="L30" s="332"/>
      <c r="M30" s="163"/>
      <c r="N30" s="163"/>
      <c r="O30" s="163"/>
      <c r="P30" s="163"/>
      <c r="Q30" s="163"/>
      <c r="R30" s="163"/>
      <c r="S30" s="163"/>
      <c r="T30" s="163"/>
      <c r="U30" s="163"/>
      <c r="V30" s="163"/>
      <c r="W30" s="163"/>
      <c r="X30" s="163"/>
      <c r="Y30" s="163"/>
      <c r="Z30" s="163"/>
      <c r="AA30" s="163"/>
      <c r="AB30" s="163"/>
      <c r="AC30" s="163"/>
      <c r="AD30" s="163"/>
      <c r="AE30" s="163"/>
      <c r="AF30" s="163"/>
      <c r="AG30" s="163"/>
      <c r="AH30" s="163"/>
      <c r="AI30" s="163"/>
      <c r="AJ30" s="163"/>
      <c r="AK30" s="163"/>
      <c r="AL30" s="163"/>
    </row>
    <row r="31" spans="2:38" x14ac:dyDescent="0.25">
      <c r="B31" s="331"/>
      <c r="C31" s="313" t="s">
        <v>171</v>
      </c>
      <c r="D31" s="314"/>
      <c r="E31" s="320" t="s">
        <v>165</v>
      </c>
      <c r="F31" s="321">
        <f>F27-F28-F30</f>
        <v>645072.55999999866</v>
      </c>
      <c r="G31" s="321">
        <f t="shared" ref="G31:H31" si="4">G27-G28-G30</f>
        <v>1557653.8200000003</v>
      </c>
      <c r="H31" s="321">
        <f t="shared" si="4"/>
        <v>10732496.325564105</v>
      </c>
      <c r="I31" s="333"/>
      <c r="J31" s="333"/>
      <c r="K31" s="333"/>
      <c r="L31" s="332"/>
      <c r="M31" s="163"/>
      <c r="N31" s="163"/>
      <c r="O31" s="163"/>
      <c r="P31" s="163"/>
      <c r="Q31" s="163"/>
      <c r="R31" s="163"/>
      <c r="S31" s="163"/>
      <c r="T31" s="163"/>
      <c r="U31" s="163"/>
      <c r="V31" s="163"/>
      <c r="W31" s="163"/>
      <c r="X31" s="163"/>
      <c r="Y31" s="163"/>
      <c r="Z31" s="163"/>
      <c r="AA31" s="163"/>
      <c r="AB31" s="163"/>
      <c r="AC31" s="163"/>
      <c r="AD31" s="163"/>
      <c r="AE31" s="163"/>
      <c r="AF31" s="163"/>
      <c r="AG31" s="163"/>
      <c r="AH31" s="163"/>
      <c r="AI31" s="163"/>
      <c r="AJ31" s="163"/>
      <c r="AK31" s="163"/>
      <c r="AL31" s="163"/>
    </row>
    <row r="32" spans="2:38" x14ac:dyDescent="0.25">
      <c r="B32" s="331"/>
      <c r="C32" s="624" t="s">
        <v>172</v>
      </c>
      <c r="D32" s="625"/>
      <c r="E32" s="319">
        <f>-E20</f>
        <v>-4084150</v>
      </c>
      <c r="F32" s="319">
        <f t="shared" ref="F32:H32" si="5">-F20</f>
        <v>0</v>
      </c>
      <c r="G32" s="319">
        <f t="shared" si="5"/>
        <v>-1663000</v>
      </c>
      <c r="H32" s="319">
        <f t="shared" si="5"/>
        <v>-2322000</v>
      </c>
      <c r="I32" s="333"/>
      <c r="J32" s="333"/>
      <c r="K32" s="333"/>
      <c r="L32" s="332"/>
      <c r="M32" s="163"/>
      <c r="N32" s="163"/>
      <c r="O32" s="163"/>
      <c r="P32" s="163"/>
      <c r="Q32" s="163"/>
      <c r="R32" s="163"/>
      <c r="S32" s="163"/>
      <c r="T32" s="163"/>
      <c r="U32" s="163"/>
      <c r="V32" s="163"/>
      <c r="W32" s="163"/>
      <c r="X32" s="163"/>
      <c r="Y32" s="163"/>
      <c r="Z32" s="163"/>
      <c r="AA32" s="163"/>
      <c r="AB32" s="163"/>
      <c r="AC32" s="163"/>
      <c r="AD32" s="163"/>
      <c r="AE32" s="163"/>
      <c r="AF32" s="163"/>
      <c r="AG32" s="163"/>
      <c r="AH32" s="163"/>
      <c r="AI32" s="163"/>
      <c r="AJ32" s="163"/>
      <c r="AK32" s="163"/>
      <c r="AL32" s="163"/>
    </row>
    <row r="33" spans="2:38" x14ac:dyDescent="0.25">
      <c r="B33" s="331"/>
      <c r="C33" s="313" t="s">
        <v>173</v>
      </c>
      <c r="D33" s="314"/>
      <c r="E33" s="321">
        <f>E32</f>
        <v>-4084150</v>
      </c>
      <c r="F33" s="321">
        <f>F31+F32</f>
        <v>645072.55999999866</v>
      </c>
      <c r="G33" s="321">
        <f t="shared" ref="G33:H33" si="6">G31+G32</f>
        <v>-105346.1799999997</v>
      </c>
      <c r="H33" s="321">
        <f t="shared" si="6"/>
        <v>8410496.3255641051</v>
      </c>
      <c r="I33" s="333"/>
      <c r="J33" s="333"/>
      <c r="K33" s="333"/>
      <c r="L33" s="332"/>
      <c r="M33" s="163"/>
      <c r="N33" s="163"/>
      <c r="O33" s="163"/>
      <c r="P33" s="163"/>
      <c r="Q33" s="163"/>
      <c r="R33" s="163"/>
      <c r="S33" s="163"/>
      <c r="T33" s="163"/>
      <c r="U33" s="163"/>
      <c r="V33" s="163"/>
      <c r="W33" s="163"/>
      <c r="X33" s="163"/>
      <c r="Y33" s="163"/>
      <c r="Z33" s="163"/>
      <c r="AA33" s="163"/>
      <c r="AB33" s="163"/>
      <c r="AC33" s="163"/>
      <c r="AD33" s="163"/>
      <c r="AE33" s="163"/>
      <c r="AF33" s="163"/>
      <c r="AG33" s="163"/>
      <c r="AH33" s="163"/>
      <c r="AI33" s="163"/>
      <c r="AJ33" s="163"/>
      <c r="AK33" s="163"/>
      <c r="AL33" s="163"/>
    </row>
    <row r="34" spans="2:38" ht="15.75" thickBot="1" x14ac:dyDescent="0.3">
      <c r="B34" s="331"/>
      <c r="C34" s="50"/>
      <c r="D34" s="50"/>
      <c r="E34" s="50"/>
      <c r="F34" s="50"/>
      <c r="G34" s="50"/>
      <c r="H34" s="50"/>
      <c r="I34" s="333"/>
      <c r="J34" s="333"/>
      <c r="K34" s="333"/>
      <c r="L34" s="332"/>
      <c r="M34" s="163"/>
      <c r="N34" s="163"/>
      <c r="O34" s="163"/>
      <c r="P34" s="163"/>
      <c r="Q34" s="163"/>
      <c r="R34" s="163"/>
      <c r="S34" s="163"/>
      <c r="T34" s="163"/>
      <c r="U34" s="163"/>
      <c r="V34" s="163"/>
      <c r="W34" s="163"/>
      <c r="X34" s="163"/>
      <c r="Y34" s="163"/>
      <c r="Z34" s="163"/>
      <c r="AA34" s="163"/>
      <c r="AB34" s="163"/>
      <c r="AC34" s="163"/>
      <c r="AD34" s="163"/>
      <c r="AE34" s="163"/>
      <c r="AF34" s="163"/>
      <c r="AG34" s="163"/>
      <c r="AH34" s="163"/>
      <c r="AI34" s="163"/>
      <c r="AJ34" s="163"/>
      <c r="AK34" s="163"/>
      <c r="AL34" s="163"/>
    </row>
    <row r="35" spans="2:38" x14ac:dyDescent="0.25">
      <c r="B35" s="331"/>
      <c r="C35" s="50"/>
      <c r="D35" s="50"/>
      <c r="E35" s="50"/>
      <c r="F35" s="50"/>
      <c r="G35" s="626" t="s">
        <v>174</v>
      </c>
      <c r="H35" s="304">
        <f>'Presupuesto financiero'!G26</f>
        <v>0.52</v>
      </c>
      <c r="I35" s="333"/>
      <c r="J35" s="333"/>
      <c r="K35" s="333"/>
      <c r="L35" s="332"/>
      <c r="M35" s="163"/>
      <c r="N35" s="163"/>
      <c r="O35" s="163"/>
      <c r="P35" s="163"/>
      <c r="Q35" s="163"/>
      <c r="R35" s="163"/>
      <c r="S35" s="163"/>
      <c r="T35" s="163"/>
      <c r="U35" s="163"/>
      <c r="V35" s="163"/>
      <c r="W35" s="163"/>
      <c r="X35" s="163"/>
      <c r="Y35" s="163"/>
      <c r="Z35" s="163"/>
      <c r="AA35" s="163"/>
      <c r="AB35" s="163"/>
      <c r="AC35" s="163"/>
      <c r="AD35" s="163"/>
      <c r="AE35" s="163"/>
      <c r="AF35" s="163"/>
      <c r="AG35" s="163"/>
      <c r="AH35" s="163"/>
      <c r="AI35" s="163"/>
      <c r="AJ35" s="163"/>
      <c r="AK35" s="163"/>
      <c r="AL35" s="163"/>
    </row>
    <row r="36" spans="2:38" x14ac:dyDescent="0.25">
      <c r="B36" s="331"/>
      <c r="C36" s="50"/>
      <c r="D36" s="50"/>
      <c r="E36" s="50"/>
      <c r="F36" s="50"/>
      <c r="G36" s="626" t="s">
        <v>175</v>
      </c>
      <c r="H36" s="306">
        <f>NPV(H35,E20,F20:H20)</f>
        <v>3595484.6446466795</v>
      </c>
      <c r="I36" s="333"/>
      <c r="J36" s="333"/>
      <c r="K36" s="333"/>
      <c r="L36" s="332"/>
      <c r="M36" s="163"/>
      <c r="N36" s="163"/>
      <c r="O36" s="163"/>
      <c r="P36" s="163"/>
      <c r="Q36" s="163"/>
      <c r="R36" s="163"/>
      <c r="S36" s="163"/>
      <c r="T36" s="163"/>
      <c r="U36" s="163"/>
      <c r="V36" s="163"/>
      <c r="W36" s="163"/>
      <c r="X36" s="163"/>
      <c r="Y36" s="163"/>
      <c r="Z36" s="163"/>
      <c r="AA36" s="163"/>
      <c r="AB36" s="163"/>
      <c r="AC36" s="163"/>
      <c r="AD36" s="163"/>
      <c r="AE36" s="163"/>
      <c r="AF36" s="163"/>
      <c r="AG36" s="163"/>
      <c r="AH36" s="163"/>
      <c r="AI36" s="163"/>
      <c r="AJ36" s="163"/>
      <c r="AK36" s="163"/>
      <c r="AL36" s="163"/>
    </row>
    <row r="37" spans="2:38" ht="15.75" thickBot="1" x14ac:dyDescent="0.3">
      <c r="B37" s="331"/>
      <c r="C37" s="50"/>
      <c r="D37" s="50"/>
      <c r="E37" s="50"/>
      <c r="F37" s="50"/>
      <c r="G37" s="626" t="s">
        <v>176</v>
      </c>
      <c r="H37" s="308">
        <f>IRR(E33:H33,H35)</f>
        <v>0.32010122666246454</v>
      </c>
      <c r="I37" s="333"/>
      <c r="J37" s="333"/>
      <c r="K37" s="333"/>
      <c r="L37" s="332"/>
      <c r="M37" s="163"/>
      <c r="N37" s="163"/>
      <c r="O37" s="163"/>
      <c r="P37" s="163"/>
      <c r="Q37" s="163"/>
      <c r="R37" s="163"/>
      <c r="S37" s="163"/>
      <c r="T37" s="163"/>
      <c r="U37" s="163"/>
      <c r="V37" s="163"/>
      <c r="W37" s="163"/>
      <c r="X37" s="163"/>
      <c r="Y37" s="163"/>
      <c r="Z37" s="163"/>
      <c r="AA37" s="163"/>
      <c r="AB37" s="163"/>
      <c r="AC37" s="163"/>
      <c r="AD37" s="163"/>
      <c r="AE37" s="163"/>
      <c r="AF37" s="163"/>
      <c r="AG37" s="163"/>
      <c r="AH37" s="163"/>
      <c r="AI37" s="163"/>
      <c r="AJ37" s="163"/>
      <c r="AK37" s="163"/>
      <c r="AL37" s="163"/>
    </row>
    <row r="38" spans="2:38" ht="15.75" thickBot="1" x14ac:dyDescent="0.3">
      <c r="B38" s="334"/>
      <c r="C38" s="269"/>
      <c r="D38" s="269"/>
      <c r="E38" s="269"/>
      <c r="F38" s="269"/>
      <c r="G38" s="269"/>
      <c r="H38" s="269"/>
      <c r="I38" s="335"/>
      <c r="J38" s="335"/>
      <c r="K38" s="335"/>
      <c r="L38" s="336"/>
      <c r="M38" s="163"/>
      <c r="N38" s="163"/>
      <c r="O38" s="163"/>
      <c r="P38" s="163"/>
      <c r="Q38" s="163"/>
      <c r="R38" s="163"/>
      <c r="S38" s="163"/>
      <c r="T38" s="163"/>
      <c r="U38" s="163"/>
      <c r="V38" s="163"/>
      <c r="W38" s="163"/>
      <c r="X38" s="163"/>
      <c r="Y38" s="163"/>
      <c r="Z38" s="163"/>
      <c r="AA38" s="163"/>
      <c r="AB38" s="163"/>
      <c r="AC38" s="163"/>
      <c r="AD38" s="163"/>
      <c r="AE38" s="163"/>
      <c r="AF38" s="163"/>
      <c r="AG38" s="163"/>
      <c r="AH38" s="163"/>
      <c r="AI38" s="163"/>
      <c r="AJ38" s="163"/>
      <c r="AK38" s="163"/>
      <c r="AL38" s="163"/>
    </row>
    <row r="39" spans="2:38" x14ac:dyDescent="0.25">
      <c r="B39" s="163"/>
      <c r="I39" s="163"/>
      <c r="J39" s="163"/>
      <c r="K39" s="163"/>
      <c r="L39" s="163"/>
      <c r="M39" s="163"/>
      <c r="N39" s="163"/>
      <c r="O39" s="163"/>
      <c r="P39" s="163"/>
      <c r="Q39" s="163"/>
      <c r="R39" s="163"/>
      <c r="S39" s="163"/>
      <c r="T39" s="163"/>
      <c r="U39" s="163"/>
      <c r="V39" s="163"/>
      <c r="W39" s="163"/>
      <c r="X39" s="163"/>
      <c r="Y39" s="163"/>
      <c r="Z39" s="163"/>
      <c r="AA39" s="163"/>
      <c r="AB39" s="163"/>
      <c r="AC39" s="163"/>
      <c r="AD39" s="163"/>
      <c r="AE39" s="163"/>
      <c r="AF39" s="163"/>
      <c r="AG39" s="163"/>
      <c r="AH39" s="163"/>
      <c r="AI39" s="163"/>
      <c r="AJ39" s="163"/>
      <c r="AK39" s="163"/>
      <c r="AL39" s="163"/>
    </row>
    <row r="40" spans="2:38" x14ac:dyDescent="0.25">
      <c r="M40" s="163"/>
      <c r="N40" s="163"/>
      <c r="O40" s="163"/>
      <c r="P40" s="163"/>
      <c r="Q40" s="163"/>
      <c r="R40" s="163"/>
      <c r="S40" s="163"/>
      <c r="T40" s="163"/>
      <c r="U40" s="163"/>
      <c r="V40" s="163"/>
      <c r="W40" s="163"/>
      <c r="X40" s="163"/>
      <c r="Y40" s="163"/>
      <c r="Z40" s="163"/>
      <c r="AA40" s="163"/>
      <c r="AB40" s="163"/>
      <c r="AC40" s="163"/>
      <c r="AD40" s="163"/>
      <c r="AE40" s="163"/>
      <c r="AF40" s="163"/>
      <c r="AG40" s="163"/>
      <c r="AH40" s="163"/>
      <c r="AI40" s="163"/>
      <c r="AJ40" s="163"/>
      <c r="AK40" s="163"/>
      <c r="AL40" s="163"/>
    </row>
    <row r="41" spans="2:38" x14ac:dyDescent="0.25">
      <c r="M41" s="163"/>
      <c r="N41" s="163"/>
      <c r="O41" s="163"/>
      <c r="P41" s="163"/>
      <c r="Q41" s="163"/>
      <c r="R41" s="163"/>
      <c r="S41" s="163"/>
      <c r="T41" s="163"/>
      <c r="U41" s="163"/>
      <c r="V41" s="163"/>
      <c r="W41" s="163"/>
      <c r="X41" s="163"/>
      <c r="Y41" s="163"/>
      <c r="Z41" s="163"/>
      <c r="AA41" s="163"/>
      <c r="AB41" s="163"/>
      <c r="AC41" s="163"/>
      <c r="AD41" s="163"/>
      <c r="AE41" s="163"/>
      <c r="AF41" s="163"/>
      <c r="AG41" s="163"/>
      <c r="AH41" s="163"/>
      <c r="AI41" s="163"/>
      <c r="AJ41" s="163"/>
      <c r="AK41" s="163"/>
      <c r="AL41" s="163"/>
    </row>
    <row r="42" spans="2:38" x14ac:dyDescent="0.25">
      <c r="M42" s="163"/>
      <c r="N42" s="163"/>
      <c r="O42" s="163"/>
      <c r="P42" s="163"/>
      <c r="Q42" s="163"/>
      <c r="R42" s="163"/>
      <c r="S42" s="163"/>
      <c r="T42" s="163"/>
      <c r="U42" s="163"/>
      <c r="V42" s="163"/>
      <c r="W42" s="163"/>
      <c r="X42" s="163"/>
      <c r="Y42" s="163"/>
      <c r="Z42" s="163"/>
      <c r="AA42" s="163"/>
      <c r="AB42" s="163"/>
      <c r="AC42" s="163"/>
      <c r="AD42" s="163"/>
      <c r="AE42" s="163"/>
      <c r="AF42" s="163"/>
      <c r="AG42" s="163"/>
      <c r="AH42" s="163"/>
      <c r="AI42" s="163"/>
      <c r="AJ42" s="163"/>
      <c r="AK42" s="163"/>
      <c r="AL42" s="163"/>
    </row>
    <row r="77" spans="2:12" x14ac:dyDescent="0.25">
      <c r="B77" s="50"/>
      <c r="C77" s="50"/>
      <c r="D77" s="50"/>
      <c r="E77" s="50"/>
      <c r="F77" s="50"/>
      <c r="G77" s="50"/>
      <c r="H77" s="50"/>
      <c r="I77" s="50"/>
      <c r="J77" s="50"/>
      <c r="K77" s="50"/>
      <c r="L77" s="50"/>
    </row>
  </sheetData>
  <mergeCells count="10">
    <mergeCell ref="G1:I1"/>
    <mergeCell ref="C15:D15"/>
    <mergeCell ref="C16:D16"/>
    <mergeCell ref="C29:D29"/>
    <mergeCell ref="K7:K9"/>
    <mergeCell ref="K11:K13"/>
    <mergeCell ref="C4:K4"/>
    <mergeCell ref="C14:D14"/>
    <mergeCell ref="K15:K16"/>
    <mergeCell ref="C24:C26"/>
  </mergeCell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N38"/>
  <sheetViews>
    <sheetView zoomScale="85" zoomScaleNormal="85" workbookViewId="0">
      <pane ySplit="1" topLeftCell="A2" activePane="bottomLeft" state="frozen"/>
      <selection pane="bottomLeft" activeCell="H36" sqref="H36"/>
    </sheetView>
  </sheetViews>
  <sheetFormatPr baseColWidth="10" defaultColWidth="11.42578125" defaultRowHeight="15" x14ac:dyDescent="0.25"/>
  <cols>
    <col min="1" max="1" width="4.42578125" style="1" customWidth="1"/>
    <col min="2" max="2" width="6.5703125" style="1" customWidth="1"/>
    <col min="3" max="3" width="12" style="1" customWidth="1"/>
    <col min="4" max="4" width="22.85546875" style="1" customWidth="1"/>
    <col min="5" max="5" width="23.7109375" style="1" customWidth="1"/>
    <col min="6" max="6" width="19.28515625" style="1" customWidth="1"/>
    <col min="7" max="7" width="19" style="1" customWidth="1"/>
    <col min="8" max="8" width="21.28515625" style="1" customWidth="1"/>
    <col min="9" max="10" width="11.42578125" style="1"/>
    <col min="11" max="11" width="49.140625" style="1" customWidth="1"/>
    <col min="12" max="12" width="22.5703125" style="1" customWidth="1"/>
    <col min="13" max="16384" width="11.42578125" style="1"/>
  </cols>
  <sheetData>
    <row r="1" spans="1:14" s="341" customFormat="1" ht="58.5" customHeight="1" x14ac:dyDescent="0.25">
      <c r="A1" s="344"/>
      <c r="B1" s="344"/>
      <c r="C1" s="344"/>
      <c r="D1" s="344"/>
      <c r="E1" s="344"/>
      <c r="F1" s="946" t="s">
        <v>186</v>
      </c>
      <c r="G1" s="947"/>
      <c r="H1" s="947"/>
      <c r="I1" s="344"/>
      <c r="J1" s="344"/>
      <c r="K1" s="344"/>
      <c r="L1" s="344"/>
      <c r="M1" s="344"/>
      <c r="N1" s="344"/>
    </row>
    <row r="2" spans="1:14" ht="15.75" thickBot="1" x14ac:dyDescent="0.3"/>
    <row r="3" spans="1:14" ht="15.75" thickBot="1" x14ac:dyDescent="0.3">
      <c r="B3" s="328"/>
      <c r="C3" s="329"/>
      <c r="D3" s="329"/>
      <c r="E3" s="329"/>
      <c r="F3" s="329"/>
      <c r="G3" s="329"/>
      <c r="H3" s="329"/>
      <c r="I3" s="329"/>
      <c r="J3" s="329"/>
      <c r="K3" s="329"/>
      <c r="L3" s="330"/>
    </row>
    <row r="4" spans="1:14" ht="15.75" thickBot="1" x14ac:dyDescent="0.3">
      <c r="B4" s="331"/>
      <c r="C4" s="957" t="s">
        <v>199</v>
      </c>
      <c r="D4" s="958"/>
      <c r="E4" s="958"/>
      <c r="F4" s="958"/>
      <c r="G4" s="958"/>
      <c r="H4" s="958"/>
      <c r="I4" s="958"/>
      <c r="J4" s="958"/>
      <c r="K4" s="959"/>
      <c r="L4" s="332"/>
    </row>
    <row r="5" spans="1:14" ht="15.75" thickBot="1" x14ac:dyDescent="0.3">
      <c r="B5" s="331"/>
      <c r="C5" s="333"/>
      <c r="D5" s="333"/>
      <c r="E5" s="333"/>
      <c r="F5" s="333"/>
      <c r="G5" s="333"/>
      <c r="H5" s="333"/>
      <c r="I5" s="333"/>
      <c r="J5" s="333"/>
      <c r="K5" s="333"/>
      <c r="L5" s="332"/>
    </row>
    <row r="6" spans="1:14" ht="15.75" thickBot="1" x14ac:dyDescent="0.3">
      <c r="B6" s="331"/>
      <c r="C6" s="50"/>
      <c r="D6" s="50"/>
      <c r="E6" s="50"/>
      <c r="F6" s="967" t="s">
        <v>22</v>
      </c>
      <c r="G6" s="968"/>
      <c r="H6" s="969"/>
      <c r="I6" s="333"/>
      <c r="J6" s="333"/>
      <c r="K6" s="614" t="s">
        <v>207</v>
      </c>
      <c r="L6" s="332"/>
    </row>
    <row r="7" spans="1:14" x14ac:dyDescent="0.25">
      <c r="B7" s="331"/>
      <c r="E7" s="50"/>
      <c r="F7" s="317">
        <v>2021</v>
      </c>
      <c r="G7" s="317">
        <v>2022</v>
      </c>
      <c r="H7" s="317">
        <v>2023</v>
      </c>
      <c r="I7" s="333"/>
      <c r="J7" s="333"/>
      <c r="K7" s="953" t="str">
        <f>'Matriz riesgo'!C8</f>
        <v>Rotura de Impresoras</v>
      </c>
      <c r="L7" s="332"/>
    </row>
    <row r="8" spans="1:14" x14ac:dyDescent="0.25">
      <c r="B8" s="331"/>
      <c r="E8" s="50"/>
      <c r="F8" s="315">
        <f>'Presupuesto financiero'!K5</f>
        <v>1.2999999999999999E-2</v>
      </c>
      <c r="G8" s="315">
        <f>'Presupuesto financiero'!L5</f>
        <v>2.5000000000000001E-2</v>
      </c>
      <c r="H8" s="315">
        <f>'Presupuesto financiero'!M5</f>
        <v>0.04</v>
      </c>
      <c r="I8" s="333"/>
      <c r="J8" s="333"/>
      <c r="K8" s="954"/>
      <c r="L8" s="332"/>
    </row>
    <row r="9" spans="1:14" ht="15.75" thickBot="1" x14ac:dyDescent="0.3">
      <c r="B9" s="331"/>
      <c r="E9" s="620" t="s">
        <v>205</v>
      </c>
      <c r="F9" s="621">
        <f>Hipótesis!$D$24</f>
        <v>31551000</v>
      </c>
      <c r="G9" s="621">
        <f>Hipótesis!$D$25</f>
        <v>60675000</v>
      </c>
      <c r="H9" s="621">
        <f>Hipótesis!$D$26</f>
        <v>97080000</v>
      </c>
      <c r="I9" s="333"/>
      <c r="J9" s="333"/>
      <c r="K9" s="955"/>
      <c r="L9" s="332"/>
    </row>
    <row r="10" spans="1:14" ht="15.75" thickBot="1" x14ac:dyDescent="0.3">
      <c r="B10" s="331"/>
      <c r="C10" s="50"/>
      <c r="D10" s="50"/>
      <c r="E10" s="620" t="s">
        <v>164</v>
      </c>
      <c r="F10" s="316">
        <f>'Presupuesto financiero'!K10</f>
        <v>3351744</v>
      </c>
      <c r="G10" s="316">
        <f>'Presupuesto financiero'!L10</f>
        <v>3951744</v>
      </c>
      <c r="H10" s="316">
        <f>'Presupuesto financiero'!M10</f>
        <v>4551744</v>
      </c>
      <c r="I10" s="333"/>
      <c r="J10" s="333"/>
      <c r="K10" s="614" t="str">
        <f>'Matriz riesgo'!D8</f>
        <v>El desgaste de las impresoras puede generar problemas</v>
      </c>
      <c r="L10" s="332"/>
    </row>
    <row r="11" spans="1:14" x14ac:dyDescent="0.25">
      <c r="B11" s="331"/>
      <c r="C11" s="50"/>
      <c r="D11" s="50"/>
      <c r="E11" s="620" t="s">
        <v>141</v>
      </c>
      <c r="F11" s="316">
        <f>'Presupuesto financiero'!K11</f>
        <v>8753536</v>
      </c>
      <c r="G11" s="316">
        <f>'Presupuesto financiero'!L11</f>
        <v>15604672</v>
      </c>
      <c r="H11" s="316">
        <f>'Presupuesto financiero'!M11</f>
        <v>22455808</v>
      </c>
      <c r="I11" s="333"/>
      <c r="J11" s="333"/>
      <c r="K11" s="956" t="str">
        <f>'Matriz riesgo'!D8</f>
        <v>El desgaste de las impresoras puede generar problemas</v>
      </c>
      <c r="L11" s="332"/>
    </row>
    <row r="12" spans="1:14" x14ac:dyDescent="0.25">
      <c r="B12" s="331"/>
      <c r="C12" s="50"/>
      <c r="D12" s="50"/>
      <c r="E12" s="620" t="s">
        <v>204</v>
      </c>
      <c r="F12" s="316">
        <f>'Presupuesto financiero'!K12</f>
        <v>17854117.440000001</v>
      </c>
      <c r="G12" s="316">
        <f>'Presupuesto financiero'!L12</f>
        <v>26928160.68</v>
      </c>
      <c r="H12" s="316">
        <f>'Presupuesto financiero'!M12</f>
        <v>38051296.439999998</v>
      </c>
      <c r="I12" s="333"/>
      <c r="J12" s="333"/>
      <c r="K12" s="954"/>
      <c r="L12" s="332"/>
    </row>
    <row r="13" spans="1:14" ht="15.75" thickBot="1" x14ac:dyDescent="0.3">
      <c r="B13" s="331"/>
      <c r="C13" s="50"/>
      <c r="D13" s="50"/>
      <c r="E13" s="50"/>
      <c r="F13" s="50"/>
      <c r="G13" s="50"/>
      <c r="H13" s="50"/>
      <c r="I13" s="333"/>
      <c r="J13" s="333"/>
      <c r="K13" s="955"/>
      <c r="L13" s="332"/>
    </row>
    <row r="14" spans="1:14" ht="15.75" thickBot="1" x14ac:dyDescent="0.3">
      <c r="B14" s="331"/>
      <c r="C14" s="960" t="s">
        <v>206</v>
      </c>
      <c r="D14" s="961"/>
      <c r="E14" s="50"/>
      <c r="F14" s="618" t="s">
        <v>154</v>
      </c>
      <c r="G14" s="616"/>
      <c r="H14" s="617"/>
      <c r="I14" s="333"/>
      <c r="J14" s="333"/>
      <c r="K14" s="614" t="s">
        <v>181</v>
      </c>
      <c r="L14" s="332"/>
    </row>
    <row r="15" spans="1:14" x14ac:dyDescent="0.25">
      <c r="B15" s="331"/>
      <c r="C15" s="890">
        <v>2022</v>
      </c>
      <c r="D15" s="892"/>
      <c r="E15" s="50"/>
      <c r="F15" s="208">
        <v>2021</v>
      </c>
      <c r="G15" s="208">
        <v>2022</v>
      </c>
      <c r="H15" s="208">
        <v>2023</v>
      </c>
      <c r="I15" s="333"/>
      <c r="J15" s="333"/>
      <c r="K15" s="962" t="str">
        <f>'Matriz riesgo'!E8</f>
        <v>Se reduce la producción 10% momentaneamente</v>
      </c>
      <c r="L15" s="332"/>
    </row>
    <row r="16" spans="1:14" ht="15.75" thickBot="1" x14ac:dyDescent="0.3">
      <c r="B16" s="331"/>
      <c r="C16" s="949">
        <v>0.9</v>
      </c>
      <c r="D16" s="950"/>
      <c r="E16" s="322"/>
      <c r="F16" s="316">
        <f>'Presupuesto financiero'!K16</f>
        <v>142914.10256410256</v>
      </c>
      <c r="G16" s="316">
        <f>'Presupuesto financiero'!L16</f>
        <v>276776.00732600736</v>
      </c>
      <c r="H16" s="316">
        <f>'Presupuesto financiero'!M16</f>
        <v>815126.00732600736</v>
      </c>
      <c r="I16" s="333"/>
      <c r="J16" s="333"/>
      <c r="K16" s="963"/>
      <c r="L16" s="332"/>
    </row>
    <row r="17" spans="2:12" x14ac:dyDescent="0.25">
      <c r="B17" s="331"/>
      <c r="C17" s="50"/>
      <c r="D17" s="50"/>
      <c r="E17" s="322"/>
      <c r="F17" s="21"/>
      <c r="G17" s="21"/>
      <c r="H17" s="21"/>
      <c r="I17" s="333"/>
      <c r="J17" s="333"/>
      <c r="K17" s="333"/>
      <c r="L17" s="332"/>
    </row>
    <row r="18" spans="2:12" x14ac:dyDescent="0.25">
      <c r="B18" s="331"/>
      <c r="C18" s="50"/>
      <c r="D18" s="50"/>
      <c r="E18" s="618" t="s">
        <v>145</v>
      </c>
      <c r="F18" s="616"/>
      <c r="G18" s="616"/>
      <c r="H18" s="617"/>
      <c r="I18" s="333"/>
      <c r="J18" s="333"/>
      <c r="K18" s="333"/>
      <c r="L18" s="332"/>
    </row>
    <row r="19" spans="2:12" x14ac:dyDescent="0.25">
      <c r="B19" s="331"/>
      <c r="C19" s="50"/>
      <c r="D19" s="50"/>
      <c r="E19" s="317" t="s">
        <v>146</v>
      </c>
      <c r="F19" s="317">
        <v>2021</v>
      </c>
      <c r="G19" s="317">
        <v>2022</v>
      </c>
      <c r="H19" s="317">
        <v>2023</v>
      </c>
      <c r="I19" s="333"/>
      <c r="J19" s="333"/>
      <c r="K19" s="333"/>
      <c r="L19" s="332"/>
    </row>
    <row r="20" spans="2:12" x14ac:dyDescent="0.25">
      <c r="B20" s="331"/>
      <c r="C20" s="50"/>
      <c r="D20" s="50"/>
      <c r="E20" s="316">
        <f>'Presupuesto financiero'!J21</f>
        <v>4084150</v>
      </c>
      <c r="F20" s="316">
        <f>'Presupuesto financiero'!K21</f>
        <v>0</v>
      </c>
      <c r="G20" s="316">
        <f>'Presupuesto financiero'!L21</f>
        <v>1663000</v>
      </c>
      <c r="H20" s="316">
        <f>'Presupuesto financiero'!M21</f>
        <v>2322000</v>
      </c>
      <c r="I20" s="333"/>
      <c r="J20" s="333"/>
      <c r="K20" s="333"/>
      <c r="L20" s="332"/>
    </row>
    <row r="21" spans="2:12" x14ac:dyDescent="0.25">
      <c r="B21" s="331"/>
      <c r="C21" s="50"/>
      <c r="D21" s="50"/>
      <c r="E21" s="50"/>
      <c r="F21" s="50"/>
      <c r="G21" s="50"/>
      <c r="H21" s="50"/>
      <c r="I21" s="333"/>
      <c r="J21" s="333"/>
      <c r="K21" s="333"/>
      <c r="L21" s="332"/>
    </row>
    <row r="22" spans="2:12" x14ac:dyDescent="0.25">
      <c r="B22" s="331"/>
      <c r="C22" s="50"/>
      <c r="D22" s="50"/>
      <c r="E22" s="619" t="s">
        <v>178</v>
      </c>
      <c r="F22" s="619">
        <v>2021</v>
      </c>
      <c r="G22" s="619">
        <v>2022</v>
      </c>
      <c r="H22" s="619">
        <v>2023</v>
      </c>
      <c r="I22" s="333"/>
      <c r="J22" s="333"/>
      <c r="K22" s="333"/>
      <c r="L22" s="332"/>
    </row>
    <row r="23" spans="2:12" x14ac:dyDescent="0.25">
      <c r="B23" s="331"/>
      <c r="C23" s="622" t="s">
        <v>26</v>
      </c>
      <c r="D23" s="623"/>
      <c r="E23" s="318" t="s">
        <v>165</v>
      </c>
      <c r="F23" s="319">
        <f>F9</f>
        <v>31551000</v>
      </c>
      <c r="G23" s="627">
        <f>G9*C16</f>
        <v>54607500</v>
      </c>
      <c r="H23" s="319">
        <f>H9</f>
        <v>97080000</v>
      </c>
      <c r="I23" s="333"/>
      <c r="J23" s="333"/>
      <c r="K23" s="333"/>
      <c r="L23" s="332"/>
    </row>
    <row r="24" spans="2:12" x14ac:dyDescent="0.25">
      <c r="B24" s="331"/>
      <c r="C24" s="964" t="s">
        <v>166</v>
      </c>
      <c r="D24" s="620" t="s">
        <v>201</v>
      </c>
      <c r="E24" s="318" t="s">
        <v>165</v>
      </c>
      <c r="F24" s="319">
        <f>F10</f>
        <v>3351744</v>
      </c>
      <c r="G24" s="627">
        <f>G10*C16</f>
        <v>3556569.6</v>
      </c>
      <c r="H24" s="319">
        <f t="shared" ref="G24:H26" si="0">H10</f>
        <v>4551744</v>
      </c>
      <c r="I24" s="333"/>
      <c r="J24" s="333"/>
      <c r="K24" s="333"/>
      <c r="L24" s="332"/>
    </row>
    <row r="25" spans="2:12" x14ac:dyDescent="0.25">
      <c r="B25" s="331"/>
      <c r="C25" s="965"/>
      <c r="D25" s="620" t="s">
        <v>202</v>
      </c>
      <c r="E25" s="318" t="s">
        <v>165</v>
      </c>
      <c r="F25" s="319">
        <f>F11</f>
        <v>8753536</v>
      </c>
      <c r="G25" s="627">
        <f>G11*C16</f>
        <v>14044204.800000001</v>
      </c>
      <c r="H25" s="319">
        <f>H11</f>
        <v>22455808</v>
      </c>
      <c r="I25" s="333"/>
      <c r="J25" s="333"/>
      <c r="K25" s="333"/>
      <c r="L25" s="332"/>
    </row>
    <row r="26" spans="2:12" x14ac:dyDescent="0.25">
      <c r="B26" s="331"/>
      <c r="C26" s="966"/>
      <c r="D26" s="620" t="s">
        <v>203</v>
      </c>
      <c r="E26" s="318" t="s">
        <v>165</v>
      </c>
      <c r="F26" s="319">
        <f>F12</f>
        <v>17854117.440000001</v>
      </c>
      <c r="G26" s="319">
        <f t="shared" si="0"/>
        <v>26928160.68</v>
      </c>
      <c r="H26" s="319">
        <f t="shared" si="0"/>
        <v>38051296.439999998</v>
      </c>
      <c r="I26" s="333"/>
      <c r="J26" s="333"/>
      <c r="K26" s="333"/>
      <c r="L26" s="332"/>
    </row>
    <row r="27" spans="2:12" x14ac:dyDescent="0.25">
      <c r="B27" s="331"/>
      <c r="C27" s="313" t="s">
        <v>167</v>
      </c>
      <c r="D27" s="314"/>
      <c r="E27" s="320" t="s">
        <v>165</v>
      </c>
      <c r="F27" s="321">
        <f>F23-F24-F25-F26</f>
        <v>1591602.5599999987</v>
      </c>
      <c r="G27" s="321">
        <f t="shared" ref="G27:H27" si="1">G23-G24-G25-G26</f>
        <v>10078564.919999994</v>
      </c>
      <c r="H27" s="321">
        <f t="shared" si="1"/>
        <v>32021151.560000002</v>
      </c>
      <c r="I27" s="333"/>
      <c r="J27" s="333"/>
      <c r="K27" s="333"/>
      <c r="L27" s="332"/>
    </row>
    <row r="28" spans="2:12" x14ac:dyDescent="0.25">
      <c r="B28" s="331"/>
      <c r="C28" s="624" t="s">
        <v>168</v>
      </c>
      <c r="D28" s="625"/>
      <c r="E28" s="147" t="s">
        <v>165</v>
      </c>
      <c r="F28" s="319">
        <f>F23*0.03</f>
        <v>946530</v>
      </c>
      <c r="G28" s="319">
        <f t="shared" ref="G28:H28" si="2">G23*0.03</f>
        <v>1638225</v>
      </c>
      <c r="H28" s="319">
        <f t="shared" si="2"/>
        <v>2912400</v>
      </c>
      <c r="I28" s="333"/>
      <c r="J28" s="333"/>
      <c r="K28" s="333"/>
      <c r="L28" s="332"/>
    </row>
    <row r="29" spans="2:12" x14ac:dyDescent="0.25">
      <c r="B29" s="331"/>
      <c r="C29" s="951" t="s">
        <v>169</v>
      </c>
      <c r="D29" s="952"/>
      <c r="E29" s="147"/>
      <c r="F29" s="319">
        <f>F27-F28</f>
        <v>645072.55999999866</v>
      </c>
      <c r="G29" s="319">
        <f>G27-G28-G16</f>
        <v>8163563.9126739874</v>
      </c>
      <c r="H29" s="319">
        <f>H27-H28-H16</f>
        <v>28293625.552673995</v>
      </c>
      <c r="I29" s="333"/>
      <c r="J29" s="333"/>
      <c r="K29" s="333"/>
      <c r="L29" s="332"/>
    </row>
    <row r="30" spans="2:12" x14ac:dyDescent="0.25">
      <c r="B30" s="331"/>
      <c r="C30" s="624" t="s">
        <v>170</v>
      </c>
      <c r="D30" s="625"/>
      <c r="E30" s="147" t="s">
        <v>165</v>
      </c>
      <c r="F30" s="319">
        <v>0</v>
      </c>
      <c r="G30" s="319">
        <v>0</v>
      </c>
      <c r="H30" s="319">
        <f>0.35*G29</f>
        <v>2857247.3694358952</v>
      </c>
      <c r="I30" s="333"/>
      <c r="J30" s="333"/>
      <c r="K30" s="333"/>
      <c r="L30" s="332"/>
    </row>
    <row r="31" spans="2:12" x14ac:dyDescent="0.25">
      <c r="B31" s="331"/>
      <c r="C31" s="313" t="s">
        <v>171</v>
      </c>
      <c r="D31" s="314"/>
      <c r="E31" s="320" t="s">
        <v>165</v>
      </c>
      <c r="F31" s="321">
        <f>F27-F28-F30</f>
        <v>645072.55999999866</v>
      </c>
      <c r="G31" s="321">
        <f t="shared" ref="G31:H31" si="3">G27-G28-G30</f>
        <v>8440339.9199999943</v>
      </c>
      <c r="H31" s="321">
        <f t="shared" si="3"/>
        <v>26251504.190564107</v>
      </c>
      <c r="I31" s="333"/>
      <c r="J31" s="333"/>
      <c r="K31" s="333"/>
      <c r="L31" s="332"/>
    </row>
    <row r="32" spans="2:12" x14ac:dyDescent="0.25">
      <c r="B32" s="331"/>
      <c r="C32" s="624" t="s">
        <v>172</v>
      </c>
      <c r="D32" s="625"/>
      <c r="E32" s="319">
        <f>-E20</f>
        <v>-4084150</v>
      </c>
      <c r="F32" s="319">
        <f t="shared" ref="F32:H32" si="4">-F20</f>
        <v>0</v>
      </c>
      <c r="G32" s="319">
        <f t="shared" si="4"/>
        <v>-1663000</v>
      </c>
      <c r="H32" s="319">
        <f t="shared" si="4"/>
        <v>-2322000</v>
      </c>
      <c r="I32" s="333"/>
      <c r="J32" s="333"/>
      <c r="K32" s="333"/>
      <c r="L32" s="332"/>
    </row>
    <row r="33" spans="2:12" x14ac:dyDescent="0.25">
      <c r="B33" s="331"/>
      <c r="C33" s="313" t="s">
        <v>173</v>
      </c>
      <c r="D33" s="314"/>
      <c r="E33" s="321">
        <f>E32</f>
        <v>-4084150</v>
      </c>
      <c r="F33" s="321">
        <f>F31+F32</f>
        <v>645072.55999999866</v>
      </c>
      <c r="G33" s="321">
        <f t="shared" ref="G33:H33" si="5">G31+G32</f>
        <v>6777339.9199999943</v>
      </c>
      <c r="H33" s="321">
        <f t="shared" si="5"/>
        <v>23929504.190564107</v>
      </c>
      <c r="I33" s="333"/>
      <c r="J33" s="333"/>
      <c r="K33" s="333"/>
      <c r="L33" s="332"/>
    </row>
    <row r="34" spans="2:12" ht="15.75" thickBot="1" x14ac:dyDescent="0.3">
      <c r="B34" s="331"/>
      <c r="C34" s="50"/>
      <c r="D34" s="50"/>
      <c r="E34" s="50"/>
      <c r="F34" s="50"/>
      <c r="G34" s="50"/>
      <c r="H34" s="50"/>
      <c r="I34" s="333"/>
      <c r="J34" s="333"/>
      <c r="K34" s="333"/>
      <c r="L34" s="332"/>
    </row>
    <row r="35" spans="2:12" x14ac:dyDescent="0.25">
      <c r="B35" s="331"/>
      <c r="C35" s="50"/>
      <c r="D35" s="50"/>
      <c r="E35" s="50"/>
      <c r="F35" s="50"/>
      <c r="G35" s="626" t="s">
        <v>174</v>
      </c>
      <c r="H35" s="304">
        <f>'Presupuesto financiero'!G26</f>
        <v>0.52</v>
      </c>
      <c r="I35" s="333"/>
      <c r="J35" s="333"/>
      <c r="K35" s="333"/>
      <c r="L35" s="332"/>
    </row>
    <row r="36" spans="2:12" x14ac:dyDescent="0.25">
      <c r="B36" s="331"/>
      <c r="C36" s="50"/>
      <c r="D36" s="50"/>
      <c r="E36" s="50"/>
      <c r="F36" s="50"/>
      <c r="G36" s="626" t="s">
        <v>175</v>
      </c>
      <c r="H36" s="306">
        <f>NPV(H35,E20,F20:H20)</f>
        <v>3595484.6446466795</v>
      </c>
      <c r="I36" s="333"/>
      <c r="J36" s="333"/>
      <c r="K36" s="333"/>
      <c r="L36" s="332"/>
    </row>
    <row r="37" spans="2:12" ht="15.75" thickBot="1" x14ac:dyDescent="0.3">
      <c r="B37" s="331"/>
      <c r="C37" s="50"/>
      <c r="D37" s="50"/>
      <c r="E37" s="50"/>
      <c r="F37" s="50"/>
      <c r="G37" s="626" t="s">
        <v>176</v>
      </c>
      <c r="H37" s="308">
        <f>IRR(E33:H33,H35)</f>
        <v>1.1687687015066994</v>
      </c>
      <c r="I37" s="333"/>
      <c r="J37" s="333"/>
      <c r="K37" s="333"/>
      <c r="L37" s="332"/>
    </row>
    <row r="38" spans="2:12" ht="15.75" thickBot="1" x14ac:dyDescent="0.3">
      <c r="B38" s="334"/>
      <c r="C38" s="269"/>
      <c r="D38" s="269"/>
      <c r="E38" s="269"/>
      <c r="F38" s="269"/>
      <c r="G38" s="269"/>
      <c r="H38" s="269"/>
      <c r="I38" s="335"/>
      <c r="J38" s="335"/>
      <c r="K38" s="335"/>
      <c r="L38" s="336"/>
    </row>
  </sheetData>
  <mergeCells count="11">
    <mergeCell ref="F1:H1"/>
    <mergeCell ref="C24:C26"/>
    <mergeCell ref="C29:D29"/>
    <mergeCell ref="F6:H6"/>
    <mergeCell ref="C4:K4"/>
    <mergeCell ref="K7:K9"/>
    <mergeCell ref="K11:K13"/>
    <mergeCell ref="C14:D14"/>
    <mergeCell ref="C15:D15"/>
    <mergeCell ref="K15:K16"/>
    <mergeCell ref="C16:D16"/>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38"/>
  <sheetViews>
    <sheetView zoomScale="90" zoomScaleNormal="90" workbookViewId="0">
      <pane ySplit="1" topLeftCell="A2" activePane="bottomLeft" state="frozen"/>
      <selection pane="bottomLeft" activeCell="K41" sqref="K41"/>
    </sheetView>
  </sheetViews>
  <sheetFormatPr baseColWidth="10" defaultColWidth="11.42578125" defaultRowHeight="15" x14ac:dyDescent="0.25"/>
  <cols>
    <col min="1" max="1" width="4.7109375" style="1" customWidth="1"/>
    <col min="2" max="2" width="8.28515625" style="1" customWidth="1"/>
    <col min="3" max="3" width="11.7109375" style="1" customWidth="1"/>
    <col min="4" max="4" width="23.42578125" style="1" customWidth="1"/>
    <col min="5" max="5" width="19.85546875" style="1" customWidth="1"/>
    <col min="6" max="6" width="24.7109375" style="1" customWidth="1"/>
    <col min="7" max="7" width="18.28515625" style="1" customWidth="1"/>
    <col min="8" max="8" width="17" style="1" customWidth="1"/>
    <col min="9" max="9" width="8.28515625" style="1" customWidth="1"/>
    <col min="10" max="10" width="6.7109375" style="1" customWidth="1"/>
    <col min="11" max="11" width="54.28515625" style="1" customWidth="1"/>
    <col min="12" max="16384" width="11.42578125" style="1"/>
  </cols>
  <sheetData>
    <row r="1" spans="1:14" s="341" customFormat="1" ht="58.5" customHeight="1" x14ac:dyDescent="0.25">
      <c r="A1" s="344"/>
      <c r="B1" s="344"/>
      <c r="C1" s="344"/>
      <c r="D1" s="344"/>
      <c r="E1" s="344"/>
      <c r="F1" s="946" t="s">
        <v>190</v>
      </c>
      <c r="G1" s="947"/>
      <c r="H1" s="947"/>
      <c r="I1" s="344"/>
      <c r="J1" s="344"/>
      <c r="K1" s="344"/>
      <c r="L1" s="344"/>
      <c r="M1" s="344"/>
      <c r="N1" s="344"/>
    </row>
    <row r="2" spans="1:14" ht="15.75" thickBot="1" x14ac:dyDescent="0.3"/>
    <row r="3" spans="1:14" ht="15.75" thickBot="1" x14ac:dyDescent="0.3">
      <c r="B3" s="328"/>
      <c r="C3" s="329"/>
      <c r="D3" s="329"/>
      <c r="E3" s="329"/>
      <c r="F3" s="329"/>
      <c r="G3" s="329"/>
      <c r="H3" s="329"/>
      <c r="I3" s="329"/>
      <c r="J3" s="329"/>
      <c r="K3" s="329"/>
      <c r="L3" s="330"/>
    </row>
    <row r="4" spans="1:14" ht="15.75" thickBot="1" x14ac:dyDescent="0.3">
      <c r="B4" s="331"/>
      <c r="C4" s="957" t="s">
        <v>199</v>
      </c>
      <c r="D4" s="958"/>
      <c r="E4" s="958"/>
      <c r="F4" s="958"/>
      <c r="G4" s="958"/>
      <c r="H4" s="958"/>
      <c r="I4" s="958"/>
      <c r="J4" s="958"/>
      <c r="K4" s="959"/>
      <c r="L4" s="332"/>
    </row>
    <row r="5" spans="1:14" ht="15.75" thickBot="1" x14ac:dyDescent="0.3">
      <c r="B5" s="331"/>
      <c r="C5" s="333"/>
      <c r="D5" s="333"/>
      <c r="E5" s="333"/>
      <c r="F5" s="333"/>
      <c r="G5" s="333"/>
      <c r="H5" s="333"/>
      <c r="I5" s="333"/>
      <c r="J5" s="333"/>
      <c r="K5" s="333"/>
      <c r="L5" s="332"/>
    </row>
    <row r="6" spans="1:14" ht="15.75" customHeight="1" thickBot="1" x14ac:dyDescent="0.3">
      <c r="B6" s="331"/>
      <c r="C6" s="50"/>
      <c r="D6" s="50"/>
      <c r="E6" s="50"/>
      <c r="F6" s="967" t="s">
        <v>22</v>
      </c>
      <c r="G6" s="968"/>
      <c r="H6" s="969"/>
      <c r="I6" s="333"/>
      <c r="J6" s="333"/>
      <c r="K6" s="614" t="s">
        <v>207</v>
      </c>
      <c r="L6" s="332"/>
    </row>
    <row r="7" spans="1:14" x14ac:dyDescent="0.25">
      <c r="B7" s="331"/>
      <c r="E7" s="50"/>
      <c r="F7" s="317">
        <v>2021</v>
      </c>
      <c r="G7" s="317">
        <v>2022</v>
      </c>
      <c r="H7" s="317">
        <v>2023</v>
      </c>
      <c r="I7" s="333"/>
      <c r="J7" s="333"/>
      <c r="K7" s="953" t="str">
        <f>'Matriz riesgo'!C10</f>
        <v>La empresa tercerizada para la distribucíon no da abasto con los envios.</v>
      </c>
      <c r="L7" s="332"/>
    </row>
    <row r="8" spans="1:14" x14ac:dyDescent="0.25">
      <c r="B8" s="331"/>
      <c r="E8" s="50"/>
      <c r="F8" s="315">
        <f>'Presupuesto financiero'!K5</f>
        <v>1.2999999999999999E-2</v>
      </c>
      <c r="G8" s="315">
        <f>'Presupuesto financiero'!L5</f>
        <v>2.5000000000000001E-2</v>
      </c>
      <c r="H8" s="315">
        <f>'Presupuesto financiero'!M5</f>
        <v>0.04</v>
      </c>
      <c r="I8" s="333"/>
      <c r="J8" s="333"/>
      <c r="K8" s="954"/>
      <c r="L8" s="332"/>
    </row>
    <row r="9" spans="1:14" ht="15.75" thickBot="1" x14ac:dyDescent="0.3">
      <c r="B9" s="331"/>
      <c r="E9" s="620" t="s">
        <v>205</v>
      </c>
      <c r="F9" s="621">
        <f>Hipótesis!$D$24</f>
        <v>31551000</v>
      </c>
      <c r="G9" s="621">
        <f>Hipótesis!$D$25</f>
        <v>60675000</v>
      </c>
      <c r="H9" s="621">
        <f>Hipótesis!$D$26</f>
        <v>97080000</v>
      </c>
      <c r="I9" s="333"/>
      <c r="J9" s="333"/>
      <c r="K9" s="955"/>
      <c r="L9" s="332"/>
    </row>
    <row r="10" spans="1:14" ht="15.75" thickBot="1" x14ac:dyDescent="0.3">
      <c r="B10" s="331"/>
      <c r="C10" s="50"/>
      <c r="D10" s="50"/>
      <c r="E10" s="620" t="s">
        <v>164</v>
      </c>
      <c r="F10" s="316">
        <f>'Presupuesto financiero'!K10</f>
        <v>3351744</v>
      </c>
      <c r="G10" s="316">
        <f>'Presupuesto financiero'!L10</f>
        <v>3951744</v>
      </c>
      <c r="H10" s="316">
        <f>'Presupuesto financiero'!M10</f>
        <v>4551744</v>
      </c>
      <c r="I10" s="333"/>
      <c r="J10" s="333"/>
      <c r="K10" s="614" t="s">
        <v>180</v>
      </c>
      <c r="L10" s="332"/>
    </row>
    <row r="11" spans="1:14" x14ac:dyDescent="0.25">
      <c r="B11" s="331"/>
      <c r="C11" s="50"/>
      <c r="D11" s="50"/>
      <c r="E11" s="620" t="s">
        <v>141</v>
      </c>
      <c r="F11" s="316">
        <f>'Presupuesto financiero'!K11</f>
        <v>8753536</v>
      </c>
      <c r="G11" s="316">
        <f>'Presupuesto financiero'!L11</f>
        <v>15604672</v>
      </c>
      <c r="H11" s="316">
        <f>'Presupuesto financiero'!M11</f>
        <v>22455808</v>
      </c>
      <c r="I11" s="333"/>
      <c r="J11" s="333"/>
      <c r="K11" s="956" t="str">
        <f>'Matriz riesgo'!D10</f>
        <v>Falla en el cálculo de cantidad de paquetes que puede llevar por viaje</v>
      </c>
      <c r="L11" s="332"/>
    </row>
    <row r="12" spans="1:14" x14ac:dyDescent="0.25">
      <c r="B12" s="331"/>
      <c r="C12" s="50"/>
      <c r="D12" s="50"/>
      <c r="E12" s="620" t="s">
        <v>204</v>
      </c>
      <c r="F12" s="316">
        <f>'Presupuesto financiero'!K12</f>
        <v>17854117.440000001</v>
      </c>
      <c r="G12" s="316">
        <f>'Presupuesto financiero'!L12</f>
        <v>26928160.68</v>
      </c>
      <c r="H12" s="316">
        <f>'Presupuesto financiero'!M12</f>
        <v>38051296.439999998</v>
      </c>
      <c r="I12" s="333"/>
      <c r="J12" s="333"/>
      <c r="K12" s="954"/>
      <c r="L12" s="332"/>
    </row>
    <row r="13" spans="1:14" ht="15.75" thickBot="1" x14ac:dyDescent="0.3">
      <c r="B13" s="331"/>
      <c r="C13" s="50"/>
      <c r="D13" s="50"/>
      <c r="E13" s="50"/>
      <c r="F13" s="50"/>
      <c r="G13" s="50"/>
      <c r="H13" s="50"/>
      <c r="I13" s="333"/>
      <c r="J13" s="333"/>
      <c r="K13" s="955"/>
      <c r="L13" s="332"/>
    </row>
    <row r="14" spans="1:14" ht="15.75" thickBot="1" x14ac:dyDescent="0.3">
      <c r="B14" s="331"/>
      <c r="C14" s="960" t="s">
        <v>358</v>
      </c>
      <c r="D14" s="961"/>
      <c r="E14" s="50"/>
      <c r="F14" s="618" t="s">
        <v>154</v>
      </c>
      <c r="G14" s="616"/>
      <c r="H14" s="617"/>
      <c r="I14" s="333"/>
      <c r="J14" s="333"/>
      <c r="K14" s="614" t="s">
        <v>181</v>
      </c>
      <c r="L14" s="332"/>
    </row>
    <row r="15" spans="1:14" x14ac:dyDescent="0.25">
      <c r="B15" s="331"/>
      <c r="C15" s="948" t="s">
        <v>381</v>
      </c>
      <c r="D15" s="892"/>
      <c r="E15" s="50"/>
      <c r="F15" s="208">
        <v>2021</v>
      </c>
      <c r="G15" s="208">
        <v>2022</v>
      </c>
      <c r="H15" s="208">
        <v>2023</v>
      </c>
      <c r="I15" s="333"/>
      <c r="J15" s="333"/>
      <c r="K15" s="962" t="str">
        <f>'Matriz riesgo'!E10</f>
        <v>Aumenta el costo de envio por paquete 100%</v>
      </c>
      <c r="L15" s="332"/>
    </row>
    <row r="16" spans="1:14" ht="15.75" thickBot="1" x14ac:dyDescent="0.3">
      <c r="B16" s="331"/>
      <c r="C16" s="949">
        <v>2</v>
      </c>
      <c r="D16" s="950"/>
      <c r="E16" s="322"/>
      <c r="F16" s="316">
        <f>'Presupuesto financiero'!K16</f>
        <v>142914.10256410256</v>
      </c>
      <c r="G16" s="316">
        <f>'Presupuesto financiero'!L16</f>
        <v>276776.00732600736</v>
      </c>
      <c r="H16" s="316">
        <f>'Presupuesto financiero'!M16</f>
        <v>815126.00732600736</v>
      </c>
      <c r="I16" s="333"/>
      <c r="J16" s="333"/>
      <c r="K16" s="963"/>
      <c r="L16" s="332"/>
    </row>
    <row r="17" spans="2:12" x14ac:dyDescent="0.25">
      <c r="B17" s="331"/>
      <c r="C17" s="50"/>
      <c r="D17" s="50"/>
      <c r="E17" s="322"/>
      <c r="F17" s="21"/>
      <c r="G17" s="21"/>
      <c r="H17" s="21"/>
      <c r="I17" s="333"/>
      <c r="J17" s="333"/>
      <c r="K17" s="333"/>
      <c r="L17" s="332"/>
    </row>
    <row r="18" spans="2:12" x14ac:dyDescent="0.25">
      <c r="B18" s="331"/>
      <c r="C18" s="50"/>
      <c r="D18" s="50"/>
      <c r="E18" s="618" t="s">
        <v>145</v>
      </c>
      <c r="F18" s="616"/>
      <c r="G18" s="616"/>
      <c r="H18" s="617"/>
      <c r="I18" s="333"/>
      <c r="J18" s="333"/>
      <c r="K18" s="333"/>
      <c r="L18" s="332"/>
    </row>
    <row r="19" spans="2:12" x14ac:dyDescent="0.25">
      <c r="B19" s="331"/>
      <c r="C19" s="50"/>
      <c r="D19" s="50"/>
      <c r="E19" s="317" t="s">
        <v>146</v>
      </c>
      <c r="F19" s="317">
        <v>2021</v>
      </c>
      <c r="G19" s="317">
        <v>2022</v>
      </c>
      <c r="H19" s="317">
        <v>2023</v>
      </c>
      <c r="I19" s="333"/>
      <c r="J19" s="333"/>
      <c r="K19" s="333"/>
      <c r="L19" s="332"/>
    </row>
    <row r="20" spans="2:12" x14ac:dyDescent="0.25">
      <c r="B20" s="331"/>
      <c r="C20" s="50"/>
      <c r="D20" s="50"/>
      <c r="E20" s="316">
        <f>'Presupuesto financiero'!J21</f>
        <v>4084150</v>
      </c>
      <c r="F20" s="316">
        <f>'Presupuesto financiero'!K21</f>
        <v>0</v>
      </c>
      <c r="G20" s="316">
        <f>'Presupuesto financiero'!L21</f>
        <v>1663000</v>
      </c>
      <c r="H20" s="316">
        <f>'Presupuesto financiero'!M21</f>
        <v>2322000</v>
      </c>
      <c r="I20" s="333"/>
      <c r="J20" s="333"/>
      <c r="K20" s="333"/>
      <c r="L20" s="332"/>
    </row>
    <row r="21" spans="2:12" x14ac:dyDescent="0.25">
      <c r="B21" s="331"/>
      <c r="C21" s="50"/>
      <c r="D21" s="50"/>
      <c r="E21" s="50"/>
      <c r="F21" s="50"/>
      <c r="G21" s="50"/>
      <c r="H21" s="50"/>
      <c r="I21" s="333"/>
      <c r="J21" s="333"/>
      <c r="K21" s="333"/>
      <c r="L21" s="332"/>
    </row>
    <row r="22" spans="2:12" x14ac:dyDescent="0.25">
      <c r="B22" s="331"/>
      <c r="C22" s="50"/>
      <c r="D22" s="50"/>
      <c r="E22" s="619" t="s">
        <v>178</v>
      </c>
      <c r="F22" s="619">
        <v>2021</v>
      </c>
      <c r="G22" s="619">
        <v>2022</v>
      </c>
      <c r="H22" s="619">
        <v>2023</v>
      </c>
      <c r="I22" s="333"/>
      <c r="J22" s="333"/>
      <c r="K22" s="660" t="s">
        <v>382</v>
      </c>
      <c r="L22" s="332"/>
    </row>
    <row r="23" spans="2:12" x14ac:dyDescent="0.25">
      <c r="B23" s="331"/>
      <c r="C23" s="622" t="s">
        <v>26</v>
      </c>
      <c r="D23" s="623"/>
      <c r="E23" s="318" t="s">
        <v>165</v>
      </c>
      <c r="F23" s="319">
        <f>F9</f>
        <v>31551000</v>
      </c>
      <c r="G23" s="319">
        <f>G9</f>
        <v>60675000</v>
      </c>
      <c r="H23" s="319">
        <f>H9</f>
        <v>97080000</v>
      </c>
      <c r="I23" s="333"/>
      <c r="J23" s="333"/>
      <c r="K23" s="661">
        <f>'Costos variables'!AB58</f>
        <v>293760</v>
      </c>
      <c r="L23" s="332"/>
    </row>
    <row r="24" spans="2:12" x14ac:dyDescent="0.25">
      <c r="B24" s="331"/>
      <c r="C24" s="964" t="s">
        <v>166</v>
      </c>
      <c r="D24" s="620" t="s">
        <v>201</v>
      </c>
      <c r="E24" s="318" t="s">
        <v>165</v>
      </c>
      <c r="F24" s="319">
        <f>F10</f>
        <v>3351744</v>
      </c>
      <c r="G24" s="319">
        <f t="shared" ref="G24:H24" si="0">G10</f>
        <v>3951744</v>
      </c>
      <c r="H24" s="319">
        <f t="shared" si="0"/>
        <v>4551744</v>
      </c>
      <c r="I24" s="333"/>
      <c r="J24" s="333"/>
      <c r="K24" s="333"/>
      <c r="L24" s="332"/>
    </row>
    <row r="25" spans="2:12" x14ac:dyDescent="0.25">
      <c r="B25" s="331"/>
      <c r="C25" s="965"/>
      <c r="D25" s="620" t="s">
        <v>202</v>
      </c>
      <c r="E25" s="318" t="s">
        <v>165</v>
      </c>
      <c r="F25" s="319">
        <f>F11</f>
        <v>8753536</v>
      </c>
      <c r="G25" s="627">
        <f>G11+(K23*C16)</f>
        <v>16192192</v>
      </c>
      <c r="H25" s="319">
        <f>H11</f>
        <v>22455808</v>
      </c>
      <c r="I25" s="333"/>
      <c r="J25" s="333"/>
      <c r="K25" s="333"/>
      <c r="L25" s="332"/>
    </row>
    <row r="26" spans="2:12" x14ac:dyDescent="0.25">
      <c r="B26" s="331"/>
      <c r="C26" s="966"/>
      <c r="D26" s="620" t="s">
        <v>203</v>
      </c>
      <c r="E26" s="318" t="s">
        <v>165</v>
      </c>
      <c r="F26" s="319">
        <f>F12</f>
        <v>17854117.440000001</v>
      </c>
      <c r="G26" s="319">
        <f t="shared" ref="G26:H26" si="1">G12</f>
        <v>26928160.68</v>
      </c>
      <c r="H26" s="319">
        <f t="shared" si="1"/>
        <v>38051296.439999998</v>
      </c>
      <c r="I26" s="333"/>
      <c r="J26" s="333"/>
      <c r="K26" s="333"/>
      <c r="L26" s="332"/>
    </row>
    <row r="27" spans="2:12" x14ac:dyDescent="0.25">
      <c r="B27" s="331"/>
      <c r="C27" s="313" t="s">
        <v>167</v>
      </c>
      <c r="D27" s="314"/>
      <c r="E27" s="320" t="s">
        <v>165</v>
      </c>
      <c r="F27" s="321">
        <f>F23-F24-F25-F26</f>
        <v>1591602.5599999987</v>
      </c>
      <c r="G27" s="321">
        <f t="shared" ref="G27:H27" si="2">G23-G24-G25-G26</f>
        <v>13602903.32</v>
      </c>
      <c r="H27" s="321">
        <f t="shared" si="2"/>
        <v>32021151.560000002</v>
      </c>
      <c r="I27" s="333"/>
      <c r="J27" s="333"/>
      <c r="K27" s="333"/>
      <c r="L27" s="332"/>
    </row>
    <row r="28" spans="2:12" x14ac:dyDescent="0.25">
      <c r="B28" s="331"/>
      <c r="C28" s="624" t="s">
        <v>168</v>
      </c>
      <c r="D28" s="625"/>
      <c r="E28" s="147" t="s">
        <v>165</v>
      </c>
      <c r="F28" s="319">
        <f>F23*0.03</f>
        <v>946530</v>
      </c>
      <c r="G28" s="319">
        <f t="shared" ref="G28:H28" si="3">G23*0.03</f>
        <v>1820250</v>
      </c>
      <c r="H28" s="319">
        <f t="shared" si="3"/>
        <v>2912400</v>
      </c>
      <c r="I28" s="333"/>
      <c r="J28" s="333"/>
      <c r="K28" s="333"/>
      <c r="L28" s="332"/>
    </row>
    <row r="29" spans="2:12" x14ac:dyDescent="0.25">
      <c r="B29" s="331"/>
      <c r="C29" s="951" t="s">
        <v>169</v>
      </c>
      <c r="D29" s="952"/>
      <c r="E29" s="147"/>
      <c r="F29" s="319">
        <f>F27-F28</f>
        <v>645072.55999999866</v>
      </c>
      <c r="G29" s="319">
        <f>G27-G28-G16</f>
        <v>11505877.312673993</v>
      </c>
      <c r="H29" s="319">
        <f>H27-H28-H16</f>
        <v>28293625.552673995</v>
      </c>
      <c r="I29" s="333"/>
      <c r="J29" s="333"/>
      <c r="K29" s="333"/>
      <c r="L29" s="332"/>
    </row>
    <row r="30" spans="2:12" x14ac:dyDescent="0.25">
      <c r="B30" s="331"/>
      <c r="C30" s="624" t="s">
        <v>170</v>
      </c>
      <c r="D30" s="625"/>
      <c r="E30" s="147" t="s">
        <v>165</v>
      </c>
      <c r="F30" s="319">
        <v>0</v>
      </c>
      <c r="G30" s="319">
        <v>0</v>
      </c>
      <c r="H30" s="319">
        <f>0.35*G29</f>
        <v>4027057.0594358975</v>
      </c>
      <c r="I30" s="333"/>
      <c r="J30" s="333"/>
      <c r="K30" s="333"/>
      <c r="L30" s="332"/>
    </row>
    <row r="31" spans="2:12" x14ac:dyDescent="0.25">
      <c r="B31" s="331"/>
      <c r="C31" s="313" t="s">
        <v>171</v>
      </c>
      <c r="D31" s="314"/>
      <c r="E31" s="320" t="s">
        <v>165</v>
      </c>
      <c r="F31" s="321">
        <f>F27-F28-F30</f>
        <v>645072.55999999866</v>
      </c>
      <c r="G31" s="321">
        <f t="shared" ref="G31:H31" si="4">G27-G28-G30</f>
        <v>11782653.32</v>
      </c>
      <c r="H31" s="321">
        <f t="shared" si="4"/>
        <v>25081694.500564106</v>
      </c>
      <c r="I31" s="333"/>
      <c r="J31" s="333"/>
      <c r="K31" s="333"/>
      <c r="L31" s="332"/>
    </row>
    <row r="32" spans="2:12" x14ac:dyDescent="0.25">
      <c r="B32" s="331"/>
      <c r="C32" s="624" t="s">
        <v>172</v>
      </c>
      <c r="D32" s="625"/>
      <c r="E32" s="319">
        <f>-E20</f>
        <v>-4084150</v>
      </c>
      <c r="F32" s="319">
        <f t="shared" ref="F32:H32" si="5">-F20</f>
        <v>0</v>
      </c>
      <c r="G32" s="319">
        <f t="shared" si="5"/>
        <v>-1663000</v>
      </c>
      <c r="H32" s="319">
        <f t="shared" si="5"/>
        <v>-2322000</v>
      </c>
      <c r="I32" s="333"/>
      <c r="J32" s="333"/>
      <c r="K32" s="333"/>
      <c r="L32" s="332"/>
    </row>
    <row r="33" spans="2:12" x14ac:dyDescent="0.25">
      <c r="B33" s="331"/>
      <c r="C33" s="313" t="s">
        <v>173</v>
      </c>
      <c r="D33" s="314"/>
      <c r="E33" s="321">
        <f>E32</f>
        <v>-4084150</v>
      </c>
      <c r="F33" s="321">
        <f>F31+F32</f>
        <v>645072.55999999866</v>
      </c>
      <c r="G33" s="321">
        <f t="shared" ref="G33:H33" si="6">G31+G32</f>
        <v>10119653.32</v>
      </c>
      <c r="H33" s="321">
        <f t="shared" si="6"/>
        <v>22759694.500564106</v>
      </c>
      <c r="I33" s="333"/>
      <c r="J33" s="333"/>
      <c r="K33" s="333"/>
      <c r="L33" s="332"/>
    </row>
    <row r="34" spans="2:12" ht="15.75" thickBot="1" x14ac:dyDescent="0.3">
      <c r="B34" s="331"/>
      <c r="C34" s="50"/>
      <c r="D34" s="50"/>
      <c r="E34" s="50"/>
      <c r="F34" s="50"/>
      <c r="G34" s="50"/>
      <c r="H34" s="50"/>
      <c r="I34" s="333"/>
      <c r="J34" s="333"/>
      <c r="K34" s="333"/>
      <c r="L34" s="332"/>
    </row>
    <row r="35" spans="2:12" x14ac:dyDescent="0.25">
      <c r="B35" s="331"/>
      <c r="C35" s="50"/>
      <c r="D35" s="50"/>
      <c r="E35" s="50"/>
      <c r="F35" s="50"/>
      <c r="G35" s="626" t="s">
        <v>174</v>
      </c>
      <c r="H35" s="304">
        <f>'Presupuesto financiero'!G26</f>
        <v>0.52</v>
      </c>
      <c r="I35" s="333"/>
      <c r="J35" s="333"/>
      <c r="K35" s="333"/>
      <c r="L35" s="332"/>
    </row>
    <row r="36" spans="2:12" x14ac:dyDescent="0.25">
      <c r="B36" s="331"/>
      <c r="C36" s="50"/>
      <c r="D36" s="50"/>
      <c r="E36" s="50"/>
      <c r="F36" s="50"/>
      <c r="G36" s="626" t="s">
        <v>175</v>
      </c>
      <c r="H36" s="306">
        <f>NPV(H35,E20,F20:H20)</f>
        <v>3595484.6446466795</v>
      </c>
      <c r="I36" s="333"/>
      <c r="J36" s="333"/>
      <c r="K36" s="333"/>
      <c r="L36" s="332"/>
    </row>
    <row r="37" spans="2:12" ht="15.75" thickBot="1" x14ac:dyDescent="0.3">
      <c r="B37" s="331"/>
      <c r="C37" s="50"/>
      <c r="D37" s="50"/>
      <c r="E37" s="50"/>
      <c r="F37" s="50"/>
      <c r="G37" s="626" t="s">
        <v>176</v>
      </c>
      <c r="H37" s="308">
        <f>IRR(E33:H33,H35)</f>
        <v>1.2952610233564572</v>
      </c>
      <c r="I37" s="333"/>
      <c r="J37" s="333"/>
      <c r="K37" s="333"/>
      <c r="L37" s="332"/>
    </row>
    <row r="38" spans="2:12" ht="15.75" thickBot="1" x14ac:dyDescent="0.3">
      <c r="B38" s="334"/>
      <c r="C38" s="269"/>
      <c r="D38" s="269"/>
      <c r="E38" s="269"/>
      <c r="F38" s="269"/>
      <c r="G38" s="269"/>
      <c r="H38" s="269"/>
      <c r="I38" s="335"/>
      <c r="J38" s="335"/>
      <c r="K38" s="335"/>
      <c r="L38" s="336"/>
    </row>
  </sheetData>
  <mergeCells count="11">
    <mergeCell ref="C29:D29"/>
    <mergeCell ref="F6:H6"/>
    <mergeCell ref="F1:H1"/>
    <mergeCell ref="C14:D14"/>
    <mergeCell ref="C24:C26"/>
    <mergeCell ref="C4:K4"/>
    <mergeCell ref="K7:K9"/>
    <mergeCell ref="K11:K13"/>
    <mergeCell ref="C15:D15"/>
    <mergeCell ref="K15:K16"/>
    <mergeCell ref="C16:D16"/>
  </mergeCell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42"/>
  <sheetViews>
    <sheetView topLeftCell="D1" zoomScale="70" zoomScaleNormal="70" workbookViewId="0">
      <pane ySplit="1" topLeftCell="A20" activePane="bottomLeft" state="frozen"/>
      <selection pane="bottomLeft" activeCell="G34" sqref="G34:K37"/>
    </sheetView>
  </sheetViews>
  <sheetFormatPr baseColWidth="10" defaultColWidth="11.42578125" defaultRowHeight="15" x14ac:dyDescent="0.25"/>
  <cols>
    <col min="1" max="1" width="11.42578125" style="1"/>
    <col min="2" max="2" width="3" style="1" customWidth="1"/>
    <col min="3" max="3" width="60.7109375" style="1" customWidth="1"/>
    <col min="4" max="4" width="5" style="1" customWidth="1"/>
    <col min="5" max="5" width="3.85546875" style="1" customWidth="1"/>
    <col min="6" max="6" width="11.42578125" style="1"/>
    <col min="7" max="7" width="20.42578125" style="1" customWidth="1"/>
    <col min="8" max="8" width="24.28515625" style="1" bestFit="1" customWidth="1"/>
    <col min="9" max="9" width="16.7109375" style="1" bestFit="1" customWidth="1"/>
    <col min="10" max="11" width="20.28515625" style="1" bestFit="1" customWidth="1"/>
    <col min="12" max="12" width="6.28515625" style="1" customWidth="1"/>
    <col min="13" max="13" width="44.85546875" style="1" bestFit="1" customWidth="1"/>
    <col min="14" max="14" width="28.42578125" style="1" customWidth="1"/>
    <col min="15" max="15" width="22.140625" style="1" bestFit="1" customWidth="1"/>
    <col min="16" max="16" width="18.5703125" style="1" customWidth="1"/>
    <col min="17" max="16384" width="11.42578125" style="1"/>
  </cols>
  <sheetData>
    <row r="1" spans="1:15" s="341" customFormat="1" ht="58.5" customHeight="1" x14ac:dyDescent="0.25">
      <c r="A1" s="342"/>
      <c r="B1" s="342"/>
      <c r="C1" s="342"/>
      <c r="D1" s="342"/>
      <c r="E1" s="342"/>
      <c r="F1" s="345" t="s">
        <v>12</v>
      </c>
      <c r="G1" s="346"/>
      <c r="H1" s="346"/>
      <c r="I1" s="342"/>
      <c r="J1" s="342"/>
      <c r="K1" s="342"/>
      <c r="L1" s="342"/>
      <c r="M1" s="342"/>
      <c r="N1" s="342"/>
      <c r="O1" s="342"/>
    </row>
    <row r="2" spans="1:15" ht="15.75" thickBot="1" x14ac:dyDescent="0.3"/>
    <row r="3" spans="1:15" ht="21.75" thickBot="1" x14ac:dyDescent="0.4">
      <c r="C3" s="976" t="s">
        <v>341</v>
      </c>
      <c r="D3" s="977"/>
      <c r="E3" s="977"/>
      <c r="F3" s="977"/>
      <c r="G3" s="977"/>
      <c r="H3" s="977"/>
      <c r="I3" s="977"/>
      <c r="J3" s="977"/>
      <c r="K3" s="977"/>
      <c r="L3" s="977"/>
      <c r="M3" s="977"/>
      <c r="N3" s="978"/>
    </row>
    <row r="4" spans="1:15" ht="15.75" thickBot="1" x14ac:dyDescent="0.3"/>
    <row r="5" spans="1:15" ht="15.75" customHeight="1" thickBot="1" x14ac:dyDescent="0.3">
      <c r="C5" s="614" t="s">
        <v>207</v>
      </c>
      <c r="F5" s="50"/>
      <c r="G5" s="50"/>
      <c r="H5" s="50"/>
      <c r="I5" s="988" t="s">
        <v>22</v>
      </c>
      <c r="J5" s="989"/>
      <c r="K5" s="990"/>
    </row>
    <row r="6" spans="1:15" x14ac:dyDescent="0.25">
      <c r="C6" s="956" t="str">
        <f>'Escenario 1'!K7</f>
        <v>Baja de Ventas por nuevo competidor</v>
      </c>
      <c r="H6" s="50"/>
      <c r="I6" s="317">
        <v>2021</v>
      </c>
      <c r="J6" s="317">
        <v>2022</v>
      </c>
      <c r="K6" s="317">
        <v>2023</v>
      </c>
    </row>
    <row r="7" spans="1:15" x14ac:dyDescent="0.25">
      <c r="C7" s="954"/>
      <c r="H7" s="50"/>
      <c r="I7" s="315">
        <f>'Escenario 1'!F8</f>
        <v>1.2999999999999999E-2</v>
      </c>
      <c r="J7" s="315">
        <f>'Escenario 1'!G8</f>
        <v>2.5000000000000001E-2</v>
      </c>
      <c r="K7" s="315">
        <f>'Escenario 1'!H8</f>
        <v>0.04</v>
      </c>
    </row>
    <row r="8" spans="1:15" ht="15.75" thickBot="1" x14ac:dyDescent="0.3">
      <c r="C8" s="955"/>
      <c r="H8" s="620" t="s">
        <v>205</v>
      </c>
      <c r="I8" s="621">
        <f>'Escenario 1'!F9</f>
        <v>31551000</v>
      </c>
      <c r="J8" s="621">
        <f>'Escenario 1'!G9</f>
        <v>60675000</v>
      </c>
      <c r="K8" s="621">
        <f>'Escenario 1'!H9</f>
        <v>97080000</v>
      </c>
    </row>
    <row r="9" spans="1:15" ht="15.75" thickBot="1" x14ac:dyDescent="0.3">
      <c r="C9" s="614" t="s">
        <v>180</v>
      </c>
      <c r="F9" s="50"/>
      <c r="G9" s="50"/>
      <c r="H9" s="620" t="s">
        <v>164</v>
      </c>
      <c r="I9" s="316">
        <f>'Escenario 1'!F10</f>
        <v>3351744</v>
      </c>
      <c r="J9" s="316">
        <f>'Escenario 1'!G10</f>
        <v>3951744</v>
      </c>
      <c r="K9" s="316">
        <f>'Escenario 1'!H10</f>
        <v>4551744</v>
      </c>
    </row>
    <row r="10" spans="1:15" x14ac:dyDescent="0.25">
      <c r="C10" s="956" t="str">
        <f>'Escenario 1'!K11</f>
        <v>Luego del primer año, al ser un producto éxitoso, en 2022 aparece un competidor intentando copiar el producto.</v>
      </c>
      <c r="F10" s="50"/>
      <c r="G10" s="50"/>
      <c r="H10" s="620" t="s">
        <v>141</v>
      </c>
      <c r="I10" s="316">
        <f>'Escenario 1'!F11</f>
        <v>8753536</v>
      </c>
      <c r="J10" s="316">
        <f>'Escenario 1'!G11</f>
        <v>15604672</v>
      </c>
      <c r="K10" s="316">
        <f>'Escenario 1'!H11</f>
        <v>22455808</v>
      </c>
    </row>
    <row r="11" spans="1:15" x14ac:dyDescent="0.25">
      <c r="C11" s="954"/>
      <c r="F11" s="50"/>
      <c r="G11" s="50"/>
      <c r="H11" s="620" t="s">
        <v>204</v>
      </c>
      <c r="I11" s="316">
        <f>'Escenario 1'!F12</f>
        <v>17854117.440000001</v>
      </c>
      <c r="J11" s="316">
        <f>'Escenario 1'!G12</f>
        <v>26928160.68</v>
      </c>
      <c r="K11" s="316">
        <f>'Escenario 1'!H12</f>
        <v>38051296.439999998</v>
      </c>
    </row>
    <row r="12" spans="1:15" ht="15.75" thickBot="1" x14ac:dyDescent="0.3">
      <c r="C12" s="955"/>
      <c r="F12" s="50"/>
      <c r="G12" s="50"/>
      <c r="H12" s="50"/>
      <c r="I12" s="50"/>
      <c r="J12" s="50"/>
      <c r="K12" s="50"/>
    </row>
    <row r="13" spans="1:15" ht="15.75" thickBot="1" x14ac:dyDescent="0.3">
      <c r="C13" s="614" t="s">
        <v>181</v>
      </c>
      <c r="H13" s="50"/>
      <c r="I13" s="618" t="s">
        <v>154</v>
      </c>
      <c r="J13" s="616"/>
      <c r="K13" s="617"/>
    </row>
    <row r="14" spans="1:15" ht="19.5" customHeight="1" thickBot="1" x14ac:dyDescent="0.3">
      <c r="C14" s="325" t="str">
        <f>'Escenario 1'!K15</f>
        <v>Caen las ventas un 35% en 2022 y 2023,</v>
      </c>
      <c r="H14" s="50"/>
      <c r="I14" s="208">
        <v>2021</v>
      </c>
      <c r="J14" s="208">
        <v>2022</v>
      </c>
      <c r="K14" s="208">
        <v>2023</v>
      </c>
    </row>
    <row r="15" spans="1:15" x14ac:dyDescent="0.25">
      <c r="H15" s="322"/>
      <c r="I15" s="316">
        <f>'Presupuesto financiero'!K16</f>
        <v>142914.10256410256</v>
      </c>
      <c r="J15" s="316">
        <f>'Presupuesto financiero'!L16</f>
        <v>276776.00732600736</v>
      </c>
      <c r="K15" s="316">
        <f>'Presupuesto financiero'!M16</f>
        <v>815126.00732600736</v>
      </c>
    </row>
    <row r="16" spans="1:15" ht="15.75" thickBot="1" x14ac:dyDescent="0.3">
      <c r="C16" s="50"/>
      <c r="F16" s="50"/>
      <c r="G16" s="50"/>
      <c r="H16" s="322"/>
      <c r="I16" s="21"/>
      <c r="J16" s="21"/>
      <c r="K16" s="21"/>
    </row>
    <row r="17" spans="3:20" ht="15.75" thickBot="1" x14ac:dyDescent="0.3">
      <c r="C17" s="339" t="s">
        <v>208</v>
      </c>
      <c r="F17" s="50"/>
      <c r="G17" s="50"/>
      <c r="H17" s="618" t="s">
        <v>145</v>
      </c>
      <c r="I17" s="616"/>
      <c r="J17" s="616"/>
      <c r="K17" s="617"/>
    </row>
    <row r="18" spans="3:20" ht="15" customHeight="1" x14ac:dyDescent="0.25">
      <c r="C18" s="971" t="s">
        <v>323</v>
      </c>
      <c r="F18" s="50"/>
      <c r="G18" s="50"/>
      <c r="H18" s="633" t="s">
        <v>146</v>
      </c>
      <c r="I18" s="633">
        <v>2021</v>
      </c>
      <c r="J18" s="633">
        <v>2022</v>
      </c>
      <c r="K18" s="633">
        <v>2023</v>
      </c>
      <c r="R18" s="50"/>
      <c r="S18" s="50"/>
      <c r="T18" s="50"/>
    </row>
    <row r="19" spans="3:20" ht="30" customHeight="1" x14ac:dyDescent="0.25">
      <c r="C19" s="972"/>
      <c r="F19" s="50"/>
      <c r="G19" s="50"/>
      <c r="H19" s="316">
        <f>'Escenario 1'!E20</f>
        <v>4084150</v>
      </c>
      <c r="I19" s="316">
        <f>'Escenario 1'!G20</f>
        <v>1663000</v>
      </c>
      <c r="J19" s="316">
        <f>'Escenario 1'!G20</f>
        <v>1663000</v>
      </c>
      <c r="K19" s="316">
        <f>'Escenario 1'!H20</f>
        <v>2322000</v>
      </c>
      <c r="R19" s="970"/>
      <c r="S19" s="50"/>
      <c r="T19" s="50"/>
    </row>
    <row r="20" spans="3:20" x14ac:dyDescent="0.25">
      <c r="C20" s="972"/>
      <c r="F20" s="50"/>
      <c r="G20" s="50"/>
      <c r="H20" s="50"/>
      <c r="I20" s="50"/>
      <c r="J20" s="50"/>
      <c r="K20" s="50"/>
      <c r="R20" s="970"/>
      <c r="S20" s="50"/>
      <c r="T20" s="50"/>
    </row>
    <row r="21" spans="3:20" x14ac:dyDescent="0.25">
      <c r="C21" s="583"/>
      <c r="F21" s="50"/>
      <c r="G21" s="50"/>
      <c r="H21" s="619" t="s">
        <v>178</v>
      </c>
      <c r="I21" s="619">
        <v>2021</v>
      </c>
      <c r="J21" s="619">
        <v>2022</v>
      </c>
      <c r="K21" s="619">
        <v>2023</v>
      </c>
      <c r="M21" s="960" t="s">
        <v>322</v>
      </c>
      <c r="N21" s="961"/>
      <c r="R21" s="970"/>
      <c r="S21" s="50"/>
      <c r="T21" s="50"/>
    </row>
    <row r="22" spans="3:20" x14ac:dyDescent="0.25">
      <c r="C22" s="972"/>
      <c r="F22" s="628" t="s">
        <v>26</v>
      </c>
      <c r="G22" s="629"/>
      <c r="H22" s="318" t="s">
        <v>165</v>
      </c>
      <c r="I22" s="649">
        <f>I8</f>
        <v>31551000</v>
      </c>
      <c r="J22" s="650">
        <f>J8*M23</f>
        <v>45506250</v>
      </c>
      <c r="K22" s="650">
        <f>K8*N23</f>
        <v>72810000</v>
      </c>
      <c r="M22" s="317">
        <v>2022</v>
      </c>
      <c r="N22" s="317">
        <v>2023</v>
      </c>
      <c r="R22" s="970"/>
      <c r="S22" s="50"/>
      <c r="T22" s="50"/>
    </row>
    <row r="23" spans="3:20" x14ac:dyDescent="0.25">
      <c r="C23" s="972"/>
      <c r="F23" s="964" t="s">
        <v>166</v>
      </c>
      <c r="G23" s="620" t="s">
        <v>201</v>
      </c>
      <c r="H23" s="318" t="s">
        <v>165</v>
      </c>
      <c r="I23" s="649">
        <f>I9</f>
        <v>3351744</v>
      </c>
      <c r="J23" s="651">
        <f>J9</f>
        <v>3951744</v>
      </c>
      <c r="K23" s="651">
        <f>K9</f>
        <v>4551744</v>
      </c>
      <c r="M23" s="338">
        <f>'Escenario 1'!C16</f>
        <v>0.75</v>
      </c>
      <c r="N23" s="338">
        <f>'Escenario 1'!C16</f>
        <v>0.75</v>
      </c>
      <c r="R23" s="970"/>
      <c r="S23" s="50"/>
      <c r="T23" s="50"/>
    </row>
    <row r="24" spans="3:20" x14ac:dyDescent="0.25">
      <c r="C24" s="583"/>
      <c r="F24" s="965"/>
      <c r="G24" s="620" t="s">
        <v>202</v>
      </c>
      <c r="H24" s="318" t="s">
        <v>165</v>
      </c>
      <c r="I24" s="649">
        <f>I10</f>
        <v>8753536</v>
      </c>
      <c r="J24" s="650">
        <f>J10*M23</f>
        <v>11703504</v>
      </c>
      <c r="K24" s="650">
        <f>K10*N23</f>
        <v>16841856</v>
      </c>
      <c r="R24" s="970"/>
      <c r="S24" s="50"/>
      <c r="T24" s="50"/>
    </row>
    <row r="25" spans="3:20" x14ac:dyDescent="0.25">
      <c r="C25" s="583" t="s">
        <v>377</v>
      </c>
      <c r="F25" s="966"/>
      <c r="G25" s="620" t="s">
        <v>203</v>
      </c>
      <c r="H25" s="318" t="s">
        <v>165</v>
      </c>
      <c r="I25" s="649">
        <f>I11</f>
        <v>17854117.440000001</v>
      </c>
      <c r="J25" s="638">
        <f>J11-P28</f>
        <v>24586213.32</v>
      </c>
      <c r="K25" s="638">
        <f>K11-P29-P40</f>
        <v>32196873.719999999</v>
      </c>
      <c r="M25" s="981" t="s">
        <v>210</v>
      </c>
      <c r="N25" s="981"/>
      <c r="O25" s="639" t="s">
        <v>340</v>
      </c>
      <c r="P25" s="639" t="s">
        <v>15</v>
      </c>
      <c r="R25" s="970"/>
      <c r="S25" s="50"/>
      <c r="T25" s="50"/>
    </row>
    <row r="26" spans="3:20" ht="30" x14ac:dyDescent="0.25">
      <c r="C26" s="583" t="s">
        <v>335</v>
      </c>
      <c r="F26" s="624" t="s">
        <v>167</v>
      </c>
      <c r="G26" s="625"/>
      <c r="H26" s="320" t="s">
        <v>165</v>
      </c>
      <c r="I26" s="652">
        <f>I22-I23-I24-I25</f>
        <v>1591602.5599999987</v>
      </c>
      <c r="J26" s="652">
        <f>J22-J23-J24-J25</f>
        <v>5264788.68</v>
      </c>
      <c r="K26" s="652">
        <f>K22-K23-K24-K25</f>
        <v>19219526.280000001</v>
      </c>
      <c r="M26" s="636"/>
      <c r="N26" s="637"/>
      <c r="O26" s="112"/>
      <c r="P26" s="640"/>
      <c r="R26" s="970"/>
      <c r="S26" s="50"/>
      <c r="T26" s="50"/>
    </row>
    <row r="27" spans="3:20" x14ac:dyDescent="0.25">
      <c r="C27" s="583"/>
      <c r="F27" s="624" t="s">
        <v>168</v>
      </c>
      <c r="G27" s="625"/>
      <c r="H27" s="147" t="s">
        <v>165</v>
      </c>
      <c r="I27" s="649">
        <f>I22*0.03</f>
        <v>946530</v>
      </c>
      <c r="J27" s="649">
        <f>J22*0.03</f>
        <v>1365187.5</v>
      </c>
      <c r="K27" s="649">
        <f>K22*0.03</f>
        <v>2184300</v>
      </c>
      <c r="M27" s="636"/>
      <c r="N27" s="637"/>
      <c r="O27" s="112"/>
      <c r="P27" s="640"/>
      <c r="R27" s="970"/>
      <c r="S27" s="50"/>
      <c r="T27" s="50"/>
    </row>
    <row r="28" spans="3:20" x14ac:dyDescent="0.25">
      <c r="C28" s="583" t="s">
        <v>324</v>
      </c>
      <c r="F28" s="951" t="s">
        <v>169</v>
      </c>
      <c r="G28" s="952"/>
      <c r="H28" s="147"/>
      <c r="I28" s="649">
        <f>I26-I27</f>
        <v>645072.55999999866</v>
      </c>
      <c r="J28" s="649">
        <f>J26-J27-J15</f>
        <v>3622825.1726739923</v>
      </c>
      <c r="K28" s="649">
        <f>K26-K27-K15</f>
        <v>16220100.272673994</v>
      </c>
      <c r="M28" s="636" t="s">
        <v>337</v>
      </c>
      <c r="N28" s="638">
        <f>'Costos RRHH'!L31</f>
        <v>48790.57</v>
      </c>
      <c r="O28" s="641">
        <f>4</f>
        <v>4</v>
      </c>
      <c r="P28" s="642">
        <f>N28*O28*12</f>
        <v>2341947.36</v>
      </c>
      <c r="R28" s="970"/>
      <c r="S28" s="50"/>
      <c r="T28" s="50"/>
    </row>
    <row r="29" spans="3:20" ht="30" x14ac:dyDescent="0.25">
      <c r="C29" s="583" t="s">
        <v>336</v>
      </c>
      <c r="F29" s="624" t="s">
        <v>170</v>
      </c>
      <c r="G29" s="625"/>
      <c r="H29" s="147" t="s">
        <v>165</v>
      </c>
      <c r="I29" s="649">
        <v>0</v>
      </c>
      <c r="J29" s="649">
        <v>0</v>
      </c>
      <c r="K29" s="649">
        <f>0.35*J28</f>
        <v>1267988.8104358972</v>
      </c>
      <c r="M29" s="636" t="s">
        <v>338</v>
      </c>
      <c r="N29" s="638">
        <f>'Costos RRHH'!L31</f>
        <v>48790.57</v>
      </c>
      <c r="O29" s="641">
        <f>6</f>
        <v>6</v>
      </c>
      <c r="P29" s="642">
        <f>N29*O29*12</f>
        <v>3512921.04</v>
      </c>
      <c r="R29" s="970"/>
      <c r="S29" s="50"/>
      <c r="T29" s="50"/>
    </row>
    <row r="30" spans="3:20" x14ac:dyDescent="0.25">
      <c r="C30" s="583"/>
      <c r="F30" s="624" t="s">
        <v>171</v>
      </c>
      <c r="G30" s="625"/>
      <c r="H30" s="320" t="s">
        <v>165</v>
      </c>
      <c r="I30" s="652">
        <f>I26-I27-I29</f>
        <v>645072.55999999866</v>
      </c>
      <c r="J30" s="652">
        <f>J26-J27-J29</f>
        <v>3899601.1799999997</v>
      </c>
      <c r="K30" s="652">
        <f>K26-K27-K29</f>
        <v>15767237.469564104</v>
      </c>
      <c r="M30" s="636" t="s">
        <v>325</v>
      </c>
      <c r="N30" s="637">
        <f>'Mod. inversión'!D16</f>
        <v>6000</v>
      </c>
      <c r="O30" s="112">
        <v>4</v>
      </c>
      <c r="P30" s="640">
        <f t="shared" ref="P30:P39" si="0">N30*O30</f>
        <v>24000</v>
      </c>
      <c r="R30" s="970"/>
      <c r="S30" s="50"/>
      <c r="T30" s="50"/>
    </row>
    <row r="31" spans="3:20" ht="30" x14ac:dyDescent="0.25">
      <c r="C31" s="583" t="s">
        <v>378</v>
      </c>
      <c r="F31" s="624" t="s">
        <v>172</v>
      </c>
      <c r="G31" s="625"/>
      <c r="H31" s="649">
        <f>-H19</f>
        <v>-4084150</v>
      </c>
      <c r="I31" s="649">
        <f>-I19</f>
        <v>-1663000</v>
      </c>
      <c r="J31" s="637">
        <f>-J19+P30+P26+P32+P34+P36+P38</f>
        <v>-847000</v>
      </c>
      <c r="K31" s="637">
        <f>-K19+P27+P31+P33+P35+P37+P39</f>
        <v>-728000</v>
      </c>
      <c r="M31" s="636" t="s">
        <v>326</v>
      </c>
      <c r="N31" s="637">
        <f>'Mod. inversión'!D16</f>
        <v>6000</v>
      </c>
      <c r="O31" s="112">
        <v>6</v>
      </c>
      <c r="P31" s="640">
        <f t="shared" si="0"/>
        <v>36000</v>
      </c>
      <c r="R31" s="970"/>
      <c r="S31" s="50"/>
      <c r="T31" s="50"/>
    </row>
    <row r="32" spans="3:20" x14ac:dyDescent="0.25">
      <c r="C32" s="634"/>
      <c r="F32" s="624" t="s">
        <v>173</v>
      </c>
      <c r="G32" s="625"/>
      <c r="H32" s="652">
        <f>H31</f>
        <v>-4084150</v>
      </c>
      <c r="I32" s="652">
        <f>I30+I31</f>
        <v>-1017927.4400000013</v>
      </c>
      <c r="J32" s="652">
        <f>J30+J31</f>
        <v>3052601.1799999997</v>
      </c>
      <c r="K32" s="652">
        <f>K30+K31</f>
        <v>15039237.469564104</v>
      </c>
      <c r="M32" s="636" t="s">
        <v>327</v>
      </c>
      <c r="N32" s="637">
        <f>'Mod. inversión'!D17</f>
        <v>122000</v>
      </c>
      <c r="O32" s="112">
        <v>4</v>
      </c>
      <c r="P32" s="640">
        <f t="shared" si="0"/>
        <v>488000</v>
      </c>
      <c r="R32" s="970"/>
      <c r="S32" s="50"/>
      <c r="T32" s="50"/>
    </row>
    <row r="33" spans="3:20" ht="30.75" thickBot="1" x14ac:dyDescent="0.3">
      <c r="C33" s="634" t="s">
        <v>379</v>
      </c>
      <c r="F33" s="50"/>
      <c r="G33" s="50"/>
      <c r="H33" s="50"/>
      <c r="I33" s="50"/>
      <c r="J33" s="50"/>
      <c r="K33" s="50"/>
      <c r="M33" s="636" t="s">
        <v>328</v>
      </c>
      <c r="N33" s="637">
        <f>'Mod. inversión'!D17</f>
        <v>122000</v>
      </c>
      <c r="O33" s="112">
        <v>8</v>
      </c>
      <c r="P33" s="640">
        <f t="shared" si="0"/>
        <v>976000</v>
      </c>
      <c r="R33" s="970"/>
      <c r="S33" s="50"/>
      <c r="T33" s="50"/>
    </row>
    <row r="34" spans="3:20" ht="15.75" thickBot="1" x14ac:dyDescent="0.3">
      <c r="C34" s="634"/>
      <c r="F34" s="50"/>
      <c r="G34" s="979" t="s">
        <v>190</v>
      </c>
      <c r="H34" s="980"/>
      <c r="I34" s="50"/>
      <c r="J34" s="979" t="s">
        <v>209</v>
      </c>
      <c r="K34" s="980"/>
      <c r="M34" s="636" t="s">
        <v>329</v>
      </c>
      <c r="N34" s="637">
        <f>'Mod. inversión'!D18</f>
        <v>3000</v>
      </c>
      <c r="O34" s="112">
        <v>8</v>
      </c>
      <c r="P34" s="640">
        <f t="shared" si="0"/>
        <v>24000</v>
      </c>
      <c r="R34" s="970"/>
      <c r="S34" s="50"/>
      <c r="T34" s="50"/>
    </row>
    <row r="35" spans="3:20" x14ac:dyDescent="0.25">
      <c r="C35" s="634"/>
      <c r="F35" s="50"/>
      <c r="G35" s="630" t="s">
        <v>174</v>
      </c>
      <c r="H35" s="653">
        <f>'Escenario 1'!H35</f>
        <v>0.52</v>
      </c>
      <c r="I35" s="50"/>
      <c r="J35" s="630" t="s">
        <v>174</v>
      </c>
      <c r="K35" s="653">
        <f>H35</f>
        <v>0.52</v>
      </c>
      <c r="M35" s="636" t="s">
        <v>330</v>
      </c>
      <c r="N35" s="637">
        <f>'Mod. inversión'!D18</f>
        <v>3000</v>
      </c>
      <c r="O35" s="112">
        <v>14</v>
      </c>
      <c r="P35" s="640">
        <f t="shared" si="0"/>
        <v>42000</v>
      </c>
      <c r="R35" s="970"/>
      <c r="S35" s="50"/>
      <c r="T35" s="50"/>
    </row>
    <row r="36" spans="3:20" x14ac:dyDescent="0.25">
      <c r="C36" s="634"/>
      <c r="F36" s="50"/>
      <c r="G36" s="631" t="s">
        <v>175</v>
      </c>
      <c r="H36" s="654">
        <f>'Escenario 1'!H36</f>
        <v>3595484.6446466795</v>
      </c>
      <c r="I36" s="50"/>
      <c r="J36" s="631" t="s">
        <v>175</v>
      </c>
      <c r="K36" s="654">
        <f>NPV(K35,H19,I19:K19)</f>
        <v>4315273.4258101145</v>
      </c>
      <c r="M36" s="636" t="s">
        <v>331</v>
      </c>
      <c r="N36" s="637">
        <f>'Mod. inversión'!D19</f>
        <v>10000</v>
      </c>
      <c r="O36" s="112">
        <v>4</v>
      </c>
      <c r="P36" s="640">
        <f t="shared" si="0"/>
        <v>40000</v>
      </c>
      <c r="R36" s="970"/>
      <c r="S36" s="50"/>
      <c r="T36" s="50"/>
    </row>
    <row r="37" spans="3:20" ht="15.75" thickBot="1" x14ac:dyDescent="0.3">
      <c r="C37" s="634"/>
      <c r="G37" s="632" t="s">
        <v>176</v>
      </c>
      <c r="H37" s="655">
        <f>'Escenario 1'!H37</f>
        <v>0.32010122666246454</v>
      </c>
      <c r="J37" s="632" t="s">
        <v>176</v>
      </c>
      <c r="K37" s="655">
        <f>IRR(H32:K32,K35)</f>
        <v>0.61842821818868177</v>
      </c>
      <c r="M37" s="636" t="s">
        <v>332</v>
      </c>
      <c r="N37" s="637">
        <f>'Mod. inversión'!D19</f>
        <v>10000</v>
      </c>
      <c r="O37" s="112">
        <v>6</v>
      </c>
      <c r="P37" s="640">
        <f t="shared" si="0"/>
        <v>60000</v>
      </c>
      <c r="R37" s="970"/>
      <c r="S37" s="50"/>
      <c r="T37" s="50"/>
    </row>
    <row r="38" spans="3:20" x14ac:dyDescent="0.25">
      <c r="C38" s="634"/>
      <c r="M38" s="636" t="s">
        <v>333</v>
      </c>
      <c r="N38" s="637">
        <f>'Mod. inversión'!D15</f>
        <v>60000</v>
      </c>
      <c r="O38" s="112">
        <v>4</v>
      </c>
      <c r="P38" s="640">
        <f t="shared" si="0"/>
        <v>240000</v>
      </c>
      <c r="R38" s="970"/>
      <c r="S38" s="50"/>
      <c r="T38" s="50"/>
    </row>
    <row r="39" spans="3:20" ht="15.75" thickBot="1" x14ac:dyDescent="0.3">
      <c r="C39" s="635"/>
      <c r="M39" s="636" t="s">
        <v>334</v>
      </c>
      <c r="N39" s="637">
        <f>'Mod. inversión'!D15</f>
        <v>60000</v>
      </c>
      <c r="O39" s="112">
        <v>8</v>
      </c>
      <c r="P39" s="640">
        <f t="shared" si="0"/>
        <v>480000</v>
      </c>
      <c r="R39" s="970"/>
      <c r="S39" s="50"/>
      <c r="T39" s="50"/>
    </row>
    <row r="40" spans="3:20" ht="15" customHeight="1" x14ac:dyDescent="0.25">
      <c r="G40" s="982" t="s">
        <v>90</v>
      </c>
      <c r="H40" s="983"/>
      <c r="I40" s="983"/>
      <c r="J40" s="983"/>
      <c r="K40" s="984"/>
      <c r="M40" s="636" t="s">
        <v>339</v>
      </c>
      <c r="N40" s="638">
        <f>'Costos RRHH'!L20+'Costos RRHH'!L21</f>
        <v>195125.14</v>
      </c>
      <c r="O40" s="641">
        <v>1</v>
      </c>
      <c r="P40" s="642">
        <f>N40*O40*12</f>
        <v>2341501.6800000002</v>
      </c>
      <c r="R40" s="970"/>
      <c r="S40" s="50"/>
      <c r="T40" s="50"/>
    </row>
    <row r="41" spans="3:20" ht="3" customHeight="1" thickBot="1" x14ac:dyDescent="0.3">
      <c r="G41" s="985"/>
      <c r="H41" s="986"/>
      <c r="I41" s="986"/>
      <c r="J41" s="986"/>
      <c r="K41" s="987"/>
    </row>
    <row r="42" spans="3:20" ht="69.75" customHeight="1" thickBot="1" x14ac:dyDescent="0.3">
      <c r="G42" s="973" t="s">
        <v>342</v>
      </c>
      <c r="H42" s="974"/>
      <c r="I42" s="974"/>
      <c r="J42" s="974"/>
      <c r="K42" s="975"/>
    </row>
  </sheetData>
  <mergeCells count="15">
    <mergeCell ref="R19:R40"/>
    <mergeCell ref="C18:C20"/>
    <mergeCell ref="C22:C23"/>
    <mergeCell ref="G42:K42"/>
    <mergeCell ref="C3:N3"/>
    <mergeCell ref="G34:H34"/>
    <mergeCell ref="J34:K34"/>
    <mergeCell ref="M25:N25"/>
    <mergeCell ref="G40:K41"/>
    <mergeCell ref="C6:C8"/>
    <mergeCell ref="C10:C12"/>
    <mergeCell ref="I5:K5"/>
    <mergeCell ref="M21:N21"/>
    <mergeCell ref="F23:F25"/>
    <mergeCell ref="F28:G28"/>
  </mergeCells>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3:B8"/>
  <sheetViews>
    <sheetView workbookViewId="0">
      <selection activeCell="B8" sqref="B8"/>
    </sheetView>
  </sheetViews>
  <sheetFormatPr baseColWidth="10" defaultRowHeight="15" x14ac:dyDescent="0.25"/>
  <cols>
    <col min="1" max="1" width="22" bestFit="1" customWidth="1"/>
    <col min="2" max="2" width="49.28515625" customWidth="1"/>
    <col min="3" max="3" width="23" bestFit="1" customWidth="1"/>
    <col min="4" max="4" width="29.5703125" customWidth="1"/>
    <col min="5" max="5" width="15.5703125" bestFit="1" customWidth="1"/>
  </cols>
  <sheetData>
    <row r="3" spans="2:2" x14ac:dyDescent="0.25">
      <c r="B3" t="s">
        <v>313</v>
      </c>
    </row>
    <row r="7" spans="2:2" x14ac:dyDescent="0.25">
      <c r="B7" s="6"/>
    </row>
    <row r="8" spans="2:2" x14ac:dyDescent="0.25">
      <c r="B8"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D1:D18"/>
  <sheetViews>
    <sheetView workbookViewId="0">
      <selection activeCell="D4" sqref="D4"/>
    </sheetView>
  </sheetViews>
  <sheetFormatPr baseColWidth="10" defaultColWidth="11.42578125" defaultRowHeight="15" x14ac:dyDescent="0.25"/>
  <cols>
    <col min="1" max="1" width="11.42578125" style="341"/>
    <col min="2" max="2" width="13" style="341" bestFit="1" customWidth="1"/>
    <col min="3" max="3" width="11.42578125" style="341"/>
    <col min="4" max="4" width="35.5703125" style="341" customWidth="1"/>
    <col min="5" max="16384" width="11.42578125" style="341"/>
  </cols>
  <sheetData>
    <row r="1" spans="4:4" ht="15.75" thickBot="1" x14ac:dyDescent="0.3">
      <c r="D1" s="340"/>
    </row>
    <row r="2" spans="4:4" ht="21.75" thickBot="1" x14ac:dyDescent="0.4">
      <c r="D2" s="555" t="s">
        <v>14</v>
      </c>
    </row>
    <row r="3" spans="4:4" ht="15.75" thickBot="1" x14ac:dyDescent="0.3"/>
    <row r="4" spans="4:4" ht="18.75" x14ac:dyDescent="0.25">
      <c r="D4" s="556" t="s">
        <v>1</v>
      </c>
    </row>
    <row r="5" spans="4:4" ht="18.75" x14ac:dyDescent="0.25">
      <c r="D5" s="557" t="s">
        <v>2</v>
      </c>
    </row>
    <row r="6" spans="4:4" ht="18.75" x14ac:dyDescent="0.25">
      <c r="D6" s="557" t="s">
        <v>3</v>
      </c>
    </row>
    <row r="7" spans="4:4" ht="18.75" x14ac:dyDescent="0.25">
      <c r="D7" s="557" t="s">
        <v>4</v>
      </c>
    </row>
    <row r="8" spans="4:4" ht="18.75" x14ac:dyDescent="0.25">
      <c r="D8" s="557" t="s">
        <v>5</v>
      </c>
    </row>
    <row r="9" spans="4:4" ht="18.75" x14ac:dyDescent="0.25">
      <c r="D9" s="557" t="s">
        <v>6</v>
      </c>
    </row>
    <row r="10" spans="4:4" ht="18.75" x14ac:dyDescent="0.25">
      <c r="D10" s="557" t="s">
        <v>7</v>
      </c>
    </row>
    <row r="11" spans="4:4" ht="18.75" x14ac:dyDescent="0.25">
      <c r="D11" s="557" t="s">
        <v>8</v>
      </c>
    </row>
    <row r="12" spans="4:4" ht="18.75" x14ac:dyDescent="0.25">
      <c r="D12" s="557" t="s">
        <v>9</v>
      </c>
    </row>
    <row r="13" spans="4:4" ht="18.75" x14ac:dyDescent="0.25">
      <c r="D13" s="557" t="s">
        <v>10</v>
      </c>
    </row>
    <row r="14" spans="4:4" ht="18.75" x14ac:dyDescent="0.25">
      <c r="D14" s="557" t="s">
        <v>11</v>
      </c>
    </row>
    <row r="15" spans="4:4" ht="18.75" x14ac:dyDescent="0.25">
      <c r="D15" s="557" t="s">
        <v>200</v>
      </c>
    </row>
    <row r="16" spans="4:4" ht="18.75" x14ac:dyDescent="0.25">
      <c r="D16" s="557" t="s">
        <v>186</v>
      </c>
    </row>
    <row r="17" spans="4:4" ht="18.75" x14ac:dyDescent="0.25">
      <c r="D17" s="557" t="s">
        <v>190</v>
      </c>
    </row>
    <row r="18" spans="4:4" ht="19.5" thickBot="1" x14ac:dyDescent="0.3">
      <c r="D18" s="558" t="s">
        <v>12</v>
      </c>
    </row>
  </sheetData>
  <hyperlinks>
    <hyperlink ref="D4" location="Hipótesis!A1" display="Hipótesis" xr:uid="{00000000-0004-0000-0100-000000000000}"/>
    <hyperlink ref="D5" location="'Proy. Ventas'!A1" display="Proyección de ventas" xr:uid="{00000000-0004-0000-0100-000001000000}"/>
    <hyperlink ref="D6" location="'Mod. Ingresos'!A1" display="Modelo de ingresos" xr:uid="{00000000-0004-0000-0100-000002000000}"/>
    <hyperlink ref="D7" location="'Costos Fijos'!A1" display="Estructura de costos fijos" xr:uid="{00000000-0004-0000-0100-000003000000}"/>
    <hyperlink ref="D8" location="'Costos Variables'!A1" display="Estructura de costos variables" xr:uid="{00000000-0004-0000-0100-000004000000}"/>
    <hyperlink ref="D9" location="'Costos RRHH'!A1" display="Estructura de costos de RRHH" xr:uid="{00000000-0004-0000-0100-000005000000}"/>
    <hyperlink ref="D10" location="'Mod. Egresos'!A1" display="Modelo de egresos" xr:uid="{00000000-0004-0000-0100-000006000000}"/>
    <hyperlink ref="D11" location="'Mod. Inversión'!A1" display="Modelo de inversión" xr:uid="{00000000-0004-0000-0100-000007000000}"/>
    <hyperlink ref="D12" location="Amortizaciones!A1" display="Amortizaciones" xr:uid="{00000000-0004-0000-0100-000008000000}"/>
    <hyperlink ref="D13" location="'Presupuesto financiero'!A1" display="Presupuesto Financiero" xr:uid="{00000000-0004-0000-0100-000009000000}"/>
    <hyperlink ref="D14" location="'Matriz Riesgo'!A1" display="Matriz de riesgos" xr:uid="{00000000-0004-0000-0100-00000A000000}"/>
    <hyperlink ref="D15" location="'Escenario 1'!A1" display="Escenario 1" xr:uid="{00000000-0004-0000-0100-00000B000000}"/>
    <hyperlink ref="D18" location="'Plan de Contingencia'!A1" display="Plan de contingencia" xr:uid="{00000000-0004-0000-0100-00000C000000}"/>
    <hyperlink ref="D16" location="'Escenario 2'!A1" display="Escenario 2" xr:uid="{00000000-0004-0000-0100-00000D000000}"/>
    <hyperlink ref="D17" location="'Escenario 3'!A1" display="Escenario 3" xr:uid="{00000000-0004-0000-0100-00000E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R69"/>
  <sheetViews>
    <sheetView zoomScale="80" zoomScaleNormal="80" workbookViewId="0">
      <pane ySplit="1" topLeftCell="A2" activePane="bottomLeft" state="frozen"/>
      <selection pane="bottomLeft" activeCell="B27" sqref="B27"/>
    </sheetView>
  </sheetViews>
  <sheetFormatPr baseColWidth="10" defaultColWidth="11.42578125" defaultRowHeight="15" x14ac:dyDescent="0.25"/>
  <cols>
    <col min="1" max="1" width="11.42578125" style="1"/>
    <col min="2" max="2" width="33.28515625" style="1" customWidth="1"/>
    <col min="3" max="3" width="32.85546875" style="1" customWidth="1"/>
    <col min="4" max="4" width="29.28515625" style="1" customWidth="1"/>
    <col min="5" max="5" width="35.28515625" style="1" customWidth="1"/>
    <col min="6" max="6" width="24.42578125" style="1" customWidth="1"/>
    <col min="7" max="7" width="11.42578125" style="1"/>
    <col min="8" max="8" width="15.5703125" style="1" customWidth="1"/>
    <col min="9" max="13" width="11.42578125" style="1"/>
    <col min="14" max="14" width="8.85546875" style="1" customWidth="1"/>
    <col min="15" max="15" width="43.5703125" style="1" bestFit="1" customWidth="1"/>
    <col min="16" max="16384" width="11.42578125" style="1"/>
  </cols>
  <sheetData>
    <row r="1" spans="1:18" s="344" customFormat="1" ht="58.5" customHeight="1" x14ac:dyDescent="0.25">
      <c r="A1" s="442"/>
      <c r="B1" s="442"/>
      <c r="C1" s="442"/>
      <c r="D1" s="442"/>
      <c r="E1" s="443" t="s">
        <v>1</v>
      </c>
      <c r="F1" s="444"/>
      <c r="G1" s="444"/>
      <c r="H1" s="442"/>
      <c r="I1" s="442"/>
      <c r="J1" s="442"/>
      <c r="K1" s="442"/>
      <c r="L1" s="442"/>
      <c r="M1" s="442"/>
      <c r="N1" s="442"/>
      <c r="O1" s="442"/>
      <c r="P1" s="442"/>
      <c r="Q1" s="442"/>
      <c r="R1" s="442"/>
    </row>
    <row r="2" spans="1:18" ht="15.75" thickBot="1" x14ac:dyDescent="0.3">
      <c r="C2" s="5"/>
    </row>
    <row r="3" spans="1:18" ht="27" thickBot="1" x14ac:dyDescent="0.45">
      <c r="B3" s="670" t="s">
        <v>54</v>
      </c>
      <c r="C3" s="671"/>
      <c r="D3" s="671"/>
      <c r="E3" s="671"/>
      <c r="F3" s="671"/>
      <c r="G3" s="671"/>
      <c r="H3" s="671"/>
      <c r="I3" s="671"/>
      <c r="J3" s="672"/>
    </row>
    <row r="4" spans="1:18" ht="94.5" customHeight="1" x14ac:dyDescent="0.25">
      <c r="B4" s="694" t="s">
        <v>219</v>
      </c>
      <c r="C4" s="695"/>
      <c r="D4" s="695"/>
      <c r="E4" s="695"/>
      <c r="F4" s="695"/>
      <c r="G4" s="695"/>
      <c r="H4" s="695"/>
      <c r="I4" s="695"/>
      <c r="J4" s="696"/>
      <c r="K4" s="4"/>
    </row>
    <row r="6" spans="1:18" ht="15.75" thickBot="1" x14ac:dyDescent="0.3"/>
    <row r="7" spans="1:18" ht="27" thickBot="1" x14ac:dyDescent="0.45">
      <c r="B7" s="665" t="s">
        <v>55</v>
      </c>
      <c r="C7" s="666"/>
      <c r="D7" s="666"/>
      <c r="E7" s="666"/>
      <c r="F7" s="666"/>
      <c r="G7" s="666"/>
      <c r="H7" s="666"/>
      <c r="I7" s="666"/>
      <c r="J7" s="667"/>
    </row>
    <row r="8" spans="1:18" ht="92.25" customHeight="1" x14ac:dyDescent="0.25">
      <c r="B8" s="668" t="s">
        <v>250</v>
      </c>
      <c r="C8" s="668"/>
      <c r="D8" s="668"/>
      <c r="E8" s="668"/>
      <c r="F8" s="668"/>
      <c r="G8" s="668"/>
      <c r="H8" s="668"/>
      <c r="I8" s="668"/>
      <c r="J8" s="668"/>
      <c r="L8" s="163"/>
      <c r="M8" s="163"/>
    </row>
    <row r="9" spans="1:18" ht="18.75" x14ac:dyDescent="0.25">
      <c r="B9" s="108"/>
      <c r="C9" s="108"/>
      <c r="D9" s="108"/>
      <c r="E9" s="108"/>
      <c r="F9" s="108"/>
      <c r="G9" s="108"/>
      <c r="H9" s="108"/>
      <c r="I9" s="108"/>
      <c r="J9" s="108"/>
    </row>
    <row r="10" spans="1:18" ht="18.75" x14ac:dyDescent="0.25">
      <c r="B10" s="108"/>
      <c r="C10" s="108"/>
      <c r="D10" s="108"/>
      <c r="E10" s="108"/>
      <c r="F10" s="108"/>
      <c r="G10" s="108"/>
      <c r="H10" s="108"/>
      <c r="I10" s="108"/>
      <c r="J10" s="108"/>
    </row>
    <row r="11" spans="1:18" ht="18.75" x14ac:dyDescent="0.25">
      <c r="B11" s="445" t="s">
        <v>249</v>
      </c>
      <c r="C11" s="445" t="s">
        <v>248</v>
      </c>
      <c r="D11" s="445" t="s">
        <v>247</v>
      </c>
      <c r="E11" s="108"/>
      <c r="F11" s="108"/>
      <c r="G11" s="108"/>
      <c r="H11" s="108"/>
      <c r="I11" s="108"/>
      <c r="J11" s="108"/>
    </row>
    <row r="12" spans="1:18" ht="21" customHeight="1" x14ac:dyDescent="0.25">
      <c r="B12" s="168">
        <v>809000</v>
      </c>
      <c r="C12" s="168">
        <v>3000</v>
      </c>
      <c r="D12" s="446">
        <f>B12*C12</f>
        <v>2427000000</v>
      </c>
      <c r="E12" s="440"/>
      <c r="F12" s="441"/>
      <c r="G12" s="441"/>
      <c r="H12" s="108"/>
      <c r="I12" s="108"/>
      <c r="J12" s="108"/>
    </row>
    <row r="13" spans="1:18" ht="12" customHeight="1" x14ac:dyDescent="0.25">
      <c r="B13" s="108"/>
      <c r="C13" s="108"/>
      <c r="D13" s="108"/>
      <c r="E13" s="108"/>
      <c r="F13" s="108"/>
      <c r="G13" s="108"/>
      <c r="H13" s="108"/>
      <c r="I13" s="108"/>
      <c r="J13" s="108"/>
    </row>
    <row r="14" spans="1:18" ht="12.75" customHeight="1" thickBot="1" x14ac:dyDescent="0.3"/>
    <row r="15" spans="1:18" ht="27" thickBot="1" x14ac:dyDescent="0.45">
      <c r="B15" s="665" t="s">
        <v>56</v>
      </c>
      <c r="C15" s="666"/>
      <c r="D15" s="666"/>
      <c r="E15" s="666"/>
      <c r="F15" s="666"/>
      <c r="G15" s="666"/>
      <c r="H15" s="666"/>
      <c r="I15" s="666"/>
      <c r="J15" s="667"/>
    </row>
    <row r="16" spans="1:18" ht="73.5" customHeight="1" x14ac:dyDescent="0.25">
      <c r="B16" s="668" t="s">
        <v>281</v>
      </c>
      <c r="C16" s="668"/>
      <c r="D16" s="668"/>
      <c r="E16" s="668"/>
      <c r="F16" s="668"/>
      <c r="G16" s="668"/>
      <c r="H16" s="668"/>
      <c r="I16" s="668"/>
      <c r="J16" s="668"/>
    </row>
    <row r="17" spans="2:14" ht="15.75" x14ac:dyDescent="0.25">
      <c r="B17" s="8"/>
      <c r="C17" s="8"/>
      <c r="D17" s="8"/>
      <c r="E17" s="8"/>
      <c r="F17" s="8"/>
      <c r="G17" s="8"/>
      <c r="H17" s="8"/>
      <c r="I17" s="8"/>
      <c r="J17" s="8"/>
      <c r="K17" s="8"/>
      <c r="L17" s="8"/>
      <c r="M17" s="8"/>
      <c r="N17" s="8"/>
    </row>
    <row r="18" spans="2:14" ht="15.75" x14ac:dyDescent="0.25">
      <c r="E18" s="8"/>
      <c r="F18" s="8"/>
      <c r="G18" s="8"/>
      <c r="H18" s="8"/>
      <c r="I18" s="8"/>
      <c r="J18" s="8"/>
      <c r="K18" s="8"/>
      <c r="L18" s="8"/>
      <c r="M18" s="8"/>
      <c r="N18" s="8"/>
    </row>
    <row r="19" spans="2:14" ht="15.75" x14ac:dyDescent="0.25">
      <c r="E19" s="8"/>
      <c r="F19" s="8"/>
      <c r="G19" s="8"/>
      <c r="H19" s="8"/>
      <c r="I19" s="8"/>
      <c r="J19" s="8"/>
      <c r="K19" s="8"/>
      <c r="L19" s="8"/>
      <c r="M19" s="8"/>
      <c r="N19" s="8"/>
    </row>
    <row r="20" spans="2:14" ht="15.75" x14ac:dyDescent="0.25">
      <c r="D20" s="8"/>
      <c r="E20" s="8"/>
      <c r="F20" s="8"/>
      <c r="G20" s="8"/>
      <c r="H20" s="8"/>
      <c r="I20" s="8"/>
      <c r="J20" s="8"/>
      <c r="K20" s="8"/>
      <c r="L20" s="8"/>
      <c r="M20" s="8"/>
      <c r="N20" s="8"/>
    </row>
    <row r="21" spans="2:14" ht="15.75" x14ac:dyDescent="0.25">
      <c r="B21" s="8"/>
      <c r="C21" s="8"/>
      <c r="D21" s="8"/>
      <c r="E21" s="8"/>
      <c r="F21" s="8"/>
      <c r="G21" s="8"/>
      <c r="H21" s="8"/>
      <c r="I21" s="8"/>
      <c r="J21" s="8"/>
      <c r="K21" s="8"/>
      <c r="L21" s="8"/>
      <c r="M21" s="8"/>
      <c r="N21" s="8"/>
    </row>
    <row r="22" spans="2:14" ht="26.25" x14ac:dyDescent="0.25">
      <c r="B22" s="679" t="s">
        <v>51</v>
      </c>
      <c r="C22" s="680"/>
      <c r="D22" s="681"/>
      <c r="E22" s="8"/>
      <c r="F22" s="8"/>
      <c r="G22" s="8"/>
      <c r="H22" s="8"/>
      <c r="I22" s="8"/>
      <c r="J22" s="8"/>
      <c r="K22" s="8"/>
      <c r="L22" s="8"/>
      <c r="M22" s="8"/>
      <c r="N22" s="8"/>
    </row>
    <row r="23" spans="2:14" ht="18.75" x14ac:dyDescent="0.25">
      <c r="B23" s="447" t="s">
        <v>23</v>
      </c>
      <c r="C23" s="447" t="s">
        <v>24</v>
      </c>
      <c r="D23" s="447" t="s">
        <v>15</v>
      </c>
      <c r="E23" s="8"/>
      <c r="F23" s="8"/>
      <c r="G23" s="8"/>
      <c r="H23" s="8"/>
      <c r="I23" s="8"/>
      <c r="J23" s="8"/>
      <c r="K23" s="8"/>
      <c r="L23" s="8"/>
      <c r="M23" s="8"/>
      <c r="N23" s="8"/>
    </row>
    <row r="24" spans="2:14" ht="15.75" x14ac:dyDescent="0.25">
      <c r="B24" s="10">
        <v>2021</v>
      </c>
      <c r="C24" s="490">
        <v>1.2999999999999999E-2</v>
      </c>
      <c r="D24" s="11">
        <f>C24*$D$12</f>
        <v>31551000</v>
      </c>
      <c r="E24" s="8"/>
      <c r="F24" s="8"/>
      <c r="G24" s="8"/>
      <c r="H24" s="8"/>
      <c r="I24" s="8"/>
      <c r="J24" s="8"/>
      <c r="K24" s="8"/>
      <c r="L24" s="8"/>
      <c r="M24" s="8"/>
      <c r="N24" s="8"/>
    </row>
    <row r="25" spans="2:14" ht="15.75" x14ac:dyDescent="0.25">
      <c r="B25" s="10">
        <v>2022</v>
      </c>
      <c r="C25" s="490">
        <v>2.5000000000000001E-2</v>
      </c>
      <c r="D25" s="11">
        <f t="shared" ref="D25:D26" si="0">C25*$D$12</f>
        <v>60675000</v>
      </c>
      <c r="E25" s="8"/>
      <c r="F25" s="8"/>
      <c r="G25" s="8"/>
      <c r="H25" s="8"/>
      <c r="I25" s="8"/>
      <c r="J25" s="8"/>
      <c r="K25" s="8"/>
      <c r="L25" s="8"/>
      <c r="M25" s="8"/>
      <c r="N25" s="8"/>
    </row>
    <row r="26" spans="2:14" ht="15.75" x14ac:dyDescent="0.25">
      <c r="B26" s="10">
        <v>2023</v>
      </c>
      <c r="C26" s="490">
        <v>0.04</v>
      </c>
      <c r="D26" s="11">
        <f t="shared" si="0"/>
        <v>97080000</v>
      </c>
      <c r="E26" s="8"/>
      <c r="F26" s="8"/>
      <c r="G26" s="8"/>
      <c r="H26" s="8"/>
      <c r="I26" s="8"/>
      <c r="J26" s="8"/>
      <c r="K26" s="8"/>
      <c r="L26" s="8"/>
      <c r="M26" s="8"/>
      <c r="N26" s="8"/>
    </row>
    <row r="27" spans="2:14" ht="15.75" x14ac:dyDescent="0.25">
      <c r="B27" s="8"/>
      <c r="C27" s="78"/>
      <c r="D27" s="79"/>
      <c r="E27" s="8"/>
      <c r="F27" s="8"/>
      <c r="G27" s="8"/>
      <c r="H27" s="8"/>
      <c r="I27" s="8"/>
      <c r="J27" s="8"/>
      <c r="K27" s="8"/>
      <c r="L27" s="8"/>
      <c r="M27" s="8"/>
      <c r="N27" s="8"/>
    </row>
    <row r="28" spans="2:14" ht="15.75" x14ac:dyDescent="0.25">
      <c r="B28" s="8"/>
      <c r="C28" s="78"/>
      <c r="D28" s="79"/>
      <c r="E28" s="8"/>
      <c r="F28" s="8"/>
      <c r="G28" s="8"/>
      <c r="H28" s="8"/>
      <c r="I28" s="8"/>
      <c r="J28" s="8"/>
      <c r="K28" s="8"/>
      <c r="L28" s="8"/>
      <c r="M28" s="8"/>
      <c r="N28" s="8"/>
    </row>
    <row r="29" spans="2:14" ht="15.75" x14ac:dyDescent="0.25">
      <c r="B29" s="8"/>
      <c r="C29" s="78"/>
      <c r="D29" s="79"/>
      <c r="E29" s="8"/>
      <c r="F29" s="8"/>
      <c r="G29" s="8"/>
      <c r="H29" s="8"/>
      <c r="I29" s="8"/>
      <c r="J29" s="8"/>
      <c r="K29" s="8"/>
      <c r="L29" s="8"/>
      <c r="M29" s="8"/>
      <c r="N29" s="8"/>
    </row>
    <row r="30" spans="2:14" ht="15.75" x14ac:dyDescent="0.25">
      <c r="B30" s="8"/>
      <c r="C30" s="78"/>
      <c r="D30" s="79"/>
      <c r="E30" s="8"/>
      <c r="F30" s="8"/>
      <c r="G30" s="8"/>
      <c r="H30" s="8"/>
      <c r="I30" s="8"/>
      <c r="J30" s="8"/>
      <c r="K30" s="8"/>
      <c r="L30" s="8"/>
      <c r="M30" s="8"/>
      <c r="N30" s="8"/>
    </row>
    <row r="31" spans="2:14" ht="15.75" x14ac:dyDescent="0.25">
      <c r="B31" s="8"/>
      <c r="C31" s="78"/>
      <c r="D31" s="79"/>
      <c r="E31" s="8"/>
      <c r="F31" s="8"/>
      <c r="G31" s="8"/>
      <c r="H31" s="8"/>
      <c r="I31" s="8"/>
      <c r="J31" s="8"/>
      <c r="K31" s="8"/>
      <c r="L31" s="8"/>
      <c r="M31" s="8"/>
      <c r="N31" s="8"/>
    </row>
    <row r="32" spans="2:14" ht="16.5" thickBot="1" x14ac:dyDescent="0.3">
      <c r="B32" s="8"/>
      <c r="C32" s="8"/>
      <c r="D32" s="8"/>
      <c r="E32" s="8"/>
      <c r="F32" s="8"/>
      <c r="H32" s="8"/>
      <c r="I32" s="8"/>
      <c r="J32" s="8"/>
      <c r="K32" s="8"/>
      <c r="L32" s="8"/>
      <c r="M32" s="8"/>
      <c r="N32" s="8"/>
    </row>
    <row r="33" spans="1:14" ht="27" thickBot="1" x14ac:dyDescent="0.45">
      <c r="B33" s="670" t="s">
        <v>57</v>
      </c>
      <c r="C33" s="671"/>
      <c r="D33" s="671"/>
      <c r="E33" s="671"/>
      <c r="F33" s="672"/>
      <c r="H33" s="83"/>
      <c r="I33" s="83"/>
      <c r="J33" s="83"/>
      <c r="K33" s="83"/>
      <c r="L33" s="83"/>
      <c r="M33" s="83"/>
      <c r="N33" s="83"/>
    </row>
    <row r="34" spans="1:14" ht="27" thickBot="1" x14ac:dyDescent="0.45">
      <c r="A34" s="50"/>
      <c r="B34" s="18"/>
      <c r="C34" s="18"/>
      <c r="D34" s="18"/>
      <c r="E34" s="18"/>
      <c r="F34" s="18"/>
      <c r="G34" s="50"/>
      <c r="H34" s="83"/>
      <c r="I34" s="83"/>
      <c r="J34" s="83"/>
      <c r="K34" s="83"/>
      <c r="L34" s="83"/>
      <c r="M34" s="83"/>
      <c r="N34" s="83"/>
    </row>
    <row r="35" spans="1:14" ht="27" thickBot="1" x14ac:dyDescent="0.45">
      <c r="B35" s="670" t="s">
        <v>19</v>
      </c>
      <c r="C35" s="671"/>
      <c r="D35" s="671"/>
      <c r="E35" s="671"/>
      <c r="F35" s="672"/>
    </row>
    <row r="36" spans="1:14" ht="20.25" customHeight="1" x14ac:dyDescent="0.25">
      <c r="B36" s="9"/>
      <c r="C36" s="682" t="s">
        <v>18</v>
      </c>
      <c r="D36" s="683"/>
      <c r="E36" s="683"/>
      <c r="F36" s="684"/>
    </row>
    <row r="37" spans="1:14" ht="15" hidden="1" customHeight="1" x14ac:dyDescent="0.25">
      <c r="B37" s="9"/>
      <c r="C37" s="685"/>
      <c r="D37" s="686"/>
      <c r="E37" s="686"/>
      <c r="F37" s="687"/>
    </row>
    <row r="38" spans="1:14" ht="15.75" thickBot="1" x14ac:dyDescent="0.3">
      <c r="B38" s="9"/>
      <c r="C38" s="688"/>
      <c r="D38" s="689"/>
      <c r="E38" s="689"/>
      <c r="F38" s="690"/>
    </row>
    <row r="39" spans="1:14" ht="16.5" thickBot="1" x14ac:dyDescent="0.3">
      <c r="B39" s="9"/>
      <c r="C39" s="448" t="s">
        <v>233</v>
      </c>
      <c r="D39" s="448" t="s">
        <v>234</v>
      </c>
      <c r="E39" s="449" t="s">
        <v>235</v>
      </c>
      <c r="F39" s="449" t="s">
        <v>236</v>
      </c>
    </row>
    <row r="40" spans="1:14" ht="15.75" customHeight="1" x14ac:dyDescent="0.25">
      <c r="B40" s="691" t="s">
        <v>17</v>
      </c>
      <c r="C40" s="673" t="s">
        <v>220</v>
      </c>
      <c r="D40" s="669" t="s">
        <v>223</v>
      </c>
      <c r="E40" s="678" t="s">
        <v>226</v>
      </c>
      <c r="F40" s="674" t="s">
        <v>229</v>
      </c>
    </row>
    <row r="41" spans="1:14" ht="15" customHeight="1" x14ac:dyDescent="0.25">
      <c r="B41" s="692"/>
      <c r="C41" s="673"/>
      <c r="D41" s="669"/>
      <c r="E41" s="678"/>
      <c r="F41" s="674"/>
    </row>
    <row r="42" spans="1:14" ht="15.75" customHeight="1" x14ac:dyDescent="0.25">
      <c r="B42" s="692"/>
      <c r="C42" s="673"/>
      <c r="D42" s="669"/>
      <c r="E42" s="678"/>
      <c r="F42" s="674"/>
    </row>
    <row r="43" spans="1:14" ht="15" customHeight="1" x14ac:dyDescent="0.25">
      <c r="B43" s="692"/>
      <c r="C43" s="673"/>
      <c r="D43" s="669"/>
      <c r="E43" s="678"/>
      <c r="F43" s="674"/>
    </row>
    <row r="44" spans="1:14" ht="15" customHeight="1" x14ac:dyDescent="0.25">
      <c r="B44" s="692"/>
      <c r="C44" s="673" t="s">
        <v>221</v>
      </c>
      <c r="D44" s="669" t="s">
        <v>224</v>
      </c>
      <c r="E44" s="678" t="s">
        <v>227</v>
      </c>
      <c r="F44" s="674" t="s">
        <v>230</v>
      </c>
    </row>
    <row r="45" spans="1:14" ht="15.75" customHeight="1" x14ac:dyDescent="0.25">
      <c r="B45" s="692"/>
      <c r="C45" s="673"/>
      <c r="D45" s="669"/>
      <c r="E45" s="678"/>
      <c r="F45" s="674"/>
    </row>
    <row r="46" spans="1:14" ht="15" customHeight="1" x14ac:dyDescent="0.25">
      <c r="B46" s="692"/>
      <c r="C46" s="673"/>
      <c r="D46" s="669"/>
      <c r="E46" s="678"/>
      <c r="F46" s="674"/>
    </row>
    <row r="47" spans="1:14" ht="15" customHeight="1" x14ac:dyDescent="0.25">
      <c r="B47" s="692"/>
      <c r="C47" s="673"/>
      <c r="D47" s="669"/>
      <c r="E47" s="678"/>
      <c r="F47" s="674"/>
    </row>
    <row r="48" spans="1:14" ht="15.75" customHeight="1" x14ac:dyDescent="0.25">
      <c r="B48" s="692"/>
      <c r="C48" s="673"/>
      <c r="D48" s="669"/>
      <c r="E48" s="678"/>
      <c r="F48" s="674"/>
    </row>
    <row r="49" spans="2:6" ht="15" customHeight="1" x14ac:dyDescent="0.25">
      <c r="B49" s="692"/>
      <c r="C49" s="673" t="s">
        <v>222</v>
      </c>
      <c r="D49" s="669" t="s">
        <v>225</v>
      </c>
      <c r="E49" s="678" t="s">
        <v>228</v>
      </c>
      <c r="F49" s="675" t="s">
        <v>231</v>
      </c>
    </row>
    <row r="50" spans="2:6" ht="15" customHeight="1" x14ac:dyDescent="0.25">
      <c r="B50" s="692"/>
      <c r="C50" s="673"/>
      <c r="D50" s="669"/>
      <c r="E50" s="678"/>
      <c r="F50" s="676"/>
    </row>
    <row r="51" spans="2:6" ht="15.75" customHeight="1" x14ac:dyDescent="0.25">
      <c r="B51" s="692"/>
      <c r="C51" s="673"/>
      <c r="D51" s="669"/>
      <c r="E51" s="678"/>
      <c r="F51" s="676"/>
    </row>
    <row r="52" spans="2:6" ht="15" customHeight="1" x14ac:dyDescent="0.25">
      <c r="B52" s="692"/>
      <c r="C52" s="673"/>
      <c r="D52" s="669"/>
      <c r="E52" s="678"/>
      <c r="F52" s="676"/>
    </row>
    <row r="53" spans="2:6" ht="15.75" customHeight="1" thickBot="1" x14ac:dyDescent="0.3">
      <c r="B53" s="693"/>
      <c r="C53" s="673"/>
      <c r="D53" s="669"/>
      <c r="E53" s="678"/>
      <c r="F53" s="677"/>
    </row>
    <row r="55" spans="2:6" ht="15.75" thickBot="1" x14ac:dyDescent="0.3"/>
    <row r="56" spans="2:6" ht="27" thickBot="1" x14ac:dyDescent="0.45">
      <c r="B56" s="662" t="s">
        <v>16</v>
      </c>
      <c r="C56" s="663"/>
      <c r="D56" s="664"/>
    </row>
    <row r="57" spans="2:6" ht="16.5" thickBot="1" x14ac:dyDescent="0.3">
      <c r="B57" s="450" t="s">
        <v>20</v>
      </c>
      <c r="C57" s="451" t="s">
        <v>21</v>
      </c>
      <c r="D57" s="452" t="s">
        <v>25</v>
      </c>
    </row>
    <row r="58" spans="2:6" ht="15.75" x14ac:dyDescent="0.25">
      <c r="B58" s="54" t="s">
        <v>220</v>
      </c>
      <c r="C58" s="55">
        <v>3500</v>
      </c>
      <c r="D58" s="56"/>
    </row>
    <row r="59" spans="2:6" ht="15.75" x14ac:dyDescent="0.25">
      <c r="B59" s="57" t="s">
        <v>221</v>
      </c>
      <c r="C59" s="51">
        <v>3000</v>
      </c>
      <c r="D59" s="58"/>
    </row>
    <row r="60" spans="2:6" ht="16.5" thickBot="1" x14ac:dyDescent="0.3">
      <c r="B60" s="59" t="s">
        <v>222</v>
      </c>
      <c r="C60" s="60">
        <v>2500</v>
      </c>
      <c r="D60" s="61"/>
    </row>
    <row r="61" spans="2:6" ht="15.75" x14ac:dyDescent="0.25">
      <c r="B61" s="62" t="s">
        <v>223</v>
      </c>
      <c r="C61" s="63">
        <v>2500</v>
      </c>
      <c r="D61" s="64"/>
    </row>
    <row r="62" spans="2:6" ht="15.75" x14ac:dyDescent="0.25">
      <c r="B62" s="65" t="s">
        <v>232</v>
      </c>
      <c r="C62" s="52">
        <v>3000</v>
      </c>
      <c r="D62" s="66"/>
    </row>
    <row r="63" spans="2:6" ht="16.5" thickBot="1" x14ac:dyDescent="0.3">
      <c r="B63" s="67" t="s">
        <v>225</v>
      </c>
      <c r="C63" s="68">
        <v>3500</v>
      </c>
      <c r="D63" s="69"/>
    </row>
    <row r="64" spans="2:6" ht="15.75" x14ac:dyDescent="0.25">
      <c r="B64" s="70" t="s">
        <v>226</v>
      </c>
      <c r="C64" s="71">
        <v>3500</v>
      </c>
      <c r="D64" s="72"/>
    </row>
    <row r="65" spans="2:4" ht="15.75" x14ac:dyDescent="0.25">
      <c r="B65" s="73" t="s">
        <v>227</v>
      </c>
      <c r="C65" s="53">
        <v>3000</v>
      </c>
      <c r="D65" s="74"/>
    </row>
    <row r="66" spans="2:4" ht="15.75" x14ac:dyDescent="0.25">
      <c r="B66" s="73" t="s">
        <v>228</v>
      </c>
      <c r="C66" s="53">
        <v>2500</v>
      </c>
      <c r="D66" s="74"/>
    </row>
    <row r="67" spans="2:4" ht="16.5" thickBot="1" x14ac:dyDescent="0.3">
      <c r="B67" s="75" t="s">
        <v>229</v>
      </c>
      <c r="C67" s="76">
        <v>2500</v>
      </c>
      <c r="D67" s="77"/>
    </row>
    <row r="68" spans="2:4" ht="16.5" thickBot="1" x14ac:dyDescent="0.3">
      <c r="B68" s="75" t="s">
        <v>230</v>
      </c>
      <c r="C68" s="76">
        <v>3000</v>
      </c>
      <c r="D68" s="77"/>
    </row>
    <row r="69" spans="2:4" ht="16.5" thickBot="1" x14ac:dyDescent="0.3">
      <c r="B69" s="75" t="s">
        <v>231</v>
      </c>
      <c r="C69" s="76">
        <v>3500</v>
      </c>
      <c r="D69" s="77"/>
    </row>
  </sheetData>
  <mergeCells count="24">
    <mergeCell ref="B3:J3"/>
    <mergeCell ref="B22:D22"/>
    <mergeCell ref="C36:F38"/>
    <mergeCell ref="B40:B53"/>
    <mergeCell ref="B4:J4"/>
    <mergeCell ref="B7:J7"/>
    <mergeCell ref="B8:J8"/>
    <mergeCell ref="D40:D43"/>
    <mergeCell ref="B56:D56"/>
    <mergeCell ref="B15:J15"/>
    <mergeCell ref="B16:J16"/>
    <mergeCell ref="D49:D53"/>
    <mergeCell ref="B35:F35"/>
    <mergeCell ref="B33:F33"/>
    <mergeCell ref="C40:C43"/>
    <mergeCell ref="F40:F43"/>
    <mergeCell ref="F44:F48"/>
    <mergeCell ref="F49:F53"/>
    <mergeCell ref="C44:C48"/>
    <mergeCell ref="C49:C53"/>
    <mergeCell ref="D44:D48"/>
    <mergeCell ref="E40:E43"/>
    <mergeCell ref="E44:E48"/>
    <mergeCell ref="E49:E5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190"/>
  <sheetViews>
    <sheetView zoomScale="70" zoomScaleNormal="70" workbookViewId="0">
      <pane xSplit="2" ySplit="1" topLeftCell="C2" activePane="bottomRight" state="frozen"/>
      <selection pane="topRight" activeCell="C1" sqref="C1"/>
      <selection pane="bottomLeft" activeCell="A2" sqref="A2"/>
      <selection pane="bottomRight" activeCell="C173" sqref="C173:D173"/>
    </sheetView>
  </sheetViews>
  <sheetFormatPr baseColWidth="10" defaultColWidth="11.42578125" defaultRowHeight="15" x14ac:dyDescent="0.25"/>
  <cols>
    <col min="1" max="1" width="44.5703125" style="1" customWidth="1"/>
    <col min="2" max="2" width="20.5703125" style="1" customWidth="1"/>
    <col min="3" max="3" width="19" style="1" bestFit="1" customWidth="1"/>
    <col min="4" max="4" width="26.85546875" style="1" customWidth="1"/>
    <col min="5" max="5" width="15.5703125" style="1" customWidth="1"/>
    <col min="6" max="6" width="23" style="1" bestFit="1" customWidth="1"/>
    <col min="7" max="7" width="16" style="1" bestFit="1" customWidth="1"/>
    <col min="8" max="8" width="22.42578125" style="1" bestFit="1" customWidth="1"/>
    <col min="9" max="9" width="19.5703125" style="1" customWidth="1"/>
    <col min="10" max="10" width="23" style="1" bestFit="1" customWidth="1"/>
    <col min="11" max="11" width="16" style="1" bestFit="1" customWidth="1"/>
    <col min="12" max="12" width="22.42578125" style="1" bestFit="1" customWidth="1"/>
    <col min="13" max="13" width="16.5703125" style="1" bestFit="1" customWidth="1"/>
    <col min="14" max="14" width="22.28515625" style="1" bestFit="1" customWidth="1"/>
    <col min="15" max="15" width="17.28515625" style="1" bestFit="1" customWidth="1"/>
    <col min="16" max="16" width="24.85546875" style="1" customWidth="1"/>
    <col min="17" max="17" width="16" style="1" bestFit="1" customWidth="1"/>
    <col min="18" max="18" width="24.5703125" style="1" customWidth="1"/>
    <col min="19" max="19" width="16.28515625" style="1" bestFit="1" customWidth="1"/>
    <col min="20" max="20" width="24.28515625" style="1" customWidth="1"/>
    <col min="21" max="21" width="16" style="1" bestFit="1" customWidth="1"/>
    <col min="22" max="22" width="22.28515625" style="1" customWidth="1"/>
    <col min="23" max="23" width="19.42578125" style="1" customWidth="1"/>
    <col min="24" max="24" width="24.140625" style="1" customWidth="1"/>
    <col min="25" max="25" width="16.5703125" style="1" customWidth="1"/>
    <col min="26" max="26" width="23.42578125" style="1" customWidth="1"/>
    <col min="27" max="27" width="19" style="1" customWidth="1"/>
    <col min="28" max="28" width="24" style="1" customWidth="1"/>
    <col min="29" max="29" width="18.7109375" style="1" bestFit="1" customWidth="1"/>
    <col min="30" max="16384" width="11.42578125" style="1"/>
  </cols>
  <sheetData>
    <row r="1" spans="1:49" s="341" customFormat="1" ht="58.5" customHeight="1" x14ac:dyDescent="0.25">
      <c r="A1" s="343"/>
      <c r="B1" s="347" t="s">
        <v>2</v>
      </c>
      <c r="C1" s="343"/>
      <c r="D1" s="343"/>
      <c r="E1" s="343"/>
      <c r="F1" s="343"/>
      <c r="G1" s="348"/>
      <c r="H1" s="348"/>
      <c r="I1" s="348"/>
      <c r="J1" s="348"/>
      <c r="K1" s="343"/>
      <c r="L1" s="343"/>
      <c r="M1" s="343"/>
      <c r="N1" s="343"/>
      <c r="O1" s="343"/>
      <c r="P1" s="343"/>
      <c r="Q1" s="343"/>
      <c r="R1" s="343"/>
      <c r="S1" s="343"/>
      <c r="T1" s="343"/>
      <c r="U1" s="343"/>
      <c r="V1" s="343"/>
      <c r="W1" s="343"/>
      <c r="X1" s="343"/>
      <c r="Y1" s="343"/>
      <c r="Z1" s="343"/>
      <c r="AA1" s="343"/>
      <c r="AB1" s="343"/>
      <c r="AC1" s="343"/>
      <c r="AD1" s="343"/>
      <c r="AE1" s="343"/>
      <c r="AF1" s="343"/>
      <c r="AG1" s="343"/>
      <c r="AH1" s="343"/>
      <c r="AI1" s="343"/>
      <c r="AJ1" s="343"/>
      <c r="AK1" s="343"/>
      <c r="AL1" s="343"/>
      <c r="AM1" s="343"/>
      <c r="AN1" s="343"/>
      <c r="AO1" s="343"/>
      <c r="AP1" s="343"/>
      <c r="AQ1" s="343"/>
    </row>
    <row r="4" spans="1:49" ht="15.75" thickBot="1" x14ac:dyDescent="0.3">
      <c r="A4" s="12"/>
      <c r="B4" s="12"/>
      <c r="C4" s="12"/>
      <c r="D4" s="12"/>
      <c r="E4" s="12"/>
      <c r="F4" s="12"/>
      <c r="G4" s="15"/>
      <c r="H4" s="15"/>
      <c r="I4" s="15"/>
      <c r="J4" s="15"/>
      <c r="K4" s="15"/>
      <c r="L4" s="15"/>
      <c r="M4" s="15"/>
      <c r="N4" s="15"/>
      <c r="O4" s="15"/>
      <c r="P4" s="15"/>
      <c r="Q4" s="15"/>
      <c r="R4" s="15"/>
      <c r="S4" s="15"/>
      <c r="T4" s="15"/>
      <c r="U4" s="15"/>
      <c r="V4" s="15"/>
      <c r="W4" s="12"/>
      <c r="X4" s="12"/>
      <c r="Y4" s="12"/>
      <c r="Z4" s="12"/>
      <c r="AA4" s="12"/>
      <c r="AB4" s="12"/>
      <c r="AC4" s="12"/>
      <c r="AD4" s="12"/>
      <c r="AE4" s="12"/>
      <c r="AF4" s="12"/>
      <c r="AG4" s="12"/>
      <c r="AH4" s="12"/>
      <c r="AI4" s="12"/>
      <c r="AJ4" s="12"/>
      <c r="AK4" s="12"/>
      <c r="AL4" s="12"/>
      <c r="AM4" s="12"/>
      <c r="AN4" s="12"/>
      <c r="AO4" s="12"/>
      <c r="AP4" s="12"/>
      <c r="AQ4" s="12"/>
      <c r="AR4" s="12"/>
      <c r="AS4" s="12"/>
      <c r="AT4" s="12"/>
      <c r="AU4" s="12"/>
      <c r="AV4" s="12"/>
      <c r="AW4" s="12"/>
    </row>
    <row r="5" spans="1:49" s="50" customFormat="1" ht="27" thickBot="1" x14ac:dyDescent="0.45">
      <c r="A5" s="13"/>
      <c r="B5" s="670" t="s">
        <v>22</v>
      </c>
      <c r="C5" s="671"/>
      <c r="D5" s="672"/>
      <c r="E5" s="1"/>
      <c r="F5" s="1"/>
      <c r="G5" s="670" t="s">
        <v>45</v>
      </c>
      <c r="H5" s="671"/>
      <c r="I5" s="671"/>
      <c r="J5" s="671"/>
      <c r="K5" s="671"/>
      <c r="L5" s="672"/>
      <c r="M5" s="18"/>
      <c r="N5" s="18"/>
      <c r="O5" s="18"/>
      <c r="P5" s="18"/>
      <c r="Q5" s="18"/>
      <c r="R5" s="18"/>
      <c r="S5" s="18"/>
      <c r="T5" s="18"/>
      <c r="U5" s="18"/>
      <c r="AJ5" s="15"/>
      <c r="AK5" s="15"/>
      <c r="AL5" s="15"/>
      <c r="AM5" s="15"/>
      <c r="AN5" s="15"/>
      <c r="AO5" s="15"/>
      <c r="AP5" s="15"/>
      <c r="AQ5" s="15"/>
      <c r="AR5" s="15"/>
      <c r="AS5" s="15"/>
      <c r="AT5" s="15"/>
      <c r="AU5" s="15"/>
      <c r="AV5" s="15"/>
      <c r="AW5" s="15"/>
    </row>
    <row r="6" spans="1:49" s="50" customFormat="1" ht="30" customHeight="1" x14ac:dyDescent="0.25">
      <c r="A6" s="14"/>
      <c r="B6" s="453">
        <v>2021</v>
      </c>
      <c r="C6" s="453">
        <v>2022</v>
      </c>
      <c r="D6" s="454">
        <v>2023</v>
      </c>
      <c r="E6" s="1"/>
      <c r="F6" s="1"/>
      <c r="G6" s="800" t="s">
        <v>53</v>
      </c>
      <c r="H6" s="801"/>
      <c r="I6" s="801"/>
      <c r="J6" s="801"/>
      <c r="K6" s="801"/>
      <c r="L6" s="802"/>
      <c r="M6" s="49"/>
      <c r="N6" s="49"/>
      <c r="O6" s="49"/>
      <c r="P6" s="49"/>
      <c r="Q6" s="49"/>
      <c r="R6" s="49"/>
      <c r="S6" s="49"/>
      <c r="T6" s="49"/>
      <c r="U6" s="49"/>
      <c r="AJ6" s="15"/>
      <c r="AK6" s="15"/>
      <c r="AL6" s="15"/>
      <c r="AM6" s="15"/>
      <c r="AN6" s="15"/>
      <c r="AO6" s="15"/>
      <c r="AP6" s="15"/>
      <c r="AQ6" s="15"/>
      <c r="AR6" s="15"/>
      <c r="AS6" s="15"/>
      <c r="AT6" s="15"/>
      <c r="AU6" s="15"/>
      <c r="AV6" s="15"/>
      <c r="AW6" s="15"/>
    </row>
    <row r="7" spans="1:49" s="50" customFormat="1" x14ac:dyDescent="0.25">
      <c r="A7" s="14"/>
      <c r="B7" s="491">
        <f>Hipótesis!C24</f>
        <v>1.2999999999999999E-2</v>
      </c>
      <c r="C7" s="491">
        <f>Hipótesis!C25</f>
        <v>2.5000000000000001E-2</v>
      </c>
      <c r="D7" s="492">
        <f>Hipótesis!C26</f>
        <v>0.04</v>
      </c>
      <c r="E7" s="1"/>
      <c r="F7" s="1"/>
      <c r="G7" s="803"/>
      <c r="H7" s="804"/>
      <c r="I7" s="804"/>
      <c r="J7" s="804"/>
      <c r="K7" s="804"/>
      <c r="L7" s="805"/>
      <c r="M7" s="49"/>
      <c r="N7" s="49"/>
      <c r="O7" s="49"/>
      <c r="P7" s="49"/>
      <c r="Q7" s="49"/>
      <c r="R7" s="49"/>
      <c r="S7" s="49"/>
      <c r="T7" s="49"/>
      <c r="U7" s="49"/>
      <c r="AJ7" s="15"/>
      <c r="AK7" s="15"/>
      <c r="AL7" s="15"/>
      <c r="AM7" s="15"/>
      <c r="AN7" s="15"/>
      <c r="AO7" s="15"/>
      <c r="AP7" s="15"/>
      <c r="AQ7" s="15"/>
      <c r="AR7" s="15"/>
      <c r="AS7" s="15"/>
      <c r="AT7" s="15"/>
      <c r="AU7" s="15"/>
      <c r="AV7" s="15"/>
      <c r="AW7" s="15"/>
    </row>
    <row r="8" spans="1:49" s="50" customFormat="1" ht="15.75" thickBot="1" x14ac:dyDescent="0.3">
      <c r="A8" s="14"/>
      <c r="B8" s="393">
        <f>Hipótesis!D24</f>
        <v>31551000</v>
      </c>
      <c r="C8" s="393">
        <f>Hipótesis!D25</f>
        <v>60675000</v>
      </c>
      <c r="D8" s="392">
        <f>Hipótesis!D26</f>
        <v>97080000</v>
      </c>
      <c r="E8" s="1"/>
      <c r="F8" s="1"/>
      <c r="G8" s="803"/>
      <c r="H8" s="804"/>
      <c r="I8" s="804"/>
      <c r="J8" s="804"/>
      <c r="K8" s="804"/>
      <c r="L8" s="805"/>
      <c r="M8" s="49"/>
      <c r="N8" s="49"/>
      <c r="O8" s="49"/>
      <c r="P8" s="49"/>
      <c r="Q8" s="49"/>
      <c r="R8" s="49"/>
      <c r="S8" s="49"/>
      <c r="T8" s="49"/>
      <c r="U8" s="49"/>
      <c r="AJ8" s="15"/>
      <c r="AK8" s="15"/>
      <c r="AL8" s="15"/>
      <c r="AM8" s="15"/>
      <c r="AN8" s="15"/>
      <c r="AO8" s="15"/>
      <c r="AP8" s="15"/>
      <c r="AQ8" s="15"/>
      <c r="AR8" s="15"/>
      <c r="AS8" s="15"/>
      <c r="AT8" s="15"/>
      <c r="AU8" s="15"/>
      <c r="AV8" s="15"/>
      <c r="AW8" s="15"/>
    </row>
    <row r="9" spans="1:49" s="50" customFormat="1" x14ac:dyDescent="0.25">
      <c r="A9" s="12"/>
      <c r="B9" s="12"/>
      <c r="C9" s="12"/>
      <c r="D9" s="12"/>
      <c r="E9" s="1"/>
      <c r="F9" s="1"/>
      <c r="G9" s="803"/>
      <c r="H9" s="804"/>
      <c r="I9" s="804"/>
      <c r="J9" s="804"/>
      <c r="K9" s="804"/>
      <c r="L9" s="805"/>
      <c r="M9" s="49"/>
      <c r="N9" s="49"/>
      <c r="O9" s="49"/>
      <c r="P9" s="49"/>
      <c r="Q9" s="49"/>
      <c r="R9" s="49"/>
      <c r="S9" s="49"/>
      <c r="T9" s="49"/>
      <c r="U9" s="49"/>
      <c r="AJ9" s="15"/>
      <c r="AK9" s="15"/>
      <c r="AL9" s="15"/>
      <c r="AM9" s="15"/>
      <c r="AN9" s="15"/>
      <c r="AO9" s="15"/>
      <c r="AP9" s="15"/>
      <c r="AQ9" s="15"/>
      <c r="AR9" s="15"/>
      <c r="AS9" s="15"/>
      <c r="AT9" s="15"/>
      <c r="AU9" s="15"/>
      <c r="AV9" s="15"/>
      <c r="AW9" s="15"/>
    </row>
    <row r="10" spans="1:49" s="50" customFormat="1" x14ac:dyDescent="0.25">
      <c r="A10" s="12" t="s">
        <v>40</v>
      </c>
      <c r="B10" s="12"/>
      <c r="C10" s="12"/>
      <c r="D10" s="12"/>
      <c r="E10" s="1"/>
      <c r="F10" s="1"/>
      <c r="G10" s="803"/>
      <c r="H10" s="804"/>
      <c r="I10" s="804"/>
      <c r="J10" s="804"/>
      <c r="K10" s="804"/>
      <c r="L10" s="805"/>
      <c r="M10" s="49"/>
      <c r="N10" s="49"/>
      <c r="O10" s="49"/>
      <c r="P10" s="49"/>
      <c r="Q10" s="49"/>
      <c r="R10" s="49"/>
      <c r="S10" s="49"/>
      <c r="T10" s="49"/>
      <c r="U10" s="49"/>
      <c r="AJ10" s="15"/>
      <c r="AK10" s="15"/>
      <c r="AL10" s="15"/>
      <c r="AM10" s="15"/>
      <c r="AN10" s="15"/>
      <c r="AO10" s="15"/>
      <c r="AP10" s="15"/>
      <c r="AQ10" s="15"/>
      <c r="AR10" s="15"/>
      <c r="AS10" s="15"/>
      <c r="AT10" s="15"/>
      <c r="AU10" s="15"/>
      <c r="AV10" s="15"/>
      <c r="AW10" s="15"/>
    </row>
    <row r="11" spans="1:49" s="50" customFormat="1" x14ac:dyDescent="0.25">
      <c r="A11" s="12"/>
      <c r="B11" s="12"/>
      <c r="C11" s="12"/>
      <c r="D11" s="12"/>
      <c r="E11" s="1"/>
      <c r="F11" s="1"/>
      <c r="G11" s="803"/>
      <c r="H11" s="804"/>
      <c r="I11" s="804"/>
      <c r="J11" s="804"/>
      <c r="K11" s="804"/>
      <c r="L11" s="805"/>
      <c r="M11" s="49"/>
      <c r="N11" s="49"/>
      <c r="O11" s="49"/>
      <c r="P11" s="49"/>
      <c r="Q11" s="49"/>
      <c r="R11" s="49"/>
      <c r="S11" s="49"/>
      <c r="T11" s="49"/>
      <c r="U11" s="49"/>
      <c r="AJ11" s="15"/>
      <c r="AK11" s="15"/>
      <c r="AL11" s="15"/>
      <c r="AM11" s="15"/>
      <c r="AN11" s="15"/>
      <c r="AO11" s="15"/>
      <c r="AP11" s="15"/>
      <c r="AQ11" s="15"/>
      <c r="AR11" s="15"/>
      <c r="AS11" s="15"/>
      <c r="AT11" s="15"/>
      <c r="AU11" s="15"/>
      <c r="AV11" s="15"/>
      <c r="AW11" s="15"/>
    </row>
    <row r="12" spans="1:49" s="50" customFormat="1" ht="93" customHeight="1" thickBot="1" x14ac:dyDescent="0.3">
      <c r="A12" s="12"/>
      <c r="B12" s="12"/>
      <c r="C12" s="411"/>
      <c r="D12" s="12"/>
      <c r="E12" s="411"/>
      <c r="F12" s="12"/>
      <c r="G12" s="806"/>
      <c r="H12" s="807"/>
      <c r="I12" s="807"/>
      <c r="J12" s="807"/>
      <c r="K12" s="807"/>
      <c r="L12" s="808"/>
      <c r="M12" s="49"/>
      <c r="N12" s="49"/>
      <c r="O12" s="49"/>
      <c r="P12" s="49"/>
      <c r="Q12" s="49"/>
      <c r="R12" s="49"/>
      <c r="S12" s="49"/>
      <c r="T12" s="49"/>
      <c r="U12" s="49"/>
      <c r="AJ12" s="15"/>
      <c r="AK12" s="15"/>
      <c r="AL12" s="15"/>
      <c r="AM12" s="15"/>
      <c r="AN12" s="15"/>
      <c r="AO12" s="15"/>
      <c r="AP12" s="15"/>
      <c r="AQ12" s="15"/>
      <c r="AR12" s="15"/>
      <c r="AS12" s="15"/>
      <c r="AT12" s="15"/>
      <c r="AU12" s="15"/>
      <c r="AV12" s="15"/>
      <c r="AW12" s="15"/>
    </row>
    <row r="13" spans="1:49" x14ac:dyDescent="0.25">
      <c r="A13" s="12"/>
      <c r="B13" s="12"/>
      <c r="C13" s="411"/>
      <c r="D13" s="12"/>
      <c r="E13" s="12"/>
      <c r="F13" s="12"/>
      <c r="G13" s="15"/>
      <c r="H13" s="15"/>
      <c r="I13" s="15"/>
      <c r="J13" s="15"/>
      <c r="K13" s="15"/>
      <c r="L13" s="15"/>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c r="AL13" s="12"/>
      <c r="AM13" s="12"/>
      <c r="AN13" s="12"/>
      <c r="AO13" s="12"/>
      <c r="AP13" s="12"/>
      <c r="AQ13" s="12"/>
      <c r="AR13" s="12"/>
      <c r="AS13" s="12"/>
      <c r="AT13" s="12"/>
      <c r="AU13" s="12"/>
      <c r="AV13" s="12"/>
      <c r="AW13" s="12"/>
    </row>
    <row r="14" spans="1:49" ht="15.75" thickBot="1" x14ac:dyDescent="0.3">
      <c r="A14" s="12"/>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row>
    <row r="15" spans="1:49" ht="27" thickBot="1" x14ac:dyDescent="0.45">
      <c r="A15" s="785" t="s">
        <v>39</v>
      </c>
      <c r="B15" s="786"/>
      <c r="C15" s="786"/>
      <c r="D15" s="786"/>
      <c r="E15" s="786"/>
      <c r="F15" s="786"/>
      <c r="G15" s="786"/>
      <c r="H15" s="786"/>
      <c r="I15" s="786"/>
      <c r="J15" s="786"/>
      <c r="K15" s="786"/>
      <c r="L15" s="786"/>
      <c r="M15" s="786"/>
      <c r="N15" s="786"/>
      <c r="O15" s="786"/>
      <c r="P15" s="786"/>
      <c r="Q15" s="786"/>
      <c r="R15" s="786"/>
      <c r="S15" s="786"/>
      <c r="T15" s="786"/>
      <c r="U15" s="786"/>
      <c r="V15" s="786"/>
      <c r="W15" s="786"/>
      <c r="X15" s="786"/>
      <c r="Y15" s="786"/>
      <c r="Z15" s="786"/>
      <c r="AA15" s="786"/>
      <c r="AB15" s="787"/>
      <c r="AC15" s="12"/>
      <c r="AD15" s="12"/>
      <c r="AE15" s="12"/>
      <c r="AF15" s="12"/>
      <c r="AG15" s="12"/>
      <c r="AH15" s="12"/>
      <c r="AI15" s="12"/>
      <c r="AJ15" s="12"/>
      <c r="AK15" s="12"/>
      <c r="AL15" s="12"/>
      <c r="AM15" s="12"/>
      <c r="AN15" s="12"/>
      <c r="AO15" s="12"/>
      <c r="AP15" s="12"/>
      <c r="AQ15" s="12"/>
      <c r="AR15" s="12"/>
      <c r="AS15" s="12"/>
      <c r="AT15" s="12"/>
      <c r="AU15" s="12"/>
      <c r="AV15" s="12"/>
      <c r="AW15" s="12"/>
    </row>
    <row r="16" spans="1:49" x14ac:dyDescent="0.25">
      <c r="A16" s="775" t="s">
        <v>20</v>
      </c>
      <c r="B16" s="775" t="s">
        <v>21</v>
      </c>
      <c r="C16" s="772" t="s">
        <v>44</v>
      </c>
      <c r="D16" s="778"/>
      <c r="E16" s="789" t="s">
        <v>27</v>
      </c>
      <c r="F16" s="790"/>
      <c r="G16" s="789" t="s">
        <v>28</v>
      </c>
      <c r="H16" s="790"/>
      <c r="I16" s="789" t="s">
        <v>29</v>
      </c>
      <c r="J16" s="790"/>
      <c r="K16" s="789" t="s">
        <v>30</v>
      </c>
      <c r="L16" s="790"/>
      <c r="M16" s="789" t="s">
        <v>31</v>
      </c>
      <c r="N16" s="790"/>
      <c r="O16" s="789" t="s">
        <v>32</v>
      </c>
      <c r="P16" s="790"/>
      <c r="Q16" s="789" t="s">
        <v>33</v>
      </c>
      <c r="R16" s="790"/>
      <c r="S16" s="789" t="s">
        <v>34</v>
      </c>
      <c r="T16" s="790"/>
      <c r="U16" s="789" t="s">
        <v>35</v>
      </c>
      <c r="V16" s="790"/>
      <c r="W16" s="789" t="s">
        <v>36</v>
      </c>
      <c r="X16" s="790"/>
      <c r="Y16" s="789" t="s">
        <v>37</v>
      </c>
      <c r="Z16" s="790"/>
      <c r="AA16" s="789" t="s">
        <v>38</v>
      </c>
      <c r="AB16" s="790"/>
      <c r="AC16" s="12"/>
      <c r="AD16" s="12"/>
      <c r="AE16" s="12"/>
      <c r="AF16" s="12"/>
      <c r="AG16" s="12"/>
      <c r="AH16" s="12"/>
      <c r="AI16" s="12"/>
      <c r="AJ16" s="12"/>
      <c r="AK16" s="12"/>
      <c r="AL16" s="12"/>
      <c r="AM16" s="12"/>
      <c r="AN16" s="12"/>
      <c r="AO16" s="12"/>
      <c r="AP16" s="12"/>
      <c r="AQ16" s="12"/>
      <c r="AR16" s="12"/>
      <c r="AS16" s="12"/>
      <c r="AT16" s="12"/>
      <c r="AU16" s="12"/>
      <c r="AV16" s="12"/>
      <c r="AW16" s="12"/>
    </row>
    <row r="17" spans="1:49" x14ac:dyDescent="0.25">
      <c r="A17" s="776"/>
      <c r="B17" s="776"/>
      <c r="C17" s="779" t="s">
        <v>43</v>
      </c>
      <c r="D17" s="781" t="s">
        <v>26</v>
      </c>
      <c r="E17" s="770">
        <v>0.12</v>
      </c>
      <c r="F17" s="771"/>
      <c r="G17" s="770">
        <v>0.1</v>
      </c>
      <c r="H17" s="771"/>
      <c r="I17" s="770">
        <v>0.08</v>
      </c>
      <c r="J17" s="771"/>
      <c r="K17" s="770">
        <v>7.0000000000000007E-2</v>
      </c>
      <c r="L17" s="771"/>
      <c r="M17" s="770">
        <v>0.04</v>
      </c>
      <c r="N17" s="771"/>
      <c r="O17" s="770">
        <v>0.04</v>
      </c>
      <c r="P17" s="771"/>
      <c r="Q17" s="770">
        <v>0.08</v>
      </c>
      <c r="R17" s="771"/>
      <c r="S17" s="770">
        <v>0.04</v>
      </c>
      <c r="T17" s="771"/>
      <c r="U17" s="770">
        <v>0.1</v>
      </c>
      <c r="V17" s="771"/>
      <c r="W17" s="770">
        <v>0.1</v>
      </c>
      <c r="X17" s="771"/>
      <c r="Y17" s="770">
        <v>0.11</v>
      </c>
      <c r="Z17" s="771"/>
      <c r="AA17" s="770">
        <v>0.14000000000000001</v>
      </c>
      <c r="AB17" s="771"/>
      <c r="AC17" s="12"/>
      <c r="AD17" s="12"/>
      <c r="AE17" s="12"/>
      <c r="AF17" s="12"/>
      <c r="AG17" s="12"/>
      <c r="AH17" s="12"/>
      <c r="AI17" s="12"/>
      <c r="AJ17" s="12"/>
      <c r="AK17" s="12"/>
      <c r="AL17" s="12"/>
      <c r="AM17" s="12"/>
      <c r="AN17" s="12"/>
      <c r="AO17" s="12"/>
      <c r="AP17" s="12"/>
      <c r="AQ17" s="12"/>
      <c r="AR17" s="12"/>
      <c r="AS17" s="12"/>
      <c r="AT17" s="12"/>
      <c r="AU17" s="12"/>
      <c r="AV17" s="12"/>
      <c r="AW17" s="12"/>
    </row>
    <row r="18" spans="1:49" ht="15.75" customHeight="1" thickBot="1" x14ac:dyDescent="0.3">
      <c r="A18" s="788"/>
      <c r="B18" s="788"/>
      <c r="C18" s="791"/>
      <c r="D18" s="792"/>
      <c r="E18" s="455" t="s">
        <v>43</v>
      </c>
      <c r="F18" s="456" t="s">
        <v>26</v>
      </c>
      <c r="G18" s="455" t="s">
        <v>43</v>
      </c>
      <c r="H18" s="456" t="s">
        <v>26</v>
      </c>
      <c r="I18" s="455" t="s">
        <v>43</v>
      </c>
      <c r="J18" s="456" t="s">
        <v>26</v>
      </c>
      <c r="K18" s="455" t="s">
        <v>43</v>
      </c>
      <c r="L18" s="456" t="s">
        <v>26</v>
      </c>
      <c r="M18" s="455" t="s">
        <v>43</v>
      </c>
      <c r="N18" s="456" t="s">
        <v>26</v>
      </c>
      <c r="O18" s="455" t="s">
        <v>43</v>
      </c>
      <c r="P18" s="456" t="s">
        <v>26</v>
      </c>
      <c r="Q18" s="455" t="s">
        <v>43</v>
      </c>
      <c r="R18" s="456" t="s">
        <v>26</v>
      </c>
      <c r="S18" s="455" t="s">
        <v>43</v>
      </c>
      <c r="T18" s="456" t="s">
        <v>26</v>
      </c>
      <c r="U18" s="455" t="s">
        <v>43</v>
      </c>
      <c r="V18" s="456" t="s">
        <v>26</v>
      </c>
      <c r="W18" s="455" t="s">
        <v>43</v>
      </c>
      <c r="X18" s="456" t="s">
        <v>26</v>
      </c>
      <c r="Y18" s="455" t="s">
        <v>43</v>
      </c>
      <c r="Z18" s="456" t="s">
        <v>26</v>
      </c>
      <c r="AA18" s="455" t="s">
        <v>43</v>
      </c>
      <c r="AB18" s="456" t="s">
        <v>26</v>
      </c>
      <c r="AC18" s="12"/>
      <c r="AD18" s="12"/>
      <c r="AE18" s="12"/>
      <c r="AF18" s="12"/>
      <c r="AG18" s="12"/>
      <c r="AH18" s="12"/>
      <c r="AI18" s="12"/>
      <c r="AJ18" s="12"/>
      <c r="AK18" s="12"/>
      <c r="AL18" s="12"/>
      <c r="AM18" s="12"/>
      <c r="AN18" s="12"/>
      <c r="AO18" s="12"/>
      <c r="AP18" s="12"/>
      <c r="AQ18" s="12"/>
      <c r="AR18" s="12"/>
      <c r="AS18" s="12"/>
      <c r="AT18" s="12"/>
      <c r="AU18" s="12"/>
      <c r="AV18" s="12"/>
      <c r="AW18" s="12"/>
    </row>
    <row r="19" spans="1:49" ht="15.75" x14ac:dyDescent="0.25">
      <c r="A19" s="380" t="str">
        <f>Hipótesis!B58</f>
        <v>Aviador</v>
      </c>
      <c r="B19" s="377">
        <f>Hipótesis!C58</f>
        <v>3500</v>
      </c>
      <c r="C19" s="560">
        <v>1400</v>
      </c>
      <c r="D19" s="30">
        <f>B19*C19</f>
        <v>4900000</v>
      </c>
      <c r="E19" s="36">
        <f>C19*$E$17</f>
        <v>168</v>
      </c>
      <c r="F19" s="30">
        <f>D19*$E$17</f>
        <v>588000</v>
      </c>
      <c r="G19" s="36">
        <f>C19*$G$17</f>
        <v>140</v>
      </c>
      <c r="H19" s="30">
        <f>D19*$G$17</f>
        <v>490000</v>
      </c>
      <c r="I19" s="36">
        <f t="shared" ref="I19:I30" si="0">C19*$I$17</f>
        <v>112</v>
      </c>
      <c r="J19" s="30">
        <f t="shared" ref="J19:J30" si="1">D19*$I$17</f>
        <v>392000</v>
      </c>
      <c r="K19" s="36">
        <f t="shared" ref="K19:K30" si="2">C19*$K$17</f>
        <v>98.000000000000014</v>
      </c>
      <c r="L19" s="30">
        <f t="shared" ref="L19:L30" si="3">D19*$K$17</f>
        <v>343000.00000000006</v>
      </c>
      <c r="M19" s="36">
        <f>C19*$M$17</f>
        <v>56</v>
      </c>
      <c r="N19" s="30">
        <f>D19*$M$17</f>
        <v>196000</v>
      </c>
      <c r="O19" s="36">
        <f t="shared" ref="O19:O30" si="4">C19*$O$17</f>
        <v>56</v>
      </c>
      <c r="P19" s="30">
        <f t="shared" ref="P19:P30" si="5">D19*$O$17</f>
        <v>196000</v>
      </c>
      <c r="Q19" s="36">
        <f t="shared" ref="Q19:Q30" si="6">C19*$Q$17</f>
        <v>112</v>
      </c>
      <c r="R19" s="30">
        <f t="shared" ref="R19:R30" si="7">D19*$Q$17</f>
        <v>392000</v>
      </c>
      <c r="S19" s="36">
        <f t="shared" ref="S19:S30" si="8">C19*$S$17</f>
        <v>56</v>
      </c>
      <c r="T19" s="30">
        <f t="shared" ref="T19:T30" si="9">D19*$S$17</f>
        <v>196000</v>
      </c>
      <c r="U19" s="36">
        <f t="shared" ref="U19:U30" si="10">C19*$U$17</f>
        <v>140</v>
      </c>
      <c r="V19" s="30">
        <f t="shared" ref="V19:V30" si="11">D19*$U$17</f>
        <v>490000</v>
      </c>
      <c r="W19" s="36">
        <f t="shared" ref="W19:W30" si="12">C19*$W$17</f>
        <v>140</v>
      </c>
      <c r="X19" s="30">
        <f t="shared" ref="X19:X30" si="13">D19*$W$17</f>
        <v>490000</v>
      </c>
      <c r="Y19" s="36">
        <f t="shared" ref="Y19:Y30" si="14">C19*$Y$17</f>
        <v>154</v>
      </c>
      <c r="Z19" s="30">
        <f t="shared" ref="Z19:Z30" si="15">D19*$Y$17</f>
        <v>539000</v>
      </c>
      <c r="AA19" s="36">
        <f>C19*$AA$17</f>
        <v>196.00000000000003</v>
      </c>
      <c r="AB19" s="30">
        <f>D19*$AA$17</f>
        <v>686000.00000000012</v>
      </c>
    </row>
    <row r="20" spans="1:49" ht="15.75" x14ac:dyDescent="0.25">
      <c r="A20" s="381" t="str">
        <f>Hipótesis!B59</f>
        <v>Cuadrado</v>
      </c>
      <c r="B20" s="378">
        <f>Hipótesis!C59</f>
        <v>3000</v>
      </c>
      <c r="C20" s="561">
        <v>1200</v>
      </c>
      <c r="D20" s="25">
        <f t="shared" ref="D20:D30" si="16">B20*C20</f>
        <v>3600000</v>
      </c>
      <c r="E20" s="37">
        <f t="shared" ref="E20:E30" si="17">C20*$E$17</f>
        <v>144</v>
      </c>
      <c r="F20" s="25">
        <f t="shared" ref="F20:F29" si="18">D20*$E$17</f>
        <v>432000</v>
      </c>
      <c r="G20" s="37">
        <f t="shared" ref="G20:G30" si="19">C20*$G$17</f>
        <v>120</v>
      </c>
      <c r="H20" s="25">
        <f t="shared" ref="H20:H30" si="20">D20*$G$17</f>
        <v>360000</v>
      </c>
      <c r="I20" s="37">
        <f t="shared" si="0"/>
        <v>96</v>
      </c>
      <c r="J20" s="25">
        <f t="shared" si="1"/>
        <v>288000</v>
      </c>
      <c r="K20" s="37">
        <f t="shared" si="2"/>
        <v>84.000000000000014</v>
      </c>
      <c r="L20" s="25">
        <f t="shared" si="3"/>
        <v>252000.00000000003</v>
      </c>
      <c r="M20" s="37">
        <f t="shared" ref="M20:M30" si="21">C20*$M$17</f>
        <v>48</v>
      </c>
      <c r="N20" s="25">
        <f t="shared" ref="N20:N30" si="22">D20*$M$17</f>
        <v>144000</v>
      </c>
      <c r="O20" s="37">
        <f t="shared" si="4"/>
        <v>48</v>
      </c>
      <c r="P20" s="25">
        <f t="shared" si="5"/>
        <v>144000</v>
      </c>
      <c r="Q20" s="37">
        <f t="shared" si="6"/>
        <v>96</v>
      </c>
      <c r="R20" s="25">
        <f t="shared" si="7"/>
        <v>288000</v>
      </c>
      <c r="S20" s="37">
        <f t="shared" si="8"/>
        <v>48</v>
      </c>
      <c r="T20" s="25">
        <f t="shared" si="9"/>
        <v>144000</v>
      </c>
      <c r="U20" s="37">
        <f t="shared" si="10"/>
        <v>120</v>
      </c>
      <c r="V20" s="25">
        <f t="shared" si="11"/>
        <v>360000</v>
      </c>
      <c r="W20" s="37">
        <f t="shared" si="12"/>
        <v>120</v>
      </c>
      <c r="X20" s="25">
        <f t="shared" si="13"/>
        <v>360000</v>
      </c>
      <c r="Y20" s="37">
        <f t="shared" si="14"/>
        <v>132</v>
      </c>
      <c r="Z20" s="25">
        <f t="shared" si="15"/>
        <v>396000</v>
      </c>
      <c r="AA20" s="37">
        <f>C20*$AA$17</f>
        <v>168.00000000000003</v>
      </c>
      <c r="AB20" s="25">
        <f>D20*$AA$17</f>
        <v>504000.00000000006</v>
      </c>
    </row>
    <row r="21" spans="1:49" ht="16.5" thickBot="1" x14ac:dyDescent="0.3">
      <c r="A21" s="382" t="str">
        <f>Hipótesis!B60</f>
        <v>Redondo</v>
      </c>
      <c r="B21" s="379">
        <f>Hipótesis!C60</f>
        <v>2500</v>
      </c>
      <c r="C21" s="562">
        <v>800</v>
      </c>
      <c r="D21" s="31">
        <f t="shared" si="16"/>
        <v>2000000</v>
      </c>
      <c r="E21" s="38">
        <f t="shared" si="17"/>
        <v>96</v>
      </c>
      <c r="F21" s="31">
        <f t="shared" si="18"/>
        <v>240000</v>
      </c>
      <c r="G21" s="38">
        <f t="shared" si="19"/>
        <v>80</v>
      </c>
      <c r="H21" s="31">
        <f t="shared" si="20"/>
        <v>200000</v>
      </c>
      <c r="I21" s="38">
        <f t="shared" si="0"/>
        <v>64</v>
      </c>
      <c r="J21" s="31">
        <f t="shared" si="1"/>
        <v>160000</v>
      </c>
      <c r="K21" s="38">
        <f t="shared" si="2"/>
        <v>56.000000000000007</v>
      </c>
      <c r="L21" s="31">
        <f t="shared" si="3"/>
        <v>140000</v>
      </c>
      <c r="M21" s="38">
        <f t="shared" si="21"/>
        <v>32</v>
      </c>
      <c r="N21" s="31">
        <f t="shared" si="22"/>
        <v>80000</v>
      </c>
      <c r="O21" s="38">
        <f t="shared" si="4"/>
        <v>32</v>
      </c>
      <c r="P21" s="31">
        <f t="shared" si="5"/>
        <v>80000</v>
      </c>
      <c r="Q21" s="38">
        <f t="shared" si="6"/>
        <v>64</v>
      </c>
      <c r="R21" s="31">
        <f t="shared" si="7"/>
        <v>160000</v>
      </c>
      <c r="S21" s="38">
        <f t="shared" si="8"/>
        <v>32</v>
      </c>
      <c r="T21" s="31">
        <f t="shared" si="9"/>
        <v>80000</v>
      </c>
      <c r="U21" s="38">
        <f t="shared" si="10"/>
        <v>80</v>
      </c>
      <c r="V21" s="31">
        <f t="shared" si="11"/>
        <v>200000</v>
      </c>
      <c r="W21" s="38">
        <f t="shared" si="12"/>
        <v>80</v>
      </c>
      <c r="X21" s="31">
        <f t="shared" si="13"/>
        <v>200000</v>
      </c>
      <c r="Y21" s="38">
        <f t="shared" si="14"/>
        <v>88</v>
      </c>
      <c r="Z21" s="31">
        <f t="shared" si="15"/>
        <v>220000</v>
      </c>
      <c r="AA21" s="38">
        <f t="shared" ref="AA21:AA30" si="23">C21*$AA$17</f>
        <v>112.00000000000001</v>
      </c>
      <c r="AB21" s="31">
        <f t="shared" ref="AB21:AB30" si="24">D21*$AA$17</f>
        <v>280000</v>
      </c>
    </row>
    <row r="22" spans="1:49" x14ac:dyDescent="0.25">
      <c r="A22" s="386" t="str">
        <f>Hipótesis!B61</f>
        <v>Running</v>
      </c>
      <c r="B22" s="383">
        <f>Hipótesis!C61</f>
        <v>2500</v>
      </c>
      <c r="C22" s="563">
        <v>700</v>
      </c>
      <c r="D22" s="32">
        <f t="shared" si="16"/>
        <v>1750000</v>
      </c>
      <c r="E22" s="39">
        <f t="shared" si="17"/>
        <v>84</v>
      </c>
      <c r="F22" s="32">
        <f t="shared" si="18"/>
        <v>210000</v>
      </c>
      <c r="G22" s="39">
        <f t="shared" si="19"/>
        <v>70</v>
      </c>
      <c r="H22" s="32">
        <f t="shared" si="20"/>
        <v>175000</v>
      </c>
      <c r="I22" s="39">
        <f t="shared" si="0"/>
        <v>56</v>
      </c>
      <c r="J22" s="32">
        <f t="shared" si="1"/>
        <v>140000</v>
      </c>
      <c r="K22" s="39">
        <f t="shared" si="2"/>
        <v>49.000000000000007</v>
      </c>
      <c r="L22" s="32">
        <f t="shared" si="3"/>
        <v>122500.00000000001</v>
      </c>
      <c r="M22" s="39">
        <f t="shared" si="21"/>
        <v>28</v>
      </c>
      <c r="N22" s="32">
        <f t="shared" si="22"/>
        <v>70000</v>
      </c>
      <c r="O22" s="39">
        <f t="shared" si="4"/>
        <v>28</v>
      </c>
      <c r="P22" s="32">
        <f t="shared" si="5"/>
        <v>70000</v>
      </c>
      <c r="Q22" s="39">
        <f t="shared" si="6"/>
        <v>56</v>
      </c>
      <c r="R22" s="32">
        <f t="shared" si="7"/>
        <v>140000</v>
      </c>
      <c r="S22" s="39">
        <f t="shared" si="8"/>
        <v>28</v>
      </c>
      <c r="T22" s="32">
        <f t="shared" si="9"/>
        <v>70000</v>
      </c>
      <c r="U22" s="39">
        <f t="shared" si="10"/>
        <v>70</v>
      </c>
      <c r="V22" s="32">
        <f t="shared" si="11"/>
        <v>175000</v>
      </c>
      <c r="W22" s="39">
        <f t="shared" si="12"/>
        <v>70</v>
      </c>
      <c r="X22" s="32">
        <f t="shared" si="13"/>
        <v>175000</v>
      </c>
      <c r="Y22" s="39">
        <f t="shared" si="14"/>
        <v>77</v>
      </c>
      <c r="Z22" s="32">
        <f t="shared" si="15"/>
        <v>192500</v>
      </c>
      <c r="AA22" s="39">
        <f t="shared" si="23"/>
        <v>98.000000000000014</v>
      </c>
      <c r="AB22" s="32">
        <f t="shared" si="24"/>
        <v>245000.00000000003</v>
      </c>
    </row>
    <row r="23" spans="1:49" x14ac:dyDescent="0.25">
      <c r="A23" s="387" t="str">
        <f>Hipótesis!B62</f>
        <v>Cilismo</v>
      </c>
      <c r="B23" s="384">
        <f>Hipótesis!C62</f>
        <v>3000</v>
      </c>
      <c r="C23" s="564">
        <v>1000</v>
      </c>
      <c r="D23" s="27">
        <f t="shared" si="16"/>
        <v>3000000</v>
      </c>
      <c r="E23" s="40">
        <f t="shared" si="17"/>
        <v>120</v>
      </c>
      <c r="F23" s="27">
        <f t="shared" si="18"/>
        <v>360000</v>
      </c>
      <c r="G23" s="40">
        <f t="shared" si="19"/>
        <v>100</v>
      </c>
      <c r="H23" s="27">
        <f t="shared" si="20"/>
        <v>300000</v>
      </c>
      <c r="I23" s="40">
        <f t="shared" si="0"/>
        <v>80</v>
      </c>
      <c r="J23" s="27">
        <f t="shared" si="1"/>
        <v>240000</v>
      </c>
      <c r="K23" s="40">
        <f t="shared" si="2"/>
        <v>70</v>
      </c>
      <c r="L23" s="27">
        <f t="shared" si="3"/>
        <v>210000.00000000003</v>
      </c>
      <c r="M23" s="40">
        <f t="shared" si="21"/>
        <v>40</v>
      </c>
      <c r="N23" s="27">
        <f t="shared" si="22"/>
        <v>120000</v>
      </c>
      <c r="O23" s="40">
        <f t="shared" si="4"/>
        <v>40</v>
      </c>
      <c r="P23" s="27">
        <f t="shared" si="5"/>
        <v>120000</v>
      </c>
      <c r="Q23" s="40">
        <f t="shared" si="6"/>
        <v>80</v>
      </c>
      <c r="R23" s="27">
        <f t="shared" si="7"/>
        <v>240000</v>
      </c>
      <c r="S23" s="40">
        <f t="shared" si="8"/>
        <v>40</v>
      </c>
      <c r="T23" s="27">
        <f t="shared" si="9"/>
        <v>120000</v>
      </c>
      <c r="U23" s="40">
        <f t="shared" si="10"/>
        <v>100</v>
      </c>
      <c r="V23" s="27">
        <f t="shared" si="11"/>
        <v>300000</v>
      </c>
      <c r="W23" s="40">
        <f t="shared" si="12"/>
        <v>100</v>
      </c>
      <c r="X23" s="27">
        <f t="shared" si="13"/>
        <v>300000</v>
      </c>
      <c r="Y23" s="40">
        <f t="shared" si="14"/>
        <v>110</v>
      </c>
      <c r="Z23" s="27">
        <f t="shared" si="15"/>
        <v>330000</v>
      </c>
      <c r="AA23" s="40">
        <f t="shared" si="23"/>
        <v>140</v>
      </c>
      <c r="AB23" s="27">
        <f t="shared" si="24"/>
        <v>420000.00000000006</v>
      </c>
    </row>
    <row r="24" spans="1:49" ht="15.75" thickBot="1" x14ac:dyDescent="0.3">
      <c r="A24" s="388" t="str">
        <f>Hipótesis!B63</f>
        <v>Ski</v>
      </c>
      <c r="B24" s="385">
        <f>Hipótesis!C63</f>
        <v>3500</v>
      </c>
      <c r="C24" s="565">
        <v>800</v>
      </c>
      <c r="D24" s="33">
        <f t="shared" si="16"/>
        <v>2800000</v>
      </c>
      <c r="E24" s="41">
        <f t="shared" si="17"/>
        <v>96</v>
      </c>
      <c r="F24" s="33">
        <f t="shared" si="18"/>
        <v>336000</v>
      </c>
      <c r="G24" s="41">
        <f t="shared" si="19"/>
        <v>80</v>
      </c>
      <c r="H24" s="33">
        <f t="shared" si="20"/>
        <v>280000</v>
      </c>
      <c r="I24" s="41">
        <f t="shared" si="0"/>
        <v>64</v>
      </c>
      <c r="J24" s="33">
        <f t="shared" si="1"/>
        <v>224000</v>
      </c>
      <c r="K24" s="41">
        <f t="shared" si="2"/>
        <v>56.000000000000007</v>
      </c>
      <c r="L24" s="33">
        <f t="shared" si="3"/>
        <v>196000.00000000003</v>
      </c>
      <c r="M24" s="41">
        <f t="shared" si="21"/>
        <v>32</v>
      </c>
      <c r="N24" s="33">
        <f t="shared" si="22"/>
        <v>112000</v>
      </c>
      <c r="O24" s="41">
        <f t="shared" si="4"/>
        <v>32</v>
      </c>
      <c r="P24" s="33">
        <f t="shared" si="5"/>
        <v>112000</v>
      </c>
      <c r="Q24" s="41">
        <f t="shared" si="6"/>
        <v>64</v>
      </c>
      <c r="R24" s="33">
        <f t="shared" si="7"/>
        <v>224000</v>
      </c>
      <c r="S24" s="41">
        <f t="shared" si="8"/>
        <v>32</v>
      </c>
      <c r="T24" s="33">
        <f t="shared" si="9"/>
        <v>112000</v>
      </c>
      <c r="U24" s="41">
        <f t="shared" si="10"/>
        <v>80</v>
      </c>
      <c r="V24" s="33">
        <f t="shared" si="11"/>
        <v>280000</v>
      </c>
      <c r="W24" s="41">
        <f t="shared" si="12"/>
        <v>80</v>
      </c>
      <c r="X24" s="33">
        <f t="shared" si="13"/>
        <v>280000</v>
      </c>
      <c r="Y24" s="41">
        <f t="shared" si="14"/>
        <v>88</v>
      </c>
      <c r="Z24" s="33">
        <f t="shared" si="15"/>
        <v>308000</v>
      </c>
      <c r="AA24" s="41">
        <f t="shared" si="23"/>
        <v>112.00000000000001</v>
      </c>
      <c r="AB24" s="33">
        <f t="shared" si="24"/>
        <v>392000.00000000006</v>
      </c>
    </row>
    <row r="25" spans="1:49" x14ac:dyDescent="0.25">
      <c r="A25" s="34" t="str">
        <f>Hipótesis!B64</f>
        <v>Estilo 90</v>
      </c>
      <c r="B25" s="34">
        <f>Hipótesis!C64</f>
        <v>3500</v>
      </c>
      <c r="C25" s="566">
        <v>600</v>
      </c>
      <c r="D25" s="35">
        <f t="shared" si="16"/>
        <v>2100000</v>
      </c>
      <c r="E25" s="42">
        <f t="shared" si="17"/>
        <v>72</v>
      </c>
      <c r="F25" s="35">
        <f t="shared" si="18"/>
        <v>252000</v>
      </c>
      <c r="G25" s="42">
        <f t="shared" si="19"/>
        <v>60</v>
      </c>
      <c r="H25" s="35">
        <f t="shared" si="20"/>
        <v>210000</v>
      </c>
      <c r="I25" s="42">
        <f t="shared" si="0"/>
        <v>48</v>
      </c>
      <c r="J25" s="35">
        <f t="shared" si="1"/>
        <v>168000</v>
      </c>
      <c r="K25" s="42">
        <f t="shared" si="2"/>
        <v>42.000000000000007</v>
      </c>
      <c r="L25" s="35">
        <f t="shared" si="3"/>
        <v>147000</v>
      </c>
      <c r="M25" s="42">
        <f t="shared" si="21"/>
        <v>24</v>
      </c>
      <c r="N25" s="35">
        <f t="shared" si="22"/>
        <v>84000</v>
      </c>
      <c r="O25" s="42">
        <f t="shared" si="4"/>
        <v>24</v>
      </c>
      <c r="P25" s="35">
        <f t="shared" si="5"/>
        <v>84000</v>
      </c>
      <c r="Q25" s="42">
        <f t="shared" si="6"/>
        <v>48</v>
      </c>
      <c r="R25" s="35">
        <f t="shared" si="7"/>
        <v>168000</v>
      </c>
      <c r="S25" s="42">
        <f t="shared" si="8"/>
        <v>24</v>
      </c>
      <c r="T25" s="35">
        <f t="shared" si="9"/>
        <v>84000</v>
      </c>
      <c r="U25" s="42">
        <f t="shared" si="10"/>
        <v>60</v>
      </c>
      <c r="V25" s="35">
        <f t="shared" si="11"/>
        <v>210000</v>
      </c>
      <c r="W25" s="42">
        <f t="shared" si="12"/>
        <v>60</v>
      </c>
      <c r="X25" s="35">
        <f t="shared" si="13"/>
        <v>210000</v>
      </c>
      <c r="Y25" s="42">
        <f t="shared" si="14"/>
        <v>66</v>
      </c>
      <c r="Z25" s="35">
        <f t="shared" si="15"/>
        <v>231000</v>
      </c>
      <c r="AA25" s="42">
        <f t="shared" si="23"/>
        <v>84.000000000000014</v>
      </c>
      <c r="AB25" s="35">
        <f t="shared" si="24"/>
        <v>294000</v>
      </c>
    </row>
    <row r="26" spans="1:49" x14ac:dyDescent="0.25">
      <c r="A26" s="23" t="str">
        <f>Hipótesis!B65</f>
        <v>Estilo 80</v>
      </c>
      <c r="B26" s="23">
        <f>Hipótesis!C65</f>
        <v>3000</v>
      </c>
      <c r="C26" s="567">
        <v>300</v>
      </c>
      <c r="D26" s="29">
        <f t="shared" si="16"/>
        <v>900000</v>
      </c>
      <c r="E26" s="43">
        <f t="shared" si="17"/>
        <v>36</v>
      </c>
      <c r="F26" s="29">
        <f t="shared" si="18"/>
        <v>108000</v>
      </c>
      <c r="G26" s="43">
        <f t="shared" si="19"/>
        <v>30</v>
      </c>
      <c r="H26" s="29">
        <f t="shared" si="20"/>
        <v>90000</v>
      </c>
      <c r="I26" s="43">
        <f t="shared" si="0"/>
        <v>24</v>
      </c>
      <c r="J26" s="29">
        <f t="shared" si="1"/>
        <v>72000</v>
      </c>
      <c r="K26" s="43">
        <f t="shared" si="2"/>
        <v>21.000000000000004</v>
      </c>
      <c r="L26" s="29">
        <f t="shared" si="3"/>
        <v>63000.000000000007</v>
      </c>
      <c r="M26" s="43">
        <f t="shared" si="21"/>
        <v>12</v>
      </c>
      <c r="N26" s="29">
        <f t="shared" si="22"/>
        <v>36000</v>
      </c>
      <c r="O26" s="43">
        <f t="shared" si="4"/>
        <v>12</v>
      </c>
      <c r="P26" s="29">
        <f t="shared" si="5"/>
        <v>36000</v>
      </c>
      <c r="Q26" s="43">
        <f t="shared" si="6"/>
        <v>24</v>
      </c>
      <c r="R26" s="29">
        <f t="shared" si="7"/>
        <v>72000</v>
      </c>
      <c r="S26" s="43">
        <f t="shared" si="8"/>
        <v>12</v>
      </c>
      <c r="T26" s="29">
        <f t="shared" si="9"/>
        <v>36000</v>
      </c>
      <c r="U26" s="43">
        <f t="shared" si="10"/>
        <v>30</v>
      </c>
      <c r="V26" s="29">
        <f t="shared" si="11"/>
        <v>90000</v>
      </c>
      <c r="W26" s="43">
        <f t="shared" si="12"/>
        <v>30</v>
      </c>
      <c r="X26" s="29">
        <f t="shared" si="13"/>
        <v>90000</v>
      </c>
      <c r="Y26" s="43">
        <f t="shared" si="14"/>
        <v>33</v>
      </c>
      <c r="Z26" s="29">
        <f t="shared" si="15"/>
        <v>99000</v>
      </c>
      <c r="AA26" s="43">
        <f t="shared" si="23"/>
        <v>42.000000000000007</v>
      </c>
      <c r="AB26" s="29">
        <f t="shared" si="24"/>
        <v>126000.00000000001</v>
      </c>
    </row>
    <row r="27" spans="1:49" ht="15.75" thickBot="1" x14ac:dyDescent="0.3">
      <c r="A27" s="358" t="str">
        <f>Hipótesis!B66</f>
        <v>Estilo 70</v>
      </c>
      <c r="B27" s="358">
        <f>Hipótesis!C66</f>
        <v>2500</v>
      </c>
      <c r="C27" s="567">
        <v>200</v>
      </c>
      <c r="D27" s="359">
        <f t="shared" si="16"/>
        <v>500000</v>
      </c>
      <c r="E27" s="360">
        <f t="shared" si="17"/>
        <v>24</v>
      </c>
      <c r="F27" s="359">
        <f t="shared" si="18"/>
        <v>60000</v>
      </c>
      <c r="G27" s="360">
        <f t="shared" si="19"/>
        <v>20</v>
      </c>
      <c r="H27" s="359">
        <f t="shared" si="20"/>
        <v>50000</v>
      </c>
      <c r="I27" s="360">
        <f t="shared" si="0"/>
        <v>16</v>
      </c>
      <c r="J27" s="359">
        <f t="shared" si="1"/>
        <v>40000</v>
      </c>
      <c r="K27" s="360">
        <f t="shared" si="2"/>
        <v>14.000000000000002</v>
      </c>
      <c r="L27" s="359">
        <f t="shared" si="3"/>
        <v>35000</v>
      </c>
      <c r="M27" s="360">
        <f t="shared" si="21"/>
        <v>8</v>
      </c>
      <c r="N27" s="359">
        <f t="shared" si="22"/>
        <v>20000</v>
      </c>
      <c r="O27" s="360">
        <f t="shared" si="4"/>
        <v>8</v>
      </c>
      <c r="P27" s="359">
        <f t="shared" si="5"/>
        <v>20000</v>
      </c>
      <c r="Q27" s="360">
        <f t="shared" si="6"/>
        <v>16</v>
      </c>
      <c r="R27" s="359">
        <f t="shared" si="7"/>
        <v>40000</v>
      </c>
      <c r="S27" s="360">
        <f t="shared" si="8"/>
        <v>8</v>
      </c>
      <c r="T27" s="359">
        <f t="shared" si="9"/>
        <v>20000</v>
      </c>
      <c r="U27" s="360">
        <f t="shared" si="10"/>
        <v>20</v>
      </c>
      <c r="V27" s="359">
        <f t="shared" si="11"/>
        <v>50000</v>
      </c>
      <c r="W27" s="360">
        <f t="shared" si="12"/>
        <v>20</v>
      </c>
      <c r="X27" s="359">
        <f t="shared" si="13"/>
        <v>50000</v>
      </c>
      <c r="Y27" s="360">
        <f t="shared" si="14"/>
        <v>22</v>
      </c>
      <c r="Z27" s="359">
        <f t="shared" si="15"/>
        <v>55000</v>
      </c>
      <c r="AA27" s="360">
        <f t="shared" si="23"/>
        <v>28.000000000000004</v>
      </c>
      <c r="AB27" s="359">
        <f t="shared" si="24"/>
        <v>70000</v>
      </c>
    </row>
    <row r="28" spans="1:49" x14ac:dyDescent="0.25">
      <c r="A28" s="364" t="str">
        <f>Hipótesis!B67</f>
        <v>Ovalado</v>
      </c>
      <c r="B28" s="364">
        <f>Hipótesis!C67</f>
        <v>2500</v>
      </c>
      <c r="C28" s="568">
        <v>1100</v>
      </c>
      <c r="D28" s="364">
        <f t="shared" si="16"/>
        <v>2750000</v>
      </c>
      <c r="E28" s="365">
        <f t="shared" si="17"/>
        <v>132</v>
      </c>
      <c r="F28" s="364">
        <f t="shared" si="18"/>
        <v>330000</v>
      </c>
      <c r="G28" s="365">
        <f t="shared" si="19"/>
        <v>110</v>
      </c>
      <c r="H28" s="364">
        <f t="shared" si="20"/>
        <v>275000</v>
      </c>
      <c r="I28" s="365">
        <f t="shared" si="0"/>
        <v>88</v>
      </c>
      <c r="J28" s="364">
        <f t="shared" si="1"/>
        <v>220000</v>
      </c>
      <c r="K28" s="365">
        <f t="shared" si="2"/>
        <v>77.000000000000014</v>
      </c>
      <c r="L28" s="364">
        <f t="shared" si="3"/>
        <v>192500.00000000003</v>
      </c>
      <c r="M28" s="365">
        <f t="shared" si="21"/>
        <v>44</v>
      </c>
      <c r="N28" s="364">
        <f t="shared" si="22"/>
        <v>110000</v>
      </c>
      <c r="O28" s="365">
        <f t="shared" si="4"/>
        <v>44</v>
      </c>
      <c r="P28" s="364">
        <f t="shared" si="5"/>
        <v>110000</v>
      </c>
      <c r="Q28" s="365">
        <f t="shared" si="6"/>
        <v>88</v>
      </c>
      <c r="R28" s="364">
        <f t="shared" si="7"/>
        <v>220000</v>
      </c>
      <c r="S28" s="365">
        <f t="shared" si="8"/>
        <v>44</v>
      </c>
      <c r="T28" s="364">
        <f t="shared" si="9"/>
        <v>110000</v>
      </c>
      <c r="U28" s="365">
        <f t="shared" si="10"/>
        <v>110</v>
      </c>
      <c r="V28" s="364">
        <f t="shared" si="11"/>
        <v>275000</v>
      </c>
      <c r="W28" s="365">
        <f t="shared" si="12"/>
        <v>110</v>
      </c>
      <c r="X28" s="364">
        <f t="shared" si="13"/>
        <v>275000</v>
      </c>
      <c r="Y28" s="365">
        <f t="shared" si="14"/>
        <v>121</v>
      </c>
      <c r="Z28" s="364">
        <f t="shared" si="15"/>
        <v>302500</v>
      </c>
      <c r="AA28" s="365">
        <f t="shared" si="23"/>
        <v>154.00000000000003</v>
      </c>
      <c r="AB28" s="366">
        <f t="shared" si="24"/>
        <v>385000.00000000006</v>
      </c>
    </row>
    <row r="29" spans="1:49" x14ac:dyDescent="0.25">
      <c r="A29" s="361" t="str">
        <f>Hipótesis!B68</f>
        <v>Rectangular</v>
      </c>
      <c r="B29" s="361">
        <f>Hipótesis!C68</f>
        <v>3000</v>
      </c>
      <c r="C29" s="569">
        <v>800</v>
      </c>
      <c r="D29" s="361">
        <f t="shared" si="16"/>
        <v>2400000</v>
      </c>
      <c r="E29" s="363">
        <f t="shared" si="17"/>
        <v>96</v>
      </c>
      <c r="F29" s="361">
        <f t="shared" si="18"/>
        <v>288000</v>
      </c>
      <c r="G29" s="363">
        <f t="shared" si="19"/>
        <v>80</v>
      </c>
      <c r="H29" s="361">
        <f t="shared" si="20"/>
        <v>240000</v>
      </c>
      <c r="I29" s="363">
        <f t="shared" si="0"/>
        <v>64</v>
      </c>
      <c r="J29" s="361">
        <f t="shared" si="1"/>
        <v>192000</v>
      </c>
      <c r="K29" s="363">
        <f t="shared" si="2"/>
        <v>56.000000000000007</v>
      </c>
      <c r="L29" s="361">
        <f t="shared" si="3"/>
        <v>168000.00000000003</v>
      </c>
      <c r="M29" s="363">
        <f t="shared" si="21"/>
        <v>32</v>
      </c>
      <c r="N29" s="361">
        <f t="shared" si="22"/>
        <v>96000</v>
      </c>
      <c r="O29" s="363">
        <f t="shared" si="4"/>
        <v>32</v>
      </c>
      <c r="P29" s="361">
        <f t="shared" si="5"/>
        <v>96000</v>
      </c>
      <c r="Q29" s="363">
        <f t="shared" si="6"/>
        <v>64</v>
      </c>
      <c r="R29" s="361">
        <f t="shared" si="7"/>
        <v>192000</v>
      </c>
      <c r="S29" s="363">
        <f t="shared" si="8"/>
        <v>32</v>
      </c>
      <c r="T29" s="361">
        <f t="shared" si="9"/>
        <v>96000</v>
      </c>
      <c r="U29" s="363">
        <f t="shared" si="10"/>
        <v>80</v>
      </c>
      <c r="V29" s="361">
        <f t="shared" si="11"/>
        <v>240000</v>
      </c>
      <c r="W29" s="363">
        <f t="shared" si="12"/>
        <v>80</v>
      </c>
      <c r="X29" s="361">
        <f t="shared" si="13"/>
        <v>240000</v>
      </c>
      <c r="Y29" s="363">
        <f t="shared" si="14"/>
        <v>88</v>
      </c>
      <c r="Z29" s="361">
        <f t="shared" si="15"/>
        <v>264000</v>
      </c>
      <c r="AA29" s="363">
        <f t="shared" si="23"/>
        <v>112.00000000000001</v>
      </c>
      <c r="AB29" s="367">
        <f t="shared" si="24"/>
        <v>336000.00000000006</v>
      </c>
    </row>
    <row r="30" spans="1:49" ht="15.75" thickBot="1" x14ac:dyDescent="0.3">
      <c r="A30" s="368" t="str">
        <f>Hipótesis!B69</f>
        <v>Hexagonal</v>
      </c>
      <c r="B30" s="368">
        <f>Hipótesis!C69</f>
        <v>3500</v>
      </c>
      <c r="C30" s="570">
        <v>700</v>
      </c>
      <c r="D30" s="368">
        <f t="shared" si="16"/>
        <v>2450000</v>
      </c>
      <c r="E30" s="369">
        <f t="shared" si="17"/>
        <v>84</v>
      </c>
      <c r="F30" s="368">
        <f>D30*$E$17</f>
        <v>294000</v>
      </c>
      <c r="G30" s="369">
        <f t="shared" si="19"/>
        <v>70</v>
      </c>
      <c r="H30" s="368">
        <f t="shared" si="20"/>
        <v>245000</v>
      </c>
      <c r="I30" s="369">
        <f t="shared" si="0"/>
        <v>56</v>
      </c>
      <c r="J30" s="368">
        <f t="shared" si="1"/>
        <v>196000</v>
      </c>
      <c r="K30" s="369">
        <f t="shared" si="2"/>
        <v>49.000000000000007</v>
      </c>
      <c r="L30" s="368">
        <f t="shared" si="3"/>
        <v>171500.00000000003</v>
      </c>
      <c r="M30" s="369">
        <f t="shared" si="21"/>
        <v>28</v>
      </c>
      <c r="N30" s="368">
        <f t="shared" si="22"/>
        <v>98000</v>
      </c>
      <c r="O30" s="369">
        <f t="shared" si="4"/>
        <v>28</v>
      </c>
      <c r="P30" s="368">
        <f t="shared" si="5"/>
        <v>98000</v>
      </c>
      <c r="Q30" s="369">
        <f t="shared" si="6"/>
        <v>56</v>
      </c>
      <c r="R30" s="368">
        <f t="shared" si="7"/>
        <v>196000</v>
      </c>
      <c r="S30" s="369">
        <f t="shared" si="8"/>
        <v>28</v>
      </c>
      <c r="T30" s="368">
        <f t="shared" si="9"/>
        <v>98000</v>
      </c>
      <c r="U30" s="369">
        <f t="shared" si="10"/>
        <v>70</v>
      </c>
      <c r="V30" s="368">
        <f t="shared" si="11"/>
        <v>245000</v>
      </c>
      <c r="W30" s="369">
        <f t="shared" si="12"/>
        <v>70</v>
      </c>
      <c r="X30" s="368">
        <f t="shared" si="13"/>
        <v>245000</v>
      </c>
      <c r="Y30" s="369">
        <f t="shared" si="14"/>
        <v>77</v>
      </c>
      <c r="Z30" s="368">
        <f t="shared" si="15"/>
        <v>269500</v>
      </c>
      <c r="AA30" s="369">
        <f t="shared" si="23"/>
        <v>98.000000000000014</v>
      </c>
      <c r="AB30" s="370">
        <f t="shared" si="24"/>
        <v>343000.00000000006</v>
      </c>
    </row>
    <row r="31" spans="1:49" ht="16.5" thickBot="1" x14ac:dyDescent="0.3">
      <c r="A31" s="705" t="s">
        <v>58</v>
      </c>
      <c r="B31" s="706"/>
      <c r="C31" s="103"/>
      <c r="D31" s="109">
        <f>SUM(D19:D30)</f>
        <v>29150000</v>
      </c>
      <c r="E31" s="110"/>
      <c r="F31" s="111">
        <f>SUM(F19:F30)</f>
        <v>3498000</v>
      </c>
      <c r="G31" s="110"/>
      <c r="H31" s="111">
        <f>SUM(H19:H30)</f>
        <v>2915000</v>
      </c>
      <c r="I31" s="110"/>
      <c r="J31" s="111">
        <f>SUM(J19:J30)</f>
        <v>2332000</v>
      </c>
      <c r="K31" s="110"/>
      <c r="L31" s="111">
        <f>SUM(L19:L30)</f>
        <v>2040500.0000000002</v>
      </c>
      <c r="M31" s="110"/>
      <c r="N31" s="111">
        <f>SUM(N19:N30)</f>
        <v>1166000</v>
      </c>
      <c r="O31" s="110"/>
      <c r="P31" s="111">
        <f>SUM(P19:P30)</f>
        <v>1166000</v>
      </c>
      <c r="Q31" s="110"/>
      <c r="R31" s="111">
        <f>SUM(R19:R30)</f>
        <v>2332000</v>
      </c>
      <c r="S31" s="110"/>
      <c r="T31" s="111">
        <f>SUM(T19:T30)</f>
        <v>1166000</v>
      </c>
      <c r="U31" s="110"/>
      <c r="V31" s="111">
        <f>SUM(V19:V30)</f>
        <v>2915000</v>
      </c>
      <c r="W31" s="110"/>
      <c r="X31" s="111">
        <f>SUM(X19:X30)</f>
        <v>2915000</v>
      </c>
      <c r="Y31" s="110"/>
      <c r="Z31" s="111">
        <f>SUM(Z19:Z30)</f>
        <v>3206500</v>
      </c>
      <c r="AA31" s="110"/>
      <c r="AB31" s="111">
        <f>SUM(AB19:AB30)</f>
        <v>4081000.0000000005</v>
      </c>
      <c r="AC31" s="22"/>
    </row>
    <row r="32" spans="1:49" ht="16.5" thickBot="1" x14ac:dyDescent="0.3">
      <c r="A32" s="707" t="s">
        <v>303</v>
      </c>
      <c r="B32" s="708"/>
      <c r="C32" s="412">
        <f>SUM(C19:C21)</f>
        <v>3400</v>
      </c>
      <c r="D32" s="115"/>
      <c r="E32" s="24">
        <f>SUM(E19:E21)</f>
        <v>408</v>
      </c>
      <c r="F32" s="114"/>
      <c r="G32" s="24">
        <f>SUM(G19:G21)</f>
        <v>340</v>
      </c>
      <c r="H32" s="114"/>
      <c r="I32" s="24">
        <f>SUM(I19:I21)</f>
        <v>272</v>
      </c>
      <c r="J32" s="114"/>
      <c r="K32" s="24">
        <f>SUM(K19:K21)</f>
        <v>238.00000000000003</v>
      </c>
      <c r="L32" s="114"/>
      <c r="M32" s="24">
        <f>SUM(M19:M21)</f>
        <v>136</v>
      </c>
      <c r="N32" s="114"/>
      <c r="O32" s="24">
        <f>SUM(O19:O21)</f>
        <v>136</v>
      </c>
      <c r="P32" s="114"/>
      <c r="Q32" s="24">
        <f>SUM(Q19:Q21)</f>
        <v>272</v>
      </c>
      <c r="R32" s="114"/>
      <c r="S32" s="24">
        <f>SUM(S19:S21)</f>
        <v>136</v>
      </c>
      <c r="T32" s="114"/>
      <c r="U32" s="24">
        <f>SUM(U19:U21)</f>
        <v>340</v>
      </c>
      <c r="V32" s="114"/>
      <c r="W32" s="24">
        <f>SUM(W19:W21)</f>
        <v>340</v>
      </c>
      <c r="X32" s="114"/>
      <c r="Y32" s="24">
        <f>SUM(Y19:Y21)</f>
        <v>374</v>
      </c>
      <c r="Z32" s="114"/>
      <c r="AA32" s="24">
        <f>SUM(AA19:AA21)</f>
        <v>476.00000000000006</v>
      </c>
      <c r="AB32" s="115"/>
    </row>
    <row r="33" spans="1:28" ht="16.5" thickBot="1" x14ac:dyDescent="0.3">
      <c r="A33" s="709" t="s">
        <v>239</v>
      </c>
      <c r="B33" s="710"/>
      <c r="C33" s="413">
        <f>SUM(C22:C24)</f>
        <v>2500</v>
      </c>
      <c r="D33" s="115"/>
      <c r="E33" s="26">
        <f>SUM(E22:E24)</f>
        <v>300</v>
      </c>
      <c r="F33" s="113"/>
      <c r="G33" s="26">
        <f>SUM(G22:G24)</f>
        <v>250</v>
      </c>
      <c r="H33" s="113"/>
      <c r="I33" s="26">
        <f>SUM(I22:I24)</f>
        <v>200</v>
      </c>
      <c r="J33" s="113"/>
      <c r="K33" s="26">
        <f>SUM(K22:K24)</f>
        <v>175</v>
      </c>
      <c r="L33" s="113"/>
      <c r="M33" s="26">
        <f>SUM(M22:M24)</f>
        <v>100</v>
      </c>
      <c r="N33" s="113"/>
      <c r="O33" s="26">
        <f>SUM(O22:O24)</f>
        <v>100</v>
      </c>
      <c r="P33" s="113"/>
      <c r="Q33" s="26">
        <f>SUM(Q22:Q24)</f>
        <v>200</v>
      </c>
      <c r="R33" s="113"/>
      <c r="S33" s="26">
        <f>SUM(S22:S24)</f>
        <v>100</v>
      </c>
      <c r="T33" s="113"/>
      <c r="U33" s="26">
        <f>SUM(U22:U24)</f>
        <v>250</v>
      </c>
      <c r="V33" s="113"/>
      <c r="W33" s="26">
        <f>SUM(W22:W24)</f>
        <v>250</v>
      </c>
      <c r="X33" s="113"/>
      <c r="Y33" s="26">
        <f>SUM(Y22:Y24)</f>
        <v>275</v>
      </c>
      <c r="Z33" s="113"/>
      <c r="AA33" s="26">
        <f>SUM(AA22:AA24)</f>
        <v>350</v>
      </c>
      <c r="AB33" s="116"/>
    </row>
    <row r="34" spans="1:28" ht="16.5" thickBot="1" x14ac:dyDescent="0.3">
      <c r="A34" s="711" t="s">
        <v>240</v>
      </c>
      <c r="B34" s="712"/>
      <c r="C34" s="414">
        <f>SUM(C25:C27)</f>
        <v>1100</v>
      </c>
      <c r="D34" s="115"/>
      <c r="E34" s="28">
        <f>SUM(E25:E27)</f>
        <v>132</v>
      </c>
      <c r="F34" s="117"/>
      <c r="G34" s="28">
        <f>SUM(G25:G27)</f>
        <v>110</v>
      </c>
      <c r="H34" s="117"/>
      <c r="I34" s="28">
        <f>SUM(I25:I27)</f>
        <v>88</v>
      </c>
      <c r="J34" s="117"/>
      <c r="K34" s="28">
        <f>SUM(K25:K27)</f>
        <v>77.000000000000014</v>
      </c>
      <c r="L34" s="117"/>
      <c r="M34" s="28">
        <f>SUM(M25:M27)</f>
        <v>44</v>
      </c>
      <c r="N34" s="117"/>
      <c r="O34" s="28">
        <f>SUM(O25:O27)</f>
        <v>44</v>
      </c>
      <c r="P34" s="117"/>
      <c r="Q34" s="28">
        <f>SUM(Q25:Q27)</f>
        <v>88</v>
      </c>
      <c r="R34" s="117"/>
      <c r="S34" s="28">
        <f>SUM(S25:S27)</f>
        <v>44</v>
      </c>
      <c r="T34" s="117"/>
      <c r="U34" s="28">
        <f>SUM(U25:U27)</f>
        <v>110</v>
      </c>
      <c r="V34" s="117"/>
      <c r="W34" s="28">
        <f>SUM(W25:W27)</f>
        <v>110</v>
      </c>
      <c r="X34" s="117"/>
      <c r="Y34" s="28">
        <f>SUM(Y25:Y27)</f>
        <v>121</v>
      </c>
      <c r="Z34" s="117"/>
      <c r="AA34" s="28">
        <f>SUM(AA25:AA27)</f>
        <v>154.00000000000003</v>
      </c>
      <c r="AB34" s="118"/>
    </row>
    <row r="35" spans="1:28" ht="16.5" thickBot="1" x14ac:dyDescent="0.3">
      <c r="A35" s="713" t="s">
        <v>301</v>
      </c>
      <c r="B35" s="714"/>
      <c r="C35" s="415">
        <f>SUM(C28:C30)</f>
        <v>2600</v>
      </c>
      <c r="D35" s="115"/>
      <c r="E35" s="362">
        <f>SUM(E28:E30)</f>
        <v>312</v>
      </c>
      <c r="F35" s="119"/>
      <c r="G35" s="362">
        <f>SUM(G28:G30)</f>
        <v>260</v>
      </c>
      <c r="H35" s="119"/>
      <c r="I35" s="362">
        <f>SUM(I28:I30)</f>
        <v>208</v>
      </c>
      <c r="J35" s="119"/>
      <c r="K35" s="362">
        <f>SUM(K28:K30)</f>
        <v>182.00000000000003</v>
      </c>
      <c r="L35" s="119"/>
      <c r="M35" s="362">
        <f>SUM(M28:M30)</f>
        <v>104</v>
      </c>
      <c r="N35" s="119"/>
      <c r="O35" s="362">
        <f>SUM(O28:O30)</f>
        <v>104</v>
      </c>
      <c r="P35" s="119"/>
      <c r="Q35" s="362">
        <f>SUM(Q28:Q30)</f>
        <v>208</v>
      </c>
      <c r="R35" s="119"/>
      <c r="S35" s="362">
        <f>SUM(S28:S30)</f>
        <v>104</v>
      </c>
      <c r="T35" s="119"/>
      <c r="U35" s="362">
        <f>SUM(U28:U30)</f>
        <v>260</v>
      </c>
      <c r="V35" s="119"/>
      <c r="W35" s="362">
        <f>SUM(W28:W30)</f>
        <v>260</v>
      </c>
      <c r="X35" s="119"/>
      <c r="Y35" s="362">
        <f>SUM(Y28:Y30)</f>
        <v>286</v>
      </c>
      <c r="Z35" s="119"/>
      <c r="AA35" s="362">
        <f>SUM(AA28:AA30)</f>
        <v>364.00000000000006</v>
      </c>
      <c r="AB35" s="120"/>
    </row>
    <row r="36" spans="1:28" ht="15.75" thickBot="1" x14ac:dyDescent="0.3">
      <c r="D36" s="17"/>
      <c r="I36" s="20"/>
      <c r="J36" s="20"/>
      <c r="K36" s="20"/>
      <c r="L36" s="20"/>
      <c r="N36" s="20"/>
      <c r="O36" s="20"/>
      <c r="P36" s="20"/>
      <c r="Q36" s="20"/>
      <c r="R36" s="20"/>
      <c r="S36" s="20"/>
      <c r="T36" s="20"/>
      <c r="U36" s="20"/>
      <c r="V36" s="20"/>
      <c r="W36" s="20"/>
      <c r="X36" s="20"/>
      <c r="Y36" s="20"/>
      <c r="Z36" s="20"/>
      <c r="AB36" s="20"/>
    </row>
    <row r="37" spans="1:28" ht="27" thickBot="1" x14ac:dyDescent="0.45">
      <c r="A37" s="753" t="s">
        <v>360</v>
      </c>
      <c r="B37" s="754"/>
      <c r="C37" s="754"/>
      <c r="D37" s="754"/>
      <c r="E37" s="754"/>
      <c r="F37" s="754"/>
      <c r="G37" s="754"/>
      <c r="H37" s="754"/>
      <c r="I37" s="754"/>
      <c r="J37" s="754"/>
      <c r="K37" s="754"/>
      <c r="L37" s="754"/>
      <c r="M37" s="754"/>
      <c r="N37" s="754"/>
      <c r="O37" s="754"/>
      <c r="P37" s="754"/>
      <c r="Q37" s="754"/>
      <c r="R37" s="754"/>
      <c r="S37" s="754"/>
      <c r="T37" s="754"/>
      <c r="U37" s="754"/>
      <c r="V37" s="754"/>
      <c r="W37" s="754"/>
      <c r="X37" s="754"/>
      <c r="Y37" s="754"/>
      <c r="Z37" s="754"/>
      <c r="AA37" s="754"/>
      <c r="AB37" s="755"/>
    </row>
    <row r="38" spans="1:28" ht="184.5" customHeight="1" thickBot="1" x14ac:dyDescent="0.3">
      <c r="A38" s="457" t="s">
        <v>52</v>
      </c>
      <c r="B38" s="797" t="s">
        <v>359</v>
      </c>
      <c r="C38" s="798"/>
      <c r="D38" s="798"/>
      <c r="E38" s="798"/>
      <c r="F38" s="798"/>
      <c r="G38" s="798"/>
      <c r="H38" s="798"/>
      <c r="I38" s="798"/>
      <c r="J38" s="798"/>
      <c r="K38" s="798"/>
      <c r="L38" s="798"/>
      <c r="M38" s="798"/>
      <c r="N38" s="798"/>
      <c r="O38" s="798"/>
      <c r="P38" s="798"/>
      <c r="Q38" s="798"/>
      <c r="R38" s="798"/>
      <c r="S38" s="798"/>
      <c r="T38" s="798"/>
      <c r="U38" s="798"/>
      <c r="V38" s="798"/>
      <c r="W38" s="798"/>
      <c r="X38" s="798"/>
      <c r="Y38" s="798"/>
      <c r="Z38" s="798"/>
      <c r="AA38" s="798"/>
      <c r="AB38" s="799"/>
    </row>
    <row r="39" spans="1:28" ht="21.75" thickBot="1" x14ac:dyDescent="0.4">
      <c r="A39" s="767" t="s">
        <v>47</v>
      </c>
      <c r="B39" s="768"/>
      <c r="C39" s="783" t="s">
        <v>48</v>
      </c>
      <c r="D39" s="784"/>
      <c r="E39" s="765" t="s">
        <v>162</v>
      </c>
      <c r="F39" s="765"/>
      <c r="G39" s="765"/>
      <c r="H39" s="765"/>
      <c r="I39" s="765"/>
      <c r="J39" s="765"/>
      <c r="K39" s="765"/>
      <c r="L39" s="765"/>
      <c r="M39" s="765"/>
      <c r="N39" s="765"/>
      <c r="O39" s="765"/>
      <c r="P39" s="765"/>
      <c r="Q39" s="765"/>
      <c r="R39" s="765"/>
      <c r="S39" s="765"/>
      <c r="T39" s="765"/>
      <c r="U39" s="765"/>
      <c r="V39" s="765"/>
      <c r="W39" s="765"/>
      <c r="X39" s="765"/>
      <c r="Y39" s="765"/>
      <c r="Z39" s="765"/>
      <c r="AA39" s="765"/>
      <c r="AB39" s="766"/>
    </row>
    <row r="40" spans="1:28" ht="15.75" thickBot="1" x14ac:dyDescent="0.3">
      <c r="A40" s="756"/>
      <c r="B40" s="757"/>
      <c r="C40" s="469" t="s">
        <v>43</v>
      </c>
      <c r="D40" s="470" t="s">
        <v>47</v>
      </c>
      <c r="E40" s="760" t="s">
        <v>27</v>
      </c>
      <c r="F40" s="742"/>
      <c r="G40" s="741" t="s">
        <v>28</v>
      </c>
      <c r="H40" s="742"/>
      <c r="I40" s="741" t="s">
        <v>29</v>
      </c>
      <c r="J40" s="742"/>
      <c r="K40" s="741" t="s">
        <v>30</v>
      </c>
      <c r="L40" s="742"/>
      <c r="M40" s="741" t="s">
        <v>31</v>
      </c>
      <c r="N40" s="742"/>
      <c r="O40" s="741" t="s">
        <v>32</v>
      </c>
      <c r="P40" s="742"/>
      <c r="Q40" s="741" t="s">
        <v>33</v>
      </c>
      <c r="R40" s="742"/>
      <c r="S40" s="741" t="s">
        <v>34</v>
      </c>
      <c r="T40" s="742"/>
      <c r="U40" s="741" t="s">
        <v>35</v>
      </c>
      <c r="V40" s="742"/>
      <c r="W40" s="741" t="s">
        <v>36</v>
      </c>
      <c r="X40" s="742"/>
      <c r="Y40" s="741" t="s">
        <v>37</v>
      </c>
      <c r="Z40" s="742"/>
      <c r="AA40" s="741" t="s">
        <v>38</v>
      </c>
      <c r="AB40" s="742"/>
    </row>
    <row r="41" spans="1:28" x14ac:dyDescent="0.25">
      <c r="A41" s="743" t="s">
        <v>46</v>
      </c>
      <c r="B41" s="744"/>
      <c r="C41" s="458">
        <v>1</v>
      </c>
      <c r="D41" s="459" t="s">
        <v>252</v>
      </c>
      <c r="E41" s="733"/>
      <c r="F41" s="716"/>
      <c r="G41" s="716"/>
      <c r="H41" s="716"/>
      <c r="I41" s="716"/>
      <c r="J41" s="716"/>
      <c r="K41" s="716"/>
      <c r="L41" s="716"/>
      <c r="M41" s="716"/>
      <c r="N41" s="716"/>
      <c r="O41" s="716"/>
      <c r="P41" s="716"/>
      <c r="Q41" s="716"/>
      <c r="R41" s="716"/>
      <c r="S41" s="716"/>
      <c r="T41" s="716"/>
      <c r="U41" s="716"/>
      <c r="V41" s="716"/>
      <c r="W41" s="716"/>
      <c r="X41" s="716"/>
      <c r="Y41" s="716"/>
      <c r="Z41" s="716"/>
      <c r="AA41" s="716"/>
      <c r="AB41" s="735"/>
    </row>
    <row r="42" spans="1:28" x14ac:dyDescent="0.25">
      <c r="A42" s="745"/>
      <c r="B42" s="746"/>
      <c r="C42" s="460">
        <v>1</v>
      </c>
      <c r="D42" s="461" t="s">
        <v>280</v>
      </c>
      <c r="E42" s="726"/>
      <c r="F42" s="721"/>
      <c r="G42" s="721"/>
      <c r="H42" s="721"/>
      <c r="I42" s="721"/>
      <c r="J42" s="721"/>
      <c r="K42" s="721"/>
      <c r="L42" s="721"/>
      <c r="M42" s="721"/>
      <c r="N42" s="721"/>
      <c r="O42" s="721"/>
      <c r="P42" s="721"/>
      <c r="Q42" s="721"/>
      <c r="R42" s="721"/>
      <c r="S42" s="721"/>
      <c r="T42" s="721"/>
      <c r="U42" s="721"/>
      <c r="V42" s="721"/>
      <c r="W42" s="721"/>
      <c r="X42" s="721"/>
      <c r="Y42" s="721"/>
      <c r="Z42" s="721"/>
      <c r="AA42" s="721"/>
      <c r="AB42" s="725"/>
    </row>
    <row r="43" spans="1:28" x14ac:dyDescent="0.25">
      <c r="A43" s="745"/>
      <c r="B43" s="746"/>
      <c r="C43" s="460">
        <v>1</v>
      </c>
      <c r="D43" s="461" t="s">
        <v>279</v>
      </c>
      <c r="E43" s="726"/>
      <c r="F43" s="721"/>
      <c r="G43" s="721"/>
      <c r="H43" s="721"/>
      <c r="I43" s="721"/>
      <c r="J43" s="721"/>
      <c r="K43" s="721"/>
      <c r="L43" s="721"/>
      <c r="M43" s="721"/>
      <c r="N43" s="721"/>
      <c r="O43" s="721"/>
      <c r="P43" s="721"/>
      <c r="Q43" s="721"/>
      <c r="R43" s="721"/>
      <c r="S43" s="721"/>
      <c r="T43" s="721"/>
      <c r="U43" s="721"/>
      <c r="V43" s="721"/>
      <c r="W43" s="721"/>
      <c r="X43" s="721"/>
      <c r="Y43" s="721"/>
      <c r="Z43" s="721"/>
      <c r="AA43" s="721"/>
      <c r="AB43" s="725"/>
    </row>
    <row r="44" spans="1:28" x14ac:dyDescent="0.25">
      <c r="A44" s="745"/>
      <c r="B44" s="746"/>
      <c r="C44" s="460">
        <v>1</v>
      </c>
      <c r="D44" s="461" t="s">
        <v>264</v>
      </c>
      <c r="E44" s="726"/>
      <c r="F44" s="721"/>
      <c r="G44" s="721"/>
      <c r="H44" s="721"/>
      <c r="I44" s="721"/>
      <c r="J44" s="721"/>
      <c r="K44" s="721"/>
      <c r="L44" s="721"/>
      <c r="M44" s="721"/>
      <c r="N44" s="721"/>
      <c r="O44" s="721"/>
      <c r="P44" s="721"/>
      <c r="Q44" s="721"/>
      <c r="R44" s="721"/>
      <c r="S44" s="721"/>
      <c r="T44" s="721"/>
      <c r="U44" s="721"/>
      <c r="V44" s="721"/>
      <c r="W44" s="721"/>
      <c r="X44" s="721"/>
      <c r="Y44" s="721"/>
      <c r="Z44" s="721"/>
      <c r="AA44" s="721"/>
      <c r="AB44" s="725"/>
    </row>
    <row r="45" spans="1:28" x14ac:dyDescent="0.25">
      <c r="A45" s="745"/>
      <c r="B45" s="746"/>
      <c r="C45" s="460">
        <v>1</v>
      </c>
      <c r="D45" s="461" t="s">
        <v>265</v>
      </c>
      <c r="E45" s="726"/>
      <c r="F45" s="721"/>
      <c r="G45" s="721"/>
      <c r="H45" s="721"/>
      <c r="I45" s="721"/>
      <c r="J45" s="721"/>
      <c r="K45" s="721"/>
      <c r="L45" s="721"/>
      <c r="M45" s="721"/>
      <c r="N45" s="721"/>
      <c r="O45" s="721"/>
      <c r="P45" s="721"/>
      <c r="Q45" s="721"/>
      <c r="R45" s="721"/>
      <c r="S45" s="721"/>
      <c r="T45" s="721"/>
      <c r="U45" s="721"/>
      <c r="V45" s="721"/>
      <c r="W45" s="721"/>
      <c r="X45" s="721"/>
      <c r="Y45" s="721"/>
      <c r="Z45" s="721"/>
      <c r="AA45" s="721"/>
      <c r="AB45" s="725"/>
    </row>
    <row r="46" spans="1:28" x14ac:dyDescent="0.25">
      <c r="A46" s="745"/>
      <c r="B46" s="746"/>
      <c r="C46" s="460">
        <v>1</v>
      </c>
      <c r="D46" s="461" t="s">
        <v>266</v>
      </c>
      <c r="E46" s="726"/>
      <c r="F46" s="721"/>
      <c r="G46" s="721"/>
      <c r="H46" s="721"/>
      <c r="I46" s="721"/>
      <c r="J46" s="721"/>
      <c r="K46" s="721"/>
      <c r="L46" s="721"/>
      <c r="M46" s="721"/>
      <c r="N46" s="721"/>
      <c r="O46" s="721"/>
      <c r="P46" s="721"/>
      <c r="Q46" s="721"/>
      <c r="R46" s="721"/>
      <c r="S46" s="721"/>
      <c r="T46" s="721"/>
      <c r="U46" s="721"/>
      <c r="V46" s="721"/>
      <c r="W46" s="721"/>
      <c r="X46" s="721"/>
      <c r="Y46" s="721"/>
      <c r="Z46" s="721"/>
      <c r="AA46" s="721"/>
      <c r="AB46" s="725"/>
    </row>
    <row r="47" spans="1:28" x14ac:dyDescent="0.25">
      <c r="A47" s="745"/>
      <c r="B47" s="746"/>
      <c r="C47" s="460">
        <v>1</v>
      </c>
      <c r="D47" s="461" t="s">
        <v>267</v>
      </c>
      <c r="E47" s="726"/>
      <c r="F47" s="721"/>
      <c r="G47" s="721"/>
      <c r="H47" s="721"/>
      <c r="I47" s="721"/>
      <c r="J47" s="721"/>
      <c r="K47" s="721"/>
      <c r="L47" s="721"/>
      <c r="M47" s="721"/>
      <c r="N47" s="721"/>
      <c r="O47" s="721"/>
      <c r="P47" s="721"/>
      <c r="Q47" s="721"/>
      <c r="R47" s="721"/>
      <c r="S47" s="721"/>
      <c r="T47" s="721"/>
      <c r="U47" s="721"/>
      <c r="V47" s="721"/>
      <c r="W47" s="721"/>
      <c r="X47" s="721"/>
      <c r="Y47" s="721"/>
      <c r="Z47" s="721"/>
      <c r="AA47" s="721"/>
      <c r="AB47" s="725"/>
    </row>
    <row r="48" spans="1:28" x14ac:dyDescent="0.25">
      <c r="A48" s="745"/>
      <c r="B48" s="746"/>
      <c r="C48" s="460">
        <v>1</v>
      </c>
      <c r="D48" s="461" t="s">
        <v>258</v>
      </c>
      <c r="E48" s="726"/>
      <c r="F48" s="721"/>
      <c r="G48" s="721"/>
      <c r="H48" s="721"/>
      <c r="I48" s="721"/>
      <c r="J48" s="721"/>
      <c r="K48" s="721"/>
      <c r="L48" s="721"/>
      <c r="M48" s="721"/>
      <c r="N48" s="721"/>
      <c r="O48" s="721"/>
      <c r="P48" s="721"/>
      <c r="Q48" s="721"/>
      <c r="R48" s="721"/>
      <c r="S48" s="721"/>
      <c r="T48" s="721"/>
      <c r="U48" s="721"/>
      <c r="V48" s="721"/>
      <c r="W48" s="721"/>
      <c r="X48" s="721"/>
      <c r="Y48" s="721"/>
      <c r="Z48" s="721"/>
      <c r="AA48" s="721"/>
      <c r="AB48" s="725"/>
    </row>
    <row r="49" spans="1:28" x14ac:dyDescent="0.25">
      <c r="A49" s="745"/>
      <c r="B49" s="746"/>
      <c r="C49" s="460">
        <v>1</v>
      </c>
      <c r="D49" s="461" t="s">
        <v>260</v>
      </c>
      <c r="E49" s="726"/>
      <c r="F49" s="721"/>
      <c r="G49" s="721"/>
      <c r="H49" s="721"/>
      <c r="I49" s="721"/>
      <c r="J49" s="721"/>
      <c r="K49" s="721"/>
      <c r="L49" s="721"/>
      <c r="M49" s="721"/>
      <c r="N49" s="721"/>
      <c r="O49" s="721"/>
      <c r="P49" s="721"/>
      <c r="Q49" s="721"/>
      <c r="R49" s="721"/>
      <c r="S49" s="721"/>
      <c r="T49" s="721"/>
      <c r="U49" s="721"/>
      <c r="V49" s="721"/>
      <c r="W49" s="721"/>
      <c r="X49" s="721"/>
      <c r="Y49" s="721"/>
      <c r="Z49" s="721"/>
      <c r="AA49" s="721"/>
      <c r="AB49" s="725"/>
    </row>
    <row r="50" spans="1:28" x14ac:dyDescent="0.25">
      <c r="A50" s="745"/>
      <c r="B50" s="746"/>
      <c r="C50" s="460">
        <v>7</v>
      </c>
      <c r="D50" s="461" t="s">
        <v>261</v>
      </c>
      <c r="E50" s="726"/>
      <c r="F50" s="721"/>
      <c r="G50" s="721"/>
      <c r="H50" s="721"/>
      <c r="I50" s="721"/>
      <c r="J50" s="721"/>
      <c r="K50" s="721"/>
      <c r="L50" s="721"/>
      <c r="M50" s="721"/>
      <c r="N50" s="721"/>
      <c r="O50" s="721"/>
      <c r="P50" s="721"/>
      <c r="Q50" s="721"/>
      <c r="R50" s="721"/>
      <c r="S50" s="721"/>
      <c r="T50" s="721"/>
      <c r="U50" s="721"/>
      <c r="V50" s="721"/>
      <c r="W50" s="721"/>
      <c r="X50" s="721"/>
      <c r="Y50" s="721"/>
      <c r="Z50" s="721"/>
      <c r="AA50" s="721"/>
      <c r="AB50" s="725"/>
    </row>
    <row r="51" spans="1:28" x14ac:dyDescent="0.25">
      <c r="A51" s="745"/>
      <c r="B51" s="746"/>
      <c r="C51" s="460"/>
      <c r="D51" s="461"/>
      <c r="E51" s="726"/>
      <c r="F51" s="721"/>
      <c r="G51" s="721"/>
      <c r="H51" s="721"/>
      <c r="I51" s="721"/>
      <c r="J51" s="721"/>
      <c r="K51" s="721"/>
      <c r="L51" s="721"/>
      <c r="M51" s="721"/>
      <c r="N51" s="721"/>
      <c r="O51" s="721"/>
      <c r="P51" s="721"/>
      <c r="Q51" s="721"/>
      <c r="R51" s="721"/>
      <c r="S51" s="721"/>
      <c r="T51" s="721"/>
      <c r="U51" s="721"/>
      <c r="V51" s="721"/>
      <c r="W51" s="721"/>
      <c r="X51" s="721"/>
      <c r="Y51" s="721"/>
      <c r="Z51" s="721"/>
      <c r="AA51" s="721"/>
      <c r="AB51" s="725"/>
    </row>
    <row r="52" spans="1:28" x14ac:dyDescent="0.25">
      <c r="A52" s="745"/>
      <c r="B52" s="746"/>
      <c r="C52" s="460"/>
      <c r="D52" s="461"/>
      <c r="E52" s="726"/>
      <c r="F52" s="721"/>
      <c r="G52" s="721"/>
      <c r="H52" s="721"/>
      <c r="I52" s="721"/>
      <c r="J52" s="721"/>
      <c r="K52" s="721"/>
      <c r="L52" s="721"/>
      <c r="M52" s="721"/>
      <c r="N52" s="721"/>
      <c r="O52" s="721"/>
      <c r="P52" s="721"/>
      <c r="Q52" s="721"/>
      <c r="R52" s="721"/>
      <c r="S52" s="721"/>
      <c r="T52" s="721"/>
      <c r="U52" s="721"/>
      <c r="V52" s="721"/>
      <c r="W52" s="721"/>
      <c r="X52" s="721"/>
      <c r="Y52" s="721"/>
      <c r="Z52" s="721"/>
      <c r="AA52" s="721"/>
      <c r="AB52" s="725"/>
    </row>
    <row r="53" spans="1:28" x14ac:dyDescent="0.25">
      <c r="A53" s="745"/>
      <c r="B53" s="746"/>
      <c r="C53" s="460"/>
      <c r="D53" s="461"/>
      <c r="E53" s="726"/>
      <c r="F53" s="721"/>
      <c r="G53" s="721"/>
      <c r="H53" s="721"/>
      <c r="I53" s="721"/>
      <c r="J53" s="721"/>
      <c r="K53" s="721"/>
      <c r="L53" s="721"/>
      <c r="M53" s="721"/>
      <c r="N53" s="721"/>
      <c r="O53" s="721"/>
      <c r="P53" s="721"/>
      <c r="Q53" s="721"/>
      <c r="R53" s="721"/>
      <c r="S53" s="721"/>
      <c r="T53" s="721"/>
      <c r="U53" s="721"/>
      <c r="V53" s="721"/>
      <c r="W53" s="721"/>
      <c r="X53" s="721"/>
      <c r="Y53" s="721"/>
      <c r="Z53" s="721"/>
      <c r="AA53" s="721"/>
      <c r="AB53" s="725"/>
    </row>
    <row r="54" spans="1:28" x14ac:dyDescent="0.25">
      <c r="A54" s="745"/>
      <c r="B54" s="746"/>
      <c r="C54" s="460"/>
      <c r="D54" s="461"/>
      <c r="E54" s="726"/>
      <c r="F54" s="721"/>
      <c r="G54" s="721"/>
      <c r="H54" s="721"/>
      <c r="I54" s="721"/>
      <c r="J54" s="721"/>
      <c r="K54" s="721"/>
      <c r="L54" s="721"/>
      <c r="M54" s="721"/>
      <c r="N54" s="721"/>
      <c r="O54" s="721"/>
      <c r="P54" s="721"/>
      <c r="Q54" s="721"/>
      <c r="R54" s="721"/>
      <c r="S54" s="721"/>
      <c r="T54" s="721"/>
      <c r="U54" s="721"/>
      <c r="V54" s="721"/>
      <c r="W54" s="721"/>
      <c r="X54" s="721"/>
      <c r="Y54" s="721"/>
      <c r="Z54" s="721"/>
      <c r="AA54" s="721"/>
      <c r="AB54" s="725"/>
    </row>
    <row r="55" spans="1:28" x14ac:dyDescent="0.25">
      <c r="A55" s="745"/>
      <c r="B55" s="746"/>
      <c r="C55" s="460"/>
      <c r="D55" s="461"/>
      <c r="E55" s="726"/>
      <c r="F55" s="721"/>
      <c r="G55" s="721"/>
      <c r="H55" s="721"/>
      <c r="I55" s="721"/>
      <c r="J55" s="721"/>
      <c r="K55" s="721"/>
      <c r="L55" s="721"/>
      <c r="M55" s="721"/>
      <c r="N55" s="721"/>
      <c r="O55" s="721"/>
      <c r="P55" s="721"/>
      <c r="Q55" s="721"/>
      <c r="R55" s="721"/>
      <c r="S55" s="721"/>
      <c r="T55" s="721"/>
      <c r="U55" s="721"/>
      <c r="V55" s="721"/>
      <c r="W55" s="721"/>
      <c r="X55" s="721"/>
      <c r="Y55" s="721"/>
      <c r="Z55" s="721"/>
      <c r="AA55" s="721"/>
      <c r="AB55" s="725"/>
    </row>
    <row r="56" spans="1:28" ht="30" customHeight="1" x14ac:dyDescent="0.25">
      <c r="A56" s="745"/>
      <c r="B56" s="746"/>
      <c r="C56" s="460"/>
      <c r="D56" s="461"/>
      <c r="E56" s="726"/>
      <c r="F56" s="721"/>
      <c r="G56" s="721"/>
      <c r="H56" s="721"/>
      <c r="I56" s="721"/>
      <c r="J56" s="721"/>
      <c r="K56" s="721"/>
      <c r="L56" s="721"/>
      <c r="M56" s="721"/>
      <c r="N56" s="721"/>
      <c r="O56" s="721"/>
      <c r="P56" s="721"/>
      <c r="Q56" s="721"/>
      <c r="R56" s="721"/>
      <c r="S56" s="721"/>
      <c r="T56" s="721"/>
      <c r="U56" s="721"/>
      <c r="V56" s="721"/>
      <c r="W56" s="721"/>
      <c r="X56" s="721"/>
      <c r="Y56" s="721"/>
      <c r="Z56" s="721"/>
      <c r="AA56" s="721"/>
      <c r="AB56" s="725"/>
    </row>
    <row r="57" spans="1:28" x14ac:dyDescent="0.25">
      <c r="A57" s="745"/>
      <c r="B57" s="746"/>
      <c r="C57" s="460"/>
      <c r="D57" s="461"/>
      <c r="E57" s="726"/>
      <c r="F57" s="721"/>
      <c r="G57" s="721"/>
      <c r="H57" s="721"/>
      <c r="I57" s="721"/>
      <c r="J57" s="721"/>
      <c r="K57" s="721"/>
      <c r="L57" s="721"/>
      <c r="M57" s="721"/>
      <c r="N57" s="721"/>
      <c r="O57" s="721"/>
      <c r="P57" s="721"/>
      <c r="Q57" s="721"/>
      <c r="R57" s="721"/>
      <c r="S57" s="721"/>
      <c r="T57" s="721"/>
      <c r="U57" s="721"/>
      <c r="V57" s="721"/>
      <c r="W57" s="721"/>
      <c r="X57" s="721"/>
      <c r="Y57" s="721"/>
      <c r="Z57" s="721"/>
      <c r="AA57" s="721"/>
      <c r="AB57" s="725"/>
    </row>
    <row r="58" spans="1:28" ht="29.25" customHeight="1" thickBot="1" x14ac:dyDescent="0.3">
      <c r="A58" s="747"/>
      <c r="B58" s="748"/>
      <c r="C58" s="462"/>
      <c r="D58" s="463"/>
      <c r="E58" s="724"/>
      <c r="F58" s="715"/>
      <c r="G58" s="715"/>
      <c r="H58" s="715"/>
      <c r="I58" s="715"/>
      <c r="J58" s="715"/>
      <c r="K58" s="715"/>
      <c r="L58" s="715"/>
      <c r="M58" s="715"/>
      <c r="N58" s="715"/>
      <c r="O58" s="715"/>
      <c r="P58" s="715"/>
      <c r="Q58" s="715"/>
      <c r="R58" s="715"/>
      <c r="S58" s="715"/>
      <c r="T58" s="715"/>
      <c r="U58" s="715"/>
      <c r="V58" s="715"/>
      <c r="W58" s="715"/>
      <c r="X58" s="715"/>
      <c r="Y58" s="715"/>
      <c r="Z58" s="715"/>
      <c r="AA58" s="715"/>
      <c r="AB58" s="734"/>
    </row>
    <row r="59" spans="1:28" x14ac:dyDescent="0.25">
      <c r="A59" s="727" t="s">
        <v>49</v>
      </c>
      <c r="B59" s="728"/>
      <c r="C59" s="458">
        <v>10</v>
      </c>
      <c r="D59" s="464" t="s">
        <v>270</v>
      </c>
      <c r="E59" s="769"/>
      <c r="F59" s="716"/>
      <c r="G59" s="769"/>
      <c r="H59" s="716"/>
      <c r="I59" s="769"/>
      <c r="J59" s="716"/>
      <c r="K59" s="769"/>
      <c r="L59" s="716"/>
      <c r="M59" s="769"/>
      <c r="N59" s="716"/>
      <c r="O59" s="769"/>
      <c r="P59" s="716"/>
      <c r="Q59" s="769"/>
      <c r="R59" s="716"/>
      <c r="S59" s="769"/>
      <c r="T59" s="716"/>
      <c r="U59" s="769"/>
      <c r="V59" s="716"/>
      <c r="W59" s="769"/>
      <c r="X59" s="716"/>
      <c r="Y59" s="769"/>
      <c r="Z59" s="716"/>
      <c r="AA59" s="769"/>
      <c r="AB59" s="716"/>
    </row>
    <row r="60" spans="1:28" x14ac:dyDescent="0.25">
      <c r="A60" s="738"/>
      <c r="B60" s="739"/>
      <c r="C60" s="460">
        <v>13</v>
      </c>
      <c r="D60" s="461" t="s">
        <v>272</v>
      </c>
      <c r="E60" s="764"/>
      <c r="F60" s="721"/>
      <c r="G60" s="764"/>
      <c r="H60" s="721"/>
      <c r="I60" s="764"/>
      <c r="J60" s="721"/>
      <c r="K60" s="764"/>
      <c r="L60" s="721"/>
      <c r="M60" s="764"/>
      <c r="N60" s="721"/>
      <c r="O60" s="764"/>
      <c r="P60" s="721"/>
      <c r="Q60" s="764"/>
      <c r="R60" s="721"/>
      <c r="S60" s="764"/>
      <c r="T60" s="721"/>
      <c r="U60" s="764"/>
      <c r="V60" s="721"/>
      <c r="W60" s="764"/>
      <c r="X60" s="721"/>
      <c r="Y60" s="764"/>
      <c r="Z60" s="721"/>
      <c r="AA60" s="764"/>
      <c r="AB60" s="721"/>
    </row>
    <row r="61" spans="1:28" x14ac:dyDescent="0.25">
      <c r="A61" s="738"/>
      <c r="B61" s="739"/>
      <c r="C61" s="460">
        <v>7</v>
      </c>
      <c r="D61" s="461" t="s">
        <v>273</v>
      </c>
      <c r="E61" s="721"/>
      <c r="F61" s="721"/>
      <c r="G61" s="721"/>
      <c r="H61" s="721"/>
      <c r="I61" s="721"/>
      <c r="J61" s="721"/>
      <c r="K61" s="721"/>
      <c r="L61" s="721"/>
      <c r="M61" s="721"/>
      <c r="N61" s="721"/>
      <c r="O61" s="721"/>
      <c r="P61" s="721"/>
      <c r="Q61" s="721"/>
      <c r="R61" s="721"/>
      <c r="S61" s="721"/>
      <c r="T61" s="721"/>
      <c r="U61" s="721"/>
      <c r="V61" s="721"/>
      <c r="W61" s="721"/>
      <c r="X61" s="721"/>
      <c r="Y61" s="721"/>
      <c r="Z61" s="721"/>
      <c r="AA61" s="721"/>
      <c r="AB61" s="721"/>
    </row>
    <row r="62" spans="1:28" x14ac:dyDescent="0.25">
      <c r="A62" s="738"/>
      <c r="B62" s="739"/>
      <c r="C62" s="465">
        <v>1</v>
      </c>
      <c r="D62" s="466" t="s">
        <v>274</v>
      </c>
      <c r="E62" s="764"/>
      <c r="F62" s="721"/>
      <c r="G62" s="764"/>
      <c r="H62" s="721"/>
      <c r="I62" s="764"/>
      <c r="J62" s="721"/>
      <c r="K62" s="764"/>
      <c r="L62" s="721"/>
      <c r="M62" s="764"/>
      <c r="N62" s="721"/>
      <c r="O62" s="764"/>
      <c r="P62" s="721"/>
      <c r="Q62" s="764"/>
      <c r="R62" s="721"/>
      <c r="S62" s="764"/>
      <c r="T62" s="721"/>
      <c r="U62" s="764"/>
      <c r="V62" s="721"/>
      <c r="W62" s="764"/>
      <c r="X62" s="721"/>
      <c r="Y62" s="764"/>
      <c r="Z62" s="721"/>
      <c r="AA62" s="764"/>
      <c r="AB62" s="721"/>
    </row>
    <row r="63" spans="1:28" x14ac:dyDescent="0.25">
      <c r="A63" s="738"/>
      <c r="B63" s="739"/>
      <c r="C63" s="460">
        <v>23</v>
      </c>
      <c r="D63" s="461" t="s">
        <v>275</v>
      </c>
      <c r="E63" s="726"/>
      <c r="F63" s="721"/>
      <c r="G63" s="721"/>
      <c r="H63" s="721"/>
      <c r="I63" s="721"/>
      <c r="J63" s="721"/>
      <c r="K63" s="721"/>
      <c r="L63" s="721"/>
      <c r="M63" s="721"/>
      <c r="N63" s="721"/>
      <c r="O63" s="721"/>
      <c r="P63" s="721"/>
      <c r="Q63" s="721"/>
      <c r="R63" s="721"/>
      <c r="S63" s="721"/>
      <c r="T63" s="721"/>
      <c r="U63" s="721"/>
      <c r="V63" s="721"/>
      <c r="W63" s="721"/>
      <c r="X63" s="721"/>
      <c r="Y63" s="721"/>
      <c r="Z63" s="721"/>
      <c r="AA63" s="721"/>
      <c r="AB63" s="725"/>
    </row>
    <row r="64" spans="1:28" x14ac:dyDescent="0.25">
      <c r="A64" s="738"/>
      <c r="B64" s="739"/>
      <c r="C64" s="465">
        <v>16</v>
      </c>
      <c r="D64" s="466" t="s">
        <v>297</v>
      </c>
      <c r="E64" s="726"/>
      <c r="F64" s="721"/>
      <c r="G64" s="721"/>
      <c r="H64" s="721"/>
      <c r="I64" s="721"/>
      <c r="J64" s="721"/>
      <c r="K64" s="721"/>
      <c r="L64" s="721"/>
      <c r="M64" s="721"/>
      <c r="N64" s="721"/>
      <c r="O64" s="721"/>
      <c r="P64" s="721"/>
      <c r="Q64" s="721"/>
      <c r="R64" s="721"/>
      <c r="S64" s="721"/>
      <c r="T64" s="721"/>
      <c r="U64" s="721"/>
      <c r="V64" s="721"/>
      <c r="W64" s="721"/>
      <c r="X64" s="721"/>
      <c r="Y64" s="721"/>
      <c r="Z64" s="721"/>
      <c r="AA64" s="721"/>
      <c r="AB64" s="725"/>
    </row>
    <row r="65" spans="1:43" ht="36.75" customHeight="1" x14ac:dyDescent="0.25">
      <c r="A65" s="738"/>
      <c r="B65" s="739"/>
      <c r="C65" s="465"/>
      <c r="D65" s="466"/>
      <c r="E65" s="726"/>
      <c r="F65" s="721"/>
      <c r="G65" s="721"/>
      <c r="H65" s="721"/>
      <c r="I65" s="721"/>
      <c r="J65" s="721"/>
      <c r="K65" s="721"/>
      <c r="L65" s="721"/>
      <c r="M65" s="721"/>
      <c r="N65" s="721"/>
      <c r="O65" s="721"/>
      <c r="P65" s="721"/>
      <c r="Q65" s="721"/>
      <c r="R65" s="721"/>
      <c r="S65" s="721"/>
      <c r="T65" s="721"/>
      <c r="U65" s="721"/>
      <c r="V65" s="721"/>
      <c r="W65" s="721"/>
      <c r="X65" s="721"/>
      <c r="Y65" s="721"/>
      <c r="Z65" s="721"/>
      <c r="AA65" s="721"/>
      <c r="AB65" s="725"/>
    </row>
    <row r="66" spans="1:43" x14ac:dyDescent="0.25">
      <c r="A66" s="738"/>
      <c r="B66" s="739"/>
      <c r="C66" s="460"/>
      <c r="D66" s="461"/>
      <c r="E66" s="726"/>
      <c r="F66" s="721"/>
      <c r="G66" s="721"/>
      <c r="H66" s="721"/>
      <c r="I66" s="721"/>
      <c r="J66" s="721"/>
      <c r="K66" s="721"/>
      <c r="L66" s="721"/>
      <c r="M66" s="721"/>
      <c r="N66" s="721"/>
      <c r="O66" s="721"/>
      <c r="P66" s="721"/>
      <c r="Q66" s="721"/>
      <c r="R66" s="721"/>
      <c r="S66" s="721"/>
      <c r="T66" s="721"/>
      <c r="U66" s="721"/>
      <c r="V66" s="721"/>
      <c r="W66" s="721"/>
      <c r="X66" s="721"/>
      <c r="Y66" s="721"/>
      <c r="Z66" s="721"/>
      <c r="AA66" s="721"/>
      <c r="AB66" s="725"/>
    </row>
    <row r="67" spans="1:43" x14ac:dyDescent="0.25">
      <c r="A67" s="738"/>
      <c r="B67" s="739"/>
      <c r="C67" s="460"/>
      <c r="D67" s="461"/>
      <c r="E67" s="726"/>
      <c r="F67" s="721"/>
      <c r="G67" s="721"/>
      <c r="H67" s="721"/>
      <c r="I67" s="721"/>
      <c r="J67" s="721"/>
      <c r="K67" s="721"/>
      <c r="L67" s="721"/>
      <c r="M67" s="721"/>
      <c r="N67" s="721"/>
      <c r="O67" s="721"/>
      <c r="P67" s="721"/>
      <c r="Q67" s="721"/>
      <c r="R67" s="721"/>
      <c r="S67" s="721"/>
      <c r="T67" s="721"/>
      <c r="U67" s="721"/>
      <c r="V67" s="721"/>
      <c r="W67" s="721"/>
      <c r="X67" s="721"/>
      <c r="Y67" s="721"/>
      <c r="Z67" s="721"/>
      <c r="AA67" s="721"/>
      <c r="AB67" s="725"/>
    </row>
    <row r="68" spans="1:43" x14ac:dyDescent="0.25">
      <c r="A68" s="738"/>
      <c r="B68" s="739"/>
      <c r="C68" s="460"/>
      <c r="D68" s="461"/>
      <c r="E68" s="726"/>
      <c r="F68" s="721"/>
      <c r="G68" s="721"/>
      <c r="H68" s="721"/>
      <c r="I68" s="721"/>
      <c r="J68" s="721"/>
      <c r="K68" s="721"/>
      <c r="L68" s="721"/>
      <c r="M68" s="721"/>
      <c r="N68" s="721"/>
      <c r="O68" s="721"/>
      <c r="P68" s="721"/>
      <c r="Q68" s="721"/>
      <c r="R68" s="721"/>
      <c r="S68" s="721"/>
      <c r="T68" s="721"/>
      <c r="U68" s="721"/>
      <c r="V68" s="721"/>
      <c r="W68" s="721"/>
      <c r="X68" s="721"/>
      <c r="Y68" s="721"/>
      <c r="Z68" s="721"/>
      <c r="AA68" s="721"/>
      <c r="AB68" s="725"/>
    </row>
    <row r="69" spans="1:43" ht="15.75" thickBot="1" x14ac:dyDescent="0.3">
      <c r="A69" s="738"/>
      <c r="B69" s="739"/>
      <c r="C69" s="460"/>
      <c r="D69" s="461"/>
      <c r="E69" s="726"/>
      <c r="F69" s="721"/>
      <c r="G69" s="721"/>
      <c r="H69" s="721"/>
      <c r="I69" s="721"/>
      <c r="J69" s="721"/>
      <c r="K69" s="721"/>
      <c r="L69" s="721"/>
      <c r="M69" s="721"/>
      <c r="N69" s="721"/>
      <c r="O69" s="721"/>
      <c r="P69" s="721"/>
      <c r="Q69" s="721"/>
      <c r="R69" s="721"/>
      <c r="S69" s="721"/>
      <c r="T69" s="721"/>
      <c r="U69" s="721"/>
      <c r="V69" s="721"/>
      <c r="W69" s="721"/>
      <c r="X69" s="721"/>
      <c r="Y69" s="721"/>
      <c r="Z69" s="721"/>
      <c r="AA69" s="721"/>
      <c r="AB69" s="725"/>
    </row>
    <row r="70" spans="1:43" x14ac:dyDescent="0.25">
      <c r="A70" s="727" t="s">
        <v>50</v>
      </c>
      <c r="B70" s="728"/>
      <c r="C70" s="458">
        <v>1</v>
      </c>
      <c r="D70" s="467" t="s">
        <v>296</v>
      </c>
      <c r="E70" s="733"/>
      <c r="F70" s="716"/>
      <c r="G70" s="716"/>
      <c r="H70" s="716"/>
      <c r="I70" s="716"/>
      <c r="J70" s="716"/>
      <c r="K70" s="716"/>
      <c r="L70" s="716"/>
      <c r="M70" s="716"/>
      <c r="N70" s="716"/>
      <c r="O70" s="716"/>
      <c r="P70" s="716"/>
      <c r="Q70" s="716"/>
      <c r="R70" s="716"/>
      <c r="S70" s="716"/>
      <c r="T70" s="716"/>
      <c r="U70" s="716"/>
      <c r="V70" s="716"/>
      <c r="W70" s="716"/>
      <c r="X70" s="716"/>
      <c r="Y70" s="716"/>
      <c r="Z70" s="716"/>
      <c r="AA70" s="716"/>
      <c r="AB70" s="735"/>
    </row>
    <row r="71" spans="1:43" x14ac:dyDescent="0.25">
      <c r="A71" s="738"/>
      <c r="B71" s="739"/>
      <c r="C71" s="571">
        <v>1</v>
      </c>
      <c r="D71" s="572" t="s">
        <v>294</v>
      </c>
      <c r="E71" s="761"/>
      <c r="F71" s="726"/>
      <c r="G71" s="762"/>
      <c r="H71" s="726"/>
      <c r="I71" s="762"/>
      <c r="J71" s="726"/>
      <c r="K71" s="762"/>
      <c r="L71" s="726"/>
      <c r="M71" s="762"/>
      <c r="N71" s="726"/>
      <c r="O71" s="762"/>
      <c r="P71" s="726"/>
      <c r="Q71" s="762"/>
      <c r="R71" s="726"/>
      <c r="S71" s="762"/>
      <c r="T71" s="726"/>
      <c r="U71" s="762"/>
      <c r="V71" s="726"/>
      <c r="W71" s="762"/>
      <c r="X71" s="726"/>
      <c r="Y71" s="762"/>
      <c r="Z71" s="726"/>
      <c r="AA71" s="762"/>
      <c r="AB71" s="763"/>
    </row>
    <row r="72" spans="1:43" ht="15.75" thickBot="1" x14ac:dyDescent="0.3">
      <c r="A72" s="729"/>
      <c r="B72" s="730"/>
      <c r="C72" s="462">
        <v>1</v>
      </c>
      <c r="D72" s="468" t="s">
        <v>295</v>
      </c>
      <c r="E72" s="724"/>
      <c r="F72" s="715"/>
      <c r="G72" s="715"/>
      <c r="H72" s="715"/>
      <c r="I72" s="715"/>
      <c r="J72" s="715"/>
      <c r="K72" s="715"/>
      <c r="L72" s="715"/>
      <c r="M72" s="715"/>
      <c r="N72" s="715"/>
      <c r="O72" s="715"/>
      <c r="P72" s="715"/>
      <c r="Q72" s="715"/>
      <c r="R72" s="715"/>
      <c r="S72" s="715"/>
      <c r="T72" s="715"/>
      <c r="U72" s="715"/>
      <c r="V72" s="715"/>
      <c r="W72" s="715"/>
      <c r="X72" s="715"/>
      <c r="Y72" s="715"/>
      <c r="Z72" s="715"/>
      <c r="AA72" s="715"/>
      <c r="AB72" s="734"/>
    </row>
    <row r="73" spans="1:43" ht="18.75" customHeight="1" x14ac:dyDescent="0.25">
      <c r="A73" s="80"/>
      <c r="B73" s="80"/>
      <c r="C73" s="50"/>
      <c r="D73" s="21"/>
      <c r="E73" s="82"/>
      <c r="F73" s="82"/>
      <c r="G73" s="82"/>
      <c r="H73" s="82"/>
      <c r="I73" s="82"/>
      <c r="J73" s="82"/>
      <c r="K73" s="82"/>
      <c r="L73" s="82"/>
      <c r="M73" s="82"/>
      <c r="N73" s="82"/>
      <c r="O73" s="82"/>
      <c r="P73" s="82"/>
      <c r="Q73" s="82"/>
      <c r="R73" s="82"/>
      <c r="S73" s="82"/>
      <c r="T73" s="82"/>
      <c r="U73" s="82"/>
      <c r="V73" s="82"/>
      <c r="W73" s="82"/>
      <c r="X73" s="82"/>
      <c r="Y73" s="82"/>
      <c r="Z73" s="82"/>
      <c r="AA73" s="82"/>
      <c r="AB73" s="82"/>
    </row>
    <row r="74" spans="1:43" ht="6.75" customHeight="1" x14ac:dyDescent="0.25">
      <c r="A74" s="102"/>
      <c r="B74" s="102"/>
      <c r="C74" s="103"/>
      <c r="D74" s="104"/>
      <c r="E74" s="105"/>
      <c r="F74" s="105"/>
      <c r="G74" s="105"/>
      <c r="H74" s="105"/>
      <c r="I74" s="105"/>
      <c r="J74" s="105"/>
      <c r="K74" s="105"/>
      <c r="L74" s="105"/>
      <c r="M74" s="105"/>
      <c r="N74" s="105"/>
      <c r="O74" s="105"/>
      <c r="P74" s="105"/>
      <c r="Q74" s="105"/>
      <c r="R74" s="105"/>
      <c r="S74" s="105"/>
      <c r="T74" s="105"/>
      <c r="U74" s="105"/>
      <c r="V74" s="105"/>
      <c r="W74" s="105"/>
      <c r="X74" s="105"/>
      <c r="Y74" s="105"/>
      <c r="Z74" s="105"/>
      <c r="AA74" s="105"/>
      <c r="AB74" s="105"/>
      <c r="AC74" s="106"/>
      <c r="AD74" s="106"/>
      <c r="AE74" s="106"/>
      <c r="AF74" s="106"/>
      <c r="AG74" s="106"/>
      <c r="AH74" s="106"/>
      <c r="AI74" s="106"/>
      <c r="AJ74" s="106"/>
      <c r="AK74" s="106"/>
      <c r="AL74" s="106"/>
      <c r="AM74" s="106"/>
      <c r="AN74" s="106"/>
      <c r="AO74" s="106"/>
      <c r="AP74" s="106"/>
      <c r="AQ74" s="106"/>
    </row>
    <row r="75" spans="1:43" ht="15.75" thickBot="1" x14ac:dyDescent="0.3"/>
    <row r="76" spans="1:43" ht="27" thickBot="1" x14ac:dyDescent="0.45">
      <c r="A76" s="785" t="s">
        <v>238</v>
      </c>
      <c r="B76" s="786"/>
      <c r="C76" s="786"/>
      <c r="D76" s="786"/>
      <c r="E76" s="786"/>
      <c r="F76" s="786"/>
      <c r="G76" s="786"/>
      <c r="H76" s="786"/>
      <c r="I76" s="786"/>
      <c r="J76" s="786"/>
      <c r="K76" s="786"/>
      <c r="L76" s="786"/>
      <c r="M76" s="786"/>
      <c r="N76" s="786"/>
      <c r="O76" s="786"/>
      <c r="P76" s="786"/>
      <c r="Q76" s="786"/>
      <c r="R76" s="786"/>
      <c r="S76" s="786"/>
      <c r="T76" s="786"/>
      <c r="U76" s="786"/>
      <c r="V76" s="786"/>
      <c r="W76" s="786"/>
      <c r="X76" s="786"/>
      <c r="Y76" s="786"/>
      <c r="Z76" s="786"/>
      <c r="AA76" s="786"/>
      <c r="AB76" s="787"/>
    </row>
    <row r="77" spans="1:43" x14ac:dyDescent="0.25">
      <c r="A77" s="772" t="s">
        <v>20</v>
      </c>
      <c r="B77" s="775" t="s">
        <v>21</v>
      </c>
      <c r="C77" s="772" t="s">
        <v>44</v>
      </c>
      <c r="D77" s="778"/>
      <c r="E77" s="789" t="s">
        <v>27</v>
      </c>
      <c r="F77" s="790"/>
      <c r="G77" s="789" t="s">
        <v>28</v>
      </c>
      <c r="H77" s="790"/>
      <c r="I77" s="789" t="s">
        <v>29</v>
      </c>
      <c r="J77" s="790"/>
      <c r="K77" s="789" t="s">
        <v>30</v>
      </c>
      <c r="L77" s="790"/>
      <c r="M77" s="789" t="s">
        <v>31</v>
      </c>
      <c r="N77" s="790"/>
      <c r="O77" s="789" t="s">
        <v>32</v>
      </c>
      <c r="P77" s="790"/>
      <c r="Q77" s="789" t="s">
        <v>33</v>
      </c>
      <c r="R77" s="790"/>
      <c r="S77" s="789" t="s">
        <v>34</v>
      </c>
      <c r="T77" s="790"/>
      <c r="U77" s="789" t="s">
        <v>35</v>
      </c>
      <c r="V77" s="790"/>
      <c r="W77" s="789" t="s">
        <v>36</v>
      </c>
      <c r="X77" s="790"/>
      <c r="Y77" s="789" t="s">
        <v>37</v>
      </c>
      <c r="Z77" s="790"/>
      <c r="AA77" s="789" t="s">
        <v>38</v>
      </c>
      <c r="AB77" s="790"/>
    </row>
    <row r="78" spans="1:43" x14ac:dyDescent="0.25">
      <c r="A78" s="773"/>
      <c r="B78" s="776"/>
      <c r="C78" s="779" t="s">
        <v>43</v>
      </c>
      <c r="D78" s="781" t="s">
        <v>26</v>
      </c>
      <c r="E78" s="770">
        <v>0.12</v>
      </c>
      <c r="F78" s="771"/>
      <c r="G78" s="770">
        <v>0.1</v>
      </c>
      <c r="H78" s="771"/>
      <c r="I78" s="770">
        <v>0.08</v>
      </c>
      <c r="J78" s="771"/>
      <c r="K78" s="770">
        <v>7.0000000000000007E-2</v>
      </c>
      <c r="L78" s="771"/>
      <c r="M78" s="770">
        <v>0.04</v>
      </c>
      <c r="N78" s="771"/>
      <c r="O78" s="770">
        <v>0.04</v>
      </c>
      <c r="P78" s="771"/>
      <c r="Q78" s="770">
        <v>0.08</v>
      </c>
      <c r="R78" s="771"/>
      <c r="S78" s="770">
        <v>0.04</v>
      </c>
      <c r="T78" s="771"/>
      <c r="U78" s="770">
        <v>0.1</v>
      </c>
      <c r="V78" s="771"/>
      <c r="W78" s="770">
        <v>0.1</v>
      </c>
      <c r="X78" s="771"/>
      <c r="Y78" s="770">
        <v>0.11</v>
      </c>
      <c r="Z78" s="771"/>
      <c r="AA78" s="770">
        <v>0.14000000000000001</v>
      </c>
      <c r="AB78" s="771"/>
    </row>
    <row r="79" spans="1:43" ht="15.75" thickBot="1" x14ac:dyDescent="0.3">
      <c r="A79" s="774"/>
      <c r="B79" s="777"/>
      <c r="C79" s="780"/>
      <c r="D79" s="782"/>
      <c r="E79" s="471" t="s">
        <v>43</v>
      </c>
      <c r="F79" s="472" t="s">
        <v>26</v>
      </c>
      <c r="G79" s="471" t="s">
        <v>43</v>
      </c>
      <c r="H79" s="472" t="s">
        <v>26</v>
      </c>
      <c r="I79" s="471" t="s">
        <v>43</v>
      </c>
      <c r="J79" s="472" t="s">
        <v>26</v>
      </c>
      <c r="K79" s="471" t="s">
        <v>43</v>
      </c>
      <c r="L79" s="472" t="s">
        <v>26</v>
      </c>
      <c r="M79" s="471" t="s">
        <v>43</v>
      </c>
      <c r="N79" s="472" t="s">
        <v>26</v>
      </c>
      <c r="O79" s="471" t="s">
        <v>43</v>
      </c>
      <c r="P79" s="472" t="s">
        <v>26</v>
      </c>
      <c r="Q79" s="471" t="s">
        <v>43</v>
      </c>
      <c r="R79" s="472" t="s">
        <v>26</v>
      </c>
      <c r="S79" s="455" t="s">
        <v>43</v>
      </c>
      <c r="T79" s="456" t="s">
        <v>26</v>
      </c>
      <c r="U79" s="455" t="s">
        <v>43</v>
      </c>
      <c r="V79" s="456" t="s">
        <v>26</v>
      </c>
      <c r="W79" s="455" t="s">
        <v>43</v>
      </c>
      <c r="X79" s="456" t="s">
        <v>26</v>
      </c>
      <c r="Y79" s="455" t="s">
        <v>43</v>
      </c>
      <c r="Z79" s="456" t="s">
        <v>26</v>
      </c>
      <c r="AA79" s="455" t="s">
        <v>43</v>
      </c>
      <c r="AB79" s="456" t="s">
        <v>26</v>
      </c>
    </row>
    <row r="80" spans="1:43" ht="15.75" x14ac:dyDescent="0.25">
      <c r="A80" s="380" t="str">
        <f>Hipótesis!B58</f>
        <v>Aviador</v>
      </c>
      <c r="B80" s="377">
        <v>3500</v>
      </c>
      <c r="C80" s="560">
        <f>C19*2</f>
        <v>2800</v>
      </c>
      <c r="D80" s="30">
        <f>B80*C80</f>
        <v>9800000</v>
      </c>
      <c r="E80" s="36">
        <f>C80*$E$78</f>
        <v>336</v>
      </c>
      <c r="F80" s="30">
        <f>D80*$E$17</f>
        <v>1176000</v>
      </c>
      <c r="G80" s="36">
        <f>C80*$G$78</f>
        <v>280</v>
      </c>
      <c r="H80" s="30">
        <f>D80*$G$17</f>
        <v>980000</v>
      </c>
      <c r="I80" s="36">
        <f>C80*$I$78</f>
        <v>224</v>
      </c>
      <c r="J80" s="30">
        <f t="shared" ref="J80:J91" si="25">D80*$I$17</f>
        <v>784000</v>
      </c>
      <c r="K80" s="36">
        <f>C80*$K$78</f>
        <v>196.00000000000003</v>
      </c>
      <c r="L80" s="30">
        <f t="shared" ref="L80:L91" si="26">D80*$K$17</f>
        <v>686000.00000000012</v>
      </c>
      <c r="M80" s="36">
        <f>C80*$M$78</f>
        <v>112</v>
      </c>
      <c r="N80" s="30">
        <f>D80*$M$17</f>
        <v>392000</v>
      </c>
      <c r="O80" s="36">
        <f>C80*$O$78</f>
        <v>112</v>
      </c>
      <c r="P80" s="30">
        <f t="shared" ref="P80:P91" si="27">D80*$O$17</f>
        <v>392000</v>
      </c>
      <c r="Q80" s="36">
        <f>C80*$Q$78</f>
        <v>224</v>
      </c>
      <c r="R80" s="30">
        <f t="shared" ref="R80:R91" si="28">D80*$Q$17</f>
        <v>784000</v>
      </c>
      <c r="S80" s="36">
        <f>C80*$S$78</f>
        <v>112</v>
      </c>
      <c r="T80" s="30">
        <f t="shared" ref="T80:T91" si="29">D80*$S$17</f>
        <v>392000</v>
      </c>
      <c r="U80" s="36">
        <f>C80*$U$78</f>
        <v>280</v>
      </c>
      <c r="V80" s="30">
        <f t="shared" ref="V80:V91" si="30">D80*$U$17</f>
        <v>980000</v>
      </c>
      <c r="W80" s="36">
        <f>C80*$W$78</f>
        <v>280</v>
      </c>
      <c r="X80" s="30">
        <f t="shared" ref="X80:X91" si="31">D80*$W$17</f>
        <v>980000</v>
      </c>
      <c r="Y80" s="36">
        <f>C80*$Y$78</f>
        <v>308</v>
      </c>
      <c r="Z80" s="30">
        <f t="shared" ref="Z80:Z91" si="32">D80*$Y$17</f>
        <v>1078000</v>
      </c>
      <c r="AA80" s="36">
        <f>C80*$AA$78</f>
        <v>392.00000000000006</v>
      </c>
      <c r="AB80" s="30">
        <f>D80*$AA$17</f>
        <v>1372000.0000000002</v>
      </c>
    </row>
    <row r="81" spans="1:28" ht="15.75" x14ac:dyDescent="0.25">
      <c r="A81" s="381" t="str">
        <f>Hipótesis!B59</f>
        <v>Cuadrado</v>
      </c>
      <c r="B81" s="378">
        <v>3000</v>
      </c>
      <c r="C81" s="561">
        <f t="shared" ref="C81:C91" si="33">C20*2</f>
        <v>2400</v>
      </c>
      <c r="D81" s="25">
        <f t="shared" ref="D81:D91" si="34">B81*C81</f>
        <v>7200000</v>
      </c>
      <c r="E81" s="37">
        <f t="shared" ref="E81:E90" si="35">C81*$E$78</f>
        <v>288</v>
      </c>
      <c r="F81" s="25">
        <f t="shared" ref="F81:F90" si="36">D81*$E$17</f>
        <v>864000</v>
      </c>
      <c r="G81" s="37">
        <f t="shared" ref="G81:G91" si="37">C81*$G$78</f>
        <v>240</v>
      </c>
      <c r="H81" s="25">
        <f t="shared" ref="H81:H91" si="38">D81*$G$17</f>
        <v>720000</v>
      </c>
      <c r="I81" s="37">
        <f t="shared" ref="I81:I91" si="39">C81*$I$78</f>
        <v>192</v>
      </c>
      <c r="J81" s="25">
        <f t="shared" si="25"/>
        <v>576000</v>
      </c>
      <c r="K81" s="37">
        <f t="shared" ref="K81:K91" si="40">C81*$K$78</f>
        <v>168.00000000000003</v>
      </c>
      <c r="L81" s="25">
        <f t="shared" si="26"/>
        <v>504000.00000000006</v>
      </c>
      <c r="M81" s="37">
        <f t="shared" ref="M81:M91" si="41">C81*$M$78</f>
        <v>96</v>
      </c>
      <c r="N81" s="25">
        <f t="shared" ref="N81:N91" si="42">D81*$M$17</f>
        <v>288000</v>
      </c>
      <c r="O81" s="37">
        <f t="shared" ref="O81:O91" si="43">C81*$O$78</f>
        <v>96</v>
      </c>
      <c r="P81" s="25">
        <f t="shared" si="27"/>
        <v>288000</v>
      </c>
      <c r="Q81" s="37">
        <f t="shared" ref="Q81:Q91" si="44">C81*$Q$78</f>
        <v>192</v>
      </c>
      <c r="R81" s="25">
        <f t="shared" si="28"/>
        <v>576000</v>
      </c>
      <c r="S81" s="37">
        <f t="shared" ref="S81:S91" si="45">C81*$S$78</f>
        <v>96</v>
      </c>
      <c r="T81" s="25">
        <f t="shared" si="29"/>
        <v>288000</v>
      </c>
      <c r="U81" s="37">
        <f t="shared" ref="U81:U91" si="46">C81*$U$78</f>
        <v>240</v>
      </c>
      <c r="V81" s="25">
        <f t="shared" si="30"/>
        <v>720000</v>
      </c>
      <c r="W81" s="37">
        <f t="shared" ref="W81:W91" si="47">C81*$W$78</f>
        <v>240</v>
      </c>
      <c r="X81" s="25">
        <f t="shared" si="31"/>
        <v>720000</v>
      </c>
      <c r="Y81" s="37">
        <f t="shared" ref="Y81:Y91" si="48">C81*$Y$78</f>
        <v>264</v>
      </c>
      <c r="Z81" s="25">
        <f t="shared" si="32"/>
        <v>792000</v>
      </c>
      <c r="AA81" s="37">
        <f t="shared" ref="AA81:AA91" si="49">C81*$AA$78</f>
        <v>336.00000000000006</v>
      </c>
      <c r="AB81" s="25">
        <f>D81*$AA$17</f>
        <v>1008000.0000000001</v>
      </c>
    </row>
    <row r="82" spans="1:28" ht="16.5" thickBot="1" x14ac:dyDescent="0.3">
      <c r="A82" s="382" t="str">
        <f>Hipótesis!B60</f>
        <v>Redondo</v>
      </c>
      <c r="B82" s="379">
        <v>2500</v>
      </c>
      <c r="C82" s="562">
        <f t="shared" si="33"/>
        <v>1600</v>
      </c>
      <c r="D82" s="31">
        <f t="shared" si="34"/>
        <v>4000000</v>
      </c>
      <c r="E82" s="38">
        <f t="shared" si="35"/>
        <v>192</v>
      </c>
      <c r="F82" s="31">
        <f t="shared" si="36"/>
        <v>480000</v>
      </c>
      <c r="G82" s="38">
        <f t="shared" si="37"/>
        <v>160</v>
      </c>
      <c r="H82" s="31">
        <f t="shared" si="38"/>
        <v>400000</v>
      </c>
      <c r="I82" s="38">
        <f t="shared" si="39"/>
        <v>128</v>
      </c>
      <c r="J82" s="31">
        <f t="shared" si="25"/>
        <v>320000</v>
      </c>
      <c r="K82" s="38">
        <f t="shared" si="40"/>
        <v>112.00000000000001</v>
      </c>
      <c r="L82" s="31">
        <f t="shared" si="26"/>
        <v>280000</v>
      </c>
      <c r="M82" s="38">
        <f t="shared" si="41"/>
        <v>64</v>
      </c>
      <c r="N82" s="31">
        <f t="shared" si="42"/>
        <v>160000</v>
      </c>
      <c r="O82" s="38">
        <f t="shared" si="43"/>
        <v>64</v>
      </c>
      <c r="P82" s="31">
        <f t="shared" si="27"/>
        <v>160000</v>
      </c>
      <c r="Q82" s="38">
        <f t="shared" si="44"/>
        <v>128</v>
      </c>
      <c r="R82" s="31">
        <f t="shared" si="28"/>
        <v>320000</v>
      </c>
      <c r="S82" s="38">
        <f t="shared" si="45"/>
        <v>64</v>
      </c>
      <c r="T82" s="31">
        <f t="shared" si="29"/>
        <v>160000</v>
      </c>
      <c r="U82" s="38">
        <f t="shared" si="46"/>
        <v>160</v>
      </c>
      <c r="V82" s="31">
        <f t="shared" si="30"/>
        <v>400000</v>
      </c>
      <c r="W82" s="38">
        <f t="shared" si="47"/>
        <v>160</v>
      </c>
      <c r="X82" s="31">
        <f t="shared" si="31"/>
        <v>400000</v>
      </c>
      <c r="Y82" s="38">
        <f t="shared" si="48"/>
        <v>176</v>
      </c>
      <c r="Z82" s="31">
        <f t="shared" si="32"/>
        <v>440000</v>
      </c>
      <c r="AA82" s="38">
        <f t="shared" si="49"/>
        <v>224.00000000000003</v>
      </c>
      <c r="AB82" s="31">
        <f t="shared" ref="AB82:AB91" si="50">D82*$AA$17</f>
        <v>560000</v>
      </c>
    </row>
    <row r="83" spans="1:28" x14ac:dyDescent="0.25">
      <c r="A83" s="386" t="str">
        <f>Hipótesis!B61</f>
        <v>Running</v>
      </c>
      <c r="B83" s="383">
        <v>2500</v>
      </c>
      <c r="C83" s="563">
        <f t="shared" si="33"/>
        <v>1400</v>
      </c>
      <c r="D83" s="32">
        <f t="shared" si="34"/>
        <v>3500000</v>
      </c>
      <c r="E83" s="39">
        <f t="shared" si="35"/>
        <v>168</v>
      </c>
      <c r="F83" s="32">
        <f t="shared" si="36"/>
        <v>420000</v>
      </c>
      <c r="G83" s="39">
        <f t="shared" si="37"/>
        <v>140</v>
      </c>
      <c r="H83" s="32">
        <f t="shared" si="38"/>
        <v>350000</v>
      </c>
      <c r="I83" s="39">
        <f t="shared" si="39"/>
        <v>112</v>
      </c>
      <c r="J83" s="32">
        <f t="shared" si="25"/>
        <v>280000</v>
      </c>
      <c r="K83" s="39">
        <f t="shared" si="40"/>
        <v>98.000000000000014</v>
      </c>
      <c r="L83" s="32">
        <f t="shared" si="26"/>
        <v>245000.00000000003</v>
      </c>
      <c r="M83" s="39">
        <f t="shared" si="41"/>
        <v>56</v>
      </c>
      <c r="N83" s="32">
        <f t="shared" si="42"/>
        <v>140000</v>
      </c>
      <c r="O83" s="39">
        <f t="shared" si="43"/>
        <v>56</v>
      </c>
      <c r="P83" s="32">
        <f t="shared" si="27"/>
        <v>140000</v>
      </c>
      <c r="Q83" s="39">
        <f t="shared" si="44"/>
        <v>112</v>
      </c>
      <c r="R83" s="32">
        <f t="shared" si="28"/>
        <v>280000</v>
      </c>
      <c r="S83" s="39">
        <f t="shared" si="45"/>
        <v>56</v>
      </c>
      <c r="T83" s="32">
        <f t="shared" si="29"/>
        <v>140000</v>
      </c>
      <c r="U83" s="39">
        <f t="shared" si="46"/>
        <v>140</v>
      </c>
      <c r="V83" s="32">
        <f t="shared" si="30"/>
        <v>350000</v>
      </c>
      <c r="W83" s="39">
        <f t="shared" si="47"/>
        <v>140</v>
      </c>
      <c r="X83" s="32">
        <f t="shared" si="31"/>
        <v>350000</v>
      </c>
      <c r="Y83" s="39">
        <f t="shared" si="48"/>
        <v>154</v>
      </c>
      <c r="Z83" s="32">
        <f t="shared" si="32"/>
        <v>385000</v>
      </c>
      <c r="AA83" s="39">
        <f t="shared" si="49"/>
        <v>196.00000000000003</v>
      </c>
      <c r="AB83" s="32">
        <f t="shared" si="50"/>
        <v>490000.00000000006</v>
      </c>
    </row>
    <row r="84" spans="1:28" x14ac:dyDescent="0.25">
      <c r="A84" s="387" t="str">
        <f>Hipótesis!B62</f>
        <v>Cilismo</v>
      </c>
      <c r="B84" s="384">
        <v>3000</v>
      </c>
      <c r="C84" s="564">
        <f t="shared" si="33"/>
        <v>2000</v>
      </c>
      <c r="D84" s="27">
        <f t="shared" si="34"/>
        <v>6000000</v>
      </c>
      <c r="E84" s="40">
        <f t="shared" si="35"/>
        <v>240</v>
      </c>
      <c r="F84" s="27">
        <f t="shared" si="36"/>
        <v>720000</v>
      </c>
      <c r="G84" s="40">
        <f t="shared" si="37"/>
        <v>200</v>
      </c>
      <c r="H84" s="27">
        <f t="shared" si="38"/>
        <v>600000</v>
      </c>
      <c r="I84" s="40">
        <f t="shared" si="39"/>
        <v>160</v>
      </c>
      <c r="J84" s="27">
        <f t="shared" si="25"/>
        <v>480000</v>
      </c>
      <c r="K84" s="40">
        <f t="shared" si="40"/>
        <v>140</v>
      </c>
      <c r="L84" s="27">
        <f t="shared" si="26"/>
        <v>420000.00000000006</v>
      </c>
      <c r="M84" s="40">
        <f t="shared" si="41"/>
        <v>80</v>
      </c>
      <c r="N84" s="27">
        <f t="shared" si="42"/>
        <v>240000</v>
      </c>
      <c r="O84" s="40">
        <f t="shared" si="43"/>
        <v>80</v>
      </c>
      <c r="P84" s="27">
        <f t="shared" si="27"/>
        <v>240000</v>
      </c>
      <c r="Q84" s="40">
        <f t="shared" si="44"/>
        <v>160</v>
      </c>
      <c r="R84" s="27">
        <f t="shared" si="28"/>
        <v>480000</v>
      </c>
      <c r="S84" s="40">
        <f t="shared" si="45"/>
        <v>80</v>
      </c>
      <c r="T84" s="27">
        <f t="shared" si="29"/>
        <v>240000</v>
      </c>
      <c r="U84" s="40">
        <f t="shared" si="46"/>
        <v>200</v>
      </c>
      <c r="V84" s="27">
        <f t="shared" si="30"/>
        <v>600000</v>
      </c>
      <c r="W84" s="40">
        <f t="shared" si="47"/>
        <v>200</v>
      </c>
      <c r="X84" s="27">
        <f t="shared" si="31"/>
        <v>600000</v>
      </c>
      <c r="Y84" s="40">
        <f t="shared" si="48"/>
        <v>220</v>
      </c>
      <c r="Z84" s="27">
        <f t="shared" si="32"/>
        <v>660000</v>
      </c>
      <c r="AA84" s="40">
        <f t="shared" si="49"/>
        <v>280</v>
      </c>
      <c r="AB84" s="27">
        <f t="shared" si="50"/>
        <v>840000.00000000012</v>
      </c>
    </row>
    <row r="85" spans="1:28" ht="15.75" thickBot="1" x14ac:dyDescent="0.3">
      <c r="A85" s="388" t="str">
        <f>Hipótesis!B63</f>
        <v>Ski</v>
      </c>
      <c r="B85" s="385">
        <v>3500</v>
      </c>
      <c r="C85" s="565">
        <f t="shared" si="33"/>
        <v>1600</v>
      </c>
      <c r="D85" s="33">
        <f t="shared" si="34"/>
        <v>5600000</v>
      </c>
      <c r="E85" s="41">
        <f t="shared" si="35"/>
        <v>192</v>
      </c>
      <c r="F85" s="33">
        <f t="shared" si="36"/>
        <v>672000</v>
      </c>
      <c r="G85" s="41">
        <f t="shared" si="37"/>
        <v>160</v>
      </c>
      <c r="H85" s="33">
        <f t="shared" si="38"/>
        <v>560000</v>
      </c>
      <c r="I85" s="41">
        <f t="shared" si="39"/>
        <v>128</v>
      </c>
      <c r="J85" s="33">
        <f t="shared" si="25"/>
        <v>448000</v>
      </c>
      <c r="K85" s="41">
        <f t="shared" si="40"/>
        <v>112.00000000000001</v>
      </c>
      <c r="L85" s="33">
        <f t="shared" si="26"/>
        <v>392000.00000000006</v>
      </c>
      <c r="M85" s="41">
        <f t="shared" si="41"/>
        <v>64</v>
      </c>
      <c r="N85" s="33">
        <f t="shared" si="42"/>
        <v>224000</v>
      </c>
      <c r="O85" s="41">
        <f t="shared" si="43"/>
        <v>64</v>
      </c>
      <c r="P85" s="33">
        <f t="shared" si="27"/>
        <v>224000</v>
      </c>
      <c r="Q85" s="41">
        <f t="shared" si="44"/>
        <v>128</v>
      </c>
      <c r="R85" s="33">
        <f t="shared" si="28"/>
        <v>448000</v>
      </c>
      <c r="S85" s="41">
        <f t="shared" si="45"/>
        <v>64</v>
      </c>
      <c r="T85" s="33">
        <f t="shared" si="29"/>
        <v>224000</v>
      </c>
      <c r="U85" s="41">
        <f t="shared" si="46"/>
        <v>160</v>
      </c>
      <c r="V85" s="33">
        <f t="shared" si="30"/>
        <v>560000</v>
      </c>
      <c r="W85" s="41">
        <f t="shared" si="47"/>
        <v>160</v>
      </c>
      <c r="X85" s="33">
        <f t="shared" si="31"/>
        <v>560000</v>
      </c>
      <c r="Y85" s="41">
        <f t="shared" si="48"/>
        <v>176</v>
      </c>
      <c r="Z85" s="33">
        <f t="shared" si="32"/>
        <v>616000</v>
      </c>
      <c r="AA85" s="41">
        <f t="shared" si="49"/>
        <v>224.00000000000003</v>
      </c>
      <c r="AB85" s="33">
        <f t="shared" si="50"/>
        <v>784000.00000000012</v>
      </c>
    </row>
    <row r="86" spans="1:28" x14ac:dyDescent="0.25">
      <c r="A86" s="416" t="str">
        <f>Hipótesis!B64</f>
        <v>Estilo 90</v>
      </c>
      <c r="B86" s="34">
        <v>3500</v>
      </c>
      <c r="C86" s="566">
        <f t="shared" si="33"/>
        <v>1200</v>
      </c>
      <c r="D86" s="35">
        <f t="shared" si="34"/>
        <v>4200000</v>
      </c>
      <c r="E86" s="42">
        <f t="shared" si="35"/>
        <v>144</v>
      </c>
      <c r="F86" s="35">
        <f t="shared" si="36"/>
        <v>504000</v>
      </c>
      <c r="G86" s="42">
        <f t="shared" si="37"/>
        <v>120</v>
      </c>
      <c r="H86" s="35">
        <f t="shared" si="38"/>
        <v>420000</v>
      </c>
      <c r="I86" s="42">
        <f t="shared" si="39"/>
        <v>96</v>
      </c>
      <c r="J86" s="35">
        <f t="shared" si="25"/>
        <v>336000</v>
      </c>
      <c r="K86" s="42">
        <f t="shared" si="40"/>
        <v>84.000000000000014</v>
      </c>
      <c r="L86" s="35">
        <f t="shared" si="26"/>
        <v>294000</v>
      </c>
      <c r="M86" s="42">
        <f t="shared" si="41"/>
        <v>48</v>
      </c>
      <c r="N86" s="35">
        <f t="shared" si="42"/>
        <v>168000</v>
      </c>
      <c r="O86" s="42">
        <f t="shared" si="43"/>
        <v>48</v>
      </c>
      <c r="P86" s="35">
        <f t="shared" si="27"/>
        <v>168000</v>
      </c>
      <c r="Q86" s="42">
        <f t="shared" si="44"/>
        <v>96</v>
      </c>
      <c r="R86" s="35">
        <f t="shared" si="28"/>
        <v>336000</v>
      </c>
      <c r="S86" s="42">
        <f t="shared" si="45"/>
        <v>48</v>
      </c>
      <c r="T86" s="35">
        <f t="shared" si="29"/>
        <v>168000</v>
      </c>
      <c r="U86" s="42">
        <f t="shared" si="46"/>
        <v>120</v>
      </c>
      <c r="V86" s="35">
        <f t="shared" si="30"/>
        <v>420000</v>
      </c>
      <c r="W86" s="42">
        <f t="shared" si="47"/>
        <v>120</v>
      </c>
      <c r="X86" s="35">
        <f t="shared" si="31"/>
        <v>420000</v>
      </c>
      <c r="Y86" s="42">
        <f t="shared" si="48"/>
        <v>132</v>
      </c>
      <c r="Z86" s="35">
        <f t="shared" si="32"/>
        <v>462000</v>
      </c>
      <c r="AA86" s="42">
        <f t="shared" si="49"/>
        <v>168.00000000000003</v>
      </c>
      <c r="AB86" s="35">
        <f t="shared" si="50"/>
        <v>588000</v>
      </c>
    </row>
    <row r="87" spans="1:28" x14ac:dyDescent="0.25">
      <c r="A87" s="417" t="str">
        <f>Hipótesis!B65</f>
        <v>Estilo 80</v>
      </c>
      <c r="B87" s="23">
        <v>3000</v>
      </c>
      <c r="C87" s="567">
        <f t="shared" si="33"/>
        <v>600</v>
      </c>
      <c r="D87" s="29">
        <f t="shared" si="34"/>
        <v>1800000</v>
      </c>
      <c r="E87" s="43">
        <f t="shared" si="35"/>
        <v>72</v>
      </c>
      <c r="F87" s="29">
        <f t="shared" si="36"/>
        <v>216000</v>
      </c>
      <c r="G87" s="43">
        <f t="shared" si="37"/>
        <v>60</v>
      </c>
      <c r="H87" s="29">
        <f t="shared" si="38"/>
        <v>180000</v>
      </c>
      <c r="I87" s="43">
        <f t="shared" si="39"/>
        <v>48</v>
      </c>
      <c r="J87" s="29">
        <f t="shared" si="25"/>
        <v>144000</v>
      </c>
      <c r="K87" s="43">
        <f t="shared" si="40"/>
        <v>42.000000000000007</v>
      </c>
      <c r="L87" s="29">
        <f t="shared" si="26"/>
        <v>126000.00000000001</v>
      </c>
      <c r="M87" s="43">
        <f t="shared" si="41"/>
        <v>24</v>
      </c>
      <c r="N87" s="29">
        <f t="shared" si="42"/>
        <v>72000</v>
      </c>
      <c r="O87" s="43">
        <f t="shared" si="43"/>
        <v>24</v>
      </c>
      <c r="P87" s="29">
        <f t="shared" si="27"/>
        <v>72000</v>
      </c>
      <c r="Q87" s="43">
        <f t="shared" si="44"/>
        <v>48</v>
      </c>
      <c r="R87" s="29">
        <f t="shared" si="28"/>
        <v>144000</v>
      </c>
      <c r="S87" s="43">
        <f t="shared" si="45"/>
        <v>24</v>
      </c>
      <c r="T87" s="29">
        <f t="shared" si="29"/>
        <v>72000</v>
      </c>
      <c r="U87" s="43">
        <f t="shared" si="46"/>
        <v>60</v>
      </c>
      <c r="V87" s="29">
        <f t="shared" si="30"/>
        <v>180000</v>
      </c>
      <c r="W87" s="43">
        <f t="shared" si="47"/>
        <v>60</v>
      </c>
      <c r="X87" s="29">
        <f t="shared" si="31"/>
        <v>180000</v>
      </c>
      <c r="Y87" s="43">
        <f t="shared" si="48"/>
        <v>66</v>
      </c>
      <c r="Z87" s="29">
        <f t="shared" si="32"/>
        <v>198000</v>
      </c>
      <c r="AA87" s="43">
        <f t="shared" si="49"/>
        <v>84.000000000000014</v>
      </c>
      <c r="AB87" s="29">
        <f t="shared" si="50"/>
        <v>252000.00000000003</v>
      </c>
    </row>
    <row r="88" spans="1:28" ht="15.75" thickBot="1" x14ac:dyDescent="0.3">
      <c r="A88" s="418" t="str">
        <f>Hipótesis!B66</f>
        <v>Estilo 70</v>
      </c>
      <c r="B88" s="358">
        <v>2500</v>
      </c>
      <c r="C88" s="567">
        <f t="shared" si="33"/>
        <v>400</v>
      </c>
      <c r="D88" s="359">
        <f t="shared" si="34"/>
        <v>1000000</v>
      </c>
      <c r="E88" s="360">
        <f t="shared" si="35"/>
        <v>48</v>
      </c>
      <c r="F88" s="359">
        <f t="shared" si="36"/>
        <v>120000</v>
      </c>
      <c r="G88" s="360">
        <f t="shared" si="37"/>
        <v>40</v>
      </c>
      <c r="H88" s="359">
        <f t="shared" si="38"/>
        <v>100000</v>
      </c>
      <c r="I88" s="360">
        <f t="shared" si="39"/>
        <v>32</v>
      </c>
      <c r="J88" s="359">
        <f t="shared" si="25"/>
        <v>80000</v>
      </c>
      <c r="K88" s="360">
        <f t="shared" si="40"/>
        <v>28.000000000000004</v>
      </c>
      <c r="L88" s="359">
        <f t="shared" si="26"/>
        <v>70000</v>
      </c>
      <c r="M88" s="360">
        <f t="shared" si="41"/>
        <v>16</v>
      </c>
      <c r="N88" s="359">
        <f t="shared" si="42"/>
        <v>40000</v>
      </c>
      <c r="O88" s="360">
        <f t="shared" si="43"/>
        <v>16</v>
      </c>
      <c r="P88" s="359">
        <f t="shared" si="27"/>
        <v>40000</v>
      </c>
      <c r="Q88" s="360">
        <f t="shared" si="44"/>
        <v>32</v>
      </c>
      <c r="R88" s="359">
        <f t="shared" si="28"/>
        <v>80000</v>
      </c>
      <c r="S88" s="360">
        <f t="shared" si="45"/>
        <v>16</v>
      </c>
      <c r="T88" s="359">
        <f t="shared" si="29"/>
        <v>40000</v>
      </c>
      <c r="U88" s="360">
        <f t="shared" si="46"/>
        <v>40</v>
      </c>
      <c r="V88" s="359">
        <f t="shared" si="30"/>
        <v>100000</v>
      </c>
      <c r="W88" s="360">
        <f t="shared" si="47"/>
        <v>40</v>
      </c>
      <c r="X88" s="359">
        <f t="shared" si="31"/>
        <v>100000</v>
      </c>
      <c r="Y88" s="360">
        <f t="shared" si="48"/>
        <v>44</v>
      </c>
      <c r="Z88" s="359">
        <f t="shared" si="32"/>
        <v>110000</v>
      </c>
      <c r="AA88" s="360">
        <f t="shared" si="49"/>
        <v>56.000000000000007</v>
      </c>
      <c r="AB88" s="359">
        <f t="shared" si="50"/>
        <v>140000</v>
      </c>
    </row>
    <row r="89" spans="1:28" x14ac:dyDescent="0.25">
      <c r="A89" s="389" t="str">
        <f>Hipótesis!B67</f>
        <v>Ovalado</v>
      </c>
      <c r="B89" s="364">
        <v>2500</v>
      </c>
      <c r="C89" s="568">
        <f t="shared" si="33"/>
        <v>2200</v>
      </c>
      <c r="D89" s="366">
        <f t="shared" si="34"/>
        <v>5500000</v>
      </c>
      <c r="E89" s="423">
        <f t="shared" si="35"/>
        <v>264</v>
      </c>
      <c r="F89" s="366">
        <f t="shared" si="36"/>
        <v>660000</v>
      </c>
      <c r="G89" s="420">
        <f t="shared" si="37"/>
        <v>220</v>
      </c>
      <c r="H89" s="366">
        <f t="shared" si="38"/>
        <v>550000</v>
      </c>
      <c r="I89" s="420">
        <f t="shared" si="39"/>
        <v>176</v>
      </c>
      <c r="J89" s="366">
        <f t="shared" si="25"/>
        <v>440000</v>
      </c>
      <c r="K89" s="420">
        <f t="shared" si="40"/>
        <v>154.00000000000003</v>
      </c>
      <c r="L89" s="366">
        <f t="shared" si="26"/>
        <v>385000.00000000006</v>
      </c>
      <c r="M89" s="420">
        <f t="shared" si="41"/>
        <v>88</v>
      </c>
      <c r="N89" s="366">
        <f t="shared" si="42"/>
        <v>220000</v>
      </c>
      <c r="O89" s="420">
        <f t="shared" si="43"/>
        <v>88</v>
      </c>
      <c r="P89" s="366">
        <f t="shared" si="27"/>
        <v>220000</v>
      </c>
      <c r="Q89" s="420">
        <f t="shared" si="44"/>
        <v>176</v>
      </c>
      <c r="R89" s="366">
        <f t="shared" si="28"/>
        <v>440000</v>
      </c>
      <c r="S89" s="420">
        <f t="shared" si="45"/>
        <v>88</v>
      </c>
      <c r="T89" s="366">
        <f t="shared" si="29"/>
        <v>220000</v>
      </c>
      <c r="U89" s="420">
        <f t="shared" si="46"/>
        <v>220</v>
      </c>
      <c r="V89" s="366">
        <f t="shared" si="30"/>
        <v>550000</v>
      </c>
      <c r="W89" s="420">
        <f t="shared" si="47"/>
        <v>220</v>
      </c>
      <c r="X89" s="366">
        <f t="shared" si="31"/>
        <v>550000</v>
      </c>
      <c r="Y89" s="420">
        <f t="shared" si="48"/>
        <v>242</v>
      </c>
      <c r="Z89" s="366">
        <f t="shared" si="32"/>
        <v>605000</v>
      </c>
      <c r="AA89" s="420">
        <f t="shared" si="49"/>
        <v>308.00000000000006</v>
      </c>
      <c r="AB89" s="366">
        <f t="shared" si="50"/>
        <v>770000.00000000012</v>
      </c>
    </row>
    <row r="90" spans="1:28" x14ac:dyDescent="0.25">
      <c r="A90" s="390" t="str">
        <f>Hipótesis!B68</f>
        <v>Rectangular</v>
      </c>
      <c r="B90" s="361">
        <v>3000</v>
      </c>
      <c r="C90" s="569">
        <f t="shared" si="33"/>
        <v>1600</v>
      </c>
      <c r="D90" s="367">
        <f t="shared" si="34"/>
        <v>4800000</v>
      </c>
      <c r="E90" s="419">
        <f t="shared" si="35"/>
        <v>192</v>
      </c>
      <c r="F90" s="367">
        <f t="shared" si="36"/>
        <v>576000</v>
      </c>
      <c r="G90" s="421">
        <f t="shared" si="37"/>
        <v>160</v>
      </c>
      <c r="H90" s="367">
        <f t="shared" si="38"/>
        <v>480000</v>
      </c>
      <c r="I90" s="421">
        <f t="shared" si="39"/>
        <v>128</v>
      </c>
      <c r="J90" s="367">
        <f t="shared" si="25"/>
        <v>384000</v>
      </c>
      <c r="K90" s="421">
        <f t="shared" si="40"/>
        <v>112.00000000000001</v>
      </c>
      <c r="L90" s="367">
        <f t="shared" si="26"/>
        <v>336000.00000000006</v>
      </c>
      <c r="M90" s="421">
        <f t="shared" si="41"/>
        <v>64</v>
      </c>
      <c r="N90" s="367">
        <f t="shared" si="42"/>
        <v>192000</v>
      </c>
      <c r="O90" s="421">
        <f t="shared" si="43"/>
        <v>64</v>
      </c>
      <c r="P90" s="367">
        <f t="shared" si="27"/>
        <v>192000</v>
      </c>
      <c r="Q90" s="421">
        <f t="shared" si="44"/>
        <v>128</v>
      </c>
      <c r="R90" s="367">
        <f t="shared" si="28"/>
        <v>384000</v>
      </c>
      <c r="S90" s="421">
        <f t="shared" si="45"/>
        <v>64</v>
      </c>
      <c r="T90" s="367">
        <f t="shared" si="29"/>
        <v>192000</v>
      </c>
      <c r="U90" s="421">
        <f t="shared" si="46"/>
        <v>160</v>
      </c>
      <c r="V90" s="367">
        <f t="shared" si="30"/>
        <v>480000</v>
      </c>
      <c r="W90" s="421">
        <f t="shared" si="47"/>
        <v>160</v>
      </c>
      <c r="X90" s="367">
        <f t="shared" si="31"/>
        <v>480000</v>
      </c>
      <c r="Y90" s="421">
        <f t="shared" si="48"/>
        <v>176</v>
      </c>
      <c r="Z90" s="367">
        <f t="shared" si="32"/>
        <v>528000</v>
      </c>
      <c r="AA90" s="421">
        <f t="shared" si="49"/>
        <v>224.00000000000003</v>
      </c>
      <c r="AB90" s="367">
        <f t="shared" si="50"/>
        <v>672000.00000000012</v>
      </c>
    </row>
    <row r="91" spans="1:28" ht="15.75" thickBot="1" x14ac:dyDescent="0.3">
      <c r="A91" s="391" t="str">
        <f>Hipótesis!B69</f>
        <v>Hexagonal</v>
      </c>
      <c r="B91" s="368">
        <v>3500</v>
      </c>
      <c r="C91" s="570">
        <f t="shared" si="33"/>
        <v>1400</v>
      </c>
      <c r="D91" s="370">
        <f t="shared" si="34"/>
        <v>4900000</v>
      </c>
      <c r="E91" s="424">
        <f t="shared" ref="E91" si="51">C91*$E$17</f>
        <v>168</v>
      </c>
      <c r="F91" s="370">
        <f>D91*$E$17</f>
        <v>588000</v>
      </c>
      <c r="G91" s="422">
        <f t="shared" si="37"/>
        <v>140</v>
      </c>
      <c r="H91" s="370">
        <f t="shared" si="38"/>
        <v>490000</v>
      </c>
      <c r="I91" s="422">
        <f t="shared" si="39"/>
        <v>112</v>
      </c>
      <c r="J91" s="370">
        <f t="shared" si="25"/>
        <v>392000</v>
      </c>
      <c r="K91" s="422">
        <f t="shared" si="40"/>
        <v>98.000000000000014</v>
      </c>
      <c r="L91" s="370">
        <f t="shared" si="26"/>
        <v>343000.00000000006</v>
      </c>
      <c r="M91" s="422">
        <f t="shared" si="41"/>
        <v>56</v>
      </c>
      <c r="N91" s="370">
        <f t="shared" si="42"/>
        <v>196000</v>
      </c>
      <c r="O91" s="422">
        <f t="shared" si="43"/>
        <v>56</v>
      </c>
      <c r="P91" s="370">
        <f t="shared" si="27"/>
        <v>196000</v>
      </c>
      <c r="Q91" s="422">
        <f t="shared" si="44"/>
        <v>112</v>
      </c>
      <c r="R91" s="370">
        <f t="shared" si="28"/>
        <v>392000</v>
      </c>
      <c r="S91" s="422">
        <f t="shared" si="45"/>
        <v>56</v>
      </c>
      <c r="T91" s="370">
        <f t="shared" si="29"/>
        <v>196000</v>
      </c>
      <c r="U91" s="422">
        <f t="shared" si="46"/>
        <v>140</v>
      </c>
      <c r="V91" s="370">
        <f t="shared" si="30"/>
        <v>490000</v>
      </c>
      <c r="W91" s="422">
        <f t="shared" si="47"/>
        <v>140</v>
      </c>
      <c r="X91" s="370">
        <f t="shared" si="31"/>
        <v>490000</v>
      </c>
      <c r="Y91" s="422">
        <f t="shared" si="48"/>
        <v>154</v>
      </c>
      <c r="Z91" s="370">
        <f t="shared" si="32"/>
        <v>539000</v>
      </c>
      <c r="AA91" s="422">
        <f t="shared" si="49"/>
        <v>196.00000000000003</v>
      </c>
      <c r="AB91" s="370">
        <f t="shared" si="50"/>
        <v>686000.00000000012</v>
      </c>
    </row>
    <row r="92" spans="1:28" ht="16.5" thickBot="1" x14ac:dyDescent="0.3">
      <c r="A92" s="703" t="s">
        <v>58</v>
      </c>
      <c r="B92" s="704"/>
      <c r="C92" s="106"/>
      <c r="D92" s="109">
        <f>SUM(D80:D91)</f>
        <v>58300000</v>
      </c>
      <c r="E92" s="110"/>
      <c r="F92" s="111">
        <f>SUM(F80:F91)</f>
        <v>6996000</v>
      </c>
      <c r="G92" s="110"/>
      <c r="H92" s="111">
        <f>SUM(H80:H91)</f>
        <v>5830000</v>
      </c>
      <c r="I92" s="110"/>
      <c r="J92" s="111">
        <f>SUM(J80:J91)</f>
        <v>4664000</v>
      </c>
      <c r="K92" s="110"/>
      <c r="L92" s="111">
        <f>SUM(L80:L91)</f>
        <v>4081000.0000000005</v>
      </c>
      <c r="M92" s="110"/>
      <c r="N92" s="111">
        <f>SUM(N80:N91)</f>
        <v>2332000</v>
      </c>
      <c r="O92" s="110"/>
      <c r="P92" s="111">
        <f>SUM(P80:P91)</f>
        <v>2332000</v>
      </c>
      <c r="Q92" s="110"/>
      <c r="R92" s="111">
        <f>SUM(R80:R91)</f>
        <v>4664000</v>
      </c>
      <c r="S92" s="110"/>
      <c r="T92" s="111">
        <f>SUM(T80:T91)</f>
        <v>2332000</v>
      </c>
      <c r="U92" s="110"/>
      <c r="V92" s="111">
        <f>SUM(V80:V91)</f>
        <v>5830000</v>
      </c>
      <c r="W92" s="110"/>
      <c r="X92" s="111">
        <f>SUM(X80:X91)</f>
        <v>5830000</v>
      </c>
      <c r="Y92" s="110"/>
      <c r="Z92" s="111">
        <f>SUM(Z80:Z91)</f>
        <v>6413000</v>
      </c>
      <c r="AA92" s="110"/>
      <c r="AB92" s="111">
        <f>SUM(AB80:AB91)</f>
        <v>8162000.0000000009</v>
      </c>
    </row>
    <row r="93" spans="1:28" ht="16.5" thickBot="1" x14ac:dyDescent="0.3">
      <c r="A93" s="701" t="s">
        <v>303</v>
      </c>
      <c r="B93" s="702"/>
      <c r="C93" s="412">
        <f>SUM(C80:C82)</f>
        <v>6800</v>
      </c>
      <c r="D93" s="115"/>
      <c r="E93" s="412">
        <f>SUM(E80:E82)</f>
        <v>816</v>
      </c>
      <c r="F93" s="114"/>
      <c r="G93" s="412">
        <f>SUM(G80:G82)</f>
        <v>680</v>
      </c>
      <c r="H93" s="114"/>
      <c r="I93" s="412">
        <f>SUM(I80:I82)</f>
        <v>544</v>
      </c>
      <c r="J93" s="114"/>
      <c r="K93" s="412">
        <f>SUM(K80:K82)</f>
        <v>476.00000000000006</v>
      </c>
      <c r="L93" s="114"/>
      <c r="M93" s="412">
        <f>SUM(M80:M82)</f>
        <v>272</v>
      </c>
      <c r="N93" s="114"/>
      <c r="O93" s="412">
        <f>SUM(O80:O82)</f>
        <v>272</v>
      </c>
      <c r="P93" s="114"/>
      <c r="Q93" s="412">
        <f>SUM(Q80:Q82)</f>
        <v>544</v>
      </c>
      <c r="R93" s="114"/>
      <c r="S93" s="412">
        <f>SUM(S80:S82)</f>
        <v>272</v>
      </c>
      <c r="T93" s="114"/>
      <c r="U93" s="412">
        <f>SUM(U80:U82)</f>
        <v>680</v>
      </c>
      <c r="V93" s="114"/>
      <c r="W93" s="412">
        <f>SUM(W80:W82)</f>
        <v>680</v>
      </c>
      <c r="X93" s="114"/>
      <c r="Y93" s="412">
        <f>SUM(Y80:Y82)</f>
        <v>748</v>
      </c>
      <c r="Z93" s="114"/>
      <c r="AA93" s="412">
        <f>SUM(AA80:AA82)</f>
        <v>952.00000000000011</v>
      </c>
      <c r="AB93" s="115"/>
    </row>
    <row r="94" spans="1:28" ht="16.5" thickBot="1" x14ac:dyDescent="0.3">
      <c r="A94" s="699" t="s">
        <v>239</v>
      </c>
      <c r="B94" s="700"/>
      <c r="C94" s="413">
        <f>SUM(C83:C85)</f>
        <v>5000</v>
      </c>
      <c r="D94" s="115"/>
      <c r="E94" s="413">
        <f>SUM(E83:E85)</f>
        <v>600</v>
      </c>
      <c r="F94" s="113"/>
      <c r="G94" s="413">
        <f>SUM(G83:G85)</f>
        <v>500</v>
      </c>
      <c r="H94" s="113"/>
      <c r="I94" s="413">
        <f>SUM(I83:I85)</f>
        <v>400</v>
      </c>
      <c r="J94" s="113"/>
      <c r="K94" s="413">
        <f>SUM(K83:K85)</f>
        <v>350</v>
      </c>
      <c r="L94" s="113"/>
      <c r="M94" s="413">
        <f>SUM(M83:M85)</f>
        <v>200</v>
      </c>
      <c r="N94" s="113"/>
      <c r="O94" s="413">
        <f>SUM(O83:O85)</f>
        <v>200</v>
      </c>
      <c r="P94" s="113"/>
      <c r="Q94" s="413">
        <f>SUM(Q83:Q85)</f>
        <v>400</v>
      </c>
      <c r="R94" s="113"/>
      <c r="S94" s="413">
        <f>SUM(S83:S85)</f>
        <v>200</v>
      </c>
      <c r="T94" s="113"/>
      <c r="U94" s="413">
        <f>SUM(U83:U85)</f>
        <v>500</v>
      </c>
      <c r="V94" s="113"/>
      <c r="W94" s="413">
        <f>SUM(W83:W85)</f>
        <v>500</v>
      </c>
      <c r="X94" s="113"/>
      <c r="Y94" s="413">
        <f>SUM(Y83:Y85)</f>
        <v>550</v>
      </c>
      <c r="Z94" s="113"/>
      <c r="AA94" s="413">
        <f>SUM(AA83:AA85)</f>
        <v>700</v>
      </c>
      <c r="AB94" s="116"/>
    </row>
    <row r="95" spans="1:28" ht="16.5" thickBot="1" x14ac:dyDescent="0.3">
      <c r="A95" s="697" t="s">
        <v>240</v>
      </c>
      <c r="B95" s="698"/>
      <c r="C95" s="414">
        <f>SUM(C86:C88)</f>
        <v>2200</v>
      </c>
      <c r="D95" s="115"/>
      <c r="E95" s="414">
        <f>SUM(E86:E88)</f>
        <v>264</v>
      </c>
      <c r="F95" s="117"/>
      <c r="G95" s="414">
        <f>SUM(G86:G88)</f>
        <v>220</v>
      </c>
      <c r="H95" s="117"/>
      <c r="I95" s="414">
        <f>SUM(I86:I88)</f>
        <v>176</v>
      </c>
      <c r="J95" s="117"/>
      <c r="K95" s="414">
        <f>SUM(K86:K88)</f>
        <v>154.00000000000003</v>
      </c>
      <c r="L95" s="117"/>
      <c r="M95" s="414">
        <f>SUM(M86:M88)</f>
        <v>88</v>
      </c>
      <c r="N95" s="117"/>
      <c r="O95" s="414">
        <f>SUM(O86:O88)</f>
        <v>88</v>
      </c>
      <c r="P95" s="117"/>
      <c r="Q95" s="414">
        <f>SUM(Q86:Q88)</f>
        <v>176</v>
      </c>
      <c r="R95" s="117"/>
      <c r="S95" s="414">
        <f>SUM(S86:S88)</f>
        <v>88</v>
      </c>
      <c r="T95" s="117"/>
      <c r="U95" s="414">
        <f>SUM(U86:U88)</f>
        <v>220</v>
      </c>
      <c r="V95" s="117"/>
      <c r="W95" s="414">
        <f>SUM(W86:W88)</f>
        <v>220</v>
      </c>
      <c r="X95" s="117"/>
      <c r="Y95" s="414">
        <f>SUM(Y86:Y88)</f>
        <v>242</v>
      </c>
      <c r="Z95" s="117"/>
      <c r="AA95" s="414">
        <f>SUM(AA86:AA88)</f>
        <v>308.00000000000006</v>
      </c>
      <c r="AB95" s="118"/>
    </row>
    <row r="96" spans="1:28" ht="16.5" thickBot="1" x14ac:dyDescent="0.3">
      <c r="A96" s="719" t="s">
        <v>301</v>
      </c>
      <c r="B96" s="720"/>
      <c r="C96" s="415">
        <f>SUM(C89:C91)</f>
        <v>5200</v>
      </c>
      <c r="D96" s="115"/>
      <c r="E96" s="415">
        <f>SUM(E89:E91)</f>
        <v>624</v>
      </c>
      <c r="F96" s="119"/>
      <c r="G96" s="415">
        <f>SUM(G89:G91)</f>
        <v>520</v>
      </c>
      <c r="H96" s="119"/>
      <c r="I96" s="415">
        <f>SUM(I89:I91)</f>
        <v>416</v>
      </c>
      <c r="J96" s="119"/>
      <c r="K96" s="415">
        <f>SUM(K89:K91)</f>
        <v>364.00000000000006</v>
      </c>
      <c r="L96" s="119"/>
      <c r="M96" s="415">
        <f>SUM(M89:M91)</f>
        <v>208</v>
      </c>
      <c r="N96" s="119"/>
      <c r="O96" s="415">
        <f>SUM(O89:O91)</f>
        <v>208</v>
      </c>
      <c r="P96" s="119"/>
      <c r="Q96" s="415">
        <f>SUM(Q89:Q91)</f>
        <v>416</v>
      </c>
      <c r="R96" s="119"/>
      <c r="S96" s="415">
        <f>SUM(S89:S91)</f>
        <v>208</v>
      </c>
      <c r="T96" s="119"/>
      <c r="U96" s="415">
        <f>SUM(U89:U91)</f>
        <v>520</v>
      </c>
      <c r="V96" s="119"/>
      <c r="W96" s="415">
        <f>SUM(W89:W91)</f>
        <v>520</v>
      </c>
      <c r="X96" s="119"/>
      <c r="Y96" s="415">
        <f>SUM(Y89:Y91)</f>
        <v>572</v>
      </c>
      <c r="Z96" s="119"/>
      <c r="AA96" s="415">
        <f>SUM(AA89:AA91)</f>
        <v>728.00000000000011</v>
      </c>
      <c r="AB96" s="120"/>
    </row>
    <row r="97" spans="1:28" ht="15.75" thickBot="1" x14ac:dyDescent="0.3">
      <c r="D97" s="17"/>
    </row>
    <row r="98" spans="1:28" ht="27" thickBot="1" x14ac:dyDescent="0.45">
      <c r="A98" s="753" t="s">
        <v>237</v>
      </c>
      <c r="B98" s="754"/>
      <c r="C98" s="754"/>
      <c r="D98" s="754"/>
      <c r="E98" s="754"/>
      <c r="F98" s="754"/>
      <c r="G98" s="754"/>
      <c r="H98" s="754"/>
      <c r="I98" s="754"/>
      <c r="J98" s="754"/>
      <c r="K98" s="754"/>
      <c r="L98" s="754"/>
      <c r="M98" s="754"/>
      <c r="N98" s="754"/>
      <c r="O98" s="754"/>
      <c r="P98" s="754"/>
      <c r="Q98" s="754"/>
      <c r="R98" s="754"/>
      <c r="S98" s="754"/>
      <c r="T98" s="754"/>
      <c r="U98" s="754"/>
      <c r="V98" s="754"/>
      <c r="W98" s="754"/>
      <c r="X98" s="754"/>
      <c r="Y98" s="754"/>
      <c r="Z98" s="754"/>
      <c r="AA98" s="754"/>
      <c r="AB98" s="755"/>
    </row>
    <row r="99" spans="1:28" ht="107.25" customHeight="1" thickBot="1" x14ac:dyDescent="0.3">
      <c r="A99" s="457" t="s">
        <v>52</v>
      </c>
      <c r="B99" s="797" t="s">
        <v>282</v>
      </c>
      <c r="C99" s="798"/>
      <c r="D99" s="798"/>
      <c r="E99" s="798"/>
      <c r="F99" s="798"/>
      <c r="G99" s="798"/>
      <c r="H99" s="798"/>
      <c r="I99" s="798"/>
      <c r="J99" s="798"/>
      <c r="K99" s="798"/>
      <c r="L99" s="798"/>
      <c r="M99" s="798"/>
      <c r="N99" s="798"/>
      <c r="O99" s="798"/>
      <c r="P99" s="798"/>
      <c r="Q99" s="798"/>
      <c r="R99" s="798"/>
      <c r="S99" s="798"/>
      <c r="T99" s="798"/>
      <c r="U99" s="798"/>
      <c r="V99" s="798"/>
      <c r="W99" s="798"/>
      <c r="X99" s="798"/>
      <c r="Y99" s="798"/>
      <c r="Z99" s="798"/>
      <c r="AA99" s="798"/>
      <c r="AB99" s="799"/>
    </row>
    <row r="100" spans="1:28" ht="21.75" thickBot="1" x14ac:dyDescent="0.3">
      <c r="A100" s="756"/>
      <c r="B100" s="757"/>
      <c r="C100" s="758" t="s">
        <v>47</v>
      </c>
      <c r="D100" s="759"/>
      <c r="E100" s="760" t="s">
        <v>27</v>
      </c>
      <c r="F100" s="742"/>
      <c r="G100" s="741" t="s">
        <v>28</v>
      </c>
      <c r="H100" s="742"/>
      <c r="I100" s="741" t="s">
        <v>29</v>
      </c>
      <c r="J100" s="742"/>
      <c r="K100" s="741" t="s">
        <v>30</v>
      </c>
      <c r="L100" s="742"/>
      <c r="M100" s="741" t="s">
        <v>31</v>
      </c>
      <c r="N100" s="742"/>
      <c r="O100" s="741" t="s">
        <v>32</v>
      </c>
      <c r="P100" s="742"/>
      <c r="Q100" s="741" t="s">
        <v>33</v>
      </c>
      <c r="R100" s="742"/>
      <c r="S100" s="741" t="s">
        <v>34</v>
      </c>
      <c r="T100" s="742"/>
      <c r="U100" s="741" t="s">
        <v>35</v>
      </c>
      <c r="V100" s="742"/>
      <c r="W100" s="741" t="s">
        <v>36</v>
      </c>
      <c r="X100" s="742"/>
      <c r="Y100" s="741" t="s">
        <v>37</v>
      </c>
      <c r="Z100" s="742"/>
      <c r="AA100" s="741" t="s">
        <v>38</v>
      </c>
      <c r="AB100" s="742"/>
    </row>
    <row r="101" spans="1:28" x14ac:dyDescent="0.25">
      <c r="A101" s="743" t="s">
        <v>46</v>
      </c>
      <c r="B101" s="744"/>
      <c r="C101" s="749" t="s">
        <v>253</v>
      </c>
      <c r="D101" s="750"/>
      <c r="E101" s="751">
        <v>1</v>
      </c>
      <c r="F101" s="733"/>
      <c r="G101" s="752"/>
      <c r="H101" s="733"/>
      <c r="I101" s="752"/>
      <c r="J101" s="733"/>
      <c r="K101" s="752"/>
      <c r="L101" s="733"/>
      <c r="M101" s="752"/>
      <c r="N101" s="733"/>
      <c r="O101" s="752"/>
      <c r="P101" s="733"/>
      <c r="Q101" s="752"/>
      <c r="R101" s="733"/>
      <c r="S101" s="752"/>
      <c r="T101" s="733"/>
      <c r="U101" s="716"/>
      <c r="V101" s="716"/>
      <c r="W101" s="716"/>
      <c r="X101" s="716"/>
      <c r="Y101" s="716"/>
      <c r="Z101" s="716"/>
      <c r="AA101" s="716"/>
      <c r="AB101" s="735"/>
    </row>
    <row r="102" spans="1:28" x14ac:dyDescent="0.25">
      <c r="A102" s="745"/>
      <c r="B102" s="746"/>
      <c r="C102" s="722" t="s">
        <v>268</v>
      </c>
      <c r="D102" s="723"/>
      <c r="E102" s="726">
        <v>1</v>
      </c>
      <c r="F102" s="721"/>
      <c r="G102" s="721"/>
      <c r="H102" s="721"/>
      <c r="I102" s="721"/>
      <c r="J102" s="721"/>
      <c r="K102" s="721"/>
      <c r="L102" s="721"/>
      <c r="M102" s="721"/>
      <c r="N102" s="721"/>
      <c r="O102" s="721"/>
      <c r="P102" s="721"/>
      <c r="Q102" s="721">
        <v>1</v>
      </c>
      <c r="R102" s="721"/>
      <c r="S102" s="721"/>
      <c r="T102" s="721"/>
      <c r="U102" s="721"/>
      <c r="V102" s="721"/>
      <c r="W102" s="721"/>
      <c r="X102" s="721"/>
      <c r="Y102" s="721"/>
      <c r="Z102" s="721"/>
      <c r="AA102" s="721"/>
      <c r="AB102" s="725"/>
    </row>
    <row r="103" spans="1:28" x14ac:dyDescent="0.25">
      <c r="A103" s="745"/>
      <c r="B103" s="746"/>
      <c r="C103" s="722" t="s">
        <v>259</v>
      </c>
      <c r="D103" s="723"/>
      <c r="E103" s="726">
        <v>1</v>
      </c>
      <c r="F103" s="721"/>
      <c r="G103" s="721"/>
      <c r="H103" s="721"/>
      <c r="I103" s="721"/>
      <c r="J103" s="721"/>
      <c r="K103" s="721"/>
      <c r="L103" s="721"/>
      <c r="M103" s="721"/>
      <c r="N103" s="721"/>
      <c r="O103" s="721"/>
      <c r="P103" s="721"/>
      <c r="Q103" s="721"/>
      <c r="R103" s="721"/>
      <c r="S103" s="721"/>
      <c r="T103" s="721"/>
      <c r="U103" s="721"/>
      <c r="V103" s="721"/>
      <c r="W103" s="721"/>
      <c r="X103" s="721"/>
      <c r="Y103" s="721"/>
      <c r="Z103" s="721"/>
      <c r="AA103" s="721"/>
      <c r="AB103" s="725"/>
    </row>
    <row r="104" spans="1:28" x14ac:dyDescent="0.25">
      <c r="A104" s="745"/>
      <c r="B104" s="746"/>
      <c r="C104" s="722" t="s">
        <v>261</v>
      </c>
      <c r="D104" s="723"/>
      <c r="E104" s="726">
        <v>8</v>
      </c>
      <c r="F104" s="721"/>
      <c r="G104" s="721"/>
      <c r="H104" s="721"/>
      <c r="I104" s="721"/>
      <c r="J104" s="721"/>
      <c r="K104" s="721"/>
      <c r="L104" s="721"/>
      <c r="M104" s="721"/>
      <c r="N104" s="721"/>
      <c r="O104" s="721"/>
      <c r="P104" s="721"/>
      <c r="Q104" s="721"/>
      <c r="R104" s="721"/>
      <c r="S104" s="721"/>
      <c r="T104" s="721"/>
      <c r="U104" s="721"/>
      <c r="V104" s="721"/>
      <c r="W104" s="721"/>
      <c r="X104" s="721"/>
      <c r="Y104" s="721"/>
      <c r="Z104" s="721"/>
      <c r="AA104" s="721"/>
      <c r="AB104" s="725"/>
    </row>
    <row r="105" spans="1:28" x14ac:dyDescent="0.25">
      <c r="A105" s="745"/>
      <c r="B105" s="746"/>
      <c r="C105" s="722"/>
      <c r="D105" s="723"/>
      <c r="E105" s="726"/>
      <c r="F105" s="721"/>
      <c r="G105" s="721"/>
      <c r="H105" s="721"/>
      <c r="I105" s="721"/>
      <c r="J105" s="721"/>
      <c r="K105" s="721"/>
      <c r="L105" s="721"/>
      <c r="M105" s="721"/>
      <c r="N105" s="721"/>
      <c r="O105" s="721"/>
      <c r="P105" s="721"/>
      <c r="Q105" s="721"/>
      <c r="R105" s="721"/>
      <c r="S105" s="721"/>
      <c r="T105" s="721"/>
      <c r="U105" s="721"/>
      <c r="V105" s="721"/>
      <c r="W105" s="721"/>
      <c r="X105" s="721"/>
      <c r="Y105" s="721"/>
      <c r="Z105" s="721"/>
      <c r="AA105" s="721"/>
      <c r="AB105" s="725"/>
    </row>
    <row r="106" spans="1:28" x14ac:dyDescent="0.25">
      <c r="A106" s="745"/>
      <c r="B106" s="746"/>
      <c r="C106" s="722"/>
      <c r="D106" s="723"/>
      <c r="E106" s="726"/>
      <c r="F106" s="721"/>
      <c r="G106" s="721"/>
      <c r="H106" s="721"/>
      <c r="I106" s="721"/>
      <c r="J106" s="721"/>
      <c r="K106" s="721"/>
      <c r="L106" s="721"/>
      <c r="M106" s="721"/>
      <c r="N106" s="721"/>
      <c r="O106" s="721"/>
      <c r="P106" s="721"/>
      <c r="Q106" s="721"/>
      <c r="R106" s="721"/>
      <c r="S106" s="721"/>
      <c r="T106" s="721"/>
      <c r="U106" s="721"/>
      <c r="V106" s="721"/>
      <c r="W106" s="721"/>
      <c r="X106" s="721"/>
      <c r="Y106" s="721"/>
      <c r="Z106" s="721"/>
      <c r="AA106" s="721"/>
      <c r="AB106" s="725"/>
    </row>
    <row r="107" spans="1:28" x14ac:dyDescent="0.25">
      <c r="A107" s="745"/>
      <c r="B107" s="746"/>
      <c r="C107" s="722"/>
      <c r="D107" s="723"/>
      <c r="E107" s="726"/>
      <c r="F107" s="721"/>
      <c r="G107" s="721"/>
      <c r="H107" s="721"/>
      <c r="I107" s="721"/>
      <c r="J107" s="721"/>
      <c r="K107" s="721"/>
      <c r="L107" s="721"/>
      <c r="M107" s="721"/>
      <c r="N107" s="721"/>
      <c r="O107" s="721"/>
      <c r="P107" s="721"/>
      <c r="Q107" s="721"/>
      <c r="R107" s="721"/>
      <c r="S107" s="721"/>
      <c r="T107" s="721"/>
      <c r="U107" s="721"/>
      <c r="V107" s="721"/>
      <c r="W107" s="721"/>
      <c r="X107" s="721"/>
      <c r="Y107" s="721"/>
      <c r="Z107" s="721"/>
      <c r="AA107" s="721"/>
      <c r="AB107" s="725"/>
    </row>
    <row r="108" spans="1:28" x14ac:dyDescent="0.25">
      <c r="A108" s="745"/>
      <c r="B108" s="746"/>
      <c r="C108" s="722"/>
      <c r="D108" s="723"/>
      <c r="E108" s="726"/>
      <c r="F108" s="721"/>
      <c r="G108" s="721"/>
      <c r="H108" s="721"/>
      <c r="I108" s="721"/>
      <c r="J108" s="721"/>
      <c r="K108" s="721"/>
      <c r="L108" s="721"/>
      <c r="M108" s="721"/>
      <c r="N108" s="721"/>
      <c r="O108" s="721"/>
      <c r="P108" s="721"/>
      <c r="Q108" s="721"/>
      <c r="R108" s="721"/>
      <c r="S108" s="721"/>
      <c r="T108" s="721"/>
      <c r="U108" s="721"/>
      <c r="V108" s="721"/>
      <c r="W108" s="721"/>
      <c r="X108" s="721"/>
      <c r="Y108" s="721"/>
      <c r="Z108" s="721"/>
      <c r="AA108" s="721"/>
      <c r="AB108" s="725"/>
    </row>
    <row r="109" spans="1:28" x14ac:dyDescent="0.25">
      <c r="A109" s="745"/>
      <c r="B109" s="746"/>
      <c r="C109" s="722"/>
      <c r="D109" s="723"/>
      <c r="E109" s="726"/>
      <c r="F109" s="721"/>
      <c r="G109" s="721"/>
      <c r="H109" s="721"/>
      <c r="I109" s="721"/>
      <c r="J109" s="721"/>
      <c r="K109" s="721"/>
      <c r="L109" s="721"/>
      <c r="M109" s="721"/>
      <c r="N109" s="721"/>
      <c r="O109" s="721"/>
      <c r="P109" s="721"/>
      <c r="Q109" s="721"/>
      <c r="R109" s="721"/>
      <c r="S109" s="721"/>
      <c r="T109" s="721"/>
      <c r="U109" s="721"/>
      <c r="V109" s="721"/>
      <c r="W109" s="721"/>
      <c r="X109" s="721"/>
      <c r="Y109" s="721"/>
      <c r="Z109" s="721"/>
      <c r="AA109" s="721"/>
      <c r="AB109" s="725"/>
    </row>
    <row r="110" spans="1:28" x14ac:dyDescent="0.25">
      <c r="A110" s="745"/>
      <c r="B110" s="746"/>
      <c r="C110" s="722"/>
      <c r="D110" s="723"/>
      <c r="E110" s="726"/>
      <c r="F110" s="721"/>
      <c r="G110" s="721"/>
      <c r="H110" s="721"/>
      <c r="I110" s="721"/>
      <c r="J110" s="721"/>
      <c r="K110" s="721"/>
      <c r="L110" s="721"/>
      <c r="M110" s="721"/>
      <c r="N110" s="721"/>
      <c r="O110" s="721"/>
      <c r="P110" s="721"/>
      <c r="Q110" s="721"/>
      <c r="R110" s="721"/>
      <c r="S110" s="721"/>
      <c r="T110" s="721"/>
      <c r="U110" s="721"/>
      <c r="V110" s="721"/>
      <c r="W110" s="721"/>
      <c r="X110" s="721"/>
      <c r="Y110" s="721"/>
      <c r="Z110" s="721"/>
      <c r="AA110" s="721"/>
      <c r="AB110" s="725"/>
    </row>
    <row r="111" spans="1:28" x14ac:dyDescent="0.25">
      <c r="A111" s="745"/>
      <c r="B111" s="746"/>
      <c r="C111" s="722"/>
      <c r="D111" s="723"/>
      <c r="E111" s="726"/>
      <c r="F111" s="721"/>
      <c r="G111" s="721"/>
      <c r="H111" s="721"/>
      <c r="I111" s="721"/>
      <c r="J111" s="721"/>
      <c r="K111" s="721"/>
      <c r="L111" s="721"/>
      <c r="M111" s="721"/>
      <c r="N111" s="721"/>
      <c r="O111" s="721"/>
      <c r="P111" s="721"/>
      <c r="Q111" s="721"/>
      <c r="R111" s="721"/>
      <c r="S111" s="721"/>
      <c r="T111" s="721"/>
      <c r="U111" s="721"/>
      <c r="V111" s="721"/>
      <c r="W111" s="721"/>
      <c r="X111" s="721"/>
      <c r="Y111" s="721"/>
      <c r="Z111" s="721"/>
      <c r="AA111" s="721"/>
      <c r="AB111" s="725"/>
    </row>
    <row r="112" spans="1:28" x14ac:dyDescent="0.25">
      <c r="A112" s="745"/>
      <c r="B112" s="746"/>
      <c r="C112" s="722"/>
      <c r="D112" s="723"/>
      <c r="E112" s="726"/>
      <c r="F112" s="721"/>
      <c r="G112" s="721"/>
      <c r="H112" s="721"/>
      <c r="I112" s="721"/>
      <c r="J112" s="721"/>
      <c r="K112" s="721"/>
      <c r="L112" s="721"/>
      <c r="M112" s="721"/>
      <c r="N112" s="721"/>
      <c r="O112" s="721"/>
      <c r="P112" s="721"/>
      <c r="Q112" s="721"/>
      <c r="R112" s="721"/>
      <c r="S112" s="721"/>
      <c r="T112" s="721"/>
      <c r="U112" s="721"/>
      <c r="V112" s="721"/>
      <c r="W112" s="721"/>
      <c r="X112" s="721"/>
      <c r="Y112" s="721"/>
      <c r="Z112" s="721"/>
      <c r="AA112" s="721"/>
      <c r="AB112" s="725"/>
    </row>
    <row r="113" spans="1:28" x14ac:dyDescent="0.25">
      <c r="A113" s="745"/>
      <c r="B113" s="746"/>
      <c r="C113" s="722"/>
      <c r="D113" s="723"/>
      <c r="E113" s="726"/>
      <c r="F113" s="721"/>
      <c r="G113" s="721"/>
      <c r="H113" s="721"/>
      <c r="I113" s="721"/>
      <c r="J113" s="721"/>
      <c r="K113" s="721"/>
      <c r="L113" s="721"/>
      <c r="M113" s="721"/>
      <c r="N113" s="721"/>
      <c r="O113" s="721"/>
      <c r="P113" s="721"/>
      <c r="Q113" s="721"/>
      <c r="R113" s="721"/>
      <c r="S113" s="721"/>
      <c r="T113" s="721"/>
      <c r="U113" s="721"/>
      <c r="V113" s="721"/>
      <c r="W113" s="721"/>
      <c r="X113" s="721"/>
      <c r="Y113" s="721"/>
      <c r="Z113" s="721"/>
      <c r="AA113" s="721"/>
      <c r="AB113" s="725"/>
    </row>
    <row r="114" spans="1:28" x14ac:dyDescent="0.25">
      <c r="A114" s="745"/>
      <c r="B114" s="746"/>
      <c r="C114" s="722"/>
      <c r="D114" s="723"/>
      <c r="E114" s="726"/>
      <c r="F114" s="721"/>
      <c r="G114" s="721"/>
      <c r="H114" s="721"/>
      <c r="I114" s="721"/>
      <c r="J114" s="721"/>
      <c r="K114" s="721"/>
      <c r="L114" s="721"/>
      <c r="M114" s="721"/>
      <c r="N114" s="721"/>
      <c r="O114" s="721"/>
      <c r="P114" s="721"/>
      <c r="Q114" s="721"/>
      <c r="R114" s="721"/>
      <c r="S114" s="721"/>
      <c r="T114" s="721"/>
      <c r="U114" s="721"/>
      <c r="V114" s="721"/>
      <c r="W114" s="721"/>
      <c r="X114" s="721"/>
      <c r="Y114" s="721"/>
      <c r="Z114" s="721"/>
      <c r="AA114" s="721"/>
      <c r="AB114" s="725"/>
    </row>
    <row r="115" spans="1:28" x14ac:dyDescent="0.25">
      <c r="A115" s="745"/>
      <c r="B115" s="746"/>
      <c r="C115" s="722"/>
      <c r="D115" s="723"/>
      <c r="E115" s="726"/>
      <c r="F115" s="721"/>
      <c r="G115" s="721"/>
      <c r="H115" s="721"/>
      <c r="I115" s="721"/>
      <c r="J115" s="721"/>
      <c r="K115" s="721"/>
      <c r="L115" s="721"/>
      <c r="M115" s="721"/>
      <c r="N115" s="721"/>
      <c r="O115" s="721"/>
      <c r="P115" s="721"/>
      <c r="Q115" s="721"/>
      <c r="R115" s="721"/>
      <c r="S115" s="721"/>
      <c r="T115" s="721"/>
      <c r="U115" s="721"/>
      <c r="V115" s="721"/>
      <c r="W115" s="721"/>
      <c r="X115" s="721"/>
      <c r="Y115" s="721"/>
      <c r="Z115" s="721"/>
      <c r="AA115" s="721"/>
      <c r="AB115" s="725"/>
    </row>
    <row r="116" spans="1:28" x14ac:dyDescent="0.25">
      <c r="A116" s="745"/>
      <c r="B116" s="746"/>
      <c r="C116" s="722"/>
      <c r="D116" s="723"/>
      <c r="E116" s="726"/>
      <c r="F116" s="721"/>
      <c r="G116" s="721"/>
      <c r="H116" s="721"/>
      <c r="I116" s="721"/>
      <c r="J116" s="721"/>
      <c r="K116" s="721"/>
      <c r="L116" s="721"/>
      <c r="M116" s="721"/>
      <c r="N116" s="721"/>
      <c r="O116" s="721"/>
      <c r="P116" s="721"/>
      <c r="Q116" s="721"/>
      <c r="R116" s="721"/>
      <c r="S116" s="721"/>
      <c r="T116" s="721"/>
      <c r="U116" s="721"/>
      <c r="V116" s="721"/>
      <c r="W116" s="721"/>
      <c r="X116" s="721"/>
      <c r="Y116" s="721"/>
      <c r="Z116" s="721"/>
      <c r="AA116" s="721"/>
      <c r="AB116" s="725"/>
    </row>
    <row r="117" spans="1:28" x14ac:dyDescent="0.25">
      <c r="A117" s="745"/>
      <c r="B117" s="746"/>
      <c r="C117" s="722"/>
      <c r="D117" s="723"/>
      <c r="E117" s="726"/>
      <c r="F117" s="721"/>
      <c r="G117" s="721"/>
      <c r="H117" s="721"/>
      <c r="I117" s="721"/>
      <c r="J117" s="721"/>
      <c r="K117" s="721"/>
      <c r="L117" s="721"/>
      <c r="M117" s="721"/>
      <c r="N117" s="721"/>
      <c r="O117" s="721"/>
      <c r="P117" s="721"/>
      <c r="Q117" s="721"/>
      <c r="R117" s="721"/>
      <c r="S117" s="721"/>
      <c r="T117" s="721"/>
      <c r="U117" s="721"/>
      <c r="V117" s="721"/>
      <c r="W117" s="721"/>
      <c r="X117" s="721"/>
      <c r="Y117" s="721"/>
      <c r="Z117" s="721"/>
      <c r="AA117" s="721"/>
      <c r="AB117" s="725"/>
    </row>
    <row r="118" spans="1:28" ht="15.75" thickBot="1" x14ac:dyDescent="0.3">
      <c r="A118" s="747"/>
      <c r="B118" s="748"/>
      <c r="C118" s="736"/>
      <c r="D118" s="737"/>
      <c r="E118" s="724"/>
      <c r="F118" s="715"/>
      <c r="G118" s="715"/>
      <c r="H118" s="715"/>
      <c r="I118" s="715"/>
      <c r="J118" s="715"/>
      <c r="K118" s="715"/>
      <c r="L118" s="715"/>
      <c r="M118" s="715"/>
      <c r="N118" s="715"/>
      <c r="O118" s="715"/>
      <c r="P118" s="715"/>
      <c r="Q118" s="715"/>
      <c r="R118" s="715"/>
      <c r="S118" s="715"/>
      <c r="T118" s="715"/>
      <c r="U118" s="715"/>
      <c r="V118" s="715"/>
      <c r="W118" s="715"/>
      <c r="X118" s="715"/>
      <c r="Y118" s="715"/>
      <c r="Z118" s="715"/>
      <c r="AA118" s="715"/>
      <c r="AB118" s="734"/>
    </row>
    <row r="119" spans="1:28" x14ac:dyDescent="0.25">
      <c r="A119" s="727" t="s">
        <v>49</v>
      </c>
      <c r="B119" s="728"/>
      <c r="C119" s="731" t="s">
        <v>270</v>
      </c>
      <c r="D119" s="732"/>
      <c r="E119" s="726">
        <v>10</v>
      </c>
      <c r="F119" s="721"/>
      <c r="G119" s="716"/>
      <c r="H119" s="716"/>
      <c r="I119" s="716"/>
      <c r="J119" s="716"/>
      <c r="K119" s="716"/>
      <c r="L119" s="716"/>
      <c r="M119" s="716"/>
      <c r="N119" s="716"/>
      <c r="O119" s="716"/>
      <c r="P119" s="716"/>
      <c r="Q119" s="716"/>
      <c r="R119" s="716"/>
      <c r="S119" s="716"/>
      <c r="T119" s="716"/>
      <c r="U119" s="716"/>
      <c r="V119" s="716"/>
      <c r="W119" s="716"/>
      <c r="X119" s="716"/>
      <c r="Y119" s="716"/>
      <c r="Z119" s="716"/>
      <c r="AA119" s="716"/>
      <c r="AB119" s="735"/>
    </row>
    <row r="120" spans="1:28" x14ac:dyDescent="0.25">
      <c r="A120" s="738"/>
      <c r="B120" s="739"/>
      <c r="C120" s="722" t="s">
        <v>271</v>
      </c>
      <c r="D120" s="723"/>
      <c r="E120" s="726">
        <v>7</v>
      </c>
      <c r="F120" s="721"/>
      <c r="G120" s="721"/>
      <c r="H120" s="721"/>
      <c r="I120" s="721"/>
      <c r="J120" s="721"/>
      <c r="K120" s="721"/>
      <c r="L120" s="721"/>
      <c r="M120" s="721"/>
      <c r="N120" s="721"/>
      <c r="O120" s="721"/>
      <c r="P120" s="721"/>
      <c r="Q120" s="721"/>
      <c r="R120" s="721"/>
      <c r="S120" s="721"/>
      <c r="T120" s="721"/>
      <c r="U120" s="721"/>
      <c r="V120" s="721"/>
      <c r="W120" s="721"/>
      <c r="X120" s="721"/>
      <c r="Y120" s="721"/>
      <c r="Z120" s="721"/>
      <c r="AA120" s="721"/>
      <c r="AB120" s="725"/>
    </row>
    <row r="121" spans="1:28" x14ac:dyDescent="0.25">
      <c r="A121" s="738"/>
      <c r="B121" s="739"/>
      <c r="C121" s="722" t="s">
        <v>275</v>
      </c>
      <c r="D121" s="723"/>
      <c r="E121" s="726">
        <v>17</v>
      </c>
      <c r="F121" s="721"/>
      <c r="G121" s="721"/>
      <c r="H121" s="721"/>
      <c r="I121" s="721"/>
      <c r="J121" s="721"/>
      <c r="K121" s="721"/>
      <c r="L121" s="721"/>
      <c r="M121" s="721"/>
      <c r="N121" s="721"/>
      <c r="O121" s="721"/>
      <c r="P121" s="721"/>
      <c r="Q121" s="721"/>
      <c r="R121" s="721"/>
      <c r="S121" s="721"/>
      <c r="T121" s="721"/>
      <c r="U121" s="721"/>
      <c r="V121" s="721"/>
      <c r="W121" s="721"/>
      <c r="X121" s="721"/>
      <c r="Y121" s="721"/>
      <c r="Z121" s="721"/>
      <c r="AA121" s="721"/>
      <c r="AB121" s="725"/>
    </row>
    <row r="122" spans="1:28" x14ac:dyDescent="0.25">
      <c r="A122" s="738"/>
      <c r="B122" s="739"/>
      <c r="C122" s="722" t="s">
        <v>297</v>
      </c>
      <c r="D122" s="723"/>
      <c r="E122" s="726">
        <v>11</v>
      </c>
      <c r="F122" s="721"/>
      <c r="G122" s="721"/>
      <c r="H122" s="721"/>
      <c r="I122" s="721"/>
      <c r="J122" s="721"/>
      <c r="K122" s="721"/>
      <c r="L122" s="721"/>
      <c r="M122" s="721"/>
      <c r="N122" s="721"/>
      <c r="O122" s="721"/>
      <c r="P122" s="721"/>
      <c r="Q122" s="721"/>
      <c r="R122" s="721"/>
      <c r="S122" s="721"/>
      <c r="T122" s="721"/>
      <c r="U122" s="721"/>
      <c r="V122" s="721"/>
      <c r="W122" s="721"/>
      <c r="X122" s="721"/>
      <c r="Y122" s="721"/>
      <c r="Z122" s="721"/>
      <c r="AA122" s="721"/>
      <c r="AB122" s="725"/>
    </row>
    <row r="123" spans="1:28" x14ac:dyDescent="0.25">
      <c r="A123" s="738"/>
      <c r="B123" s="739"/>
      <c r="C123" s="722" t="s">
        <v>273</v>
      </c>
      <c r="D123" s="723"/>
      <c r="E123" s="726">
        <v>8</v>
      </c>
      <c r="F123" s="721"/>
      <c r="G123" s="721"/>
      <c r="H123" s="721"/>
      <c r="I123" s="721"/>
      <c r="J123" s="721"/>
      <c r="K123" s="721"/>
      <c r="L123" s="721"/>
      <c r="M123" s="721"/>
      <c r="N123" s="721"/>
      <c r="O123" s="721"/>
      <c r="P123" s="721"/>
      <c r="Q123" s="721"/>
      <c r="R123" s="721"/>
      <c r="S123" s="721"/>
      <c r="T123" s="721"/>
      <c r="U123" s="721"/>
      <c r="V123" s="721"/>
      <c r="W123" s="721"/>
      <c r="X123" s="721"/>
      <c r="Y123" s="721"/>
      <c r="Z123" s="721"/>
      <c r="AA123" s="721"/>
      <c r="AB123" s="725"/>
    </row>
    <row r="124" spans="1:28" x14ac:dyDescent="0.25">
      <c r="A124" s="738"/>
      <c r="B124" s="739"/>
      <c r="C124" s="722"/>
      <c r="D124" s="723"/>
      <c r="E124" s="726"/>
      <c r="F124" s="721"/>
      <c r="G124" s="721"/>
      <c r="H124" s="721"/>
      <c r="I124" s="721"/>
      <c r="J124" s="721"/>
      <c r="K124" s="721"/>
      <c r="L124" s="721"/>
      <c r="M124" s="721"/>
      <c r="N124" s="721"/>
      <c r="O124" s="721"/>
      <c r="P124" s="721"/>
      <c r="Q124" s="721"/>
      <c r="R124" s="721"/>
      <c r="S124" s="721"/>
      <c r="T124" s="721"/>
      <c r="U124" s="721"/>
      <c r="V124" s="721"/>
      <c r="W124" s="721"/>
      <c r="X124" s="721"/>
      <c r="Y124" s="721"/>
      <c r="Z124" s="721"/>
      <c r="AA124" s="721"/>
      <c r="AB124" s="725"/>
    </row>
    <row r="125" spans="1:28" x14ac:dyDescent="0.25">
      <c r="A125" s="738"/>
      <c r="B125" s="739"/>
      <c r="C125" s="722"/>
      <c r="D125" s="723"/>
      <c r="E125" s="726"/>
      <c r="F125" s="721"/>
      <c r="G125" s="721"/>
      <c r="H125" s="721"/>
      <c r="I125" s="721"/>
      <c r="J125" s="721"/>
      <c r="K125" s="721"/>
      <c r="L125" s="721"/>
      <c r="M125" s="721"/>
      <c r="N125" s="721"/>
      <c r="O125" s="721"/>
      <c r="P125" s="721"/>
      <c r="Q125" s="721"/>
      <c r="R125" s="721"/>
      <c r="S125" s="721"/>
      <c r="T125" s="721"/>
      <c r="U125" s="721"/>
      <c r="V125" s="721"/>
      <c r="W125" s="721"/>
      <c r="X125" s="721"/>
      <c r="Y125" s="721"/>
      <c r="Z125" s="721"/>
      <c r="AA125" s="721"/>
      <c r="AB125" s="725"/>
    </row>
    <row r="126" spans="1:28" x14ac:dyDescent="0.25">
      <c r="A126" s="738"/>
      <c r="B126" s="739"/>
      <c r="C126" s="722"/>
      <c r="D126" s="723"/>
      <c r="E126" s="726"/>
      <c r="F126" s="721"/>
      <c r="G126" s="721"/>
      <c r="H126" s="721"/>
      <c r="I126" s="721"/>
      <c r="J126" s="721"/>
      <c r="K126" s="721"/>
      <c r="L126" s="721"/>
      <c r="M126" s="721"/>
      <c r="N126" s="721"/>
      <c r="O126" s="721"/>
      <c r="P126" s="721"/>
      <c r="Q126" s="721"/>
      <c r="R126" s="721"/>
      <c r="S126" s="721"/>
      <c r="T126" s="721"/>
      <c r="U126" s="721"/>
      <c r="V126" s="721"/>
      <c r="W126" s="721"/>
      <c r="X126" s="721"/>
      <c r="Y126" s="721"/>
      <c r="Z126" s="721"/>
      <c r="AA126" s="721"/>
      <c r="AB126" s="725"/>
    </row>
    <row r="127" spans="1:28" x14ac:dyDescent="0.25">
      <c r="A127" s="738"/>
      <c r="B127" s="739"/>
      <c r="C127" s="722"/>
      <c r="D127" s="723"/>
      <c r="E127" s="726"/>
      <c r="F127" s="721"/>
      <c r="G127" s="721"/>
      <c r="H127" s="721"/>
      <c r="I127" s="721"/>
      <c r="J127" s="721"/>
      <c r="K127" s="721"/>
      <c r="L127" s="721"/>
      <c r="M127" s="721"/>
      <c r="N127" s="721"/>
      <c r="O127" s="721"/>
      <c r="P127" s="721"/>
      <c r="Q127" s="721"/>
      <c r="R127" s="721"/>
      <c r="S127" s="721"/>
      <c r="T127" s="721"/>
      <c r="U127" s="721"/>
      <c r="V127" s="721"/>
      <c r="W127" s="721"/>
      <c r="X127" s="721"/>
      <c r="Y127" s="721"/>
      <c r="Z127" s="721"/>
      <c r="AA127" s="721"/>
      <c r="AB127" s="725"/>
    </row>
    <row r="128" spans="1:28" x14ac:dyDescent="0.25">
      <c r="A128" s="738"/>
      <c r="B128" s="739"/>
      <c r="C128" s="722"/>
      <c r="D128" s="723"/>
      <c r="E128" s="726"/>
      <c r="F128" s="721"/>
      <c r="G128" s="721"/>
      <c r="H128" s="721"/>
      <c r="I128" s="721"/>
      <c r="J128" s="721"/>
      <c r="K128" s="721"/>
      <c r="L128" s="721"/>
      <c r="M128" s="721"/>
      <c r="N128" s="721"/>
      <c r="O128" s="721"/>
      <c r="P128" s="721"/>
      <c r="Q128" s="721"/>
      <c r="R128" s="721"/>
      <c r="S128" s="721"/>
      <c r="T128" s="721"/>
      <c r="U128" s="721"/>
      <c r="V128" s="721"/>
      <c r="W128" s="721"/>
      <c r="X128" s="721"/>
      <c r="Y128" s="721"/>
      <c r="Z128" s="721"/>
      <c r="AA128" s="721"/>
      <c r="AB128" s="725"/>
    </row>
    <row r="129" spans="1:43" ht="15.75" thickBot="1" x14ac:dyDescent="0.3">
      <c r="A129" s="738"/>
      <c r="B129" s="739"/>
      <c r="C129" s="722"/>
      <c r="D129" s="723"/>
      <c r="E129" s="726"/>
      <c r="F129" s="721"/>
      <c r="G129" s="721"/>
      <c r="H129" s="721"/>
      <c r="I129" s="721"/>
      <c r="J129" s="721"/>
      <c r="K129" s="721"/>
      <c r="L129" s="721"/>
      <c r="M129" s="721"/>
      <c r="N129" s="721"/>
      <c r="O129" s="721"/>
      <c r="P129" s="721"/>
      <c r="Q129" s="721"/>
      <c r="R129" s="721"/>
      <c r="S129" s="721"/>
      <c r="T129" s="721"/>
      <c r="U129" s="721"/>
      <c r="V129" s="721"/>
      <c r="W129" s="721"/>
      <c r="X129" s="721"/>
      <c r="Y129" s="721"/>
      <c r="Z129" s="721"/>
      <c r="AA129" s="721"/>
      <c r="AB129" s="725"/>
    </row>
    <row r="130" spans="1:43" x14ac:dyDescent="0.25">
      <c r="A130" s="727" t="s">
        <v>50</v>
      </c>
      <c r="B130" s="728"/>
      <c r="C130" s="731"/>
      <c r="D130" s="732"/>
      <c r="E130" s="733"/>
      <c r="F130" s="716"/>
      <c r="G130" s="716"/>
      <c r="H130" s="716"/>
      <c r="I130" s="716"/>
      <c r="J130" s="716"/>
      <c r="K130" s="716"/>
      <c r="L130" s="716"/>
      <c r="M130" s="716"/>
      <c r="N130" s="716"/>
      <c r="O130" s="716"/>
      <c r="P130" s="716"/>
      <c r="Q130" s="716"/>
      <c r="R130" s="716"/>
      <c r="S130" s="716"/>
      <c r="T130" s="716"/>
      <c r="U130" s="716"/>
      <c r="V130" s="716"/>
      <c r="W130" s="716"/>
      <c r="X130" s="716"/>
      <c r="Y130" s="716"/>
      <c r="Z130" s="716"/>
      <c r="AA130" s="716"/>
      <c r="AB130" s="735"/>
    </row>
    <row r="131" spans="1:43" ht="15.75" thickBot="1" x14ac:dyDescent="0.3">
      <c r="A131" s="729"/>
      <c r="B131" s="730"/>
      <c r="C131" s="736"/>
      <c r="D131" s="737"/>
      <c r="E131" s="724"/>
      <c r="F131" s="715"/>
      <c r="G131" s="715"/>
      <c r="H131" s="715"/>
      <c r="I131" s="715"/>
      <c r="J131" s="715"/>
      <c r="K131" s="715"/>
      <c r="L131" s="715"/>
      <c r="M131" s="715"/>
      <c r="N131" s="715"/>
      <c r="O131" s="715"/>
      <c r="P131" s="715"/>
      <c r="Q131" s="715"/>
      <c r="R131" s="715"/>
      <c r="S131" s="715"/>
      <c r="T131" s="715"/>
      <c r="U131" s="715"/>
      <c r="V131" s="715"/>
      <c r="W131" s="715"/>
      <c r="X131" s="715"/>
      <c r="Y131" s="715"/>
      <c r="Z131" s="715"/>
      <c r="AA131" s="715"/>
      <c r="AB131" s="734"/>
    </row>
    <row r="132" spans="1:43" ht="26.25" x14ac:dyDescent="0.25">
      <c r="A132" s="80"/>
      <c r="B132" s="80"/>
      <c r="C132" s="81"/>
      <c r="D132" s="21"/>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50"/>
    </row>
    <row r="133" spans="1:43" ht="6.75" customHeight="1" x14ac:dyDescent="0.25">
      <c r="A133" s="102"/>
      <c r="B133" s="102"/>
      <c r="C133" s="107"/>
      <c r="D133" s="104"/>
      <c r="E133" s="105"/>
      <c r="F133" s="105"/>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3"/>
      <c r="AD133" s="106"/>
      <c r="AE133" s="106"/>
      <c r="AF133" s="106"/>
      <c r="AG133" s="106"/>
      <c r="AH133" s="106"/>
      <c r="AI133" s="106"/>
      <c r="AJ133" s="106"/>
      <c r="AK133" s="106"/>
      <c r="AL133" s="106"/>
      <c r="AM133" s="106"/>
      <c r="AN133" s="106"/>
      <c r="AO133" s="106"/>
      <c r="AP133" s="106"/>
      <c r="AQ133" s="106"/>
    </row>
    <row r="134" spans="1:43" ht="15" customHeight="1" thickBot="1" x14ac:dyDescent="0.3">
      <c r="A134" s="80"/>
      <c r="B134" s="80"/>
      <c r="C134" s="81"/>
      <c r="D134" s="21"/>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50"/>
    </row>
    <row r="135" spans="1:43" ht="27" thickBot="1" x14ac:dyDescent="0.45">
      <c r="A135" s="670" t="s">
        <v>361</v>
      </c>
      <c r="B135" s="671"/>
      <c r="C135" s="671"/>
      <c r="D135" s="671"/>
      <c r="E135" s="671"/>
      <c r="F135" s="671"/>
      <c r="G135" s="671"/>
      <c r="H135" s="671"/>
      <c r="I135" s="671"/>
      <c r="J135" s="671"/>
      <c r="K135" s="671"/>
      <c r="L135" s="671"/>
      <c r="M135" s="671"/>
      <c r="N135" s="671"/>
      <c r="O135" s="671"/>
      <c r="P135" s="671"/>
      <c r="Q135" s="671"/>
      <c r="R135" s="671"/>
      <c r="S135" s="671"/>
      <c r="T135" s="671"/>
      <c r="U135" s="671"/>
      <c r="V135" s="671"/>
      <c r="W135" s="671"/>
      <c r="X135" s="671"/>
      <c r="Y135" s="671"/>
      <c r="Z135" s="671"/>
      <c r="AA135" s="671"/>
      <c r="AB135" s="672"/>
    </row>
    <row r="136" spans="1:43" x14ac:dyDescent="0.25">
      <c r="A136" s="793" t="s">
        <v>20</v>
      </c>
      <c r="B136" s="794" t="s">
        <v>21</v>
      </c>
      <c r="C136" s="793" t="s">
        <v>44</v>
      </c>
      <c r="D136" s="795"/>
      <c r="E136" s="796" t="s">
        <v>27</v>
      </c>
      <c r="F136" s="790"/>
      <c r="G136" s="789" t="s">
        <v>28</v>
      </c>
      <c r="H136" s="790"/>
      <c r="I136" s="789" t="s">
        <v>29</v>
      </c>
      <c r="J136" s="790"/>
      <c r="K136" s="789" t="s">
        <v>30</v>
      </c>
      <c r="L136" s="790"/>
      <c r="M136" s="789" t="s">
        <v>31</v>
      </c>
      <c r="N136" s="790"/>
      <c r="O136" s="789" t="s">
        <v>32</v>
      </c>
      <c r="P136" s="790"/>
      <c r="Q136" s="789" t="s">
        <v>33</v>
      </c>
      <c r="R136" s="790"/>
      <c r="S136" s="789" t="s">
        <v>34</v>
      </c>
      <c r="T136" s="790"/>
      <c r="U136" s="789" t="s">
        <v>35</v>
      </c>
      <c r="V136" s="790"/>
      <c r="W136" s="789" t="s">
        <v>36</v>
      </c>
      <c r="X136" s="790"/>
      <c r="Y136" s="789" t="s">
        <v>37</v>
      </c>
      <c r="Z136" s="790"/>
      <c r="AA136" s="789" t="s">
        <v>38</v>
      </c>
      <c r="AB136" s="790"/>
    </row>
    <row r="137" spans="1:43" x14ac:dyDescent="0.25">
      <c r="A137" s="773"/>
      <c r="B137" s="776"/>
      <c r="C137" s="779" t="s">
        <v>43</v>
      </c>
      <c r="D137" s="781" t="s">
        <v>26</v>
      </c>
      <c r="E137" s="770">
        <v>0.12</v>
      </c>
      <c r="F137" s="771"/>
      <c r="G137" s="770">
        <v>0.1</v>
      </c>
      <c r="H137" s="771"/>
      <c r="I137" s="770">
        <v>0.08</v>
      </c>
      <c r="J137" s="771"/>
      <c r="K137" s="770">
        <v>7.0000000000000007E-2</v>
      </c>
      <c r="L137" s="771"/>
      <c r="M137" s="770">
        <v>0.04</v>
      </c>
      <c r="N137" s="771"/>
      <c r="O137" s="770">
        <v>0.04</v>
      </c>
      <c r="P137" s="771"/>
      <c r="Q137" s="770">
        <v>0.08</v>
      </c>
      <c r="R137" s="771"/>
      <c r="S137" s="770">
        <v>0.04</v>
      </c>
      <c r="T137" s="771"/>
      <c r="U137" s="770">
        <v>0.1</v>
      </c>
      <c r="V137" s="771"/>
      <c r="W137" s="770">
        <v>0.1</v>
      </c>
      <c r="X137" s="771"/>
      <c r="Y137" s="770">
        <v>0.11</v>
      </c>
      <c r="Z137" s="771"/>
      <c r="AA137" s="770">
        <v>0.14000000000000001</v>
      </c>
      <c r="AB137" s="771"/>
    </row>
    <row r="138" spans="1:43" ht="15.75" thickBot="1" x14ac:dyDescent="0.3">
      <c r="A138" s="774"/>
      <c r="B138" s="777"/>
      <c r="C138" s="780"/>
      <c r="D138" s="782"/>
      <c r="E138" s="471" t="s">
        <v>43</v>
      </c>
      <c r="F138" s="472" t="s">
        <v>26</v>
      </c>
      <c r="G138" s="471" t="s">
        <v>43</v>
      </c>
      <c r="H138" s="472" t="s">
        <v>26</v>
      </c>
      <c r="I138" s="471" t="s">
        <v>43</v>
      </c>
      <c r="J138" s="472" t="s">
        <v>26</v>
      </c>
      <c r="K138" s="471" t="s">
        <v>43</v>
      </c>
      <c r="L138" s="472" t="s">
        <v>26</v>
      </c>
      <c r="M138" s="471" t="s">
        <v>43</v>
      </c>
      <c r="N138" s="472" t="s">
        <v>26</v>
      </c>
      <c r="O138" s="471" t="s">
        <v>43</v>
      </c>
      <c r="P138" s="472" t="s">
        <v>26</v>
      </c>
      <c r="Q138" s="471" t="s">
        <v>43</v>
      </c>
      <c r="R138" s="472" t="s">
        <v>26</v>
      </c>
      <c r="S138" s="455" t="s">
        <v>43</v>
      </c>
      <c r="T138" s="456" t="s">
        <v>26</v>
      </c>
      <c r="U138" s="455" t="s">
        <v>43</v>
      </c>
      <c r="V138" s="456" t="s">
        <v>26</v>
      </c>
      <c r="W138" s="455" t="s">
        <v>43</v>
      </c>
      <c r="X138" s="456" t="s">
        <v>26</v>
      </c>
      <c r="Y138" s="455" t="s">
        <v>43</v>
      </c>
      <c r="Z138" s="456" t="s">
        <v>26</v>
      </c>
      <c r="AA138" s="455" t="s">
        <v>43</v>
      </c>
      <c r="AB138" s="456" t="s">
        <v>26</v>
      </c>
    </row>
    <row r="139" spans="1:43" ht="15.75" x14ac:dyDescent="0.25">
      <c r="A139" s="484" t="str">
        <f>Hipótesis!B58</f>
        <v>Aviador</v>
      </c>
      <c r="B139" s="425">
        <v>3500</v>
      </c>
      <c r="C139" s="560">
        <f>C19*3</f>
        <v>4200</v>
      </c>
      <c r="D139" s="473">
        <f>B139*C139</f>
        <v>14700000</v>
      </c>
      <c r="E139" s="36">
        <f>C139*$E$137</f>
        <v>504</v>
      </c>
      <c r="F139" s="30">
        <f>D139*$E$17</f>
        <v>1764000</v>
      </c>
      <c r="G139" s="36">
        <f>C139*$G$137</f>
        <v>420</v>
      </c>
      <c r="H139" s="30">
        <f>D139*$G$17</f>
        <v>1470000</v>
      </c>
      <c r="I139" s="36">
        <f>C139*$I$137</f>
        <v>336</v>
      </c>
      <c r="J139" s="30">
        <f t="shared" ref="J139:J150" si="52">D139*$I$17</f>
        <v>1176000</v>
      </c>
      <c r="K139" s="36">
        <f>C139*$K$137</f>
        <v>294</v>
      </c>
      <c r="L139" s="30">
        <f t="shared" ref="L139:L150" si="53">D139*$K$17</f>
        <v>1029000.0000000001</v>
      </c>
      <c r="M139" s="36">
        <f>C139*$M$137</f>
        <v>168</v>
      </c>
      <c r="N139" s="30">
        <f>D139*$M$17</f>
        <v>588000</v>
      </c>
      <c r="O139" s="36">
        <f>C139*$O$137</f>
        <v>168</v>
      </c>
      <c r="P139" s="30">
        <f t="shared" ref="P139:P150" si="54">D139*$O$17</f>
        <v>588000</v>
      </c>
      <c r="Q139" s="36">
        <f>C139*$Q$137</f>
        <v>336</v>
      </c>
      <c r="R139" s="30">
        <f t="shared" ref="R139:R150" si="55">D139*$Q$17</f>
        <v>1176000</v>
      </c>
      <c r="S139" s="36">
        <f>C139*$S$137</f>
        <v>168</v>
      </c>
      <c r="T139" s="30">
        <f t="shared" ref="T139:T150" si="56">D139*$S$17</f>
        <v>588000</v>
      </c>
      <c r="U139" s="36">
        <f>C139*$U$137</f>
        <v>420</v>
      </c>
      <c r="V139" s="30">
        <f t="shared" ref="V139:V150" si="57">D139*$U$17</f>
        <v>1470000</v>
      </c>
      <c r="W139" s="36">
        <f>C139*$W$137</f>
        <v>420</v>
      </c>
      <c r="X139" s="30">
        <f t="shared" ref="X139:X150" si="58">D139*$W$17</f>
        <v>1470000</v>
      </c>
      <c r="Y139" s="36">
        <f>C139*$Y$137</f>
        <v>462</v>
      </c>
      <c r="Z139" s="30">
        <f t="shared" ref="Z139:Z150" si="59">D139*$Y$17</f>
        <v>1617000</v>
      </c>
      <c r="AA139" s="36">
        <f>C139*$AA$137</f>
        <v>588</v>
      </c>
      <c r="AB139" s="30">
        <f>D139*$AA$17</f>
        <v>2058000.0000000002</v>
      </c>
    </row>
    <row r="140" spans="1:43" ht="15.75" x14ac:dyDescent="0.25">
      <c r="A140" s="485" t="str">
        <f>Hipótesis!B59</f>
        <v>Cuadrado</v>
      </c>
      <c r="B140" s="426">
        <v>3000</v>
      </c>
      <c r="C140" s="561">
        <f t="shared" ref="C140:C150" si="60">C20*3</f>
        <v>3600</v>
      </c>
      <c r="D140" s="474">
        <f t="shared" ref="D140:D150" si="61">B140*C140</f>
        <v>10800000</v>
      </c>
      <c r="E140" s="37">
        <f t="shared" ref="E140:E150" si="62">C140*$E$137</f>
        <v>432</v>
      </c>
      <c r="F140" s="25">
        <f t="shared" ref="F140:F149" si="63">D140*$E$17</f>
        <v>1296000</v>
      </c>
      <c r="G140" s="37">
        <f t="shared" ref="G140:G150" si="64">C140*$G$137</f>
        <v>360</v>
      </c>
      <c r="H140" s="25">
        <f t="shared" ref="H140:H150" si="65">D140*$G$17</f>
        <v>1080000</v>
      </c>
      <c r="I140" s="37">
        <f t="shared" ref="I140:I150" si="66">C140*$I$137</f>
        <v>288</v>
      </c>
      <c r="J140" s="25">
        <f t="shared" si="52"/>
        <v>864000</v>
      </c>
      <c r="K140" s="37">
        <f t="shared" ref="K140:K150" si="67">C140*$K$137</f>
        <v>252.00000000000003</v>
      </c>
      <c r="L140" s="25">
        <f t="shared" si="53"/>
        <v>756000.00000000012</v>
      </c>
      <c r="M140" s="37">
        <f t="shared" ref="M140:M150" si="68">C140*$M$137</f>
        <v>144</v>
      </c>
      <c r="N140" s="25">
        <f t="shared" ref="N140:N150" si="69">D140*$M$17</f>
        <v>432000</v>
      </c>
      <c r="O140" s="37">
        <f t="shared" ref="O140:O150" si="70">C140*$O$137</f>
        <v>144</v>
      </c>
      <c r="P140" s="25">
        <f t="shared" si="54"/>
        <v>432000</v>
      </c>
      <c r="Q140" s="37">
        <f t="shared" ref="Q140:Q150" si="71">C140*$Q$137</f>
        <v>288</v>
      </c>
      <c r="R140" s="25">
        <f t="shared" si="55"/>
        <v>864000</v>
      </c>
      <c r="S140" s="37">
        <f t="shared" ref="S140:S150" si="72">C140*$S$137</f>
        <v>144</v>
      </c>
      <c r="T140" s="25">
        <f t="shared" si="56"/>
        <v>432000</v>
      </c>
      <c r="U140" s="37">
        <f t="shared" ref="U140:U150" si="73">C140*$U$137</f>
        <v>360</v>
      </c>
      <c r="V140" s="25">
        <f t="shared" si="57"/>
        <v>1080000</v>
      </c>
      <c r="W140" s="37">
        <f t="shared" ref="W140:W150" si="74">C140*$W$137</f>
        <v>360</v>
      </c>
      <c r="X140" s="25">
        <f t="shared" si="58"/>
        <v>1080000</v>
      </c>
      <c r="Y140" s="37">
        <f t="shared" ref="Y140:Y150" si="75">C140*$Y$137</f>
        <v>396</v>
      </c>
      <c r="Z140" s="25">
        <f t="shared" si="59"/>
        <v>1188000</v>
      </c>
      <c r="AA140" s="37">
        <f t="shared" ref="AA140:AA150" si="76">C140*$AA$137</f>
        <v>504.00000000000006</v>
      </c>
      <c r="AB140" s="25">
        <f>D140*$AA$17</f>
        <v>1512000.0000000002</v>
      </c>
    </row>
    <row r="141" spans="1:43" ht="16.5" thickBot="1" x14ac:dyDescent="0.3">
      <c r="A141" s="486" t="str">
        <f>Hipótesis!B60</f>
        <v>Redondo</v>
      </c>
      <c r="B141" s="427">
        <v>2500</v>
      </c>
      <c r="C141" s="562">
        <f t="shared" si="60"/>
        <v>2400</v>
      </c>
      <c r="D141" s="475">
        <f t="shared" si="61"/>
        <v>6000000</v>
      </c>
      <c r="E141" s="38">
        <f t="shared" si="62"/>
        <v>288</v>
      </c>
      <c r="F141" s="31">
        <f t="shared" si="63"/>
        <v>720000</v>
      </c>
      <c r="G141" s="38">
        <f t="shared" si="64"/>
        <v>240</v>
      </c>
      <c r="H141" s="31">
        <f t="shared" si="65"/>
        <v>600000</v>
      </c>
      <c r="I141" s="38">
        <f t="shared" si="66"/>
        <v>192</v>
      </c>
      <c r="J141" s="31">
        <f t="shared" si="52"/>
        <v>480000</v>
      </c>
      <c r="K141" s="38">
        <f t="shared" si="67"/>
        <v>168.00000000000003</v>
      </c>
      <c r="L141" s="31">
        <f t="shared" si="53"/>
        <v>420000.00000000006</v>
      </c>
      <c r="M141" s="38">
        <f t="shared" si="68"/>
        <v>96</v>
      </c>
      <c r="N141" s="31">
        <f t="shared" si="69"/>
        <v>240000</v>
      </c>
      <c r="O141" s="38">
        <f t="shared" si="70"/>
        <v>96</v>
      </c>
      <c r="P141" s="31">
        <f t="shared" si="54"/>
        <v>240000</v>
      </c>
      <c r="Q141" s="38">
        <f t="shared" si="71"/>
        <v>192</v>
      </c>
      <c r="R141" s="31">
        <f t="shared" si="55"/>
        <v>480000</v>
      </c>
      <c r="S141" s="38">
        <f t="shared" si="72"/>
        <v>96</v>
      </c>
      <c r="T141" s="31">
        <f t="shared" si="56"/>
        <v>240000</v>
      </c>
      <c r="U141" s="38">
        <f t="shared" si="73"/>
        <v>240</v>
      </c>
      <c r="V141" s="31">
        <f t="shared" si="57"/>
        <v>600000</v>
      </c>
      <c r="W141" s="38">
        <f t="shared" si="74"/>
        <v>240</v>
      </c>
      <c r="X141" s="31">
        <f t="shared" si="58"/>
        <v>600000</v>
      </c>
      <c r="Y141" s="38">
        <f t="shared" si="75"/>
        <v>264</v>
      </c>
      <c r="Z141" s="31">
        <f t="shared" si="59"/>
        <v>660000</v>
      </c>
      <c r="AA141" s="38">
        <f t="shared" si="76"/>
        <v>336.00000000000006</v>
      </c>
      <c r="AB141" s="31">
        <f t="shared" ref="AB141:AB150" si="77">D141*$AA$17</f>
        <v>840000.00000000012</v>
      </c>
    </row>
    <row r="142" spans="1:43" x14ac:dyDescent="0.25">
      <c r="A142" s="487" t="str">
        <f>Hipótesis!B61</f>
        <v>Running</v>
      </c>
      <c r="B142" s="386">
        <v>2500</v>
      </c>
      <c r="C142" s="563">
        <f t="shared" si="60"/>
        <v>2100</v>
      </c>
      <c r="D142" s="476">
        <f t="shared" si="61"/>
        <v>5250000</v>
      </c>
      <c r="E142" s="39">
        <f t="shared" si="62"/>
        <v>252</v>
      </c>
      <c r="F142" s="32">
        <f t="shared" si="63"/>
        <v>630000</v>
      </c>
      <c r="G142" s="39">
        <f t="shared" si="64"/>
        <v>210</v>
      </c>
      <c r="H142" s="32">
        <f t="shared" si="65"/>
        <v>525000</v>
      </c>
      <c r="I142" s="39">
        <f t="shared" si="66"/>
        <v>168</v>
      </c>
      <c r="J142" s="32">
        <f t="shared" si="52"/>
        <v>420000</v>
      </c>
      <c r="K142" s="39">
        <f t="shared" si="67"/>
        <v>147</v>
      </c>
      <c r="L142" s="32">
        <f t="shared" si="53"/>
        <v>367500.00000000006</v>
      </c>
      <c r="M142" s="39">
        <f t="shared" si="68"/>
        <v>84</v>
      </c>
      <c r="N142" s="32">
        <f t="shared" si="69"/>
        <v>210000</v>
      </c>
      <c r="O142" s="39">
        <f t="shared" si="70"/>
        <v>84</v>
      </c>
      <c r="P142" s="32">
        <f t="shared" si="54"/>
        <v>210000</v>
      </c>
      <c r="Q142" s="39">
        <f t="shared" si="71"/>
        <v>168</v>
      </c>
      <c r="R142" s="32">
        <f t="shared" si="55"/>
        <v>420000</v>
      </c>
      <c r="S142" s="39">
        <f t="shared" si="72"/>
        <v>84</v>
      </c>
      <c r="T142" s="32">
        <f t="shared" si="56"/>
        <v>210000</v>
      </c>
      <c r="U142" s="39">
        <f t="shared" si="73"/>
        <v>210</v>
      </c>
      <c r="V142" s="32">
        <f t="shared" si="57"/>
        <v>525000</v>
      </c>
      <c r="W142" s="39">
        <f t="shared" si="74"/>
        <v>210</v>
      </c>
      <c r="X142" s="32">
        <f t="shared" si="58"/>
        <v>525000</v>
      </c>
      <c r="Y142" s="39">
        <f t="shared" si="75"/>
        <v>231</v>
      </c>
      <c r="Z142" s="32">
        <f t="shared" si="59"/>
        <v>577500</v>
      </c>
      <c r="AA142" s="39">
        <f t="shared" si="76"/>
        <v>294</v>
      </c>
      <c r="AB142" s="32">
        <f t="shared" si="77"/>
        <v>735000.00000000012</v>
      </c>
    </row>
    <row r="143" spans="1:43" x14ac:dyDescent="0.25">
      <c r="A143" s="488" t="str">
        <f>Hipótesis!B62</f>
        <v>Cilismo</v>
      </c>
      <c r="B143" s="387">
        <v>3000</v>
      </c>
      <c r="C143" s="564">
        <f t="shared" si="60"/>
        <v>3000</v>
      </c>
      <c r="D143" s="477">
        <f t="shared" si="61"/>
        <v>9000000</v>
      </c>
      <c r="E143" s="40">
        <f t="shared" si="62"/>
        <v>360</v>
      </c>
      <c r="F143" s="27">
        <f t="shared" si="63"/>
        <v>1080000</v>
      </c>
      <c r="G143" s="40">
        <f t="shared" si="64"/>
        <v>300</v>
      </c>
      <c r="H143" s="27">
        <f t="shared" si="65"/>
        <v>900000</v>
      </c>
      <c r="I143" s="40">
        <f t="shared" si="66"/>
        <v>240</v>
      </c>
      <c r="J143" s="27">
        <f t="shared" si="52"/>
        <v>720000</v>
      </c>
      <c r="K143" s="40">
        <f t="shared" si="67"/>
        <v>210.00000000000003</v>
      </c>
      <c r="L143" s="27">
        <f t="shared" si="53"/>
        <v>630000.00000000012</v>
      </c>
      <c r="M143" s="40">
        <f t="shared" si="68"/>
        <v>120</v>
      </c>
      <c r="N143" s="27">
        <f t="shared" si="69"/>
        <v>360000</v>
      </c>
      <c r="O143" s="40">
        <f t="shared" si="70"/>
        <v>120</v>
      </c>
      <c r="P143" s="27">
        <f t="shared" si="54"/>
        <v>360000</v>
      </c>
      <c r="Q143" s="40">
        <f t="shared" si="71"/>
        <v>240</v>
      </c>
      <c r="R143" s="27">
        <f t="shared" si="55"/>
        <v>720000</v>
      </c>
      <c r="S143" s="40">
        <f t="shared" si="72"/>
        <v>120</v>
      </c>
      <c r="T143" s="27">
        <f t="shared" si="56"/>
        <v>360000</v>
      </c>
      <c r="U143" s="40">
        <f t="shared" si="73"/>
        <v>300</v>
      </c>
      <c r="V143" s="27">
        <f t="shared" si="57"/>
        <v>900000</v>
      </c>
      <c r="W143" s="40">
        <f t="shared" si="74"/>
        <v>300</v>
      </c>
      <c r="X143" s="27">
        <f t="shared" si="58"/>
        <v>900000</v>
      </c>
      <c r="Y143" s="40">
        <f t="shared" si="75"/>
        <v>330</v>
      </c>
      <c r="Z143" s="27">
        <f t="shared" si="59"/>
        <v>990000</v>
      </c>
      <c r="AA143" s="40">
        <f t="shared" si="76"/>
        <v>420.00000000000006</v>
      </c>
      <c r="AB143" s="27">
        <f t="shared" si="77"/>
        <v>1260000.0000000002</v>
      </c>
    </row>
    <row r="144" spans="1:43" ht="15.75" thickBot="1" x14ac:dyDescent="0.3">
      <c r="A144" s="489" t="str">
        <f>Hipótesis!B63</f>
        <v>Ski</v>
      </c>
      <c r="B144" s="388">
        <v>3500</v>
      </c>
      <c r="C144" s="565">
        <f t="shared" si="60"/>
        <v>2400</v>
      </c>
      <c r="D144" s="478">
        <f t="shared" si="61"/>
        <v>8400000</v>
      </c>
      <c r="E144" s="41">
        <f t="shared" si="62"/>
        <v>288</v>
      </c>
      <c r="F144" s="33">
        <f t="shared" si="63"/>
        <v>1008000</v>
      </c>
      <c r="G144" s="41">
        <f t="shared" si="64"/>
        <v>240</v>
      </c>
      <c r="H144" s="33">
        <f t="shared" si="65"/>
        <v>840000</v>
      </c>
      <c r="I144" s="41">
        <f t="shared" si="66"/>
        <v>192</v>
      </c>
      <c r="J144" s="33">
        <f t="shared" si="52"/>
        <v>672000</v>
      </c>
      <c r="K144" s="41">
        <f t="shared" si="67"/>
        <v>168.00000000000003</v>
      </c>
      <c r="L144" s="33">
        <f t="shared" si="53"/>
        <v>588000</v>
      </c>
      <c r="M144" s="41">
        <f t="shared" si="68"/>
        <v>96</v>
      </c>
      <c r="N144" s="33">
        <f t="shared" si="69"/>
        <v>336000</v>
      </c>
      <c r="O144" s="41">
        <f t="shared" si="70"/>
        <v>96</v>
      </c>
      <c r="P144" s="33">
        <f t="shared" si="54"/>
        <v>336000</v>
      </c>
      <c r="Q144" s="41">
        <f t="shared" si="71"/>
        <v>192</v>
      </c>
      <c r="R144" s="33">
        <f t="shared" si="55"/>
        <v>672000</v>
      </c>
      <c r="S144" s="41">
        <f t="shared" si="72"/>
        <v>96</v>
      </c>
      <c r="T144" s="33">
        <f t="shared" si="56"/>
        <v>336000</v>
      </c>
      <c r="U144" s="41">
        <f t="shared" si="73"/>
        <v>240</v>
      </c>
      <c r="V144" s="33">
        <f t="shared" si="57"/>
        <v>840000</v>
      </c>
      <c r="W144" s="41">
        <f t="shared" si="74"/>
        <v>240</v>
      </c>
      <c r="X144" s="33">
        <f t="shared" si="58"/>
        <v>840000</v>
      </c>
      <c r="Y144" s="41">
        <f t="shared" si="75"/>
        <v>264</v>
      </c>
      <c r="Z144" s="33">
        <f t="shared" si="59"/>
        <v>924000</v>
      </c>
      <c r="AA144" s="41">
        <f t="shared" si="76"/>
        <v>336.00000000000006</v>
      </c>
      <c r="AB144" s="33">
        <f t="shared" si="77"/>
        <v>1176000</v>
      </c>
    </row>
    <row r="145" spans="1:28" x14ac:dyDescent="0.25">
      <c r="A145" s="34" t="str">
        <f>Hipótesis!B64</f>
        <v>Estilo 90</v>
      </c>
      <c r="B145" s="416">
        <v>3500</v>
      </c>
      <c r="C145" s="566">
        <f t="shared" si="60"/>
        <v>1800</v>
      </c>
      <c r="D145" s="479">
        <f t="shared" si="61"/>
        <v>6300000</v>
      </c>
      <c r="E145" s="42">
        <f t="shared" si="62"/>
        <v>216</v>
      </c>
      <c r="F145" s="35">
        <f t="shared" si="63"/>
        <v>756000</v>
      </c>
      <c r="G145" s="42">
        <f t="shared" si="64"/>
        <v>180</v>
      </c>
      <c r="H145" s="35">
        <f t="shared" si="65"/>
        <v>630000</v>
      </c>
      <c r="I145" s="42">
        <f t="shared" si="66"/>
        <v>144</v>
      </c>
      <c r="J145" s="35">
        <f t="shared" si="52"/>
        <v>504000</v>
      </c>
      <c r="K145" s="42">
        <f t="shared" si="67"/>
        <v>126.00000000000001</v>
      </c>
      <c r="L145" s="35">
        <f t="shared" si="53"/>
        <v>441000.00000000006</v>
      </c>
      <c r="M145" s="42">
        <f t="shared" si="68"/>
        <v>72</v>
      </c>
      <c r="N145" s="35">
        <f t="shared" si="69"/>
        <v>252000</v>
      </c>
      <c r="O145" s="42">
        <f t="shared" si="70"/>
        <v>72</v>
      </c>
      <c r="P145" s="35">
        <f t="shared" si="54"/>
        <v>252000</v>
      </c>
      <c r="Q145" s="42">
        <f t="shared" si="71"/>
        <v>144</v>
      </c>
      <c r="R145" s="35">
        <f t="shared" si="55"/>
        <v>504000</v>
      </c>
      <c r="S145" s="42">
        <f t="shared" si="72"/>
        <v>72</v>
      </c>
      <c r="T145" s="35">
        <f t="shared" si="56"/>
        <v>252000</v>
      </c>
      <c r="U145" s="42">
        <f t="shared" si="73"/>
        <v>180</v>
      </c>
      <c r="V145" s="35">
        <f t="shared" si="57"/>
        <v>630000</v>
      </c>
      <c r="W145" s="42">
        <f t="shared" si="74"/>
        <v>180</v>
      </c>
      <c r="X145" s="35">
        <f t="shared" si="58"/>
        <v>630000</v>
      </c>
      <c r="Y145" s="42">
        <f t="shared" si="75"/>
        <v>198</v>
      </c>
      <c r="Z145" s="35">
        <f t="shared" si="59"/>
        <v>693000</v>
      </c>
      <c r="AA145" s="42">
        <f t="shared" si="76"/>
        <v>252.00000000000003</v>
      </c>
      <c r="AB145" s="35">
        <f t="shared" si="77"/>
        <v>882000.00000000012</v>
      </c>
    </row>
    <row r="146" spans="1:28" x14ac:dyDescent="0.25">
      <c r="A146" s="23" t="str">
        <f>Hipótesis!B65</f>
        <v>Estilo 80</v>
      </c>
      <c r="B146" s="417">
        <v>3000</v>
      </c>
      <c r="C146" s="567">
        <f t="shared" si="60"/>
        <v>900</v>
      </c>
      <c r="D146" s="480">
        <f t="shared" si="61"/>
        <v>2700000</v>
      </c>
      <c r="E146" s="43">
        <f t="shared" si="62"/>
        <v>108</v>
      </c>
      <c r="F146" s="29">
        <f t="shared" si="63"/>
        <v>324000</v>
      </c>
      <c r="G146" s="43">
        <f t="shared" si="64"/>
        <v>90</v>
      </c>
      <c r="H146" s="29">
        <f t="shared" si="65"/>
        <v>270000</v>
      </c>
      <c r="I146" s="43">
        <f t="shared" si="66"/>
        <v>72</v>
      </c>
      <c r="J146" s="29">
        <f t="shared" si="52"/>
        <v>216000</v>
      </c>
      <c r="K146" s="43">
        <f t="shared" si="67"/>
        <v>63.000000000000007</v>
      </c>
      <c r="L146" s="29">
        <f t="shared" si="53"/>
        <v>189000.00000000003</v>
      </c>
      <c r="M146" s="43">
        <f t="shared" si="68"/>
        <v>36</v>
      </c>
      <c r="N146" s="29">
        <f t="shared" si="69"/>
        <v>108000</v>
      </c>
      <c r="O146" s="43">
        <f t="shared" si="70"/>
        <v>36</v>
      </c>
      <c r="P146" s="29">
        <f t="shared" si="54"/>
        <v>108000</v>
      </c>
      <c r="Q146" s="43">
        <f t="shared" si="71"/>
        <v>72</v>
      </c>
      <c r="R146" s="29">
        <f t="shared" si="55"/>
        <v>216000</v>
      </c>
      <c r="S146" s="43">
        <f t="shared" si="72"/>
        <v>36</v>
      </c>
      <c r="T146" s="29">
        <f t="shared" si="56"/>
        <v>108000</v>
      </c>
      <c r="U146" s="43">
        <f t="shared" si="73"/>
        <v>90</v>
      </c>
      <c r="V146" s="29">
        <f t="shared" si="57"/>
        <v>270000</v>
      </c>
      <c r="W146" s="43">
        <f t="shared" si="74"/>
        <v>90</v>
      </c>
      <c r="X146" s="29">
        <f t="shared" si="58"/>
        <v>270000</v>
      </c>
      <c r="Y146" s="43">
        <f t="shared" si="75"/>
        <v>99</v>
      </c>
      <c r="Z146" s="29">
        <f t="shared" si="59"/>
        <v>297000</v>
      </c>
      <c r="AA146" s="43">
        <f t="shared" si="76"/>
        <v>126.00000000000001</v>
      </c>
      <c r="AB146" s="29">
        <f t="shared" si="77"/>
        <v>378000.00000000006</v>
      </c>
    </row>
    <row r="147" spans="1:28" ht="15.75" thickBot="1" x14ac:dyDescent="0.3">
      <c r="A147" s="358" t="str">
        <f>Hipótesis!B66</f>
        <v>Estilo 70</v>
      </c>
      <c r="B147" s="417">
        <v>2500</v>
      </c>
      <c r="C147" s="567">
        <f t="shared" si="60"/>
        <v>600</v>
      </c>
      <c r="D147" s="480">
        <f t="shared" si="61"/>
        <v>1500000</v>
      </c>
      <c r="E147" s="43">
        <f t="shared" si="62"/>
        <v>72</v>
      </c>
      <c r="F147" s="29">
        <f t="shared" si="63"/>
        <v>180000</v>
      </c>
      <c r="G147" s="43">
        <f t="shared" si="64"/>
        <v>60</v>
      </c>
      <c r="H147" s="29">
        <f t="shared" si="65"/>
        <v>150000</v>
      </c>
      <c r="I147" s="43">
        <f t="shared" si="66"/>
        <v>48</v>
      </c>
      <c r="J147" s="29">
        <f t="shared" si="52"/>
        <v>120000</v>
      </c>
      <c r="K147" s="43">
        <f t="shared" si="67"/>
        <v>42.000000000000007</v>
      </c>
      <c r="L147" s="29">
        <f t="shared" si="53"/>
        <v>105000.00000000001</v>
      </c>
      <c r="M147" s="43">
        <f t="shared" si="68"/>
        <v>24</v>
      </c>
      <c r="N147" s="29">
        <f t="shared" si="69"/>
        <v>60000</v>
      </c>
      <c r="O147" s="43">
        <f t="shared" si="70"/>
        <v>24</v>
      </c>
      <c r="P147" s="29">
        <f t="shared" si="54"/>
        <v>60000</v>
      </c>
      <c r="Q147" s="43">
        <f t="shared" si="71"/>
        <v>48</v>
      </c>
      <c r="R147" s="29">
        <f t="shared" si="55"/>
        <v>120000</v>
      </c>
      <c r="S147" s="43">
        <f t="shared" si="72"/>
        <v>24</v>
      </c>
      <c r="T147" s="29">
        <f t="shared" si="56"/>
        <v>60000</v>
      </c>
      <c r="U147" s="43">
        <f t="shared" si="73"/>
        <v>60</v>
      </c>
      <c r="V147" s="29">
        <f t="shared" si="57"/>
        <v>150000</v>
      </c>
      <c r="W147" s="43">
        <f t="shared" si="74"/>
        <v>60</v>
      </c>
      <c r="X147" s="29">
        <f t="shared" si="58"/>
        <v>150000</v>
      </c>
      <c r="Y147" s="43">
        <f t="shared" si="75"/>
        <v>66</v>
      </c>
      <c r="Z147" s="29">
        <f t="shared" si="59"/>
        <v>165000</v>
      </c>
      <c r="AA147" s="43">
        <f t="shared" si="76"/>
        <v>84.000000000000014</v>
      </c>
      <c r="AB147" s="29">
        <f t="shared" si="77"/>
        <v>210000.00000000003</v>
      </c>
    </row>
    <row r="148" spans="1:28" x14ac:dyDescent="0.25">
      <c r="A148" s="389" t="str">
        <f>Hipótesis!B67</f>
        <v>Ovalado</v>
      </c>
      <c r="B148" s="428">
        <v>2500</v>
      </c>
      <c r="C148" s="568">
        <f t="shared" si="60"/>
        <v>3300</v>
      </c>
      <c r="D148" s="481">
        <f t="shared" si="61"/>
        <v>8250000</v>
      </c>
      <c r="E148" s="420">
        <f t="shared" si="62"/>
        <v>396</v>
      </c>
      <c r="F148" s="389">
        <f t="shared" si="63"/>
        <v>990000</v>
      </c>
      <c r="G148" s="420">
        <f t="shared" si="64"/>
        <v>330</v>
      </c>
      <c r="H148" s="389">
        <f t="shared" si="65"/>
        <v>825000</v>
      </c>
      <c r="I148" s="420">
        <f t="shared" si="66"/>
        <v>264</v>
      </c>
      <c r="J148" s="389">
        <f t="shared" si="52"/>
        <v>660000</v>
      </c>
      <c r="K148" s="420">
        <f t="shared" si="67"/>
        <v>231.00000000000003</v>
      </c>
      <c r="L148" s="389">
        <f t="shared" si="53"/>
        <v>577500</v>
      </c>
      <c r="M148" s="420">
        <f t="shared" si="68"/>
        <v>132</v>
      </c>
      <c r="N148" s="389">
        <f t="shared" si="69"/>
        <v>330000</v>
      </c>
      <c r="O148" s="420">
        <f t="shared" si="70"/>
        <v>132</v>
      </c>
      <c r="P148" s="389">
        <f t="shared" si="54"/>
        <v>330000</v>
      </c>
      <c r="Q148" s="420">
        <f t="shared" si="71"/>
        <v>264</v>
      </c>
      <c r="R148" s="389">
        <f t="shared" si="55"/>
        <v>660000</v>
      </c>
      <c r="S148" s="420">
        <f t="shared" si="72"/>
        <v>132</v>
      </c>
      <c r="T148" s="389">
        <f t="shared" si="56"/>
        <v>330000</v>
      </c>
      <c r="U148" s="420">
        <f t="shared" si="73"/>
        <v>330</v>
      </c>
      <c r="V148" s="389">
        <f t="shared" si="57"/>
        <v>825000</v>
      </c>
      <c r="W148" s="420">
        <f t="shared" si="74"/>
        <v>330</v>
      </c>
      <c r="X148" s="389">
        <f t="shared" si="58"/>
        <v>825000</v>
      </c>
      <c r="Y148" s="420">
        <f t="shared" si="75"/>
        <v>363</v>
      </c>
      <c r="Z148" s="389">
        <f t="shared" si="59"/>
        <v>907500</v>
      </c>
      <c r="AA148" s="420">
        <f t="shared" si="76"/>
        <v>462.00000000000006</v>
      </c>
      <c r="AB148" s="366">
        <f t="shared" si="77"/>
        <v>1155000</v>
      </c>
    </row>
    <row r="149" spans="1:28" x14ac:dyDescent="0.25">
      <c r="A149" s="390" t="str">
        <f>Hipótesis!B68</f>
        <v>Rectangular</v>
      </c>
      <c r="B149" s="429">
        <v>3000</v>
      </c>
      <c r="C149" s="569">
        <f t="shared" si="60"/>
        <v>2400</v>
      </c>
      <c r="D149" s="482">
        <f t="shared" si="61"/>
        <v>7200000</v>
      </c>
      <c r="E149" s="421">
        <f t="shared" si="62"/>
        <v>288</v>
      </c>
      <c r="F149" s="390">
        <f t="shared" si="63"/>
        <v>864000</v>
      </c>
      <c r="G149" s="421">
        <f t="shared" si="64"/>
        <v>240</v>
      </c>
      <c r="H149" s="390">
        <f t="shared" si="65"/>
        <v>720000</v>
      </c>
      <c r="I149" s="421">
        <f t="shared" si="66"/>
        <v>192</v>
      </c>
      <c r="J149" s="390">
        <f t="shared" si="52"/>
        <v>576000</v>
      </c>
      <c r="K149" s="421">
        <f t="shared" si="67"/>
        <v>168.00000000000003</v>
      </c>
      <c r="L149" s="390">
        <f t="shared" si="53"/>
        <v>504000.00000000006</v>
      </c>
      <c r="M149" s="421">
        <f t="shared" si="68"/>
        <v>96</v>
      </c>
      <c r="N149" s="390">
        <f t="shared" si="69"/>
        <v>288000</v>
      </c>
      <c r="O149" s="421">
        <f t="shared" si="70"/>
        <v>96</v>
      </c>
      <c r="P149" s="390">
        <f t="shared" si="54"/>
        <v>288000</v>
      </c>
      <c r="Q149" s="421">
        <f t="shared" si="71"/>
        <v>192</v>
      </c>
      <c r="R149" s="390">
        <f t="shared" si="55"/>
        <v>576000</v>
      </c>
      <c r="S149" s="421">
        <f t="shared" si="72"/>
        <v>96</v>
      </c>
      <c r="T149" s="390">
        <f t="shared" si="56"/>
        <v>288000</v>
      </c>
      <c r="U149" s="421">
        <f t="shared" si="73"/>
        <v>240</v>
      </c>
      <c r="V149" s="390">
        <f t="shared" si="57"/>
        <v>720000</v>
      </c>
      <c r="W149" s="421">
        <f t="shared" si="74"/>
        <v>240</v>
      </c>
      <c r="X149" s="390">
        <f t="shared" si="58"/>
        <v>720000</v>
      </c>
      <c r="Y149" s="421">
        <f t="shared" si="75"/>
        <v>264</v>
      </c>
      <c r="Z149" s="390">
        <f t="shared" si="59"/>
        <v>792000</v>
      </c>
      <c r="AA149" s="421">
        <f t="shared" si="76"/>
        <v>336.00000000000006</v>
      </c>
      <c r="AB149" s="367">
        <f t="shared" si="77"/>
        <v>1008000.0000000001</v>
      </c>
    </row>
    <row r="150" spans="1:28" ht="15.75" thickBot="1" x14ac:dyDescent="0.3">
      <c r="A150" s="391" t="str">
        <f>Hipótesis!B69</f>
        <v>Hexagonal</v>
      </c>
      <c r="B150" s="430">
        <v>3500</v>
      </c>
      <c r="C150" s="570">
        <f t="shared" si="60"/>
        <v>2100</v>
      </c>
      <c r="D150" s="483">
        <f t="shared" si="61"/>
        <v>7350000</v>
      </c>
      <c r="E150" s="422">
        <f t="shared" si="62"/>
        <v>252</v>
      </c>
      <c r="F150" s="391">
        <f>D150*$E$17</f>
        <v>882000</v>
      </c>
      <c r="G150" s="422">
        <f t="shared" si="64"/>
        <v>210</v>
      </c>
      <c r="H150" s="391">
        <f t="shared" si="65"/>
        <v>735000</v>
      </c>
      <c r="I150" s="422">
        <f t="shared" si="66"/>
        <v>168</v>
      </c>
      <c r="J150" s="391">
        <f t="shared" si="52"/>
        <v>588000</v>
      </c>
      <c r="K150" s="422">
        <f t="shared" si="67"/>
        <v>147</v>
      </c>
      <c r="L150" s="391">
        <f t="shared" si="53"/>
        <v>514500.00000000006</v>
      </c>
      <c r="M150" s="422">
        <f t="shared" si="68"/>
        <v>84</v>
      </c>
      <c r="N150" s="391">
        <f t="shared" si="69"/>
        <v>294000</v>
      </c>
      <c r="O150" s="422">
        <f t="shared" si="70"/>
        <v>84</v>
      </c>
      <c r="P150" s="391">
        <f t="shared" si="54"/>
        <v>294000</v>
      </c>
      <c r="Q150" s="422">
        <f t="shared" si="71"/>
        <v>168</v>
      </c>
      <c r="R150" s="391">
        <f t="shared" si="55"/>
        <v>588000</v>
      </c>
      <c r="S150" s="422">
        <f t="shared" si="72"/>
        <v>84</v>
      </c>
      <c r="T150" s="391">
        <f t="shared" si="56"/>
        <v>294000</v>
      </c>
      <c r="U150" s="422">
        <f t="shared" si="73"/>
        <v>210</v>
      </c>
      <c r="V150" s="391">
        <f t="shared" si="57"/>
        <v>735000</v>
      </c>
      <c r="W150" s="422">
        <f t="shared" si="74"/>
        <v>210</v>
      </c>
      <c r="X150" s="391">
        <f t="shared" si="58"/>
        <v>735000</v>
      </c>
      <c r="Y150" s="422">
        <f t="shared" si="75"/>
        <v>231</v>
      </c>
      <c r="Z150" s="391">
        <f t="shared" si="59"/>
        <v>808500</v>
      </c>
      <c r="AA150" s="422">
        <f t="shared" si="76"/>
        <v>294</v>
      </c>
      <c r="AB150" s="370">
        <f t="shared" si="77"/>
        <v>1029000.0000000001</v>
      </c>
    </row>
    <row r="151" spans="1:28" ht="15.75" thickBot="1" x14ac:dyDescent="0.3">
      <c r="A151" s="717" t="s">
        <v>58</v>
      </c>
      <c r="B151" s="718"/>
      <c r="C151" s="106"/>
      <c r="D151" s="109">
        <f>SUM(D139:D150)</f>
        <v>87450000</v>
      </c>
      <c r="E151" s="110"/>
      <c r="F151" s="111">
        <f>SUM(F139:F150)</f>
        <v>10494000</v>
      </c>
      <c r="G151" s="110"/>
      <c r="H151" s="111">
        <f>SUM(H139:H150)</f>
        <v>8745000</v>
      </c>
      <c r="I151" s="110"/>
      <c r="J151" s="111">
        <f>SUM(J139:J150)</f>
        <v>6996000</v>
      </c>
      <c r="K151" s="110"/>
      <c r="L151" s="111">
        <f>SUM(L139:L150)</f>
        <v>6121500.0000000009</v>
      </c>
      <c r="M151" s="110"/>
      <c r="N151" s="111">
        <f>SUM(N139:N150)</f>
        <v>3498000</v>
      </c>
      <c r="O151" s="110"/>
      <c r="P151" s="111">
        <f>SUM(P139:P150)</f>
        <v>3498000</v>
      </c>
      <c r="Q151" s="110"/>
      <c r="R151" s="111">
        <f>SUM(R139:R150)</f>
        <v>6996000</v>
      </c>
      <c r="S151" s="110"/>
      <c r="T151" s="111">
        <f>SUM(T139:T150)</f>
        <v>3498000</v>
      </c>
      <c r="U151" s="110"/>
      <c r="V151" s="111">
        <f>SUM(V139:V150)</f>
        <v>8745000</v>
      </c>
      <c r="W151" s="110"/>
      <c r="X151" s="111">
        <f>SUM(X139:X150)</f>
        <v>8745000</v>
      </c>
      <c r="Y151" s="110"/>
      <c r="Z151" s="111">
        <f>SUM(Z139:Z150)</f>
        <v>9619500</v>
      </c>
      <c r="AA151" s="110"/>
      <c r="AB151" s="111">
        <f t="shared" ref="AB151" si="78">SUM(AB139:AB150)</f>
        <v>12243000.000000002</v>
      </c>
    </row>
    <row r="152" spans="1:28" ht="16.5" thickBot="1" x14ac:dyDescent="0.3">
      <c r="A152" s="707" t="s">
        <v>303</v>
      </c>
      <c r="B152" s="708"/>
      <c r="C152" s="432">
        <f>SUM(C139:C141)</f>
        <v>10200</v>
      </c>
      <c r="D152" s="431"/>
      <c r="E152" s="432">
        <f>SUM(E139:E141)</f>
        <v>1224</v>
      </c>
      <c r="F152" s="114"/>
      <c r="G152" s="432">
        <f>SUM(G139:G141)</f>
        <v>1020</v>
      </c>
      <c r="H152" s="114"/>
      <c r="I152" s="432">
        <f>SUM(I139:I141)</f>
        <v>816</v>
      </c>
      <c r="J152" s="114"/>
      <c r="K152" s="432">
        <f>SUM(K139:K141)</f>
        <v>714</v>
      </c>
      <c r="L152" s="114"/>
      <c r="M152" s="432">
        <f>SUM(M139:M141)</f>
        <v>408</v>
      </c>
      <c r="N152" s="114"/>
      <c r="O152" s="432">
        <f>SUM(O139:O141)</f>
        <v>408</v>
      </c>
      <c r="P152" s="114"/>
      <c r="Q152" s="432">
        <f>SUM(Q139:Q141)</f>
        <v>816</v>
      </c>
      <c r="R152" s="114"/>
      <c r="S152" s="432">
        <f>SUM(S139:S141)</f>
        <v>408</v>
      </c>
      <c r="T152" s="114"/>
      <c r="U152" s="432">
        <f>SUM(U139:U141)</f>
        <v>1020</v>
      </c>
      <c r="V152" s="114"/>
      <c r="W152" s="432">
        <f>SUM(W139:W141)</f>
        <v>1020</v>
      </c>
      <c r="X152" s="114"/>
      <c r="Y152" s="432">
        <f>SUM(Y139:Y141)</f>
        <v>1122</v>
      </c>
      <c r="Z152" s="114"/>
      <c r="AA152" s="432">
        <f>SUM(AA139:AA141)</f>
        <v>1428</v>
      </c>
      <c r="AB152" s="115"/>
    </row>
    <row r="153" spans="1:28" ht="16.5" thickBot="1" x14ac:dyDescent="0.3">
      <c r="A153" s="709" t="s">
        <v>239</v>
      </c>
      <c r="B153" s="710"/>
      <c r="C153" s="433">
        <f>SUM(C142:C144)</f>
        <v>7500</v>
      </c>
      <c r="D153" s="431"/>
      <c r="E153" s="433">
        <f>SUM(E142:E144)</f>
        <v>900</v>
      </c>
      <c r="F153" s="113"/>
      <c r="G153" s="433">
        <f>SUM(G142:G144)</f>
        <v>750</v>
      </c>
      <c r="H153" s="113"/>
      <c r="I153" s="433">
        <f>SUM(I142:I144)</f>
        <v>600</v>
      </c>
      <c r="J153" s="113"/>
      <c r="K153" s="433">
        <f>SUM(K142:K144)</f>
        <v>525</v>
      </c>
      <c r="L153" s="113"/>
      <c r="M153" s="433">
        <f>SUM(M142:M144)</f>
        <v>300</v>
      </c>
      <c r="N153" s="113"/>
      <c r="O153" s="433">
        <f>SUM(O142:O144)</f>
        <v>300</v>
      </c>
      <c r="P153" s="113"/>
      <c r="Q153" s="433">
        <f>SUM(Q142:Q144)</f>
        <v>600</v>
      </c>
      <c r="R153" s="113"/>
      <c r="S153" s="433">
        <f>SUM(S142:S144)</f>
        <v>300</v>
      </c>
      <c r="T153" s="113"/>
      <c r="U153" s="433">
        <f>SUM(U142:U144)</f>
        <v>750</v>
      </c>
      <c r="V153" s="113"/>
      <c r="W153" s="433">
        <f>SUM(W142:W144)</f>
        <v>750</v>
      </c>
      <c r="X153" s="113"/>
      <c r="Y153" s="433">
        <f>SUM(Y142:Y144)</f>
        <v>825</v>
      </c>
      <c r="Z153" s="113"/>
      <c r="AA153" s="433">
        <f>SUM(AA142:AA144)</f>
        <v>1050</v>
      </c>
      <c r="AB153" s="116"/>
    </row>
    <row r="154" spans="1:28" ht="16.5" thickBot="1" x14ac:dyDescent="0.3">
      <c r="A154" s="711" t="s">
        <v>240</v>
      </c>
      <c r="B154" s="712"/>
      <c r="C154" s="434">
        <f>SUM(C145:C147)</f>
        <v>3300</v>
      </c>
      <c r="D154" s="431"/>
      <c r="E154" s="434">
        <f>SUM(E145:E147)</f>
        <v>396</v>
      </c>
      <c r="F154" s="117"/>
      <c r="G154" s="434">
        <f>SUM(G145:G147)</f>
        <v>330</v>
      </c>
      <c r="H154" s="117"/>
      <c r="I154" s="434">
        <f>SUM(I145:I147)</f>
        <v>264</v>
      </c>
      <c r="J154" s="117"/>
      <c r="K154" s="434">
        <f>SUM(K145:K147)</f>
        <v>231.00000000000003</v>
      </c>
      <c r="L154" s="117"/>
      <c r="M154" s="434">
        <f>SUM(M145:M147)</f>
        <v>132</v>
      </c>
      <c r="N154" s="117"/>
      <c r="O154" s="434">
        <f>SUM(O145:O147)</f>
        <v>132</v>
      </c>
      <c r="P154" s="117"/>
      <c r="Q154" s="434">
        <f>SUM(Q145:Q147)</f>
        <v>264</v>
      </c>
      <c r="R154" s="117"/>
      <c r="S154" s="434">
        <f>SUM(S145:S147)</f>
        <v>132</v>
      </c>
      <c r="T154" s="117"/>
      <c r="U154" s="434">
        <f>SUM(U145:U147)</f>
        <v>330</v>
      </c>
      <c r="V154" s="117"/>
      <c r="W154" s="434">
        <f>SUM(W145:W147)</f>
        <v>330</v>
      </c>
      <c r="X154" s="117"/>
      <c r="Y154" s="434">
        <f>SUM(Y145:Y147)</f>
        <v>363</v>
      </c>
      <c r="Z154" s="117"/>
      <c r="AA154" s="434">
        <f>SUM(AA145:AA147)</f>
        <v>462.00000000000006</v>
      </c>
      <c r="AB154" s="118"/>
    </row>
    <row r="155" spans="1:28" ht="16.5" thickBot="1" x14ac:dyDescent="0.3">
      <c r="A155" s="713" t="s">
        <v>301</v>
      </c>
      <c r="B155" s="714"/>
      <c r="C155" s="435">
        <f>SUM(C148:C150)</f>
        <v>7800</v>
      </c>
      <c r="D155" s="431"/>
      <c r="E155" s="435">
        <f>SUM(E148:E150)</f>
        <v>936</v>
      </c>
      <c r="F155" s="119"/>
      <c r="G155" s="435">
        <f>SUM(G148:G150)</f>
        <v>780</v>
      </c>
      <c r="H155" s="119"/>
      <c r="I155" s="435">
        <f>SUM(I148:I150)</f>
        <v>624</v>
      </c>
      <c r="J155" s="119"/>
      <c r="K155" s="435">
        <f>SUM(K148:K150)</f>
        <v>546</v>
      </c>
      <c r="L155" s="119"/>
      <c r="M155" s="435">
        <f>SUM(M148:M150)</f>
        <v>312</v>
      </c>
      <c r="N155" s="119"/>
      <c r="O155" s="435">
        <f>SUM(O148:O150)</f>
        <v>312</v>
      </c>
      <c r="P155" s="119"/>
      <c r="Q155" s="435">
        <f>SUM(Q148:Q150)</f>
        <v>624</v>
      </c>
      <c r="R155" s="119"/>
      <c r="S155" s="435">
        <f>SUM(S148:S150)</f>
        <v>312</v>
      </c>
      <c r="T155" s="119"/>
      <c r="U155" s="435">
        <f>SUM(U148:U150)</f>
        <v>780</v>
      </c>
      <c r="V155" s="119"/>
      <c r="W155" s="435">
        <f>SUM(W148:W150)</f>
        <v>780</v>
      </c>
      <c r="X155" s="119"/>
      <c r="Y155" s="435">
        <f>SUM(Y148:Y150)</f>
        <v>858</v>
      </c>
      <c r="Z155" s="119"/>
      <c r="AA155" s="435">
        <f>SUM(AA148:AA150)</f>
        <v>1092</v>
      </c>
      <c r="AB155" s="120"/>
    </row>
    <row r="156" spans="1:28" ht="15.75" thickBot="1" x14ac:dyDescent="0.3">
      <c r="D156" s="301"/>
      <c r="E156" s="22"/>
      <c r="F156" s="22"/>
    </row>
    <row r="157" spans="1:28" ht="27" thickBot="1" x14ac:dyDescent="0.45">
      <c r="A157" s="753" t="s">
        <v>362</v>
      </c>
      <c r="B157" s="754"/>
      <c r="C157" s="754"/>
      <c r="D157" s="754"/>
      <c r="E157" s="754"/>
      <c r="F157" s="754"/>
      <c r="G157" s="754"/>
      <c r="H157" s="754"/>
      <c r="I157" s="754"/>
      <c r="J157" s="754"/>
      <c r="K157" s="754"/>
      <c r="L157" s="754"/>
      <c r="M157" s="754"/>
      <c r="N157" s="754"/>
      <c r="O157" s="754"/>
      <c r="P157" s="754"/>
      <c r="Q157" s="754"/>
      <c r="R157" s="754"/>
      <c r="S157" s="754"/>
      <c r="T157" s="754"/>
      <c r="U157" s="754"/>
      <c r="V157" s="754"/>
      <c r="W157" s="754"/>
      <c r="X157" s="754"/>
      <c r="Y157" s="754"/>
      <c r="Z157" s="754"/>
      <c r="AA157" s="754"/>
      <c r="AB157" s="755"/>
    </row>
    <row r="158" spans="1:28" ht="87.75" customHeight="1" thickBot="1" x14ac:dyDescent="0.3">
      <c r="A158" s="457" t="s">
        <v>52</v>
      </c>
      <c r="B158" s="797" t="s">
        <v>283</v>
      </c>
      <c r="C158" s="798"/>
      <c r="D158" s="798"/>
      <c r="E158" s="798"/>
      <c r="F158" s="798"/>
      <c r="G158" s="798"/>
      <c r="H158" s="798"/>
      <c r="I158" s="798"/>
      <c r="J158" s="798"/>
      <c r="K158" s="798"/>
      <c r="L158" s="798"/>
      <c r="M158" s="798"/>
      <c r="N158" s="798"/>
      <c r="O158" s="798"/>
      <c r="P158" s="798"/>
      <c r="Q158" s="798"/>
      <c r="R158" s="798"/>
      <c r="S158" s="798"/>
      <c r="T158" s="798"/>
      <c r="U158" s="798"/>
      <c r="V158" s="798"/>
      <c r="W158" s="798"/>
      <c r="X158" s="798"/>
      <c r="Y158" s="798"/>
      <c r="Z158" s="798"/>
      <c r="AA158" s="798"/>
      <c r="AB158" s="799"/>
    </row>
    <row r="159" spans="1:28" ht="21.75" thickBot="1" x14ac:dyDescent="0.3">
      <c r="A159" s="756"/>
      <c r="B159" s="757"/>
      <c r="C159" s="758" t="s">
        <v>47</v>
      </c>
      <c r="D159" s="759"/>
      <c r="E159" s="760" t="s">
        <v>27</v>
      </c>
      <c r="F159" s="742"/>
      <c r="G159" s="741" t="s">
        <v>28</v>
      </c>
      <c r="H159" s="742"/>
      <c r="I159" s="741" t="s">
        <v>29</v>
      </c>
      <c r="J159" s="742"/>
      <c r="K159" s="741" t="s">
        <v>30</v>
      </c>
      <c r="L159" s="742"/>
      <c r="M159" s="741" t="s">
        <v>31</v>
      </c>
      <c r="N159" s="742"/>
      <c r="O159" s="741" t="s">
        <v>32</v>
      </c>
      <c r="P159" s="742"/>
      <c r="Q159" s="741" t="s">
        <v>33</v>
      </c>
      <c r="R159" s="742"/>
      <c r="S159" s="741" t="s">
        <v>34</v>
      </c>
      <c r="T159" s="742"/>
      <c r="U159" s="741" t="s">
        <v>35</v>
      </c>
      <c r="V159" s="742"/>
      <c r="W159" s="741" t="s">
        <v>36</v>
      </c>
      <c r="X159" s="742"/>
      <c r="Y159" s="741" t="s">
        <v>37</v>
      </c>
      <c r="Z159" s="742"/>
      <c r="AA159" s="741" t="s">
        <v>38</v>
      </c>
      <c r="AB159" s="742"/>
    </row>
    <row r="160" spans="1:28" x14ac:dyDescent="0.25">
      <c r="A160" s="743" t="s">
        <v>46</v>
      </c>
      <c r="B160" s="744"/>
      <c r="C160" s="749" t="s">
        <v>254</v>
      </c>
      <c r="D160" s="750"/>
      <c r="E160" s="751">
        <v>1</v>
      </c>
      <c r="F160" s="733"/>
      <c r="G160" s="752"/>
      <c r="H160" s="733"/>
      <c r="I160" s="752"/>
      <c r="J160" s="733"/>
      <c r="K160" s="752"/>
      <c r="L160" s="733"/>
      <c r="M160" s="752"/>
      <c r="N160" s="733"/>
      <c r="O160" s="752"/>
      <c r="P160" s="733"/>
      <c r="Q160" s="752"/>
      <c r="R160" s="733"/>
      <c r="S160" s="752"/>
      <c r="T160" s="733"/>
      <c r="U160" s="716"/>
      <c r="V160" s="716"/>
      <c r="W160" s="716"/>
      <c r="X160" s="716"/>
      <c r="Y160" s="716"/>
      <c r="Z160" s="716"/>
      <c r="AA160" s="716"/>
      <c r="AB160" s="735"/>
    </row>
    <row r="161" spans="1:28" x14ac:dyDescent="0.25">
      <c r="A161" s="745"/>
      <c r="B161" s="746"/>
      <c r="C161" s="722" t="s">
        <v>255</v>
      </c>
      <c r="D161" s="723"/>
      <c r="E161" s="726">
        <v>1</v>
      </c>
      <c r="F161" s="721"/>
      <c r="G161" s="721"/>
      <c r="H161" s="721"/>
      <c r="I161" s="721"/>
      <c r="J161" s="721"/>
      <c r="K161" s="721"/>
      <c r="L161" s="721"/>
      <c r="M161" s="721"/>
      <c r="N161" s="721"/>
      <c r="O161" s="721"/>
      <c r="P161" s="721"/>
      <c r="Q161" s="721"/>
      <c r="R161" s="721"/>
      <c r="S161" s="721"/>
      <c r="T161" s="721"/>
      <c r="U161" s="721"/>
      <c r="V161" s="721"/>
      <c r="W161" s="721"/>
      <c r="X161" s="721"/>
      <c r="Y161" s="721"/>
      <c r="Z161" s="721"/>
      <c r="AA161" s="721"/>
      <c r="AB161" s="725"/>
    </row>
    <row r="162" spans="1:28" x14ac:dyDescent="0.25">
      <c r="A162" s="745"/>
      <c r="B162" s="746"/>
      <c r="C162" s="722" t="s">
        <v>262</v>
      </c>
      <c r="D162" s="723"/>
      <c r="E162" s="726">
        <v>1</v>
      </c>
      <c r="F162" s="721"/>
      <c r="G162" s="721"/>
      <c r="H162" s="721"/>
      <c r="I162" s="721"/>
      <c r="J162" s="721"/>
      <c r="K162" s="721"/>
      <c r="L162" s="721"/>
      <c r="M162" s="721"/>
      <c r="N162" s="721"/>
      <c r="O162" s="721"/>
      <c r="P162" s="721"/>
      <c r="Q162" s="721"/>
      <c r="R162" s="721"/>
      <c r="S162" s="721"/>
      <c r="T162" s="721"/>
      <c r="U162" s="721"/>
      <c r="V162" s="721"/>
      <c r="W162" s="721"/>
      <c r="X162" s="721"/>
      <c r="Y162" s="721"/>
      <c r="Z162" s="721"/>
      <c r="AA162" s="721"/>
      <c r="AB162" s="725"/>
    </row>
    <row r="163" spans="1:28" x14ac:dyDescent="0.25">
      <c r="A163" s="745"/>
      <c r="B163" s="746"/>
      <c r="C163" s="722" t="s">
        <v>263</v>
      </c>
      <c r="D163" s="723"/>
      <c r="E163" s="726">
        <v>1</v>
      </c>
      <c r="F163" s="721"/>
      <c r="G163" s="721"/>
      <c r="H163" s="721"/>
      <c r="I163" s="721"/>
      <c r="J163" s="721"/>
      <c r="K163" s="721"/>
      <c r="L163" s="721"/>
      <c r="M163" s="721"/>
      <c r="N163" s="721"/>
      <c r="O163" s="721"/>
      <c r="P163" s="721"/>
      <c r="Q163" s="721"/>
      <c r="R163" s="721"/>
      <c r="S163" s="721"/>
      <c r="T163" s="721"/>
      <c r="U163" s="721"/>
      <c r="V163" s="721"/>
      <c r="W163" s="721"/>
      <c r="X163" s="721"/>
      <c r="Y163" s="721"/>
      <c r="Z163" s="721"/>
      <c r="AA163" s="721"/>
      <c r="AB163" s="725"/>
    </row>
    <row r="164" spans="1:28" x14ac:dyDescent="0.25">
      <c r="A164" s="745"/>
      <c r="B164" s="746"/>
      <c r="C164" s="722" t="s">
        <v>269</v>
      </c>
      <c r="D164" s="723"/>
      <c r="E164" s="726">
        <v>1</v>
      </c>
      <c r="F164" s="721"/>
      <c r="G164" s="721"/>
      <c r="H164" s="721"/>
      <c r="I164" s="721"/>
      <c r="J164" s="721"/>
      <c r="K164" s="721"/>
      <c r="L164" s="721"/>
      <c r="M164" s="721"/>
      <c r="N164" s="721"/>
      <c r="O164" s="721"/>
      <c r="P164" s="721"/>
      <c r="Q164" s="721"/>
      <c r="R164" s="721"/>
      <c r="S164" s="721"/>
      <c r="T164" s="721"/>
      <c r="U164" s="721"/>
      <c r="V164" s="721"/>
      <c r="W164" s="721"/>
      <c r="X164" s="721"/>
      <c r="Y164" s="721"/>
      <c r="Z164" s="721"/>
      <c r="AA164" s="721"/>
      <c r="AB164" s="725"/>
    </row>
    <row r="165" spans="1:28" x14ac:dyDescent="0.25">
      <c r="A165" s="745"/>
      <c r="B165" s="746"/>
      <c r="C165" s="722" t="s">
        <v>265</v>
      </c>
      <c r="D165" s="723"/>
      <c r="E165" s="726">
        <v>1</v>
      </c>
      <c r="F165" s="721"/>
      <c r="G165" s="721"/>
      <c r="H165" s="721"/>
      <c r="I165" s="721"/>
      <c r="J165" s="721"/>
      <c r="K165" s="721"/>
      <c r="L165" s="721"/>
      <c r="M165" s="721"/>
      <c r="N165" s="721"/>
      <c r="O165" s="721"/>
      <c r="P165" s="721"/>
      <c r="Q165" s="721"/>
      <c r="R165" s="721"/>
      <c r="S165" s="721"/>
      <c r="T165" s="721"/>
      <c r="U165" s="721"/>
      <c r="V165" s="721"/>
      <c r="W165" s="721"/>
      <c r="X165" s="721"/>
      <c r="Y165" s="721"/>
      <c r="Z165" s="721"/>
      <c r="AA165" s="721"/>
      <c r="AB165" s="725"/>
    </row>
    <row r="166" spans="1:28" x14ac:dyDescent="0.25">
      <c r="A166" s="745"/>
      <c r="B166" s="746"/>
      <c r="C166" s="722" t="s">
        <v>259</v>
      </c>
      <c r="D166" s="723"/>
      <c r="E166" s="726">
        <v>1</v>
      </c>
      <c r="F166" s="721"/>
      <c r="G166" s="721"/>
      <c r="H166" s="721"/>
      <c r="I166" s="721"/>
      <c r="J166" s="721"/>
      <c r="K166" s="721"/>
      <c r="L166" s="721"/>
      <c r="M166" s="721"/>
      <c r="N166" s="721"/>
      <c r="O166" s="721"/>
      <c r="P166" s="721"/>
      <c r="Q166" s="721"/>
      <c r="R166" s="721"/>
      <c r="S166" s="721"/>
      <c r="T166" s="721"/>
      <c r="U166" s="721"/>
      <c r="V166" s="721"/>
      <c r="W166" s="721"/>
      <c r="X166" s="721"/>
      <c r="Y166" s="721"/>
      <c r="Z166" s="721"/>
      <c r="AA166" s="721"/>
      <c r="AB166" s="725"/>
    </row>
    <row r="167" spans="1:28" x14ac:dyDescent="0.25">
      <c r="A167" s="745"/>
      <c r="B167" s="746"/>
      <c r="C167" s="722" t="s">
        <v>261</v>
      </c>
      <c r="D167" s="723"/>
      <c r="E167" s="726">
        <v>7</v>
      </c>
      <c r="F167" s="721"/>
      <c r="G167" s="721"/>
      <c r="H167" s="721"/>
      <c r="I167" s="721"/>
      <c r="J167" s="721"/>
      <c r="K167" s="721"/>
      <c r="L167" s="721"/>
      <c r="M167" s="721"/>
      <c r="N167" s="721"/>
      <c r="O167" s="721"/>
      <c r="P167" s="721"/>
      <c r="Q167" s="721"/>
      <c r="R167" s="721"/>
      <c r="S167" s="721"/>
      <c r="T167" s="721"/>
      <c r="U167" s="721"/>
      <c r="V167" s="721"/>
      <c r="W167" s="721"/>
      <c r="X167" s="721"/>
      <c r="Y167" s="721"/>
      <c r="Z167" s="721"/>
      <c r="AA167" s="721"/>
      <c r="AB167" s="725"/>
    </row>
    <row r="168" spans="1:28" x14ac:dyDescent="0.25">
      <c r="A168" s="745"/>
      <c r="B168" s="746"/>
      <c r="C168" s="722" t="s">
        <v>259</v>
      </c>
      <c r="D168" s="723"/>
      <c r="E168" s="726">
        <v>1</v>
      </c>
      <c r="F168" s="721"/>
      <c r="G168" s="721"/>
      <c r="H168" s="721"/>
      <c r="I168" s="721"/>
      <c r="J168" s="721"/>
      <c r="K168" s="721"/>
      <c r="L168" s="721"/>
      <c r="M168" s="721"/>
      <c r="N168" s="721"/>
      <c r="O168" s="721"/>
      <c r="P168" s="721"/>
      <c r="Q168" s="721"/>
      <c r="R168" s="721"/>
      <c r="S168" s="721"/>
      <c r="T168" s="721"/>
      <c r="U168" s="721"/>
      <c r="V168" s="721"/>
      <c r="W168" s="721"/>
      <c r="X168" s="721"/>
      <c r="Y168" s="721"/>
      <c r="Z168" s="721"/>
      <c r="AA168" s="721"/>
      <c r="AB168" s="725"/>
    </row>
    <row r="169" spans="1:28" x14ac:dyDescent="0.25">
      <c r="A169" s="745"/>
      <c r="B169" s="746"/>
      <c r="C169" s="722"/>
      <c r="D169" s="723"/>
      <c r="E169" s="726"/>
      <c r="F169" s="721"/>
      <c r="G169" s="721"/>
      <c r="H169" s="721"/>
      <c r="I169" s="721"/>
      <c r="J169" s="721"/>
      <c r="K169" s="721"/>
      <c r="L169" s="721"/>
      <c r="M169" s="721"/>
      <c r="N169" s="721"/>
      <c r="O169" s="721"/>
      <c r="P169" s="721"/>
      <c r="Q169" s="721"/>
      <c r="R169" s="721"/>
      <c r="S169" s="721"/>
      <c r="T169" s="721"/>
      <c r="U169" s="721"/>
      <c r="V169" s="721"/>
      <c r="W169" s="721"/>
      <c r="X169" s="721"/>
      <c r="Y169" s="721"/>
      <c r="Z169" s="721"/>
      <c r="AA169" s="721"/>
      <c r="AB169" s="725"/>
    </row>
    <row r="170" spans="1:28" x14ac:dyDescent="0.25">
      <c r="A170" s="745"/>
      <c r="B170" s="746"/>
      <c r="C170" s="722"/>
      <c r="D170" s="723"/>
      <c r="E170" s="726"/>
      <c r="F170" s="721"/>
      <c r="G170" s="721"/>
      <c r="H170" s="721"/>
      <c r="I170" s="721"/>
      <c r="J170" s="721"/>
      <c r="K170" s="721"/>
      <c r="L170" s="721"/>
      <c r="M170" s="721"/>
      <c r="N170" s="721"/>
      <c r="O170" s="721"/>
      <c r="P170" s="721"/>
      <c r="Q170" s="721"/>
      <c r="R170" s="721"/>
      <c r="S170" s="721"/>
      <c r="T170" s="721"/>
      <c r="U170" s="721"/>
      <c r="V170" s="721"/>
      <c r="W170" s="721"/>
      <c r="X170" s="721"/>
      <c r="Y170" s="721"/>
      <c r="Z170" s="721"/>
      <c r="AA170" s="721"/>
      <c r="AB170" s="725"/>
    </row>
    <row r="171" spans="1:28" x14ac:dyDescent="0.25">
      <c r="A171" s="745"/>
      <c r="B171" s="746"/>
      <c r="C171" s="722"/>
      <c r="D171" s="723"/>
      <c r="E171" s="726"/>
      <c r="F171" s="721"/>
      <c r="G171" s="721"/>
      <c r="H171" s="721"/>
      <c r="I171" s="721"/>
      <c r="J171" s="721"/>
      <c r="K171" s="721"/>
      <c r="L171" s="721"/>
      <c r="M171" s="721"/>
      <c r="N171" s="721"/>
      <c r="O171" s="721"/>
      <c r="P171" s="721"/>
      <c r="Q171" s="721"/>
      <c r="R171" s="721"/>
      <c r="S171" s="721"/>
      <c r="T171" s="721"/>
      <c r="U171" s="721"/>
      <c r="V171" s="721"/>
      <c r="W171" s="721"/>
      <c r="X171" s="721"/>
      <c r="Y171" s="721"/>
      <c r="Z171" s="721"/>
      <c r="AA171" s="721"/>
      <c r="AB171" s="725"/>
    </row>
    <row r="172" spans="1:28" x14ac:dyDescent="0.25">
      <c r="A172" s="745"/>
      <c r="B172" s="746"/>
      <c r="C172" s="722"/>
      <c r="D172" s="723"/>
      <c r="E172" s="726"/>
      <c r="F172" s="721"/>
      <c r="G172" s="740"/>
      <c r="H172" s="740"/>
      <c r="I172" s="721"/>
      <c r="J172" s="721"/>
      <c r="K172" s="721"/>
      <c r="L172" s="721"/>
      <c r="M172" s="721"/>
      <c r="N172" s="721"/>
      <c r="O172" s="721"/>
      <c r="P172" s="721"/>
      <c r="Q172" s="721"/>
      <c r="R172" s="721"/>
      <c r="S172" s="721"/>
      <c r="T172" s="721"/>
      <c r="U172" s="721"/>
      <c r="V172" s="721"/>
      <c r="W172" s="721"/>
      <c r="X172" s="721"/>
      <c r="Y172" s="721"/>
      <c r="Z172" s="721"/>
      <c r="AA172" s="721"/>
      <c r="AB172" s="725"/>
    </row>
    <row r="173" spans="1:28" x14ac:dyDescent="0.25">
      <c r="A173" s="745"/>
      <c r="B173" s="746"/>
      <c r="C173" s="722"/>
      <c r="D173" s="723"/>
      <c r="E173" s="726"/>
      <c r="F173" s="721"/>
      <c r="G173" s="721"/>
      <c r="H173" s="721"/>
      <c r="I173" s="721"/>
      <c r="J173" s="721"/>
      <c r="K173" s="721"/>
      <c r="L173" s="721"/>
      <c r="M173" s="721"/>
      <c r="N173" s="721"/>
      <c r="O173" s="721"/>
      <c r="P173" s="721"/>
      <c r="Q173" s="721"/>
      <c r="R173" s="721"/>
      <c r="S173" s="721"/>
      <c r="T173" s="721"/>
      <c r="U173" s="721"/>
      <c r="V173" s="721"/>
      <c r="W173" s="721"/>
      <c r="X173" s="721"/>
      <c r="Y173" s="721"/>
      <c r="Z173" s="721"/>
      <c r="AA173" s="721"/>
      <c r="AB173" s="725"/>
    </row>
    <row r="174" spans="1:28" x14ac:dyDescent="0.25">
      <c r="A174" s="745"/>
      <c r="B174" s="746"/>
      <c r="C174" s="722"/>
      <c r="D174" s="723"/>
      <c r="E174" s="726"/>
      <c r="F174" s="721"/>
      <c r="G174" s="721"/>
      <c r="H174" s="721"/>
      <c r="I174" s="721"/>
      <c r="J174" s="721"/>
      <c r="K174" s="721"/>
      <c r="L174" s="721"/>
      <c r="M174" s="721"/>
      <c r="N174" s="721"/>
      <c r="O174" s="721"/>
      <c r="P174" s="721"/>
      <c r="Q174" s="721"/>
      <c r="R174" s="721"/>
      <c r="S174" s="721"/>
      <c r="T174" s="721"/>
      <c r="U174" s="721"/>
      <c r="V174" s="721"/>
      <c r="W174" s="721"/>
      <c r="X174" s="721"/>
      <c r="Y174" s="721"/>
      <c r="Z174" s="721"/>
      <c r="AA174" s="721"/>
      <c r="AB174" s="725"/>
    </row>
    <row r="175" spans="1:28" x14ac:dyDescent="0.25">
      <c r="A175" s="745"/>
      <c r="B175" s="746"/>
      <c r="C175" s="722"/>
      <c r="D175" s="723"/>
      <c r="E175" s="740"/>
      <c r="F175" s="740"/>
      <c r="G175" s="721"/>
      <c r="H175" s="721"/>
      <c r="I175" s="721"/>
      <c r="J175" s="721"/>
      <c r="K175" s="721"/>
      <c r="L175" s="721"/>
      <c r="M175" s="721"/>
      <c r="N175" s="721"/>
      <c r="O175" s="721"/>
      <c r="P175" s="721"/>
      <c r="Q175" s="721"/>
      <c r="R175" s="721"/>
      <c r="S175" s="721"/>
      <c r="T175" s="721"/>
      <c r="U175" s="721"/>
      <c r="V175" s="721"/>
      <c r="W175" s="721"/>
      <c r="X175" s="721"/>
      <c r="Y175" s="721"/>
      <c r="Z175" s="721"/>
      <c r="AA175" s="721"/>
      <c r="AB175" s="725"/>
    </row>
    <row r="176" spans="1:28" x14ac:dyDescent="0.25">
      <c r="A176" s="745"/>
      <c r="B176" s="746"/>
      <c r="C176" s="722"/>
      <c r="D176" s="723"/>
      <c r="E176" s="726"/>
      <c r="F176" s="721"/>
      <c r="G176" s="721"/>
      <c r="H176" s="721"/>
      <c r="I176" s="721"/>
      <c r="J176" s="721"/>
      <c r="K176" s="721"/>
      <c r="L176" s="721"/>
      <c r="M176" s="721"/>
      <c r="N176" s="721"/>
      <c r="O176" s="721"/>
      <c r="P176" s="721"/>
      <c r="Q176" s="721"/>
      <c r="R176" s="721"/>
      <c r="S176" s="721"/>
      <c r="T176" s="721"/>
      <c r="U176" s="721"/>
      <c r="V176" s="721"/>
      <c r="W176" s="721"/>
      <c r="X176" s="721"/>
      <c r="Y176" s="721"/>
      <c r="Z176" s="721"/>
      <c r="AA176" s="721"/>
      <c r="AB176" s="725"/>
    </row>
    <row r="177" spans="1:28" ht="15.75" thickBot="1" x14ac:dyDescent="0.3">
      <c r="A177" s="747"/>
      <c r="B177" s="748"/>
      <c r="C177" s="722"/>
      <c r="D177" s="723"/>
      <c r="E177" s="724"/>
      <c r="F177" s="715"/>
      <c r="G177" s="715"/>
      <c r="H177" s="715"/>
      <c r="I177" s="715"/>
      <c r="J177" s="715"/>
      <c r="K177" s="715"/>
      <c r="L177" s="715"/>
      <c r="M177" s="715"/>
      <c r="N177" s="715"/>
      <c r="O177" s="715"/>
      <c r="P177" s="715"/>
      <c r="Q177" s="715"/>
      <c r="R177" s="715"/>
      <c r="S177" s="715"/>
      <c r="T177" s="715"/>
      <c r="U177" s="715"/>
      <c r="V177" s="715"/>
      <c r="W177" s="715"/>
      <c r="X177" s="715"/>
      <c r="Y177" s="715"/>
      <c r="Z177" s="715"/>
      <c r="AA177" s="715"/>
      <c r="AB177" s="734"/>
    </row>
    <row r="178" spans="1:28" x14ac:dyDescent="0.25">
      <c r="A178" s="727" t="s">
        <v>49</v>
      </c>
      <c r="B178" s="728"/>
      <c r="C178" s="731" t="s">
        <v>270</v>
      </c>
      <c r="D178" s="732"/>
      <c r="E178" s="726">
        <v>10</v>
      </c>
      <c r="F178" s="721"/>
      <c r="G178" s="740"/>
      <c r="H178" s="740"/>
      <c r="I178" s="716"/>
      <c r="J178" s="716"/>
      <c r="K178" s="716"/>
      <c r="L178" s="716"/>
      <c r="M178" s="716"/>
      <c r="N178" s="716"/>
      <c r="O178" s="716"/>
      <c r="P178" s="716"/>
      <c r="Q178" s="716"/>
      <c r="R178" s="716"/>
      <c r="S178" s="716"/>
      <c r="T178" s="716"/>
      <c r="U178" s="716"/>
      <c r="V178" s="716"/>
      <c r="W178" s="716"/>
      <c r="X178" s="716"/>
      <c r="Y178" s="716"/>
      <c r="Z178" s="716"/>
      <c r="AA178" s="716"/>
      <c r="AB178" s="735"/>
    </row>
    <row r="179" spans="1:28" x14ac:dyDescent="0.25">
      <c r="A179" s="738"/>
      <c r="B179" s="739"/>
      <c r="C179" s="722" t="s">
        <v>271</v>
      </c>
      <c r="D179" s="723"/>
      <c r="E179" s="726">
        <v>12</v>
      </c>
      <c r="F179" s="721"/>
      <c r="G179" s="721"/>
      <c r="H179" s="721"/>
      <c r="I179" s="721"/>
      <c r="J179" s="721"/>
      <c r="K179" s="721"/>
      <c r="L179" s="721"/>
      <c r="M179" s="721"/>
      <c r="N179" s="721"/>
      <c r="O179" s="721"/>
      <c r="P179" s="721"/>
      <c r="Q179" s="721"/>
      <c r="R179" s="721"/>
      <c r="S179" s="721"/>
      <c r="T179" s="721"/>
      <c r="U179" s="721"/>
      <c r="V179" s="721"/>
      <c r="W179" s="721"/>
      <c r="X179" s="721"/>
      <c r="Y179" s="721"/>
      <c r="Z179" s="721"/>
      <c r="AA179" s="721"/>
      <c r="AB179" s="725"/>
    </row>
    <row r="180" spans="1:28" x14ac:dyDescent="0.25">
      <c r="A180" s="738"/>
      <c r="B180" s="739"/>
      <c r="C180" s="722" t="s">
        <v>275</v>
      </c>
      <c r="D180" s="723"/>
      <c r="E180" s="726">
        <v>22</v>
      </c>
      <c r="F180" s="721"/>
      <c r="G180" s="721"/>
      <c r="H180" s="721"/>
      <c r="I180" s="721"/>
      <c r="J180" s="721"/>
      <c r="K180" s="721"/>
      <c r="L180" s="721"/>
      <c r="M180" s="721"/>
      <c r="N180" s="721"/>
      <c r="O180" s="721"/>
      <c r="P180" s="721"/>
      <c r="Q180" s="721"/>
      <c r="R180" s="721"/>
      <c r="S180" s="721"/>
      <c r="T180" s="721"/>
      <c r="U180" s="721"/>
      <c r="V180" s="721"/>
      <c r="W180" s="721"/>
      <c r="X180" s="721"/>
      <c r="Y180" s="721"/>
      <c r="Z180" s="721"/>
      <c r="AA180" s="721"/>
      <c r="AB180" s="725"/>
    </row>
    <row r="181" spans="1:28" x14ac:dyDescent="0.25">
      <c r="A181" s="738"/>
      <c r="B181" s="739"/>
      <c r="C181" s="722" t="s">
        <v>297</v>
      </c>
      <c r="D181" s="723"/>
      <c r="E181" s="726">
        <v>15</v>
      </c>
      <c r="F181" s="721"/>
      <c r="G181" s="740"/>
      <c r="H181" s="740"/>
      <c r="I181" s="721"/>
      <c r="J181" s="721"/>
      <c r="K181" s="721"/>
      <c r="L181" s="721"/>
      <c r="M181" s="721"/>
      <c r="N181" s="721"/>
      <c r="O181" s="721"/>
      <c r="P181" s="721"/>
      <c r="Q181" s="721"/>
      <c r="R181" s="721"/>
      <c r="S181" s="721"/>
      <c r="T181" s="721"/>
      <c r="U181" s="721"/>
      <c r="V181" s="721"/>
      <c r="W181" s="721"/>
      <c r="X181" s="721"/>
      <c r="Y181" s="721"/>
      <c r="Z181" s="721"/>
      <c r="AA181" s="721"/>
      <c r="AB181" s="725"/>
    </row>
    <row r="182" spans="1:28" x14ac:dyDescent="0.25">
      <c r="A182" s="738"/>
      <c r="B182" s="739"/>
      <c r="C182" s="722" t="s">
        <v>273</v>
      </c>
      <c r="D182" s="723"/>
      <c r="E182" s="726">
        <v>7</v>
      </c>
      <c r="F182" s="721"/>
      <c r="G182" s="721"/>
      <c r="H182" s="721"/>
      <c r="I182" s="721"/>
      <c r="J182" s="721"/>
      <c r="K182" s="721"/>
      <c r="L182" s="721"/>
      <c r="M182" s="721"/>
      <c r="N182" s="721"/>
      <c r="O182" s="721"/>
      <c r="P182" s="721"/>
      <c r="Q182" s="721"/>
      <c r="R182" s="721"/>
      <c r="S182" s="721"/>
      <c r="T182" s="721"/>
      <c r="U182" s="721"/>
      <c r="V182" s="721"/>
      <c r="W182" s="721"/>
      <c r="X182" s="721"/>
      <c r="Y182" s="721"/>
      <c r="Z182" s="721"/>
      <c r="AA182" s="721"/>
      <c r="AB182" s="725"/>
    </row>
    <row r="183" spans="1:28" x14ac:dyDescent="0.25">
      <c r="A183" s="738"/>
      <c r="B183" s="739"/>
      <c r="C183" s="722"/>
      <c r="D183" s="723"/>
      <c r="E183" s="726"/>
      <c r="F183" s="721"/>
      <c r="G183" s="721"/>
      <c r="H183" s="721"/>
      <c r="I183" s="721"/>
      <c r="J183" s="721"/>
      <c r="K183" s="721"/>
      <c r="L183" s="721"/>
      <c r="M183" s="721"/>
      <c r="N183" s="721"/>
      <c r="O183" s="721"/>
      <c r="P183" s="721"/>
      <c r="Q183" s="721"/>
      <c r="R183" s="721"/>
      <c r="S183" s="721"/>
      <c r="T183" s="721"/>
      <c r="U183" s="721"/>
      <c r="V183" s="721"/>
      <c r="W183" s="721"/>
      <c r="X183" s="721"/>
      <c r="Y183" s="721"/>
      <c r="Z183" s="721"/>
      <c r="AA183" s="721"/>
      <c r="AB183" s="725"/>
    </row>
    <row r="184" spans="1:28" x14ac:dyDescent="0.25">
      <c r="A184" s="738"/>
      <c r="B184" s="739"/>
      <c r="C184" s="722"/>
      <c r="D184" s="723"/>
      <c r="E184" s="740"/>
      <c r="F184" s="740"/>
      <c r="G184" s="740"/>
      <c r="H184" s="740"/>
      <c r="I184" s="721"/>
      <c r="J184" s="721"/>
      <c r="K184" s="721"/>
      <c r="L184" s="721"/>
      <c r="M184" s="721"/>
      <c r="N184" s="721"/>
      <c r="O184" s="721"/>
      <c r="P184" s="721"/>
      <c r="Q184" s="721"/>
      <c r="R184" s="721"/>
      <c r="S184" s="721"/>
      <c r="T184" s="721"/>
      <c r="U184" s="721"/>
      <c r="V184" s="721"/>
      <c r="W184" s="721"/>
      <c r="X184" s="721"/>
      <c r="Y184" s="721"/>
      <c r="Z184" s="721"/>
      <c r="AA184" s="721"/>
      <c r="AB184" s="725"/>
    </row>
    <row r="185" spans="1:28" x14ac:dyDescent="0.25">
      <c r="A185" s="738"/>
      <c r="B185" s="739"/>
      <c r="C185" s="722"/>
      <c r="D185" s="723"/>
      <c r="E185" s="740"/>
      <c r="F185" s="740"/>
      <c r="G185" s="740"/>
      <c r="H185" s="740"/>
      <c r="I185" s="721"/>
      <c r="J185" s="721"/>
      <c r="K185" s="721"/>
      <c r="L185" s="721"/>
      <c r="M185" s="721"/>
      <c r="N185" s="721"/>
      <c r="O185" s="721"/>
      <c r="P185" s="721"/>
      <c r="Q185" s="721"/>
      <c r="R185" s="721"/>
      <c r="S185" s="721"/>
      <c r="T185" s="721"/>
      <c r="U185" s="721"/>
      <c r="V185" s="721"/>
      <c r="W185" s="721"/>
      <c r="X185" s="721"/>
      <c r="Y185" s="721"/>
      <c r="Z185" s="721"/>
      <c r="AA185" s="721"/>
      <c r="AB185" s="725"/>
    </row>
    <row r="186" spans="1:28" x14ac:dyDescent="0.25">
      <c r="A186" s="738"/>
      <c r="B186" s="739"/>
      <c r="C186" s="722"/>
      <c r="D186" s="723"/>
      <c r="E186" s="726"/>
      <c r="F186" s="721"/>
      <c r="G186" s="721"/>
      <c r="H186" s="721"/>
      <c r="I186" s="721"/>
      <c r="J186" s="721"/>
      <c r="K186" s="721"/>
      <c r="L186" s="721"/>
      <c r="M186" s="721"/>
      <c r="N186" s="721"/>
      <c r="O186" s="721"/>
      <c r="P186" s="721"/>
      <c r="Q186" s="721"/>
      <c r="R186" s="721"/>
      <c r="S186" s="721"/>
      <c r="T186" s="721"/>
      <c r="U186" s="721"/>
      <c r="V186" s="721"/>
      <c r="W186" s="721"/>
      <c r="X186" s="721"/>
      <c r="Y186" s="721"/>
      <c r="Z186" s="721"/>
      <c r="AA186" s="721"/>
      <c r="AB186" s="725"/>
    </row>
    <row r="187" spans="1:28" x14ac:dyDescent="0.25">
      <c r="A187" s="738"/>
      <c r="B187" s="739"/>
      <c r="C187" s="722"/>
      <c r="D187" s="723"/>
      <c r="E187" s="726"/>
      <c r="F187" s="721"/>
      <c r="G187" s="721"/>
      <c r="H187" s="721"/>
      <c r="I187" s="721"/>
      <c r="J187" s="721"/>
      <c r="K187" s="721"/>
      <c r="L187" s="721"/>
      <c r="M187" s="721"/>
      <c r="N187" s="721"/>
      <c r="O187" s="721"/>
      <c r="P187" s="721"/>
      <c r="Q187" s="721"/>
      <c r="R187" s="721"/>
      <c r="S187" s="721"/>
      <c r="T187" s="721"/>
      <c r="U187" s="721"/>
      <c r="V187" s="721"/>
      <c r="W187" s="721"/>
      <c r="X187" s="721"/>
      <c r="Y187" s="721"/>
      <c r="Z187" s="721"/>
      <c r="AA187" s="721"/>
      <c r="AB187" s="725"/>
    </row>
    <row r="188" spans="1:28" ht="15.75" thickBot="1" x14ac:dyDescent="0.3">
      <c r="A188" s="738"/>
      <c r="B188" s="739"/>
      <c r="C188" s="722"/>
      <c r="D188" s="723"/>
      <c r="E188" s="726"/>
      <c r="F188" s="721"/>
      <c r="G188" s="721"/>
      <c r="H188" s="721"/>
      <c r="I188" s="721"/>
      <c r="J188" s="721"/>
      <c r="K188" s="721"/>
      <c r="L188" s="721"/>
      <c r="M188" s="721"/>
      <c r="N188" s="721"/>
      <c r="O188" s="721"/>
      <c r="P188" s="721"/>
      <c r="Q188" s="721"/>
      <c r="R188" s="721"/>
      <c r="S188" s="721"/>
      <c r="T188" s="721"/>
      <c r="U188" s="721"/>
      <c r="V188" s="721"/>
      <c r="W188" s="721"/>
      <c r="X188" s="721"/>
      <c r="Y188" s="721"/>
      <c r="Z188" s="721"/>
      <c r="AA188" s="721"/>
      <c r="AB188" s="725"/>
    </row>
    <row r="189" spans="1:28" x14ac:dyDescent="0.25">
      <c r="A189" s="727" t="s">
        <v>50</v>
      </c>
      <c r="B189" s="728"/>
      <c r="C189" s="731"/>
      <c r="D189" s="732"/>
      <c r="E189" s="733"/>
      <c r="F189" s="716"/>
      <c r="G189" s="716"/>
      <c r="H189" s="716"/>
      <c r="I189" s="716"/>
      <c r="J189" s="716"/>
      <c r="K189" s="716"/>
      <c r="L189" s="716"/>
      <c r="M189" s="716"/>
      <c r="N189" s="716"/>
      <c r="O189" s="716"/>
      <c r="P189" s="716"/>
      <c r="Q189" s="716"/>
      <c r="R189" s="716"/>
      <c r="S189" s="716"/>
      <c r="T189" s="716"/>
      <c r="U189" s="716"/>
      <c r="V189" s="716"/>
      <c r="W189" s="716"/>
      <c r="X189" s="716"/>
      <c r="Y189" s="716"/>
      <c r="Z189" s="716"/>
      <c r="AA189" s="716"/>
      <c r="AB189" s="735"/>
    </row>
    <row r="190" spans="1:28" ht="15.75" thickBot="1" x14ac:dyDescent="0.3">
      <c r="A190" s="729"/>
      <c r="B190" s="730"/>
      <c r="C190" s="736"/>
      <c r="D190" s="737"/>
      <c r="E190" s="724"/>
      <c r="F190" s="715"/>
      <c r="G190" s="715"/>
      <c r="H190" s="715"/>
      <c r="I190" s="715"/>
      <c r="J190" s="715"/>
      <c r="K190" s="715"/>
      <c r="L190" s="715"/>
      <c r="M190" s="715"/>
      <c r="N190" s="715"/>
      <c r="O190" s="715"/>
      <c r="P190" s="715"/>
      <c r="Q190" s="715"/>
      <c r="R190" s="715"/>
      <c r="S190" s="715"/>
      <c r="T190" s="715"/>
      <c r="U190" s="715"/>
      <c r="V190" s="715"/>
      <c r="W190" s="715"/>
      <c r="X190" s="715"/>
      <c r="Y190" s="715"/>
      <c r="Z190" s="715"/>
      <c r="AA190" s="715"/>
      <c r="AB190" s="734"/>
    </row>
  </sheetData>
  <mergeCells count="1356">
    <mergeCell ref="AA136:AB136"/>
    <mergeCell ref="E137:F137"/>
    <mergeCell ref="G137:H137"/>
    <mergeCell ref="I137:J137"/>
    <mergeCell ref="K137:L137"/>
    <mergeCell ref="M137:N137"/>
    <mergeCell ref="O137:P137"/>
    <mergeCell ref="Q137:R137"/>
    <mergeCell ref="S137:T137"/>
    <mergeCell ref="U137:V137"/>
    <mergeCell ref="W137:X137"/>
    <mergeCell ref="Y137:Z137"/>
    <mergeCell ref="AA137:AB137"/>
    <mergeCell ref="B38:AB38"/>
    <mergeCell ref="B99:AB99"/>
    <mergeCell ref="B158:AB158"/>
    <mergeCell ref="G6:L12"/>
    <mergeCell ref="M136:N136"/>
    <mergeCell ref="O136:P136"/>
    <mergeCell ref="Q136:R136"/>
    <mergeCell ref="S136:T136"/>
    <mergeCell ref="Y77:Z77"/>
    <mergeCell ref="U77:V77"/>
    <mergeCell ref="W77:X77"/>
    <mergeCell ref="M77:N77"/>
    <mergeCell ref="A98:AB98"/>
    <mergeCell ref="A100:B100"/>
    <mergeCell ref="E100:F100"/>
    <mergeCell ref="G100:H100"/>
    <mergeCell ref="I100:J100"/>
    <mergeCell ref="K100:L100"/>
    <mergeCell ref="W136:X136"/>
    <mergeCell ref="G5:L5"/>
    <mergeCell ref="A136:A138"/>
    <mergeCell ref="B136:B138"/>
    <mergeCell ref="C136:D136"/>
    <mergeCell ref="C137:C138"/>
    <mergeCell ref="D137:D138"/>
    <mergeCell ref="E136:F136"/>
    <mergeCell ref="G136:H136"/>
    <mergeCell ref="I136:J136"/>
    <mergeCell ref="K136:L136"/>
    <mergeCell ref="E77:F77"/>
    <mergeCell ref="G77:H77"/>
    <mergeCell ref="I77:J77"/>
    <mergeCell ref="K77:L77"/>
    <mergeCell ref="C16:D16"/>
    <mergeCell ref="U136:V136"/>
    <mergeCell ref="AA77:AB77"/>
    <mergeCell ref="E78:F78"/>
    <mergeCell ref="G78:H78"/>
    <mergeCell ref="I78:J78"/>
    <mergeCell ref="K78:L78"/>
    <mergeCell ref="M78:N78"/>
    <mergeCell ref="O78:P78"/>
    <mergeCell ref="Q78:R78"/>
    <mergeCell ref="S78:T78"/>
    <mergeCell ref="U78:V78"/>
    <mergeCell ref="W78:X78"/>
    <mergeCell ref="Y78:Z78"/>
    <mergeCell ref="AA78:AB78"/>
    <mergeCell ref="O77:P77"/>
    <mergeCell ref="Q77:R77"/>
    <mergeCell ref="S77:T77"/>
    <mergeCell ref="Y136:Z136"/>
    <mergeCell ref="S16:T16"/>
    <mergeCell ref="S17:T17"/>
    <mergeCell ref="Q16:R16"/>
    <mergeCell ref="Q17:R17"/>
    <mergeCell ref="O16:P16"/>
    <mergeCell ref="O17:P17"/>
    <mergeCell ref="G16:H16"/>
    <mergeCell ref="I16:J16"/>
    <mergeCell ref="G17:H17"/>
    <mergeCell ref="I17:J17"/>
    <mergeCell ref="K16:L16"/>
    <mergeCell ref="K17:L17"/>
    <mergeCell ref="M16:N16"/>
    <mergeCell ref="M17:N17"/>
    <mergeCell ref="C17:C18"/>
    <mergeCell ref="D17:D18"/>
    <mergeCell ref="U17:V17"/>
    <mergeCell ref="W17:X17"/>
    <mergeCell ref="Y17:Z17"/>
    <mergeCell ref="G51:H51"/>
    <mergeCell ref="G52:H52"/>
    <mergeCell ref="G53:H53"/>
    <mergeCell ref="G54:H54"/>
    <mergeCell ref="G55:H55"/>
    <mergeCell ref="G46:H46"/>
    <mergeCell ref="G47:H47"/>
    <mergeCell ref="G48:H48"/>
    <mergeCell ref="G49:H49"/>
    <mergeCell ref="G50:H50"/>
    <mergeCell ref="G41:H41"/>
    <mergeCell ref="G42:H42"/>
    <mergeCell ref="A77:A79"/>
    <mergeCell ref="B77:B79"/>
    <mergeCell ref="C77:D77"/>
    <mergeCell ref="C78:C79"/>
    <mergeCell ref="D78:D79"/>
    <mergeCell ref="C39:D39"/>
    <mergeCell ref="A59:B69"/>
    <mergeCell ref="A70:B72"/>
    <mergeCell ref="E41:F41"/>
    <mergeCell ref="AA40:AB40"/>
    <mergeCell ref="Q40:R40"/>
    <mergeCell ref="S40:T40"/>
    <mergeCell ref="U40:V40"/>
    <mergeCell ref="W40:X40"/>
    <mergeCell ref="Y40:Z40"/>
    <mergeCell ref="B5:D5"/>
    <mergeCell ref="A15:AB15"/>
    <mergeCell ref="A76:AB76"/>
    <mergeCell ref="A16:A18"/>
    <mergeCell ref="B16:B18"/>
    <mergeCell ref="E40:F40"/>
    <mergeCell ref="G40:H40"/>
    <mergeCell ref="I40:J40"/>
    <mergeCell ref="K40:L40"/>
    <mergeCell ref="M40:N40"/>
    <mergeCell ref="O40:P40"/>
    <mergeCell ref="E16:F16"/>
    <mergeCell ref="E17:F17"/>
    <mergeCell ref="AA16:AB16"/>
    <mergeCell ref="Y16:Z16"/>
    <mergeCell ref="W16:X16"/>
    <mergeCell ref="U16:V16"/>
    <mergeCell ref="AA17:AB17"/>
    <mergeCell ref="E57:F57"/>
    <mergeCell ref="E58:F58"/>
    <mergeCell ref="E59:F59"/>
    <mergeCell ref="E52:F52"/>
    <mergeCell ref="E53:F53"/>
    <mergeCell ref="E54:F54"/>
    <mergeCell ref="E55:F55"/>
    <mergeCell ref="E56:F56"/>
    <mergeCell ref="E47:F47"/>
    <mergeCell ref="E48:F48"/>
    <mergeCell ref="E49:F49"/>
    <mergeCell ref="E50:F50"/>
    <mergeCell ref="E51:F51"/>
    <mergeCell ref="E42:F42"/>
    <mergeCell ref="E43:F43"/>
    <mergeCell ref="E44:F44"/>
    <mergeCell ref="E45:F45"/>
    <mergeCell ref="E46:F46"/>
    <mergeCell ref="S41:T41"/>
    <mergeCell ref="U41:V41"/>
    <mergeCell ref="W41:X41"/>
    <mergeCell ref="Y41:Z41"/>
    <mergeCell ref="AA41:AB41"/>
    <mergeCell ref="I41:J41"/>
    <mergeCell ref="K41:L41"/>
    <mergeCell ref="M41:N41"/>
    <mergeCell ref="O41:P41"/>
    <mergeCell ref="Q41:R41"/>
    <mergeCell ref="G56:H56"/>
    <mergeCell ref="G57:H57"/>
    <mergeCell ref="G58:H58"/>
    <mergeCell ref="G43:H43"/>
    <mergeCell ref="G44:H44"/>
    <mergeCell ref="G45:H45"/>
    <mergeCell ref="S43:T43"/>
    <mergeCell ref="U43:V43"/>
    <mergeCell ref="W43:X43"/>
    <mergeCell ref="Y43:Z43"/>
    <mergeCell ref="AA43:AB43"/>
    <mergeCell ref="I43:J43"/>
    <mergeCell ref="K43:L43"/>
    <mergeCell ref="M43:N43"/>
    <mergeCell ref="O43:P43"/>
    <mergeCell ref="Q43:R43"/>
    <mergeCell ref="S42:T42"/>
    <mergeCell ref="U42:V42"/>
    <mergeCell ref="W42:X42"/>
    <mergeCell ref="Y42:Z42"/>
    <mergeCell ref="AA42:AB42"/>
    <mergeCell ref="I42:J42"/>
    <mergeCell ref="K42:L42"/>
    <mergeCell ref="M42:N42"/>
    <mergeCell ref="O42:P42"/>
    <mergeCell ref="Q42:R42"/>
    <mergeCell ref="S45:T45"/>
    <mergeCell ref="U45:V45"/>
    <mergeCell ref="W45:X45"/>
    <mergeCell ref="Y45:Z45"/>
    <mergeCell ref="AA45:AB45"/>
    <mergeCell ref="I45:J45"/>
    <mergeCell ref="K45:L45"/>
    <mergeCell ref="M45:N45"/>
    <mergeCell ref="O45:P45"/>
    <mergeCell ref="Q45:R45"/>
    <mergeCell ref="S44:T44"/>
    <mergeCell ref="U44:V44"/>
    <mergeCell ref="W44:X44"/>
    <mergeCell ref="Y44:Z44"/>
    <mergeCell ref="AA44:AB44"/>
    <mergeCell ref="I44:J44"/>
    <mergeCell ref="K44:L44"/>
    <mergeCell ref="M44:N44"/>
    <mergeCell ref="O44:P44"/>
    <mergeCell ref="Q44:R44"/>
    <mergeCell ref="S47:T47"/>
    <mergeCell ref="U47:V47"/>
    <mergeCell ref="W47:X47"/>
    <mergeCell ref="Y47:Z47"/>
    <mergeCell ref="AA47:AB47"/>
    <mergeCell ref="I47:J47"/>
    <mergeCell ref="K47:L47"/>
    <mergeCell ref="M47:N47"/>
    <mergeCell ref="O47:P47"/>
    <mergeCell ref="Q47:R47"/>
    <mergeCell ref="S46:T46"/>
    <mergeCell ref="U46:V46"/>
    <mergeCell ref="W46:X46"/>
    <mergeCell ref="Y46:Z46"/>
    <mergeCell ref="AA46:AB46"/>
    <mergeCell ref="I46:J46"/>
    <mergeCell ref="K46:L46"/>
    <mergeCell ref="M46:N46"/>
    <mergeCell ref="O46:P46"/>
    <mergeCell ref="Q46:R46"/>
    <mergeCell ref="S49:T49"/>
    <mergeCell ref="U49:V49"/>
    <mergeCell ref="W49:X49"/>
    <mergeCell ref="Y49:Z49"/>
    <mergeCell ref="AA49:AB49"/>
    <mergeCell ref="I49:J49"/>
    <mergeCell ref="K49:L49"/>
    <mergeCell ref="M49:N49"/>
    <mergeCell ref="O49:P49"/>
    <mergeCell ref="Q49:R49"/>
    <mergeCell ref="S48:T48"/>
    <mergeCell ref="U48:V48"/>
    <mergeCell ref="W48:X48"/>
    <mergeCell ref="Y48:Z48"/>
    <mergeCell ref="AA48:AB48"/>
    <mergeCell ref="I48:J48"/>
    <mergeCell ref="K48:L48"/>
    <mergeCell ref="M48:N48"/>
    <mergeCell ref="O48:P48"/>
    <mergeCell ref="Q48:R48"/>
    <mergeCell ref="S51:T51"/>
    <mergeCell ref="U51:V51"/>
    <mergeCell ref="W51:X51"/>
    <mergeCell ref="Y51:Z51"/>
    <mergeCell ref="AA51:AB51"/>
    <mergeCell ref="I51:J51"/>
    <mergeCell ref="K51:L51"/>
    <mergeCell ref="M51:N51"/>
    <mergeCell ref="O51:P51"/>
    <mergeCell ref="Q51:R51"/>
    <mergeCell ref="S50:T50"/>
    <mergeCell ref="U50:V50"/>
    <mergeCell ref="W50:X50"/>
    <mergeCell ref="Y50:Z50"/>
    <mergeCell ref="AA50:AB50"/>
    <mergeCell ref="I50:J50"/>
    <mergeCell ref="K50:L50"/>
    <mergeCell ref="M50:N50"/>
    <mergeCell ref="O50:P50"/>
    <mergeCell ref="Q50:R50"/>
    <mergeCell ref="S53:T53"/>
    <mergeCell ref="U53:V53"/>
    <mergeCell ref="W53:X53"/>
    <mergeCell ref="Y53:Z53"/>
    <mergeCell ref="AA53:AB53"/>
    <mergeCell ref="I53:J53"/>
    <mergeCell ref="K53:L53"/>
    <mergeCell ref="M53:N53"/>
    <mergeCell ref="O53:P53"/>
    <mergeCell ref="Q53:R53"/>
    <mergeCell ref="S52:T52"/>
    <mergeCell ref="U52:V52"/>
    <mergeCell ref="W52:X52"/>
    <mergeCell ref="Y52:Z52"/>
    <mergeCell ref="AA52:AB52"/>
    <mergeCell ref="I52:J52"/>
    <mergeCell ref="K52:L52"/>
    <mergeCell ref="M52:N52"/>
    <mergeCell ref="O52:P52"/>
    <mergeCell ref="Q52:R52"/>
    <mergeCell ref="S55:T55"/>
    <mergeCell ref="U55:V55"/>
    <mergeCell ref="W55:X55"/>
    <mergeCell ref="Y55:Z55"/>
    <mergeCell ref="AA55:AB55"/>
    <mergeCell ref="I55:J55"/>
    <mergeCell ref="K55:L55"/>
    <mergeCell ref="M55:N55"/>
    <mergeCell ref="O55:P55"/>
    <mergeCell ref="Q55:R55"/>
    <mergeCell ref="S54:T54"/>
    <mergeCell ref="U54:V54"/>
    <mergeCell ref="W54:X54"/>
    <mergeCell ref="Y54:Z54"/>
    <mergeCell ref="AA54:AB54"/>
    <mergeCell ref="I54:J54"/>
    <mergeCell ref="K54:L54"/>
    <mergeCell ref="M54:N54"/>
    <mergeCell ref="O54:P54"/>
    <mergeCell ref="Q54:R54"/>
    <mergeCell ref="I58:J58"/>
    <mergeCell ref="K58:L58"/>
    <mergeCell ref="M58:N58"/>
    <mergeCell ref="O58:P58"/>
    <mergeCell ref="Q58:R58"/>
    <mergeCell ref="S57:T57"/>
    <mergeCell ref="U57:V57"/>
    <mergeCell ref="W57:X57"/>
    <mergeCell ref="Y57:Z57"/>
    <mergeCell ref="AA57:AB57"/>
    <mergeCell ref="I57:J57"/>
    <mergeCell ref="K57:L57"/>
    <mergeCell ref="M57:N57"/>
    <mergeCell ref="O57:P57"/>
    <mergeCell ref="Q57:R57"/>
    <mergeCell ref="S56:T56"/>
    <mergeCell ref="U56:V56"/>
    <mergeCell ref="W56:X56"/>
    <mergeCell ref="Y56:Z56"/>
    <mergeCell ref="AA56:AB56"/>
    <mergeCell ref="I56:J56"/>
    <mergeCell ref="K56:L56"/>
    <mergeCell ref="M56:N56"/>
    <mergeCell ref="O56:P56"/>
    <mergeCell ref="Q56:R56"/>
    <mergeCell ref="E39:AB39"/>
    <mergeCell ref="A37:AB37"/>
    <mergeCell ref="A39:B40"/>
    <mergeCell ref="A41:B58"/>
    <mergeCell ref="AA59:AB59"/>
    <mergeCell ref="E60:F60"/>
    <mergeCell ref="G60:H60"/>
    <mergeCell ref="I60:J60"/>
    <mergeCell ref="K60:L60"/>
    <mergeCell ref="M60:N60"/>
    <mergeCell ref="O60:P60"/>
    <mergeCell ref="Q60:R60"/>
    <mergeCell ref="S60:T60"/>
    <mergeCell ref="U60:V60"/>
    <mergeCell ref="W60:X60"/>
    <mergeCell ref="Y60:Z60"/>
    <mergeCell ref="AA60:AB60"/>
    <mergeCell ref="Q59:R59"/>
    <mergeCell ref="S59:T59"/>
    <mergeCell ref="U59:V59"/>
    <mergeCell ref="W59:X59"/>
    <mergeCell ref="Y59:Z59"/>
    <mergeCell ref="G59:H59"/>
    <mergeCell ref="I59:J59"/>
    <mergeCell ref="K59:L59"/>
    <mergeCell ref="M59:N59"/>
    <mergeCell ref="O59:P59"/>
    <mergeCell ref="S58:T58"/>
    <mergeCell ref="U58:V58"/>
    <mergeCell ref="W58:X58"/>
    <mergeCell ref="Y58:Z58"/>
    <mergeCell ref="AA58:AB58"/>
    <mergeCell ref="Y61:Z61"/>
    <mergeCell ref="AA61:AB61"/>
    <mergeCell ref="E62:F62"/>
    <mergeCell ref="G62:H62"/>
    <mergeCell ref="I62:J62"/>
    <mergeCell ref="K62:L62"/>
    <mergeCell ref="M62:N62"/>
    <mergeCell ref="O62:P62"/>
    <mergeCell ref="Q62:R62"/>
    <mergeCell ref="S62:T62"/>
    <mergeCell ref="U62:V62"/>
    <mergeCell ref="W62:X62"/>
    <mergeCell ref="Y62:Z62"/>
    <mergeCell ref="AA62:AB62"/>
    <mergeCell ref="O61:P61"/>
    <mergeCell ref="Q61:R61"/>
    <mergeCell ref="S61:T61"/>
    <mergeCell ref="U61:V61"/>
    <mergeCell ref="W61:X61"/>
    <mergeCell ref="E61:F61"/>
    <mergeCell ref="G61:H61"/>
    <mergeCell ref="I61:J61"/>
    <mergeCell ref="K61:L61"/>
    <mergeCell ref="M61:N61"/>
    <mergeCell ref="Y63:Z63"/>
    <mergeCell ref="AA63:AB63"/>
    <mergeCell ref="E64:F64"/>
    <mergeCell ref="G64:H64"/>
    <mergeCell ref="I64:J64"/>
    <mergeCell ref="K64:L64"/>
    <mergeCell ref="M64:N64"/>
    <mergeCell ref="O64:P64"/>
    <mergeCell ref="Q64:R64"/>
    <mergeCell ref="S64:T64"/>
    <mergeCell ref="U64:V64"/>
    <mergeCell ref="W64:X64"/>
    <mergeCell ref="Y64:Z64"/>
    <mergeCell ref="AA64:AB64"/>
    <mergeCell ref="O63:P63"/>
    <mergeCell ref="Q63:R63"/>
    <mergeCell ref="S63:T63"/>
    <mergeCell ref="U63:V63"/>
    <mergeCell ref="W63:X63"/>
    <mergeCell ref="E63:F63"/>
    <mergeCell ref="G63:H63"/>
    <mergeCell ref="I63:J63"/>
    <mergeCell ref="K63:L63"/>
    <mergeCell ref="M63:N63"/>
    <mergeCell ref="Y65:Z65"/>
    <mergeCell ref="AA65:AB65"/>
    <mergeCell ref="E66:F66"/>
    <mergeCell ref="G66:H66"/>
    <mergeCell ref="I66:J66"/>
    <mergeCell ref="K66:L66"/>
    <mergeCell ref="M66:N66"/>
    <mergeCell ref="O66:P66"/>
    <mergeCell ref="Q66:R66"/>
    <mergeCell ref="S66:T66"/>
    <mergeCell ref="U66:V66"/>
    <mergeCell ref="W66:X66"/>
    <mergeCell ref="Y66:Z66"/>
    <mergeCell ref="AA66:AB66"/>
    <mergeCell ref="O65:P65"/>
    <mergeCell ref="Q65:R65"/>
    <mergeCell ref="S65:T65"/>
    <mergeCell ref="U65:V65"/>
    <mergeCell ref="W65:X65"/>
    <mergeCell ref="E65:F65"/>
    <mergeCell ref="G65:H65"/>
    <mergeCell ref="I65:J65"/>
    <mergeCell ref="K65:L65"/>
    <mergeCell ref="M65:N65"/>
    <mergeCell ref="Y67:Z67"/>
    <mergeCell ref="AA67:AB67"/>
    <mergeCell ref="E68:F68"/>
    <mergeCell ref="G68:H68"/>
    <mergeCell ref="I68:J68"/>
    <mergeCell ref="K68:L68"/>
    <mergeCell ref="M68:N68"/>
    <mergeCell ref="O68:P68"/>
    <mergeCell ref="Q68:R68"/>
    <mergeCell ref="S68:T68"/>
    <mergeCell ref="U68:V68"/>
    <mergeCell ref="W68:X68"/>
    <mergeCell ref="Y68:Z68"/>
    <mergeCell ref="AA68:AB68"/>
    <mergeCell ref="O67:P67"/>
    <mergeCell ref="Q67:R67"/>
    <mergeCell ref="S67:T67"/>
    <mergeCell ref="U67:V67"/>
    <mergeCell ref="W67:X67"/>
    <mergeCell ref="E67:F67"/>
    <mergeCell ref="G67:H67"/>
    <mergeCell ref="I67:J67"/>
    <mergeCell ref="K67:L67"/>
    <mergeCell ref="M67:N67"/>
    <mergeCell ref="Y69:Z69"/>
    <mergeCell ref="AA69:AB69"/>
    <mergeCell ref="O69:P69"/>
    <mergeCell ref="Q69:R69"/>
    <mergeCell ref="S69:T69"/>
    <mergeCell ref="U69:V69"/>
    <mergeCell ref="W69:X69"/>
    <mergeCell ref="E69:F69"/>
    <mergeCell ref="G69:H69"/>
    <mergeCell ref="I69:J69"/>
    <mergeCell ref="K69:L69"/>
    <mergeCell ref="M69:N69"/>
    <mergeCell ref="G70:H70"/>
    <mergeCell ref="I70:J70"/>
    <mergeCell ref="K70:L70"/>
    <mergeCell ref="M70:N70"/>
    <mergeCell ref="Y70:Z70"/>
    <mergeCell ref="AA70:AB70"/>
    <mergeCell ref="E72:F72"/>
    <mergeCell ref="G72:H72"/>
    <mergeCell ref="I72:J72"/>
    <mergeCell ref="K72:L72"/>
    <mergeCell ref="M72:N72"/>
    <mergeCell ref="O72:P72"/>
    <mergeCell ref="Q72:R72"/>
    <mergeCell ref="S72:T72"/>
    <mergeCell ref="U72:V72"/>
    <mergeCell ref="W72:X72"/>
    <mergeCell ref="Y72:Z72"/>
    <mergeCell ref="AA72:AB72"/>
    <mergeCell ref="O70:P70"/>
    <mergeCell ref="Q70:R70"/>
    <mergeCell ref="S70:T70"/>
    <mergeCell ref="U70:V70"/>
    <mergeCell ref="W70:X70"/>
    <mergeCell ref="E70:F70"/>
    <mergeCell ref="E71:F71"/>
    <mergeCell ref="G71:H71"/>
    <mergeCell ref="I71:J71"/>
    <mergeCell ref="K71:L71"/>
    <mergeCell ref="M71:N71"/>
    <mergeCell ref="O71:P71"/>
    <mergeCell ref="Q71:R71"/>
    <mergeCell ref="S71:T71"/>
    <mergeCell ref="U71:V71"/>
    <mergeCell ref="W71:X71"/>
    <mergeCell ref="Y71:Z71"/>
    <mergeCell ref="AA71:AB71"/>
    <mergeCell ref="W100:X100"/>
    <mergeCell ref="Y100:Z100"/>
    <mergeCell ref="AA100:AB100"/>
    <mergeCell ref="A101:B118"/>
    <mergeCell ref="E101:F101"/>
    <mergeCell ref="G101:H101"/>
    <mergeCell ref="I101:J101"/>
    <mergeCell ref="K101:L101"/>
    <mergeCell ref="M101:N101"/>
    <mergeCell ref="O101:P101"/>
    <mergeCell ref="Q101:R101"/>
    <mergeCell ref="S101:T101"/>
    <mergeCell ref="U101:V101"/>
    <mergeCell ref="W101:X101"/>
    <mergeCell ref="Y101:Z101"/>
    <mergeCell ref="AA101:AB101"/>
    <mergeCell ref="M100:N100"/>
    <mergeCell ref="O100:P100"/>
    <mergeCell ref="Q100:R100"/>
    <mergeCell ref="S100:T100"/>
    <mergeCell ref="U100:V100"/>
    <mergeCell ref="Y102:Z102"/>
    <mergeCell ref="AA102:AB102"/>
    <mergeCell ref="E103:F103"/>
    <mergeCell ref="G103:H103"/>
    <mergeCell ref="I103:J103"/>
    <mergeCell ref="K103:L103"/>
    <mergeCell ref="M103:N103"/>
    <mergeCell ref="O103:P103"/>
    <mergeCell ref="Q103:R103"/>
    <mergeCell ref="S103:T103"/>
    <mergeCell ref="U103:V103"/>
    <mergeCell ref="W103:X103"/>
    <mergeCell ref="Y103:Z103"/>
    <mergeCell ref="AA103:AB103"/>
    <mergeCell ref="O102:P102"/>
    <mergeCell ref="Q102:R102"/>
    <mergeCell ref="S102:T102"/>
    <mergeCell ref="U102:V102"/>
    <mergeCell ref="W102:X102"/>
    <mergeCell ref="E102:F102"/>
    <mergeCell ref="G102:H102"/>
    <mergeCell ref="I102:J102"/>
    <mergeCell ref="K102:L102"/>
    <mergeCell ref="M102:N102"/>
    <mergeCell ref="Y104:Z104"/>
    <mergeCell ref="AA104:AB104"/>
    <mergeCell ref="E105:F105"/>
    <mergeCell ref="G105:H105"/>
    <mergeCell ref="I105:J105"/>
    <mergeCell ref="K105:L105"/>
    <mergeCell ref="M105:N105"/>
    <mergeCell ref="O105:P105"/>
    <mergeCell ref="Q105:R105"/>
    <mergeCell ref="S105:T105"/>
    <mergeCell ref="U105:V105"/>
    <mergeCell ref="W105:X105"/>
    <mergeCell ref="Y105:Z105"/>
    <mergeCell ref="AA105:AB105"/>
    <mergeCell ref="O104:P104"/>
    <mergeCell ref="Q104:R104"/>
    <mergeCell ref="S104:T104"/>
    <mergeCell ref="U104:V104"/>
    <mergeCell ref="W104:X104"/>
    <mergeCell ref="E104:F104"/>
    <mergeCell ref="G104:H104"/>
    <mergeCell ref="I104:J104"/>
    <mergeCell ref="K104:L104"/>
    <mergeCell ref="M104:N104"/>
    <mergeCell ref="Y106:Z106"/>
    <mergeCell ref="AA106:AB106"/>
    <mergeCell ref="E107:F107"/>
    <mergeCell ref="G107:H107"/>
    <mergeCell ref="I107:J107"/>
    <mergeCell ref="K107:L107"/>
    <mergeCell ref="M107:N107"/>
    <mergeCell ref="O107:P107"/>
    <mergeCell ref="Q107:R107"/>
    <mergeCell ref="S107:T107"/>
    <mergeCell ref="U107:V107"/>
    <mergeCell ref="W107:X107"/>
    <mergeCell ref="Y107:Z107"/>
    <mergeCell ref="AA107:AB107"/>
    <mergeCell ref="O106:P106"/>
    <mergeCell ref="Q106:R106"/>
    <mergeCell ref="S106:T106"/>
    <mergeCell ref="U106:V106"/>
    <mergeCell ref="W106:X106"/>
    <mergeCell ref="E106:F106"/>
    <mergeCell ref="G106:H106"/>
    <mergeCell ref="I106:J106"/>
    <mergeCell ref="K106:L106"/>
    <mergeCell ref="M106:N106"/>
    <mergeCell ref="Y108:Z108"/>
    <mergeCell ref="AA108:AB108"/>
    <mergeCell ref="E109:F109"/>
    <mergeCell ref="G109:H109"/>
    <mergeCell ref="I109:J109"/>
    <mergeCell ref="K109:L109"/>
    <mergeCell ref="M109:N109"/>
    <mergeCell ref="O109:P109"/>
    <mergeCell ref="Q109:R109"/>
    <mergeCell ref="S109:T109"/>
    <mergeCell ref="U109:V109"/>
    <mergeCell ref="W109:X109"/>
    <mergeCell ref="Y109:Z109"/>
    <mergeCell ref="AA109:AB109"/>
    <mergeCell ref="O108:P108"/>
    <mergeCell ref="Q108:R108"/>
    <mergeCell ref="S108:T108"/>
    <mergeCell ref="U108:V108"/>
    <mergeCell ref="W108:X108"/>
    <mergeCell ref="E108:F108"/>
    <mergeCell ref="G108:H108"/>
    <mergeCell ref="I108:J108"/>
    <mergeCell ref="K108:L108"/>
    <mergeCell ref="M108:N108"/>
    <mergeCell ref="Y110:Z110"/>
    <mergeCell ref="AA110:AB110"/>
    <mergeCell ref="E111:F111"/>
    <mergeCell ref="G111:H111"/>
    <mergeCell ref="I111:J111"/>
    <mergeCell ref="K111:L111"/>
    <mergeCell ref="M111:N111"/>
    <mergeCell ref="O111:P111"/>
    <mergeCell ref="Q111:R111"/>
    <mergeCell ref="S111:T111"/>
    <mergeCell ref="U111:V111"/>
    <mergeCell ref="W111:X111"/>
    <mergeCell ref="Y111:Z111"/>
    <mergeCell ref="AA111:AB111"/>
    <mergeCell ref="O110:P110"/>
    <mergeCell ref="Q110:R110"/>
    <mergeCell ref="S110:T110"/>
    <mergeCell ref="U110:V110"/>
    <mergeCell ref="W110:X110"/>
    <mergeCell ref="E110:F110"/>
    <mergeCell ref="G110:H110"/>
    <mergeCell ref="I110:J110"/>
    <mergeCell ref="K110:L110"/>
    <mergeCell ref="M110:N110"/>
    <mergeCell ref="Y112:Z112"/>
    <mergeCell ref="AA112:AB112"/>
    <mergeCell ref="E113:F113"/>
    <mergeCell ref="G113:H113"/>
    <mergeCell ref="I113:J113"/>
    <mergeCell ref="K113:L113"/>
    <mergeCell ref="M113:N113"/>
    <mergeCell ref="O113:P113"/>
    <mergeCell ref="Q113:R113"/>
    <mergeCell ref="S113:T113"/>
    <mergeCell ref="U113:V113"/>
    <mergeCell ref="W113:X113"/>
    <mergeCell ref="Y113:Z113"/>
    <mergeCell ref="AA113:AB113"/>
    <mergeCell ref="O112:P112"/>
    <mergeCell ref="Q112:R112"/>
    <mergeCell ref="S112:T112"/>
    <mergeCell ref="U112:V112"/>
    <mergeCell ref="W112:X112"/>
    <mergeCell ref="E112:F112"/>
    <mergeCell ref="G112:H112"/>
    <mergeCell ref="I112:J112"/>
    <mergeCell ref="K112:L112"/>
    <mergeCell ref="M112:N112"/>
    <mergeCell ref="Y114:Z114"/>
    <mergeCell ref="AA114:AB114"/>
    <mergeCell ref="E115:F115"/>
    <mergeCell ref="G115:H115"/>
    <mergeCell ref="I115:J115"/>
    <mergeCell ref="K115:L115"/>
    <mergeCell ref="M115:N115"/>
    <mergeCell ref="O115:P115"/>
    <mergeCell ref="Q115:R115"/>
    <mergeCell ref="S115:T115"/>
    <mergeCell ref="U115:V115"/>
    <mergeCell ref="W115:X115"/>
    <mergeCell ref="Y115:Z115"/>
    <mergeCell ref="AA115:AB115"/>
    <mergeCell ref="O114:P114"/>
    <mergeCell ref="Q114:R114"/>
    <mergeCell ref="S114:T114"/>
    <mergeCell ref="U114:V114"/>
    <mergeCell ref="W114:X114"/>
    <mergeCell ref="E114:F114"/>
    <mergeCell ref="G114:H114"/>
    <mergeCell ref="I114:J114"/>
    <mergeCell ref="K114:L114"/>
    <mergeCell ref="M114:N114"/>
    <mergeCell ref="Y116:Z116"/>
    <mergeCell ref="AA116:AB116"/>
    <mergeCell ref="E117:F117"/>
    <mergeCell ref="G117:H117"/>
    <mergeCell ref="I117:J117"/>
    <mergeCell ref="K117:L117"/>
    <mergeCell ref="M117:N117"/>
    <mergeCell ref="O117:P117"/>
    <mergeCell ref="Q117:R117"/>
    <mergeCell ref="S117:T117"/>
    <mergeCell ref="U117:V117"/>
    <mergeCell ref="W117:X117"/>
    <mergeCell ref="Y117:Z117"/>
    <mergeCell ref="AA117:AB117"/>
    <mergeCell ref="O116:P116"/>
    <mergeCell ref="Q116:R116"/>
    <mergeCell ref="S116:T116"/>
    <mergeCell ref="U116:V116"/>
    <mergeCell ref="W116:X116"/>
    <mergeCell ref="E116:F116"/>
    <mergeCell ref="G116:H116"/>
    <mergeCell ref="I116:J116"/>
    <mergeCell ref="K116:L116"/>
    <mergeCell ref="M116:N116"/>
    <mergeCell ref="A119:B129"/>
    <mergeCell ref="E119:F119"/>
    <mergeCell ref="G119:H119"/>
    <mergeCell ref="I119:J119"/>
    <mergeCell ref="K119:L119"/>
    <mergeCell ref="M119:N119"/>
    <mergeCell ref="O119:P119"/>
    <mergeCell ref="Q119:R119"/>
    <mergeCell ref="S119:T119"/>
    <mergeCell ref="U119:V119"/>
    <mergeCell ref="W119:X119"/>
    <mergeCell ref="Y119:Z119"/>
    <mergeCell ref="AA119:AB119"/>
    <mergeCell ref="E120:F120"/>
    <mergeCell ref="O118:P118"/>
    <mergeCell ref="Q118:R118"/>
    <mergeCell ref="S118:T118"/>
    <mergeCell ref="U118:V118"/>
    <mergeCell ref="W118:X118"/>
    <mergeCell ref="E118:F118"/>
    <mergeCell ref="G118:H118"/>
    <mergeCell ref="I118:J118"/>
    <mergeCell ref="K118:L118"/>
    <mergeCell ref="M118:N118"/>
    <mergeCell ref="AA120:AB120"/>
    <mergeCell ref="E121:F121"/>
    <mergeCell ref="G121:H121"/>
    <mergeCell ref="I121:J121"/>
    <mergeCell ref="K121:L121"/>
    <mergeCell ref="M121:N121"/>
    <mergeCell ref="S121:T121"/>
    <mergeCell ref="U121:V121"/>
    <mergeCell ref="W121:X121"/>
    <mergeCell ref="Y121:Z121"/>
    <mergeCell ref="AA121:AB121"/>
    <mergeCell ref="Q120:R120"/>
    <mergeCell ref="S120:T120"/>
    <mergeCell ref="U120:V120"/>
    <mergeCell ref="W120:X120"/>
    <mergeCell ref="Y120:Z120"/>
    <mergeCell ref="G120:H120"/>
    <mergeCell ref="I120:J120"/>
    <mergeCell ref="K120:L120"/>
    <mergeCell ref="M120:N120"/>
    <mergeCell ref="O120:P120"/>
    <mergeCell ref="Y118:Z118"/>
    <mergeCell ref="AA118:AB118"/>
    <mergeCell ref="AA122:AB122"/>
    <mergeCell ref="E123:F123"/>
    <mergeCell ref="G123:H123"/>
    <mergeCell ref="I123:J123"/>
    <mergeCell ref="K123:L123"/>
    <mergeCell ref="M123:N123"/>
    <mergeCell ref="O123:P123"/>
    <mergeCell ref="Q123:R123"/>
    <mergeCell ref="S123:T123"/>
    <mergeCell ref="U123:V123"/>
    <mergeCell ref="W123:X123"/>
    <mergeCell ref="Y123:Z123"/>
    <mergeCell ref="AA123:AB123"/>
    <mergeCell ref="O122:P122"/>
    <mergeCell ref="Q122:R122"/>
    <mergeCell ref="S122:T122"/>
    <mergeCell ref="U122:V122"/>
    <mergeCell ref="W122:X122"/>
    <mergeCell ref="E122:F122"/>
    <mergeCell ref="G122:H122"/>
    <mergeCell ref="I122:J122"/>
    <mergeCell ref="K122:L122"/>
    <mergeCell ref="M122:N122"/>
    <mergeCell ref="AA124:AB124"/>
    <mergeCell ref="E125:F125"/>
    <mergeCell ref="G125:H125"/>
    <mergeCell ref="I125:J125"/>
    <mergeCell ref="K125:L125"/>
    <mergeCell ref="M125:N125"/>
    <mergeCell ref="O125:P125"/>
    <mergeCell ref="Q125:R125"/>
    <mergeCell ref="S125:T125"/>
    <mergeCell ref="U125:V125"/>
    <mergeCell ref="W125:X125"/>
    <mergeCell ref="Y125:Z125"/>
    <mergeCell ref="AA125:AB125"/>
    <mergeCell ref="O124:P124"/>
    <mergeCell ref="Q124:R124"/>
    <mergeCell ref="S124:T124"/>
    <mergeCell ref="U124:V124"/>
    <mergeCell ref="W124:X124"/>
    <mergeCell ref="E124:F124"/>
    <mergeCell ref="G124:H124"/>
    <mergeCell ref="I124:J124"/>
    <mergeCell ref="K124:L124"/>
    <mergeCell ref="M124:N124"/>
    <mergeCell ref="AA126:AB126"/>
    <mergeCell ref="E127:F127"/>
    <mergeCell ref="G127:H127"/>
    <mergeCell ref="I127:J127"/>
    <mergeCell ref="K127:L127"/>
    <mergeCell ref="M127:N127"/>
    <mergeCell ref="O127:P127"/>
    <mergeCell ref="Q127:R127"/>
    <mergeCell ref="S127:T127"/>
    <mergeCell ref="U127:V127"/>
    <mergeCell ref="W127:X127"/>
    <mergeCell ref="Y127:Z127"/>
    <mergeCell ref="AA127:AB127"/>
    <mergeCell ref="O126:P126"/>
    <mergeCell ref="Q126:R126"/>
    <mergeCell ref="S126:T126"/>
    <mergeCell ref="U126:V126"/>
    <mergeCell ref="W126:X126"/>
    <mergeCell ref="E126:F126"/>
    <mergeCell ref="G126:H126"/>
    <mergeCell ref="I126:J126"/>
    <mergeCell ref="K126:L126"/>
    <mergeCell ref="M126:N126"/>
    <mergeCell ref="AA128:AB128"/>
    <mergeCell ref="E129:F129"/>
    <mergeCell ref="G129:H129"/>
    <mergeCell ref="I129:J129"/>
    <mergeCell ref="K129:L129"/>
    <mergeCell ref="M129:N129"/>
    <mergeCell ref="O129:P129"/>
    <mergeCell ref="Q129:R129"/>
    <mergeCell ref="S129:T129"/>
    <mergeCell ref="U129:V129"/>
    <mergeCell ref="W129:X129"/>
    <mergeCell ref="Y129:Z129"/>
    <mergeCell ref="AA129:AB129"/>
    <mergeCell ref="O128:P128"/>
    <mergeCell ref="Q128:R128"/>
    <mergeCell ref="S128:T128"/>
    <mergeCell ref="U128:V128"/>
    <mergeCell ref="W128:X128"/>
    <mergeCell ref="E128:F128"/>
    <mergeCell ref="G128:H128"/>
    <mergeCell ref="I128:J128"/>
    <mergeCell ref="K128:L128"/>
    <mergeCell ref="M128:N128"/>
    <mergeCell ref="C114:D114"/>
    <mergeCell ref="C105:D105"/>
    <mergeCell ref="C106:D106"/>
    <mergeCell ref="C107:D107"/>
    <mergeCell ref="C108:D108"/>
    <mergeCell ref="C109:D109"/>
    <mergeCell ref="U131:V131"/>
    <mergeCell ref="W131:X131"/>
    <mergeCell ref="Y131:Z131"/>
    <mergeCell ref="G131:H131"/>
    <mergeCell ref="I131:J131"/>
    <mergeCell ref="K131:L131"/>
    <mergeCell ref="M131:N131"/>
    <mergeCell ref="O131:P131"/>
    <mergeCell ref="A130:B131"/>
    <mergeCell ref="E130:F130"/>
    <mergeCell ref="G130:H130"/>
    <mergeCell ref="I130:J130"/>
    <mergeCell ref="K130:L130"/>
    <mergeCell ref="M130:N130"/>
    <mergeCell ref="O130:P130"/>
    <mergeCell ref="Q130:R130"/>
    <mergeCell ref="S130:T130"/>
    <mergeCell ref="U130:V130"/>
    <mergeCell ref="W130:X130"/>
    <mergeCell ref="Y130:Z130"/>
    <mergeCell ref="Y128:Z128"/>
    <mergeCell ref="Y126:Z126"/>
    <mergeCell ref="Y124:Z124"/>
    <mergeCell ref="Y122:Z122"/>
    <mergeCell ref="O121:P121"/>
    <mergeCell ref="Q121:R121"/>
    <mergeCell ref="C101:D101"/>
    <mergeCell ref="C100:D100"/>
    <mergeCell ref="C102:D102"/>
    <mergeCell ref="C103:D103"/>
    <mergeCell ref="C104:D104"/>
    <mergeCell ref="A135:AB135"/>
    <mergeCell ref="C130:D130"/>
    <mergeCell ref="C131:D131"/>
    <mergeCell ref="C125:D125"/>
    <mergeCell ref="C126:D126"/>
    <mergeCell ref="C127:D127"/>
    <mergeCell ref="C128:D128"/>
    <mergeCell ref="C129:D129"/>
    <mergeCell ref="C120:D120"/>
    <mergeCell ref="C121:D121"/>
    <mergeCell ref="C122:D122"/>
    <mergeCell ref="C123:D123"/>
    <mergeCell ref="C124:D124"/>
    <mergeCell ref="AA131:AB131"/>
    <mergeCell ref="Q131:R131"/>
    <mergeCell ref="S131:T131"/>
    <mergeCell ref="AA130:AB130"/>
    <mergeCell ref="E131:F131"/>
    <mergeCell ref="C115:D115"/>
    <mergeCell ref="C116:D116"/>
    <mergeCell ref="C117:D117"/>
    <mergeCell ref="C118:D118"/>
    <mergeCell ref="C119:D119"/>
    <mergeCell ref="C110:D110"/>
    <mergeCell ref="C111:D111"/>
    <mergeCell ref="C112:D112"/>
    <mergeCell ref="C113:D113"/>
    <mergeCell ref="AA159:AB159"/>
    <mergeCell ref="A160:B177"/>
    <mergeCell ref="C160:D160"/>
    <mergeCell ref="E160:F160"/>
    <mergeCell ref="G160:H160"/>
    <mergeCell ref="I160:J160"/>
    <mergeCell ref="K160:L160"/>
    <mergeCell ref="M160:N160"/>
    <mergeCell ref="O160:P160"/>
    <mergeCell ref="Q160:R160"/>
    <mergeCell ref="S160:T160"/>
    <mergeCell ref="U160:V160"/>
    <mergeCell ref="W160:X160"/>
    <mergeCell ref="Y160:Z160"/>
    <mergeCell ref="AA160:AB160"/>
    <mergeCell ref="C161:D161"/>
    <mergeCell ref="A157:AB157"/>
    <mergeCell ref="A159:B159"/>
    <mergeCell ref="C159:D159"/>
    <mergeCell ref="E159:F159"/>
    <mergeCell ref="G159:H159"/>
    <mergeCell ref="I159:J159"/>
    <mergeCell ref="K159:L159"/>
    <mergeCell ref="M159:N159"/>
    <mergeCell ref="O159:P159"/>
    <mergeCell ref="Q159:R159"/>
    <mergeCell ref="S159:T159"/>
    <mergeCell ref="U159:V159"/>
    <mergeCell ref="W159:X159"/>
    <mergeCell ref="Y159:Z159"/>
    <mergeCell ref="Y161:Z161"/>
    <mergeCell ref="AA161:AB161"/>
    <mergeCell ref="C162:D162"/>
    <mergeCell ref="E162:F162"/>
    <mergeCell ref="G162:H162"/>
    <mergeCell ref="I162:J162"/>
    <mergeCell ref="K162:L162"/>
    <mergeCell ref="M162:N162"/>
    <mergeCell ref="O162:P162"/>
    <mergeCell ref="Q162:R162"/>
    <mergeCell ref="S162:T162"/>
    <mergeCell ref="U162:V162"/>
    <mergeCell ref="W162:X162"/>
    <mergeCell ref="Y162:Z162"/>
    <mergeCell ref="AA162:AB162"/>
    <mergeCell ref="O161:P161"/>
    <mergeCell ref="Q161:R161"/>
    <mergeCell ref="S161:T161"/>
    <mergeCell ref="U161:V161"/>
    <mergeCell ref="W161:X161"/>
    <mergeCell ref="E161:F161"/>
    <mergeCell ref="G161:H161"/>
    <mergeCell ref="I161:J161"/>
    <mergeCell ref="K161:L161"/>
    <mergeCell ref="M161:N161"/>
    <mergeCell ref="W163:X163"/>
    <mergeCell ref="Y163:Z163"/>
    <mergeCell ref="AA163:AB163"/>
    <mergeCell ref="C164:D164"/>
    <mergeCell ref="E164:F164"/>
    <mergeCell ref="G164:H164"/>
    <mergeCell ref="I164:J164"/>
    <mergeCell ref="K164:L164"/>
    <mergeCell ref="M164:N164"/>
    <mergeCell ref="O164:P164"/>
    <mergeCell ref="Q164:R164"/>
    <mergeCell ref="S164:T164"/>
    <mergeCell ref="U164:V164"/>
    <mergeCell ref="W164:X164"/>
    <mergeCell ref="Y164:Z164"/>
    <mergeCell ref="AA164:AB164"/>
    <mergeCell ref="M163:N163"/>
    <mergeCell ref="O163:P163"/>
    <mergeCell ref="Q163:R163"/>
    <mergeCell ref="S163:T163"/>
    <mergeCell ref="U163:V163"/>
    <mergeCell ref="C163:D163"/>
    <mergeCell ref="E163:F163"/>
    <mergeCell ref="G163:H163"/>
    <mergeCell ref="I163:J163"/>
    <mergeCell ref="K163:L163"/>
    <mergeCell ref="W165:X165"/>
    <mergeCell ref="Y165:Z165"/>
    <mergeCell ref="AA165:AB165"/>
    <mergeCell ref="C166:D166"/>
    <mergeCell ref="E166:F166"/>
    <mergeCell ref="G166:H166"/>
    <mergeCell ref="I166:J166"/>
    <mergeCell ref="K166:L166"/>
    <mergeCell ref="M166:N166"/>
    <mergeCell ref="O166:P166"/>
    <mergeCell ref="Q166:R166"/>
    <mergeCell ref="S166:T166"/>
    <mergeCell ref="U166:V166"/>
    <mergeCell ref="W166:X166"/>
    <mergeCell ref="Y166:Z166"/>
    <mergeCell ref="AA166:AB166"/>
    <mergeCell ref="M165:N165"/>
    <mergeCell ref="O165:P165"/>
    <mergeCell ref="Q165:R165"/>
    <mergeCell ref="S165:T165"/>
    <mergeCell ref="U165:V165"/>
    <mergeCell ref="C165:D165"/>
    <mergeCell ref="E165:F165"/>
    <mergeCell ref="G165:H165"/>
    <mergeCell ref="I165:J165"/>
    <mergeCell ref="K165:L165"/>
    <mergeCell ref="W167:X167"/>
    <mergeCell ref="Y167:Z167"/>
    <mergeCell ref="AA167:AB167"/>
    <mergeCell ref="C168:D168"/>
    <mergeCell ref="E168:F168"/>
    <mergeCell ref="G168:H168"/>
    <mergeCell ref="I168:J168"/>
    <mergeCell ref="K168:L168"/>
    <mergeCell ref="M168:N168"/>
    <mergeCell ref="O168:P168"/>
    <mergeCell ref="Q168:R168"/>
    <mergeCell ref="S168:T168"/>
    <mergeCell ref="U168:V168"/>
    <mergeCell ref="W168:X168"/>
    <mergeCell ref="Y168:Z168"/>
    <mergeCell ref="AA168:AB168"/>
    <mergeCell ref="M167:N167"/>
    <mergeCell ref="O167:P167"/>
    <mergeCell ref="Q167:R167"/>
    <mergeCell ref="S167:T167"/>
    <mergeCell ref="U167:V167"/>
    <mergeCell ref="C167:D167"/>
    <mergeCell ref="E167:F167"/>
    <mergeCell ref="G167:H167"/>
    <mergeCell ref="I167:J167"/>
    <mergeCell ref="K167:L167"/>
    <mergeCell ref="W169:X169"/>
    <mergeCell ref="Y169:Z169"/>
    <mergeCell ref="AA169:AB169"/>
    <mergeCell ref="C170:D170"/>
    <mergeCell ref="E170:F170"/>
    <mergeCell ref="G170:H170"/>
    <mergeCell ref="I170:J170"/>
    <mergeCell ref="K170:L170"/>
    <mergeCell ref="M170:N170"/>
    <mergeCell ref="O170:P170"/>
    <mergeCell ref="Q170:R170"/>
    <mergeCell ref="S170:T170"/>
    <mergeCell ref="U170:V170"/>
    <mergeCell ref="W170:X170"/>
    <mergeCell ref="Y170:Z170"/>
    <mergeCell ref="AA170:AB170"/>
    <mergeCell ref="M169:N169"/>
    <mergeCell ref="O169:P169"/>
    <mergeCell ref="Q169:R169"/>
    <mergeCell ref="S169:T169"/>
    <mergeCell ref="U169:V169"/>
    <mergeCell ref="C169:D169"/>
    <mergeCell ref="E169:F169"/>
    <mergeCell ref="G169:H169"/>
    <mergeCell ref="I169:J169"/>
    <mergeCell ref="K169:L169"/>
    <mergeCell ref="W171:X171"/>
    <mergeCell ref="Y171:Z171"/>
    <mergeCell ref="AA171:AB171"/>
    <mergeCell ref="C172:D172"/>
    <mergeCell ref="E172:F172"/>
    <mergeCell ref="G172:H172"/>
    <mergeCell ref="I172:J172"/>
    <mergeCell ref="K172:L172"/>
    <mergeCell ref="M172:N172"/>
    <mergeCell ref="O172:P172"/>
    <mergeCell ref="Q172:R172"/>
    <mergeCell ref="S172:T172"/>
    <mergeCell ref="U172:V172"/>
    <mergeCell ref="W172:X172"/>
    <mergeCell ref="Y172:Z172"/>
    <mergeCell ref="AA172:AB172"/>
    <mergeCell ref="M171:N171"/>
    <mergeCell ref="O171:P171"/>
    <mergeCell ref="Q171:R171"/>
    <mergeCell ref="S171:T171"/>
    <mergeCell ref="U171:V171"/>
    <mergeCell ref="C171:D171"/>
    <mergeCell ref="E171:F171"/>
    <mergeCell ref="G171:H171"/>
    <mergeCell ref="I171:J171"/>
    <mergeCell ref="K171:L171"/>
    <mergeCell ref="W173:X173"/>
    <mergeCell ref="Y173:Z173"/>
    <mergeCell ref="AA173:AB173"/>
    <mergeCell ref="C174:D174"/>
    <mergeCell ref="E174:F174"/>
    <mergeCell ref="G174:H174"/>
    <mergeCell ref="I174:J174"/>
    <mergeCell ref="K174:L174"/>
    <mergeCell ref="M174:N174"/>
    <mergeCell ref="O174:P174"/>
    <mergeCell ref="Q174:R174"/>
    <mergeCell ref="S174:T174"/>
    <mergeCell ref="U174:V174"/>
    <mergeCell ref="W174:X174"/>
    <mergeCell ref="Y174:Z174"/>
    <mergeCell ref="AA174:AB174"/>
    <mergeCell ref="M173:N173"/>
    <mergeCell ref="O173:P173"/>
    <mergeCell ref="Q173:R173"/>
    <mergeCell ref="S173:T173"/>
    <mergeCell ref="U173:V173"/>
    <mergeCell ref="C173:D173"/>
    <mergeCell ref="E173:F173"/>
    <mergeCell ref="G173:H173"/>
    <mergeCell ref="I173:J173"/>
    <mergeCell ref="K173:L173"/>
    <mergeCell ref="Y175:Z175"/>
    <mergeCell ref="AA175:AB175"/>
    <mergeCell ref="C176:D176"/>
    <mergeCell ref="E176:F176"/>
    <mergeCell ref="G176:H176"/>
    <mergeCell ref="I176:J176"/>
    <mergeCell ref="K176:L176"/>
    <mergeCell ref="M176:N176"/>
    <mergeCell ref="O176:P176"/>
    <mergeCell ref="Q176:R176"/>
    <mergeCell ref="S176:T176"/>
    <mergeCell ref="U176:V176"/>
    <mergeCell ref="W176:X176"/>
    <mergeCell ref="Y176:Z176"/>
    <mergeCell ref="AA176:AB176"/>
    <mergeCell ref="M175:N175"/>
    <mergeCell ref="O175:P175"/>
    <mergeCell ref="Q175:R175"/>
    <mergeCell ref="S175:T175"/>
    <mergeCell ref="U175:V175"/>
    <mergeCell ref="C175:D175"/>
    <mergeCell ref="E175:F175"/>
    <mergeCell ref="G175:H175"/>
    <mergeCell ref="I175:J175"/>
    <mergeCell ref="K175:L175"/>
    <mergeCell ref="AA178:AB178"/>
    <mergeCell ref="C179:D179"/>
    <mergeCell ref="E179:F179"/>
    <mergeCell ref="G179:H179"/>
    <mergeCell ref="I179:J179"/>
    <mergeCell ref="K179:L179"/>
    <mergeCell ref="M179:N179"/>
    <mergeCell ref="O179:P179"/>
    <mergeCell ref="Q179:R179"/>
    <mergeCell ref="S179:T179"/>
    <mergeCell ref="U179:V179"/>
    <mergeCell ref="W179:X179"/>
    <mergeCell ref="Y179:Z179"/>
    <mergeCell ref="AA179:AB179"/>
    <mergeCell ref="W177:X177"/>
    <mergeCell ref="Y177:Z177"/>
    <mergeCell ref="AA177:AB177"/>
    <mergeCell ref="C178:D178"/>
    <mergeCell ref="E178:F178"/>
    <mergeCell ref="G178:H178"/>
    <mergeCell ref="I178:J178"/>
    <mergeCell ref="K178:L178"/>
    <mergeCell ref="M178:N178"/>
    <mergeCell ref="O178:P178"/>
    <mergeCell ref="Q178:R178"/>
    <mergeCell ref="S178:T178"/>
    <mergeCell ref="U178:V178"/>
    <mergeCell ref="W178:X178"/>
    <mergeCell ref="Y178:Z178"/>
    <mergeCell ref="M177:N177"/>
    <mergeCell ref="O177:P177"/>
    <mergeCell ref="Q177:R177"/>
    <mergeCell ref="AA180:AB180"/>
    <mergeCell ref="C181:D181"/>
    <mergeCell ref="E181:F181"/>
    <mergeCell ref="G181:H181"/>
    <mergeCell ref="I181:J181"/>
    <mergeCell ref="K181:L181"/>
    <mergeCell ref="M181:N181"/>
    <mergeCell ref="O181:P181"/>
    <mergeCell ref="Q181:R181"/>
    <mergeCell ref="S181:T181"/>
    <mergeCell ref="U181:V181"/>
    <mergeCell ref="W181:X181"/>
    <mergeCell ref="Y181:Z181"/>
    <mergeCell ref="AA181:AB181"/>
    <mergeCell ref="M180:N180"/>
    <mergeCell ref="O180:P180"/>
    <mergeCell ref="Q180:R180"/>
    <mergeCell ref="S180:T180"/>
    <mergeCell ref="U180:V180"/>
    <mergeCell ref="C180:D180"/>
    <mergeCell ref="E180:F180"/>
    <mergeCell ref="G180:H180"/>
    <mergeCell ref="I180:J180"/>
    <mergeCell ref="K180:L180"/>
    <mergeCell ref="W180:X180"/>
    <mergeCell ref="Y180:Z180"/>
    <mergeCell ref="AA182:AB182"/>
    <mergeCell ref="C183:D183"/>
    <mergeCell ref="E183:F183"/>
    <mergeCell ref="G183:H183"/>
    <mergeCell ref="I183:J183"/>
    <mergeCell ref="K183:L183"/>
    <mergeCell ref="M183:N183"/>
    <mergeCell ref="O183:P183"/>
    <mergeCell ref="Q183:R183"/>
    <mergeCell ref="S183:T183"/>
    <mergeCell ref="U183:V183"/>
    <mergeCell ref="W183:X183"/>
    <mergeCell ref="Y183:Z183"/>
    <mergeCell ref="AA183:AB183"/>
    <mergeCell ref="M182:N182"/>
    <mergeCell ref="O182:P182"/>
    <mergeCell ref="Q182:R182"/>
    <mergeCell ref="S182:T182"/>
    <mergeCell ref="U182:V182"/>
    <mergeCell ref="C182:D182"/>
    <mergeCell ref="E182:F182"/>
    <mergeCell ref="G182:H182"/>
    <mergeCell ref="I182:J182"/>
    <mergeCell ref="K182:L182"/>
    <mergeCell ref="W182:X182"/>
    <mergeCell ref="Y182:Z182"/>
    <mergeCell ref="AA184:AB184"/>
    <mergeCell ref="C185:D185"/>
    <mergeCell ref="E185:F185"/>
    <mergeCell ref="G185:H185"/>
    <mergeCell ref="I185:J185"/>
    <mergeCell ref="K185:L185"/>
    <mergeCell ref="M185:N185"/>
    <mergeCell ref="O185:P185"/>
    <mergeCell ref="Q185:R185"/>
    <mergeCell ref="S185:T185"/>
    <mergeCell ref="U185:V185"/>
    <mergeCell ref="W185:X185"/>
    <mergeCell ref="Y185:Z185"/>
    <mergeCell ref="AA185:AB185"/>
    <mergeCell ref="M184:N184"/>
    <mergeCell ref="O184:P184"/>
    <mergeCell ref="Q184:R184"/>
    <mergeCell ref="S184:T184"/>
    <mergeCell ref="U184:V184"/>
    <mergeCell ref="C184:D184"/>
    <mergeCell ref="E184:F184"/>
    <mergeCell ref="G184:H184"/>
    <mergeCell ref="I184:J184"/>
    <mergeCell ref="K184:L184"/>
    <mergeCell ref="W184:X184"/>
    <mergeCell ref="Y184:Z184"/>
    <mergeCell ref="AA186:AB186"/>
    <mergeCell ref="C187:D187"/>
    <mergeCell ref="E187:F187"/>
    <mergeCell ref="G187:H187"/>
    <mergeCell ref="I187:J187"/>
    <mergeCell ref="K187:L187"/>
    <mergeCell ref="M187:N187"/>
    <mergeCell ref="O187:P187"/>
    <mergeCell ref="Q187:R187"/>
    <mergeCell ref="S187:T187"/>
    <mergeCell ref="U187:V187"/>
    <mergeCell ref="W187:X187"/>
    <mergeCell ref="Y187:Z187"/>
    <mergeCell ref="AA187:AB187"/>
    <mergeCell ref="M186:N186"/>
    <mergeCell ref="O186:P186"/>
    <mergeCell ref="Q186:R186"/>
    <mergeCell ref="S186:T186"/>
    <mergeCell ref="U186:V186"/>
    <mergeCell ref="C186:D186"/>
    <mergeCell ref="E186:F186"/>
    <mergeCell ref="G186:H186"/>
    <mergeCell ref="I186:J186"/>
    <mergeCell ref="K186:L186"/>
    <mergeCell ref="W186:X186"/>
    <mergeCell ref="Y186:Z186"/>
    <mergeCell ref="AA188:AB188"/>
    <mergeCell ref="C188:D188"/>
    <mergeCell ref="U188:V188"/>
    <mergeCell ref="M188:N188"/>
    <mergeCell ref="O188:P188"/>
    <mergeCell ref="Q188:R188"/>
    <mergeCell ref="S188:T188"/>
    <mergeCell ref="E188:F188"/>
    <mergeCell ref="G188:H188"/>
    <mergeCell ref="I188:J188"/>
    <mergeCell ref="K188:L188"/>
    <mergeCell ref="O189:P189"/>
    <mergeCell ref="Q189:R189"/>
    <mergeCell ref="S189:T189"/>
    <mergeCell ref="A189:B190"/>
    <mergeCell ref="C189:D189"/>
    <mergeCell ref="E189:F189"/>
    <mergeCell ref="G189:H189"/>
    <mergeCell ref="I189:J189"/>
    <mergeCell ref="AA190:AB190"/>
    <mergeCell ref="U190:V190"/>
    <mergeCell ref="U189:V189"/>
    <mergeCell ref="W189:X189"/>
    <mergeCell ref="Y189:Z189"/>
    <mergeCell ref="AA189:AB189"/>
    <mergeCell ref="C190:D190"/>
    <mergeCell ref="E190:F190"/>
    <mergeCell ref="G190:H190"/>
    <mergeCell ref="I190:J190"/>
    <mergeCell ref="K190:L190"/>
    <mergeCell ref="M190:N190"/>
    <mergeCell ref="A178:B188"/>
    <mergeCell ref="A95:B95"/>
    <mergeCell ref="A94:B94"/>
    <mergeCell ref="A93:B93"/>
    <mergeCell ref="A92:B92"/>
    <mergeCell ref="A31:B31"/>
    <mergeCell ref="A32:B32"/>
    <mergeCell ref="A33:B33"/>
    <mergeCell ref="A34:B34"/>
    <mergeCell ref="A35:B35"/>
    <mergeCell ref="O190:P190"/>
    <mergeCell ref="Q190:R190"/>
    <mergeCell ref="S190:T190"/>
    <mergeCell ref="W190:X190"/>
    <mergeCell ref="Y190:Z190"/>
    <mergeCell ref="K189:L189"/>
    <mergeCell ref="M189:N189"/>
    <mergeCell ref="A152:B152"/>
    <mergeCell ref="A153:B153"/>
    <mergeCell ref="A151:B151"/>
    <mergeCell ref="A154:B154"/>
    <mergeCell ref="A155:B155"/>
    <mergeCell ref="A96:B96"/>
    <mergeCell ref="Y188:Z188"/>
    <mergeCell ref="S177:T177"/>
    <mergeCell ref="U177:V177"/>
    <mergeCell ref="C177:D177"/>
    <mergeCell ref="E177:F177"/>
    <mergeCell ref="G177:H177"/>
    <mergeCell ref="I177:J177"/>
    <mergeCell ref="K177:L177"/>
    <mergeCell ref="W188:X188"/>
    <mergeCell ref="W175:X175"/>
  </mergeCells>
  <phoneticPr fontId="24"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88"/>
  <sheetViews>
    <sheetView zoomScale="70" zoomScaleNormal="70" workbookViewId="0">
      <pane ySplit="1" topLeftCell="A2" activePane="bottomLeft" state="frozen"/>
      <selection pane="bottomLeft" activeCell="A15" sqref="A15"/>
    </sheetView>
  </sheetViews>
  <sheetFormatPr baseColWidth="10" defaultColWidth="11.42578125" defaultRowHeight="15" x14ac:dyDescent="0.25"/>
  <cols>
    <col min="1" max="1" width="28.28515625" style="1" bestFit="1" customWidth="1"/>
    <col min="2" max="2" width="36.140625" style="122" customWidth="1"/>
    <col min="3" max="3" width="29.85546875" style="1" customWidth="1"/>
    <col min="4" max="4" width="47.28515625" style="1" customWidth="1"/>
    <col min="5" max="5" width="33.42578125" style="1" customWidth="1"/>
    <col min="6" max="6" width="15.7109375" style="1" customWidth="1"/>
    <col min="7" max="7" width="14.5703125" style="1" customWidth="1"/>
    <col min="8" max="8" width="15.85546875" style="1" customWidth="1"/>
    <col min="9" max="9" width="17.42578125" style="1" customWidth="1"/>
    <col min="10" max="10" width="16.5703125" style="1" customWidth="1"/>
    <col min="11" max="11" width="18" style="1" customWidth="1"/>
    <col min="12" max="12" width="15.5703125" style="1" customWidth="1"/>
    <col min="13" max="13" width="16.85546875" style="1" customWidth="1"/>
    <col min="14" max="14" width="15.42578125" style="1" customWidth="1"/>
    <col min="15" max="15" width="15.5703125" style="1" customWidth="1"/>
    <col min="16" max="16" width="14.42578125" style="1" customWidth="1"/>
    <col min="17" max="17" width="16.140625" style="1" customWidth="1"/>
    <col min="18" max="18" width="14" style="1" customWidth="1"/>
    <col min="19" max="19" width="16" style="1" customWidth="1"/>
    <col min="20" max="20" width="17.140625" style="1" customWidth="1"/>
    <col min="21" max="21" width="15.140625" style="1" customWidth="1"/>
    <col min="22" max="22" width="14.140625" style="1" customWidth="1"/>
    <col min="23" max="23" width="14.28515625" style="1" customWidth="1"/>
    <col min="24" max="25" width="14.7109375" style="1" customWidth="1"/>
    <col min="26" max="26" width="14.28515625" style="1" customWidth="1"/>
    <col min="27" max="16384" width="11.42578125" style="1"/>
  </cols>
  <sheetData>
    <row r="1" spans="1:15" s="341" customFormat="1" ht="58.5" customHeight="1" x14ac:dyDescent="0.25">
      <c r="A1" s="344"/>
      <c r="B1" s="351"/>
      <c r="C1" s="349" t="s">
        <v>59</v>
      </c>
      <c r="D1" s="344"/>
      <c r="E1" s="349"/>
      <c r="F1" s="344"/>
      <c r="G1" s="344"/>
      <c r="H1" s="344"/>
      <c r="I1" s="344"/>
      <c r="J1" s="344"/>
      <c r="K1" s="344"/>
      <c r="L1" s="344"/>
      <c r="M1" s="344"/>
      <c r="N1" s="344"/>
      <c r="O1" s="344"/>
    </row>
    <row r="2" spans="1:15" ht="15.75" thickBot="1" x14ac:dyDescent="0.3"/>
    <row r="3" spans="1:15" ht="27" thickBot="1" x14ac:dyDescent="0.45">
      <c r="A3" s="823" t="s">
        <v>366</v>
      </c>
      <c r="B3" s="824"/>
      <c r="C3" s="824"/>
      <c r="D3" s="824"/>
      <c r="E3" s="825"/>
    </row>
    <row r="4" spans="1:15" ht="39.75" customHeight="1" thickBot="1" x14ac:dyDescent="0.3">
      <c r="A4" s="826" t="s">
        <v>251</v>
      </c>
      <c r="B4" s="827"/>
      <c r="C4" s="827"/>
      <c r="D4" s="827"/>
      <c r="E4" s="828"/>
    </row>
    <row r="5" spans="1:15" ht="15.75" thickBot="1" x14ac:dyDescent="0.3"/>
    <row r="6" spans="1:15" ht="27" thickBot="1" x14ac:dyDescent="0.45">
      <c r="A6" s="823" t="s">
        <v>84</v>
      </c>
      <c r="B6" s="824"/>
      <c r="C6" s="825"/>
      <c r="D6" s="138"/>
      <c r="E6" s="138"/>
    </row>
    <row r="7" spans="1:15" x14ac:dyDescent="0.25">
      <c r="A7" s="125" t="s">
        <v>64</v>
      </c>
      <c r="B7" s="126">
        <v>52</v>
      </c>
      <c r="C7" s="112" t="s">
        <v>66</v>
      </c>
    </row>
    <row r="8" spans="1:15" ht="30" x14ac:dyDescent="0.25">
      <c r="A8" s="125" t="s">
        <v>68</v>
      </c>
      <c r="B8" s="126">
        <v>2</v>
      </c>
      <c r="C8" s="112" t="s">
        <v>66</v>
      </c>
      <c r="D8" s="1" t="s">
        <v>76</v>
      </c>
    </row>
    <row r="9" spans="1:15" x14ac:dyDescent="0.25">
      <c r="A9" s="125" t="s">
        <v>65</v>
      </c>
      <c r="B9" s="126">
        <v>14</v>
      </c>
      <c r="C9" s="112" t="s">
        <v>67</v>
      </c>
    </row>
    <row r="10" spans="1:15" x14ac:dyDescent="0.25">
      <c r="A10" s="125" t="s">
        <v>77</v>
      </c>
      <c r="B10" s="126">
        <f>(B7-B8)*5 -B9</f>
        <v>236</v>
      </c>
      <c r="C10" s="112" t="s">
        <v>67</v>
      </c>
    </row>
    <row r="11" spans="1:15" x14ac:dyDescent="0.25">
      <c r="A11" s="125" t="s">
        <v>62</v>
      </c>
      <c r="B11" s="126">
        <v>8</v>
      </c>
      <c r="C11" s="112" t="s">
        <v>63</v>
      </c>
    </row>
    <row r="12" spans="1:15" ht="30.75" thickBot="1" x14ac:dyDescent="0.3">
      <c r="A12" s="139" t="s">
        <v>72</v>
      </c>
      <c r="B12" s="140">
        <f>B10*B11</f>
        <v>1888</v>
      </c>
      <c r="C12" s="141" t="s">
        <v>63</v>
      </c>
    </row>
    <row r="13" spans="1:15" ht="49.5" customHeight="1" thickBot="1" x14ac:dyDescent="0.3">
      <c r="A13" s="809" t="s">
        <v>69</v>
      </c>
      <c r="B13" s="142">
        <v>1800</v>
      </c>
      <c r="C13" s="166" t="s">
        <v>73</v>
      </c>
    </row>
    <row r="14" spans="1:15" ht="82.5" customHeight="1" thickBot="1" x14ac:dyDescent="0.3">
      <c r="A14" s="810"/>
      <c r="B14" s="143">
        <f>B13/12</f>
        <v>150</v>
      </c>
      <c r="C14" s="167" t="s">
        <v>74</v>
      </c>
    </row>
    <row r="15" spans="1:15" x14ac:dyDescent="0.25">
      <c r="A15" s="131"/>
      <c r="B15" s="135"/>
      <c r="C15" s="132"/>
    </row>
    <row r="16" spans="1:15" ht="3.75" customHeight="1" x14ac:dyDescent="0.25">
      <c r="A16" s="133"/>
      <c r="B16" s="136"/>
      <c r="C16" s="134"/>
      <c r="D16" s="106"/>
      <c r="E16" s="106"/>
      <c r="F16" s="106"/>
      <c r="G16" s="106"/>
      <c r="H16" s="106"/>
      <c r="I16" s="106"/>
      <c r="J16" s="106"/>
      <c r="K16" s="106"/>
      <c r="L16" s="106"/>
      <c r="M16" s="106"/>
      <c r="N16" s="106"/>
    </row>
    <row r="17" spans="1:14" ht="15.75" thickBot="1" x14ac:dyDescent="0.3">
      <c r="C17" s="121"/>
      <c r="D17" s="121"/>
      <c r="E17" s="121"/>
      <c r="F17" s="121"/>
    </row>
    <row r="18" spans="1:14" ht="27.75" customHeight="1" thickBot="1" x14ac:dyDescent="0.45">
      <c r="A18" s="823" t="s">
        <v>244</v>
      </c>
      <c r="B18" s="824"/>
      <c r="C18" s="824"/>
      <c r="D18" s="824"/>
      <c r="E18" s="825"/>
      <c r="F18" s="123"/>
    </row>
    <row r="19" spans="1:14" ht="67.5" customHeight="1" thickBot="1" x14ac:dyDescent="0.3">
      <c r="A19" s="154" t="s">
        <v>61</v>
      </c>
      <c r="B19" s="150" t="s">
        <v>71</v>
      </c>
      <c r="C19" s="493" t="s">
        <v>70</v>
      </c>
      <c r="D19" s="493" t="s">
        <v>79</v>
      </c>
      <c r="E19" s="494" t="s">
        <v>80</v>
      </c>
      <c r="F19" s="123" t="s">
        <v>245</v>
      </c>
    </row>
    <row r="20" spans="1:14" ht="35.25" customHeight="1" x14ac:dyDescent="0.25">
      <c r="A20" s="159">
        <v>1</v>
      </c>
      <c r="B20" s="144" t="s">
        <v>242</v>
      </c>
      <c r="C20" s="151">
        <v>1</v>
      </c>
      <c r="D20" s="145">
        <v>0.25</v>
      </c>
      <c r="E20" s="156">
        <f>D20/C20</f>
        <v>0.25</v>
      </c>
    </row>
    <row r="21" spans="1:14" x14ac:dyDescent="0.25">
      <c r="A21" s="160">
        <v>2</v>
      </c>
      <c r="B21" s="146" t="s">
        <v>241</v>
      </c>
      <c r="C21" s="152">
        <v>1</v>
      </c>
      <c r="D21" s="147">
        <v>0.5</v>
      </c>
      <c r="E21" s="157">
        <f t="shared" ref="E21:E22" si="0">D21/C21</f>
        <v>0.5</v>
      </c>
    </row>
    <row r="22" spans="1:14" ht="15.75" thickBot="1" x14ac:dyDescent="0.3">
      <c r="A22" s="161">
        <v>3</v>
      </c>
      <c r="B22" s="148" t="s">
        <v>75</v>
      </c>
      <c r="C22" s="153">
        <v>1</v>
      </c>
      <c r="D22" s="149">
        <v>0.25</v>
      </c>
      <c r="E22" s="158">
        <f t="shared" si="0"/>
        <v>0.25</v>
      </c>
    </row>
    <row r="23" spans="1:14" ht="52.5" customHeight="1" thickBot="1" x14ac:dyDescent="0.3">
      <c r="A23" s="811" t="s">
        <v>78</v>
      </c>
      <c r="B23" s="812"/>
      <c r="C23" s="813"/>
      <c r="D23" s="495" t="s">
        <v>81</v>
      </c>
      <c r="E23" s="169">
        <f>SUM(E20:E22)</f>
        <v>1</v>
      </c>
    </row>
    <row r="24" spans="1:14" ht="69.75" customHeight="1" thickBot="1" x14ac:dyDescent="0.3">
      <c r="A24" s="814"/>
      <c r="B24" s="815"/>
      <c r="C24" s="816"/>
      <c r="D24" s="143" t="s">
        <v>82</v>
      </c>
      <c r="E24" s="155">
        <f>$B$14/E23</f>
        <v>150</v>
      </c>
      <c r="F24" s="162" t="s">
        <v>83</v>
      </c>
    </row>
    <row r="25" spans="1:14" x14ac:dyDescent="0.25">
      <c r="C25" s="127"/>
      <c r="D25" s="127"/>
      <c r="E25" s="128"/>
    </row>
    <row r="26" spans="1:14" ht="4.5" customHeight="1" x14ac:dyDescent="0.25">
      <c r="A26" s="106"/>
      <c r="B26" s="137"/>
      <c r="C26" s="129"/>
      <c r="D26" s="129"/>
      <c r="E26" s="130"/>
      <c r="F26" s="106"/>
      <c r="G26" s="106"/>
      <c r="H26" s="106"/>
      <c r="I26" s="106"/>
      <c r="J26" s="106"/>
      <c r="K26" s="106"/>
      <c r="L26" s="106"/>
      <c r="M26" s="106"/>
      <c r="N26" s="106"/>
    </row>
    <row r="27" spans="1:14" ht="15.75" thickBot="1" x14ac:dyDescent="0.3"/>
    <row r="28" spans="1:14" ht="27" thickBot="1" x14ac:dyDescent="0.45">
      <c r="A28" s="823" t="s">
        <v>243</v>
      </c>
      <c r="B28" s="824"/>
      <c r="C28" s="824"/>
      <c r="D28" s="824"/>
      <c r="E28" s="825"/>
    </row>
    <row r="29" spans="1:14" ht="62.25" customHeight="1" thickBot="1" x14ac:dyDescent="0.3">
      <c r="A29" s="154" t="s">
        <v>61</v>
      </c>
      <c r="B29" s="150" t="s">
        <v>71</v>
      </c>
      <c r="C29" s="493" t="s">
        <v>70</v>
      </c>
      <c r="D29" s="493" t="s">
        <v>79</v>
      </c>
      <c r="E29" s="494" t="s">
        <v>80</v>
      </c>
      <c r="F29" s="1" t="s">
        <v>246</v>
      </c>
    </row>
    <row r="30" spans="1:14" ht="38.25" customHeight="1" x14ac:dyDescent="0.25">
      <c r="A30" s="353">
        <v>1</v>
      </c>
      <c r="B30" s="144" t="s">
        <v>242</v>
      </c>
      <c r="C30" s="151">
        <v>1</v>
      </c>
      <c r="D30" s="145">
        <v>0.25</v>
      </c>
      <c r="E30" s="156">
        <f>D30/C30</f>
        <v>0.25</v>
      </c>
    </row>
    <row r="31" spans="1:14" x14ac:dyDescent="0.25">
      <c r="A31" s="354">
        <v>2</v>
      </c>
      <c r="B31" s="146" t="s">
        <v>241</v>
      </c>
      <c r="C31" s="152">
        <v>1</v>
      </c>
      <c r="D31" s="147">
        <v>1</v>
      </c>
      <c r="E31" s="157">
        <f t="shared" ref="E31:E32" si="1">D31/C31</f>
        <v>1</v>
      </c>
    </row>
    <row r="32" spans="1:14" ht="15.75" thickBot="1" x14ac:dyDescent="0.3">
      <c r="A32" s="355">
        <v>3</v>
      </c>
      <c r="B32" s="148" t="s">
        <v>75</v>
      </c>
      <c r="C32" s="153">
        <v>1</v>
      </c>
      <c r="D32" s="149">
        <v>0.25</v>
      </c>
      <c r="E32" s="158">
        <f t="shared" si="1"/>
        <v>0.25</v>
      </c>
    </row>
    <row r="33" spans="1:26" ht="57" customHeight="1" thickBot="1" x14ac:dyDescent="0.3">
      <c r="A33" s="817"/>
      <c r="B33" s="818"/>
      <c r="C33" s="819"/>
      <c r="D33" s="495" t="s">
        <v>81</v>
      </c>
      <c r="E33" s="170">
        <f>SUM(E30:E32)</f>
        <v>1.5</v>
      </c>
    </row>
    <row r="34" spans="1:26" ht="70.5" customHeight="1" thickBot="1" x14ac:dyDescent="0.3">
      <c r="A34" s="820"/>
      <c r="B34" s="821"/>
      <c r="C34" s="822"/>
      <c r="D34" s="143" t="s">
        <v>82</v>
      </c>
      <c r="E34" s="155">
        <f>$B$14/E33</f>
        <v>100</v>
      </c>
      <c r="F34" s="162" t="s">
        <v>83</v>
      </c>
      <c r="S34" s="1">
        <f>(D46+F46+H46+J46+L46+N46+P46+R46+T46+V46+X46+Z46)/12</f>
        <v>922.25</v>
      </c>
      <c r="T34" s="1">
        <f>S34/125</f>
        <v>7.3780000000000001</v>
      </c>
      <c r="V34" s="1">
        <f>(D55+F55+H55+J55+L55+N55+P55+R55+T55+V55+X55+Z55)/12</f>
        <v>1844.5</v>
      </c>
      <c r="W34" s="1">
        <f>V34/125</f>
        <v>14.756</v>
      </c>
      <c r="X34" s="1">
        <f>(D64+F64+H64+J64+L64+N64+P64+R64+T64+V64+X64+Z64)/12</f>
        <v>2766.75</v>
      </c>
      <c r="Y34" s="1">
        <f>X34/125</f>
        <v>22.134</v>
      </c>
    </row>
    <row r="35" spans="1:26" x14ac:dyDescent="0.25">
      <c r="V35" s="1">
        <f>(D55+F55+H55+J55+L55+N55+P55+R55+T55+V55+X55+Z55)*0.75/12</f>
        <v>1383.375</v>
      </c>
      <c r="W35" s="1">
        <f>V35/125</f>
        <v>11.067</v>
      </c>
      <c r="X35" s="1">
        <f>(D64+F64+H64+J64+L64+N64+P64+R64+T64+V64+X64+Z64)*0.75/12</f>
        <v>2075.0625</v>
      </c>
      <c r="Y35" s="1">
        <f>X35/125</f>
        <v>16.6005</v>
      </c>
    </row>
    <row r="36" spans="1:26" ht="5.25" customHeight="1" x14ac:dyDescent="0.25">
      <c r="A36" s="106"/>
      <c r="B36" s="137"/>
      <c r="C36" s="106"/>
      <c r="D36" s="106"/>
      <c r="E36" s="106"/>
      <c r="F36" s="106"/>
      <c r="G36" s="106"/>
      <c r="H36" s="106"/>
      <c r="I36" s="106"/>
      <c r="J36" s="106"/>
      <c r="K36" s="106"/>
      <c r="L36" s="106"/>
      <c r="M36" s="106"/>
      <c r="N36" s="106"/>
    </row>
    <row r="37" spans="1:26" ht="9" customHeight="1" x14ac:dyDescent="0.25"/>
    <row r="38" spans="1:26" ht="9" customHeight="1" thickBot="1" x14ac:dyDescent="0.3"/>
    <row r="39" spans="1:26" ht="32.25" customHeight="1" thickBot="1" x14ac:dyDescent="0.45">
      <c r="A39" s="823" t="s">
        <v>89</v>
      </c>
      <c r="B39" s="824"/>
      <c r="C39" s="824"/>
      <c r="D39" s="824"/>
      <c r="E39" s="825"/>
    </row>
    <row r="40" spans="1:26" x14ac:dyDescent="0.25">
      <c r="A40" s="829" t="s">
        <v>88</v>
      </c>
      <c r="B40" s="829"/>
      <c r="C40" s="740" t="s">
        <v>27</v>
      </c>
      <c r="D40" s="740"/>
      <c r="E40" s="740" t="s">
        <v>28</v>
      </c>
      <c r="F40" s="740"/>
      <c r="G40" s="740" t="s">
        <v>29</v>
      </c>
      <c r="H40" s="740"/>
      <c r="I40" s="740" t="s">
        <v>30</v>
      </c>
      <c r="J40" s="740"/>
      <c r="K40" s="740" t="s">
        <v>31</v>
      </c>
      <c r="L40" s="740"/>
      <c r="M40" s="740" t="s">
        <v>32</v>
      </c>
      <c r="N40" s="740"/>
      <c r="O40" s="740" t="s">
        <v>33</v>
      </c>
      <c r="P40" s="740"/>
      <c r="Q40" s="740" t="s">
        <v>34</v>
      </c>
      <c r="R40" s="740"/>
      <c r="S40" s="740" t="s">
        <v>35</v>
      </c>
      <c r="T40" s="740"/>
      <c r="U40" s="740" t="s">
        <v>36</v>
      </c>
      <c r="V40" s="740"/>
      <c r="W40" s="740" t="s">
        <v>37</v>
      </c>
      <c r="X40" s="740"/>
      <c r="Y40" s="740" t="s">
        <v>38</v>
      </c>
      <c r="Z40" s="740"/>
    </row>
    <row r="41" spans="1:26" ht="48" customHeight="1" thickBot="1" x14ac:dyDescent="0.3">
      <c r="A41" s="829"/>
      <c r="B41" s="829"/>
      <c r="C41" s="496" t="s">
        <v>85</v>
      </c>
      <c r="D41" s="496" t="s">
        <v>87</v>
      </c>
      <c r="E41" s="496" t="s">
        <v>85</v>
      </c>
      <c r="F41" s="496" t="s">
        <v>86</v>
      </c>
      <c r="G41" s="496" t="s">
        <v>85</v>
      </c>
      <c r="H41" s="496" t="s">
        <v>87</v>
      </c>
      <c r="I41" s="496" t="s">
        <v>85</v>
      </c>
      <c r="J41" s="496" t="s">
        <v>86</v>
      </c>
      <c r="K41" s="496" t="s">
        <v>85</v>
      </c>
      <c r="L41" s="496" t="s">
        <v>87</v>
      </c>
      <c r="M41" s="496" t="s">
        <v>85</v>
      </c>
      <c r="N41" s="496" t="s">
        <v>87</v>
      </c>
      <c r="O41" s="496" t="s">
        <v>85</v>
      </c>
      <c r="P41" s="496" t="s">
        <v>87</v>
      </c>
      <c r="Q41" s="496" t="s">
        <v>85</v>
      </c>
      <c r="R41" s="496" t="s">
        <v>87</v>
      </c>
      <c r="S41" s="496" t="s">
        <v>85</v>
      </c>
      <c r="T41" s="496" t="s">
        <v>87</v>
      </c>
      <c r="U41" s="496" t="s">
        <v>85</v>
      </c>
      <c r="V41" s="496" t="s">
        <v>87</v>
      </c>
      <c r="W41" s="496" t="s">
        <v>85</v>
      </c>
      <c r="X41" s="496" t="s">
        <v>87</v>
      </c>
      <c r="Y41" s="496" t="s">
        <v>85</v>
      </c>
      <c r="Z41" s="496" t="s">
        <v>87</v>
      </c>
    </row>
    <row r="42" spans="1:26" ht="15.75" x14ac:dyDescent="0.25">
      <c r="A42" s="707" t="s">
        <v>302</v>
      </c>
      <c r="B42" s="708"/>
      <c r="C42" s="112">
        <f>'Proy. ventas'!E32</f>
        <v>408</v>
      </c>
      <c r="D42" s="112">
        <f>C42*$E$23</f>
        <v>408</v>
      </c>
      <c r="E42" s="164">
        <f>'Proy. ventas'!G32</f>
        <v>340</v>
      </c>
      <c r="F42" s="112">
        <f>E42*$E$23</f>
        <v>340</v>
      </c>
      <c r="G42" s="164">
        <f>'Proy. ventas'!I32</f>
        <v>272</v>
      </c>
      <c r="H42" s="112">
        <f>G42*$E$23</f>
        <v>272</v>
      </c>
      <c r="I42" s="164">
        <f>'Proy. ventas'!K32</f>
        <v>238.00000000000003</v>
      </c>
      <c r="J42" s="112">
        <f>I42*$E$23</f>
        <v>238.00000000000003</v>
      </c>
      <c r="K42" s="164">
        <f>'Proy. ventas'!M32</f>
        <v>136</v>
      </c>
      <c r="L42" s="112">
        <f>K42*$E$23</f>
        <v>136</v>
      </c>
      <c r="M42" s="164">
        <f>'Proy. ventas'!O32</f>
        <v>136</v>
      </c>
      <c r="N42" s="112">
        <f>M42*$E$23</f>
        <v>136</v>
      </c>
      <c r="O42" s="164">
        <f>'Proy. ventas'!Q32</f>
        <v>272</v>
      </c>
      <c r="P42" s="112">
        <f>O42*$E$23</f>
        <v>272</v>
      </c>
      <c r="Q42" s="164">
        <f>'Proy. ventas'!S32</f>
        <v>136</v>
      </c>
      <c r="R42" s="112">
        <f>Q42*$E$23</f>
        <v>136</v>
      </c>
      <c r="S42" s="164">
        <f>'Proy. ventas'!U32</f>
        <v>340</v>
      </c>
      <c r="T42" s="112">
        <f>S42*$E$23</f>
        <v>340</v>
      </c>
      <c r="U42" s="164">
        <f>'Proy. ventas'!W32</f>
        <v>340</v>
      </c>
      <c r="V42" s="112">
        <f>U42*$E$23</f>
        <v>340</v>
      </c>
      <c r="W42" s="164">
        <f>'Proy. ventas'!Y32</f>
        <v>374</v>
      </c>
      <c r="X42" s="112">
        <f>W42*$E$23</f>
        <v>374</v>
      </c>
      <c r="Y42" s="164">
        <f>'Proy. ventas'!AA32</f>
        <v>476.00000000000006</v>
      </c>
      <c r="Z42" s="112">
        <f>Y42*$E$23</f>
        <v>476.00000000000006</v>
      </c>
    </row>
    <row r="43" spans="1:26" ht="15.75" x14ac:dyDescent="0.25">
      <c r="A43" s="709" t="s">
        <v>234</v>
      </c>
      <c r="B43" s="710"/>
      <c r="C43" s="112">
        <f>'Proy. ventas'!E33</f>
        <v>300</v>
      </c>
      <c r="D43" s="112">
        <f>C43*$E$33</f>
        <v>450</v>
      </c>
      <c r="E43" s="164">
        <f>'Proy. ventas'!G33</f>
        <v>250</v>
      </c>
      <c r="F43" s="112">
        <f>E43*$E$33</f>
        <v>375</v>
      </c>
      <c r="G43" s="164">
        <f>'Proy. ventas'!I33</f>
        <v>200</v>
      </c>
      <c r="H43" s="112">
        <f>G43*$E$33</f>
        <v>300</v>
      </c>
      <c r="I43" s="164">
        <f>'Proy. ventas'!K33</f>
        <v>175</v>
      </c>
      <c r="J43" s="112">
        <f>I43*$E$33</f>
        <v>262.5</v>
      </c>
      <c r="K43" s="164">
        <f>'Proy. ventas'!M33</f>
        <v>100</v>
      </c>
      <c r="L43" s="112">
        <f>K43*$E$33</f>
        <v>150</v>
      </c>
      <c r="M43" s="164">
        <f>'Proy. ventas'!O33</f>
        <v>100</v>
      </c>
      <c r="N43" s="112">
        <f>M43*$E$33</f>
        <v>150</v>
      </c>
      <c r="O43" s="164">
        <f>'Proy. ventas'!Q33</f>
        <v>200</v>
      </c>
      <c r="P43" s="112">
        <f>O43*$E$33</f>
        <v>300</v>
      </c>
      <c r="Q43" s="164">
        <f>'Proy. ventas'!S33</f>
        <v>100</v>
      </c>
      <c r="R43" s="112">
        <f>Q43*$E$33</f>
        <v>150</v>
      </c>
      <c r="S43" s="164">
        <f>'Proy. ventas'!U33</f>
        <v>250</v>
      </c>
      <c r="T43" s="112">
        <f>S43*$E$33</f>
        <v>375</v>
      </c>
      <c r="U43" s="164">
        <f>'Proy. ventas'!W33</f>
        <v>250</v>
      </c>
      <c r="V43" s="112">
        <f>U43*$E$33</f>
        <v>375</v>
      </c>
      <c r="W43" s="164">
        <f>'Proy. ventas'!Y33</f>
        <v>275</v>
      </c>
      <c r="X43" s="112">
        <f>W43*$E$33</f>
        <v>412.5</v>
      </c>
      <c r="Y43" s="164">
        <f>'Proy. ventas'!AA33</f>
        <v>350</v>
      </c>
      <c r="Z43" s="112">
        <f>Y43*$E$33</f>
        <v>525</v>
      </c>
    </row>
    <row r="44" spans="1:26" ht="15.75" x14ac:dyDescent="0.25">
      <c r="A44" s="711" t="s">
        <v>235</v>
      </c>
      <c r="B44" s="712"/>
      <c r="C44" s="112">
        <f>'Proy. ventas'!E34</f>
        <v>132</v>
      </c>
      <c r="D44" s="112">
        <f>C44*$E$23</f>
        <v>132</v>
      </c>
      <c r="E44" s="164">
        <f>'Proy. ventas'!G34</f>
        <v>110</v>
      </c>
      <c r="F44" s="112">
        <f>E44*$E$23</f>
        <v>110</v>
      </c>
      <c r="G44" s="164">
        <f>'Proy. ventas'!I34</f>
        <v>88</v>
      </c>
      <c r="H44" s="112">
        <f>G44*$E$23</f>
        <v>88</v>
      </c>
      <c r="I44" s="164">
        <f>'Proy. ventas'!K34</f>
        <v>77.000000000000014</v>
      </c>
      <c r="J44" s="112">
        <f>I44*$E$23</f>
        <v>77.000000000000014</v>
      </c>
      <c r="K44" s="164">
        <f>'Proy. ventas'!M34</f>
        <v>44</v>
      </c>
      <c r="L44" s="112">
        <f>K44*$E$23</f>
        <v>44</v>
      </c>
      <c r="M44" s="164">
        <f>'Proy. ventas'!O34</f>
        <v>44</v>
      </c>
      <c r="N44" s="112">
        <f>M44*$E$23</f>
        <v>44</v>
      </c>
      <c r="O44" s="164">
        <f>'Proy. ventas'!Q34</f>
        <v>88</v>
      </c>
      <c r="P44" s="112">
        <f>O44*$E$23</f>
        <v>88</v>
      </c>
      <c r="Q44" s="164">
        <f>'Proy. ventas'!S34</f>
        <v>44</v>
      </c>
      <c r="R44" s="112">
        <f>Q44*$E$23</f>
        <v>44</v>
      </c>
      <c r="S44" s="164">
        <f>'Proy. ventas'!U34</f>
        <v>110</v>
      </c>
      <c r="T44" s="112">
        <f>S44*$E$23</f>
        <v>110</v>
      </c>
      <c r="U44" s="164">
        <f>'Proy. ventas'!W34</f>
        <v>110</v>
      </c>
      <c r="V44" s="112">
        <f>U44*$E$23</f>
        <v>110</v>
      </c>
      <c r="W44" s="164">
        <f>'Proy. ventas'!Y34</f>
        <v>121</v>
      </c>
      <c r="X44" s="112">
        <f>W44*$E$23</f>
        <v>121</v>
      </c>
      <c r="Y44" s="164">
        <f>'Proy. ventas'!AA34</f>
        <v>154.00000000000003</v>
      </c>
      <c r="Z44" s="112">
        <f>Y44*$E$23</f>
        <v>154.00000000000003</v>
      </c>
    </row>
    <row r="45" spans="1:26" ht="16.5" thickBot="1" x14ac:dyDescent="0.3">
      <c r="A45" s="713" t="s">
        <v>236</v>
      </c>
      <c r="B45" s="714"/>
      <c r="C45" s="164">
        <f>'Proy. ventas'!E35</f>
        <v>312</v>
      </c>
      <c r="D45" s="112">
        <f>C45*$E$23</f>
        <v>312</v>
      </c>
      <c r="E45" s="164">
        <f>'Proy. ventas'!G35</f>
        <v>260</v>
      </c>
      <c r="F45" s="112">
        <f>E45*$E$23</f>
        <v>260</v>
      </c>
      <c r="G45" s="164">
        <f>'Proy. ventas'!I35</f>
        <v>208</v>
      </c>
      <c r="H45" s="112">
        <f>G45*$E$23</f>
        <v>208</v>
      </c>
      <c r="I45" s="164">
        <f>'Proy. ventas'!K35</f>
        <v>182.00000000000003</v>
      </c>
      <c r="J45" s="112">
        <f>I45*$E$23</f>
        <v>182.00000000000003</v>
      </c>
      <c r="K45" s="164">
        <f>'Proy. ventas'!M35</f>
        <v>104</v>
      </c>
      <c r="L45" s="112">
        <f>K45*$E$23</f>
        <v>104</v>
      </c>
      <c r="M45" s="164">
        <f>'Proy. ventas'!O35</f>
        <v>104</v>
      </c>
      <c r="N45" s="112">
        <f>M45*$E$23</f>
        <v>104</v>
      </c>
      <c r="O45" s="164">
        <f>'Proy. ventas'!Q35</f>
        <v>208</v>
      </c>
      <c r="P45" s="112">
        <f>O45*$E$23</f>
        <v>208</v>
      </c>
      <c r="Q45" s="164">
        <f>'Proy. ventas'!S35</f>
        <v>104</v>
      </c>
      <c r="R45" s="112">
        <f>Q45*$E$23</f>
        <v>104</v>
      </c>
      <c r="S45" s="164">
        <f>'Proy. ventas'!U35</f>
        <v>260</v>
      </c>
      <c r="T45" s="112">
        <f>S45*$E$23</f>
        <v>260</v>
      </c>
      <c r="U45" s="164">
        <f>'Proy. ventas'!W35</f>
        <v>260</v>
      </c>
      <c r="V45" s="112">
        <f>U45*$E$23</f>
        <v>260</v>
      </c>
      <c r="W45" s="164">
        <f>'Proy. ventas'!Y35</f>
        <v>286</v>
      </c>
      <c r="X45" s="112">
        <f>W45*$E$23</f>
        <v>286</v>
      </c>
      <c r="Y45" s="164">
        <f>'Proy. ventas'!AA35</f>
        <v>364.00000000000006</v>
      </c>
      <c r="Z45" s="112">
        <f>Y45*$E$23</f>
        <v>364.00000000000006</v>
      </c>
    </row>
    <row r="46" spans="1:26" x14ac:dyDescent="0.25">
      <c r="A46" s="830" t="s">
        <v>41</v>
      </c>
      <c r="B46" s="830"/>
      <c r="C46" s="164">
        <f t="shared" ref="C46:Z46" si="2">SUM(C42:C45)</f>
        <v>1152</v>
      </c>
      <c r="D46" s="165">
        <f t="shared" si="2"/>
        <v>1302</v>
      </c>
      <c r="E46" s="164">
        <f t="shared" si="2"/>
        <v>960</v>
      </c>
      <c r="F46" s="165">
        <f t="shared" si="2"/>
        <v>1085</v>
      </c>
      <c r="G46" s="164">
        <f t="shared" si="2"/>
        <v>768</v>
      </c>
      <c r="H46" s="165">
        <f t="shared" si="2"/>
        <v>868</v>
      </c>
      <c r="I46" s="164">
        <f t="shared" si="2"/>
        <v>672</v>
      </c>
      <c r="J46" s="165">
        <f t="shared" si="2"/>
        <v>759.5</v>
      </c>
      <c r="K46" s="164">
        <f t="shared" si="2"/>
        <v>384</v>
      </c>
      <c r="L46" s="165">
        <f t="shared" si="2"/>
        <v>434</v>
      </c>
      <c r="M46" s="164">
        <f t="shared" si="2"/>
        <v>384</v>
      </c>
      <c r="N46" s="165">
        <f t="shared" si="2"/>
        <v>434</v>
      </c>
      <c r="O46" s="164">
        <f t="shared" si="2"/>
        <v>768</v>
      </c>
      <c r="P46" s="165">
        <f t="shared" si="2"/>
        <v>868</v>
      </c>
      <c r="Q46" s="164">
        <f t="shared" si="2"/>
        <v>384</v>
      </c>
      <c r="R46" s="165">
        <f t="shared" si="2"/>
        <v>434</v>
      </c>
      <c r="S46" s="164">
        <f t="shared" si="2"/>
        <v>960</v>
      </c>
      <c r="T46" s="165">
        <f t="shared" si="2"/>
        <v>1085</v>
      </c>
      <c r="U46" s="164">
        <f t="shared" si="2"/>
        <v>960</v>
      </c>
      <c r="V46" s="165">
        <f t="shared" si="2"/>
        <v>1085</v>
      </c>
      <c r="W46" s="164">
        <f t="shared" si="2"/>
        <v>1056</v>
      </c>
      <c r="X46" s="165">
        <f t="shared" si="2"/>
        <v>1193.5</v>
      </c>
      <c r="Y46" s="164">
        <f t="shared" si="2"/>
        <v>1344</v>
      </c>
      <c r="Z46" s="165">
        <f t="shared" si="2"/>
        <v>1519</v>
      </c>
    </row>
    <row r="47" spans="1:26" ht="9.75" customHeight="1" x14ac:dyDescent="0.25"/>
    <row r="48" spans="1:26" ht="9.75" customHeight="1" x14ac:dyDescent="0.25"/>
    <row r="49" spans="1:26" x14ac:dyDescent="0.25">
      <c r="A49" s="829" t="s">
        <v>363</v>
      </c>
      <c r="B49" s="829"/>
      <c r="C49" s="740" t="s">
        <v>27</v>
      </c>
      <c r="D49" s="740"/>
      <c r="E49" s="740" t="s">
        <v>28</v>
      </c>
      <c r="F49" s="740"/>
      <c r="G49" s="740" t="s">
        <v>29</v>
      </c>
      <c r="H49" s="740"/>
      <c r="I49" s="740" t="s">
        <v>30</v>
      </c>
      <c r="J49" s="740"/>
      <c r="K49" s="740" t="s">
        <v>31</v>
      </c>
      <c r="L49" s="740"/>
      <c r="M49" s="740" t="s">
        <v>32</v>
      </c>
      <c r="N49" s="740"/>
      <c r="O49" s="740" t="s">
        <v>33</v>
      </c>
      <c r="P49" s="740"/>
      <c r="Q49" s="740" t="s">
        <v>34</v>
      </c>
      <c r="R49" s="740"/>
      <c r="S49" s="740" t="s">
        <v>35</v>
      </c>
      <c r="T49" s="740"/>
      <c r="U49" s="740" t="s">
        <v>36</v>
      </c>
      <c r="V49" s="740"/>
      <c r="W49" s="740" t="s">
        <v>37</v>
      </c>
      <c r="X49" s="740"/>
      <c r="Y49" s="740" t="s">
        <v>38</v>
      </c>
      <c r="Z49" s="740"/>
    </row>
    <row r="50" spans="1:26" ht="30.75" thickBot="1" x14ac:dyDescent="0.3">
      <c r="A50" s="829"/>
      <c r="B50" s="829"/>
      <c r="C50" s="496" t="s">
        <v>85</v>
      </c>
      <c r="D50" s="496" t="s">
        <v>87</v>
      </c>
      <c r="E50" s="496" t="s">
        <v>85</v>
      </c>
      <c r="F50" s="496" t="s">
        <v>86</v>
      </c>
      <c r="G50" s="496" t="s">
        <v>85</v>
      </c>
      <c r="H50" s="496" t="s">
        <v>87</v>
      </c>
      <c r="I50" s="496" t="s">
        <v>85</v>
      </c>
      <c r="J50" s="496" t="s">
        <v>86</v>
      </c>
      <c r="K50" s="496" t="s">
        <v>85</v>
      </c>
      <c r="L50" s="496" t="s">
        <v>87</v>
      </c>
      <c r="M50" s="496" t="s">
        <v>85</v>
      </c>
      <c r="N50" s="496" t="s">
        <v>87</v>
      </c>
      <c r="O50" s="496" t="s">
        <v>85</v>
      </c>
      <c r="P50" s="496" t="s">
        <v>87</v>
      </c>
      <c r="Q50" s="496" t="s">
        <v>85</v>
      </c>
      <c r="R50" s="496" t="s">
        <v>87</v>
      </c>
      <c r="S50" s="496" t="s">
        <v>85</v>
      </c>
      <c r="T50" s="496" t="s">
        <v>87</v>
      </c>
      <c r="U50" s="496" t="s">
        <v>85</v>
      </c>
      <c r="V50" s="496" t="s">
        <v>87</v>
      </c>
      <c r="W50" s="496" t="s">
        <v>85</v>
      </c>
      <c r="X50" s="496" t="s">
        <v>87</v>
      </c>
      <c r="Y50" s="496" t="s">
        <v>85</v>
      </c>
      <c r="Z50" s="496" t="s">
        <v>87</v>
      </c>
    </row>
    <row r="51" spans="1:26" ht="15.75" x14ac:dyDescent="0.25">
      <c r="A51" s="707" t="s">
        <v>302</v>
      </c>
      <c r="B51" s="708"/>
      <c r="C51" s="112">
        <f>'Proy. ventas'!E93</f>
        <v>816</v>
      </c>
      <c r="D51" s="112">
        <f>C51*$E$23</f>
        <v>816</v>
      </c>
      <c r="E51" s="164">
        <f>'Proy. ventas'!G93</f>
        <v>680</v>
      </c>
      <c r="F51" s="112">
        <f>E51*$E$23</f>
        <v>680</v>
      </c>
      <c r="G51" s="164">
        <f>'Proy. ventas'!I93</f>
        <v>544</v>
      </c>
      <c r="H51" s="112">
        <f>G51*$E$23</f>
        <v>544</v>
      </c>
      <c r="I51" s="164">
        <f>'Proy. ventas'!K93</f>
        <v>476.00000000000006</v>
      </c>
      <c r="J51" s="112">
        <f>I51*$E$23</f>
        <v>476.00000000000006</v>
      </c>
      <c r="K51" s="164">
        <f>'Proy. ventas'!M93</f>
        <v>272</v>
      </c>
      <c r="L51" s="112">
        <f>K51*$E$23</f>
        <v>272</v>
      </c>
      <c r="M51" s="164">
        <f>'Proy. ventas'!O93</f>
        <v>272</v>
      </c>
      <c r="N51" s="112">
        <f>M51*$E$23</f>
        <v>272</v>
      </c>
      <c r="O51" s="164">
        <f>'Proy. ventas'!Q93</f>
        <v>544</v>
      </c>
      <c r="P51" s="112">
        <f>O51*$E$23</f>
        <v>544</v>
      </c>
      <c r="Q51" s="164">
        <f>'Proy. ventas'!S93</f>
        <v>272</v>
      </c>
      <c r="R51" s="112">
        <f>Q51*$E$23</f>
        <v>272</v>
      </c>
      <c r="S51" s="164">
        <f>'Proy. ventas'!U93</f>
        <v>680</v>
      </c>
      <c r="T51" s="112">
        <f>S51*$E$23</f>
        <v>680</v>
      </c>
      <c r="U51" s="164">
        <f>'Proy. ventas'!W93</f>
        <v>680</v>
      </c>
      <c r="V51" s="112">
        <f>U51*$E$23</f>
        <v>680</v>
      </c>
      <c r="W51" s="164">
        <f>'Proy. ventas'!Y93</f>
        <v>748</v>
      </c>
      <c r="X51" s="112">
        <f>W51*$E$23</f>
        <v>748</v>
      </c>
      <c r="Y51" s="164">
        <f>'Proy. ventas'!AA93</f>
        <v>952.00000000000011</v>
      </c>
      <c r="Z51" s="112">
        <f>Y51*$E$23</f>
        <v>952.00000000000011</v>
      </c>
    </row>
    <row r="52" spans="1:26" ht="15.75" x14ac:dyDescent="0.25">
      <c r="A52" s="709" t="s">
        <v>234</v>
      </c>
      <c r="B52" s="710"/>
      <c r="C52" s="164">
        <f>'Proy. ventas'!E94</f>
        <v>600</v>
      </c>
      <c r="D52" s="112">
        <f>C52*$E$33</f>
        <v>900</v>
      </c>
      <c r="E52" s="164">
        <f>'Proy. ventas'!G94</f>
        <v>500</v>
      </c>
      <c r="F52" s="112">
        <f>E52*$E$33</f>
        <v>750</v>
      </c>
      <c r="G52" s="164">
        <f>'Proy. ventas'!I94</f>
        <v>400</v>
      </c>
      <c r="H52" s="112">
        <f>G52*$E$33</f>
        <v>600</v>
      </c>
      <c r="I52" s="164">
        <f>'Proy. ventas'!K94</f>
        <v>350</v>
      </c>
      <c r="J52" s="112">
        <f>I52*$E$33</f>
        <v>525</v>
      </c>
      <c r="K52" s="164">
        <f>'Proy. ventas'!M94</f>
        <v>200</v>
      </c>
      <c r="L52" s="112">
        <f>K52*$E$33</f>
        <v>300</v>
      </c>
      <c r="M52" s="164">
        <f>'Proy. ventas'!O94</f>
        <v>200</v>
      </c>
      <c r="N52" s="112">
        <f>M52*$E$33</f>
        <v>300</v>
      </c>
      <c r="O52" s="164">
        <f>'Proy. ventas'!Q94</f>
        <v>400</v>
      </c>
      <c r="P52" s="112">
        <f>O52*$E$33</f>
        <v>600</v>
      </c>
      <c r="Q52" s="164">
        <f>'Proy. ventas'!S94</f>
        <v>200</v>
      </c>
      <c r="R52" s="112">
        <f>Q52*$E$33</f>
        <v>300</v>
      </c>
      <c r="S52" s="164">
        <f>'Proy. ventas'!U94</f>
        <v>500</v>
      </c>
      <c r="T52" s="112">
        <f>S52*$E$33</f>
        <v>750</v>
      </c>
      <c r="U52" s="164">
        <f>'Proy. ventas'!W94</f>
        <v>500</v>
      </c>
      <c r="V52" s="112">
        <f>U52*$E$33</f>
        <v>750</v>
      </c>
      <c r="W52" s="164">
        <f>'Proy. ventas'!Y94</f>
        <v>550</v>
      </c>
      <c r="X52" s="112">
        <f>W52*$E$33</f>
        <v>825</v>
      </c>
      <c r="Y52" s="164">
        <f>'Proy. ventas'!AA94</f>
        <v>700</v>
      </c>
      <c r="Z52" s="112">
        <f>Y52*$E$33</f>
        <v>1050</v>
      </c>
    </row>
    <row r="53" spans="1:26" ht="15.75" x14ac:dyDescent="0.25">
      <c r="A53" s="711" t="s">
        <v>235</v>
      </c>
      <c r="B53" s="712"/>
      <c r="C53" s="164">
        <f>'Proy. ventas'!E95</f>
        <v>264</v>
      </c>
      <c r="D53" s="112">
        <f>C53*$E$23</f>
        <v>264</v>
      </c>
      <c r="E53" s="164">
        <f>'Proy. ventas'!G95</f>
        <v>220</v>
      </c>
      <c r="F53" s="112">
        <f>E53*$E$23</f>
        <v>220</v>
      </c>
      <c r="G53" s="164">
        <f>'Proy. ventas'!I95</f>
        <v>176</v>
      </c>
      <c r="H53" s="112">
        <f>G53*$E$23</f>
        <v>176</v>
      </c>
      <c r="I53" s="164">
        <f>'Proy. ventas'!K95</f>
        <v>154.00000000000003</v>
      </c>
      <c r="J53" s="112">
        <f>I53*$E$23</f>
        <v>154.00000000000003</v>
      </c>
      <c r="K53" s="164">
        <f>'Proy. ventas'!M95</f>
        <v>88</v>
      </c>
      <c r="L53" s="112">
        <f>K53*$E$23</f>
        <v>88</v>
      </c>
      <c r="M53" s="164">
        <f>'Proy. ventas'!O95</f>
        <v>88</v>
      </c>
      <c r="N53" s="112">
        <f>M53*$E$23</f>
        <v>88</v>
      </c>
      <c r="O53" s="164">
        <f>'Proy. ventas'!Q95</f>
        <v>176</v>
      </c>
      <c r="P53" s="112">
        <f>O53*$E$23</f>
        <v>176</v>
      </c>
      <c r="Q53" s="164">
        <f>'Proy. ventas'!S95</f>
        <v>88</v>
      </c>
      <c r="R53" s="112">
        <f>Q53*$E$23</f>
        <v>88</v>
      </c>
      <c r="S53" s="164">
        <f>'Proy. ventas'!U95</f>
        <v>220</v>
      </c>
      <c r="T53" s="112">
        <f>S53*$E$23</f>
        <v>220</v>
      </c>
      <c r="U53" s="164">
        <f>'Proy. ventas'!W95</f>
        <v>220</v>
      </c>
      <c r="V53" s="112">
        <f>U53*$E$23</f>
        <v>220</v>
      </c>
      <c r="W53" s="164">
        <f>'Proy. ventas'!Y95</f>
        <v>242</v>
      </c>
      <c r="X53" s="112">
        <f>W53*$E$23</f>
        <v>242</v>
      </c>
      <c r="Y53" s="164">
        <f>'Proy. ventas'!AA95</f>
        <v>308.00000000000006</v>
      </c>
      <c r="Z53" s="112">
        <f>Y53*$E$23</f>
        <v>308.00000000000006</v>
      </c>
    </row>
    <row r="54" spans="1:26" ht="16.5" thickBot="1" x14ac:dyDescent="0.3">
      <c r="A54" s="713" t="s">
        <v>236</v>
      </c>
      <c r="B54" s="714"/>
      <c r="C54" s="164">
        <f>'Proy. ventas'!E96</f>
        <v>624</v>
      </c>
      <c r="D54" s="112">
        <f>C54*$E$23</f>
        <v>624</v>
      </c>
      <c r="E54" s="164">
        <f>'Proy. ventas'!G96</f>
        <v>520</v>
      </c>
      <c r="F54" s="112">
        <f>E54*$E$23</f>
        <v>520</v>
      </c>
      <c r="G54" s="164">
        <f>'Proy. ventas'!I96</f>
        <v>416</v>
      </c>
      <c r="H54" s="112">
        <f>G54*$E$23</f>
        <v>416</v>
      </c>
      <c r="I54" s="164">
        <f>'Proy. ventas'!K96</f>
        <v>364.00000000000006</v>
      </c>
      <c r="J54" s="112">
        <f>I54*$E$23</f>
        <v>364.00000000000006</v>
      </c>
      <c r="K54" s="164">
        <f>'Proy. ventas'!M96</f>
        <v>208</v>
      </c>
      <c r="L54" s="112">
        <f>K54*$E$23</f>
        <v>208</v>
      </c>
      <c r="M54" s="164">
        <f>'Proy. ventas'!O96</f>
        <v>208</v>
      </c>
      <c r="N54" s="112">
        <f>M54*$E$23</f>
        <v>208</v>
      </c>
      <c r="O54" s="164">
        <f>'Proy. ventas'!Q96</f>
        <v>416</v>
      </c>
      <c r="P54" s="112">
        <f>O54*$E$23</f>
        <v>416</v>
      </c>
      <c r="Q54" s="164">
        <f>'Proy. ventas'!S96</f>
        <v>208</v>
      </c>
      <c r="R54" s="112">
        <f>Q54*$E$23</f>
        <v>208</v>
      </c>
      <c r="S54" s="164">
        <f>'Proy. ventas'!U96</f>
        <v>520</v>
      </c>
      <c r="T54" s="112">
        <f>S54*$E$23</f>
        <v>520</v>
      </c>
      <c r="U54" s="164">
        <f>'Proy. ventas'!W96</f>
        <v>520</v>
      </c>
      <c r="V54" s="112">
        <f>U54*$E$23</f>
        <v>520</v>
      </c>
      <c r="W54" s="164">
        <f>'Proy. ventas'!Y96</f>
        <v>572</v>
      </c>
      <c r="X54" s="112">
        <f>W54*$E$23</f>
        <v>572</v>
      </c>
      <c r="Y54" s="164">
        <f>'Proy. ventas'!AA96</f>
        <v>728.00000000000011</v>
      </c>
      <c r="Z54" s="112">
        <f>Y54*$E$23</f>
        <v>728.00000000000011</v>
      </c>
    </row>
    <row r="55" spans="1:26" x14ac:dyDescent="0.25">
      <c r="A55" s="830" t="s">
        <v>41</v>
      </c>
      <c r="B55" s="830"/>
      <c r="C55" s="164">
        <f t="shared" ref="C55" si="3">SUM(C51:C54)</f>
        <v>2304</v>
      </c>
      <c r="D55" s="165">
        <f t="shared" ref="D55" si="4">SUM(D51:D54)</f>
        <v>2604</v>
      </c>
      <c r="E55" s="164">
        <f t="shared" ref="E55" si="5">SUM(E51:E54)</f>
        <v>1920</v>
      </c>
      <c r="F55" s="165">
        <f t="shared" ref="F55" si="6">SUM(F51:F54)</f>
        <v>2170</v>
      </c>
      <c r="G55" s="164">
        <f t="shared" ref="G55" si="7">SUM(G51:G54)</f>
        <v>1536</v>
      </c>
      <c r="H55" s="165">
        <f t="shared" ref="H55" si="8">SUM(H51:H54)</f>
        <v>1736</v>
      </c>
      <c r="I55" s="164">
        <f t="shared" ref="I55" si="9">SUM(I51:I54)</f>
        <v>1344</v>
      </c>
      <c r="J55" s="165">
        <f t="shared" ref="J55" si="10">SUM(J51:J54)</f>
        <v>1519</v>
      </c>
      <c r="K55" s="164">
        <f t="shared" ref="K55" si="11">SUM(K51:K54)</f>
        <v>768</v>
      </c>
      <c r="L55" s="165">
        <f t="shared" ref="L55" si="12">SUM(L51:L54)</f>
        <v>868</v>
      </c>
      <c r="M55" s="164">
        <f t="shared" ref="M55" si="13">SUM(M51:M54)</f>
        <v>768</v>
      </c>
      <c r="N55" s="165">
        <f t="shared" ref="N55" si="14">SUM(N51:N54)</f>
        <v>868</v>
      </c>
      <c r="O55" s="164">
        <f t="shared" ref="O55" si="15">SUM(O51:O54)</f>
        <v>1536</v>
      </c>
      <c r="P55" s="165">
        <f t="shared" ref="P55" si="16">SUM(P51:P54)</f>
        <v>1736</v>
      </c>
      <c r="Q55" s="164">
        <f t="shared" ref="Q55" si="17">SUM(Q51:Q54)</f>
        <v>768</v>
      </c>
      <c r="R55" s="165">
        <f t="shared" ref="R55" si="18">SUM(R51:R54)</f>
        <v>868</v>
      </c>
      <c r="S55" s="164">
        <f t="shared" ref="S55" si="19">SUM(S51:S54)</f>
        <v>1920</v>
      </c>
      <c r="T55" s="165">
        <f t="shared" ref="T55" si="20">SUM(T51:T54)</f>
        <v>2170</v>
      </c>
      <c r="U55" s="164">
        <f t="shared" ref="U55" si="21">SUM(U51:U54)</f>
        <v>1920</v>
      </c>
      <c r="V55" s="165">
        <f t="shared" ref="V55" si="22">SUM(V51:V54)</f>
        <v>2170</v>
      </c>
      <c r="W55" s="164">
        <f t="shared" ref="W55" si="23">SUM(W51:W54)</f>
        <v>2112</v>
      </c>
      <c r="X55" s="165">
        <f t="shared" ref="X55" si="24">SUM(X51:X54)</f>
        <v>2387</v>
      </c>
      <c r="Y55" s="164">
        <f t="shared" ref="Y55" si="25">SUM(Y51:Y54)</f>
        <v>2688</v>
      </c>
      <c r="Z55" s="165">
        <f t="shared" ref="Z55" si="26">SUM(Z51:Z54)</f>
        <v>3038</v>
      </c>
    </row>
    <row r="56" spans="1:26" ht="9.75" customHeight="1" x14ac:dyDescent="0.25"/>
    <row r="57" spans="1:26" ht="9.75" customHeight="1" x14ac:dyDescent="0.25"/>
    <row r="58" spans="1:26" x14ac:dyDescent="0.25">
      <c r="A58" s="829" t="s">
        <v>364</v>
      </c>
      <c r="B58" s="829"/>
      <c r="C58" s="740" t="s">
        <v>27</v>
      </c>
      <c r="D58" s="740"/>
      <c r="E58" s="740" t="s">
        <v>28</v>
      </c>
      <c r="F58" s="740"/>
      <c r="G58" s="740" t="s">
        <v>29</v>
      </c>
      <c r="H58" s="740"/>
      <c r="I58" s="740" t="s">
        <v>30</v>
      </c>
      <c r="J58" s="740"/>
      <c r="K58" s="740" t="s">
        <v>31</v>
      </c>
      <c r="L58" s="740"/>
      <c r="M58" s="740" t="s">
        <v>32</v>
      </c>
      <c r="N58" s="740"/>
      <c r="O58" s="740" t="s">
        <v>33</v>
      </c>
      <c r="P58" s="740"/>
      <c r="Q58" s="740" t="s">
        <v>34</v>
      </c>
      <c r="R58" s="740"/>
      <c r="S58" s="740" t="s">
        <v>35</v>
      </c>
      <c r="T58" s="740"/>
      <c r="U58" s="740" t="s">
        <v>36</v>
      </c>
      <c r="V58" s="740"/>
      <c r="W58" s="740" t="s">
        <v>37</v>
      </c>
      <c r="X58" s="740"/>
      <c r="Y58" s="740" t="s">
        <v>38</v>
      </c>
      <c r="Z58" s="740"/>
    </row>
    <row r="59" spans="1:26" ht="30.75" thickBot="1" x14ac:dyDescent="0.3">
      <c r="A59" s="829"/>
      <c r="B59" s="829"/>
      <c r="C59" s="496" t="s">
        <v>85</v>
      </c>
      <c r="D59" s="496" t="s">
        <v>87</v>
      </c>
      <c r="E59" s="496" t="s">
        <v>85</v>
      </c>
      <c r="F59" s="496" t="s">
        <v>86</v>
      </c>
      <c r="G59" s="496" t="s">
        <v>85</v>
      </c>
      <c r="H59" s="496" t="s">
        <v>87</v>
      </c>
      <c r="I59" s="496" t="s">
        <v>85</v>
      </c>
      <c r="J59" s="496" t="s">
        <v>86</v>
      </c>
      <c r="K59" s="496" t="s">
        <v>85</v>
      </c>
      <c r="L59" s="496" t="s">
        <v>87</v>
      </c>
      <c r="M59" s="496" t="s">
        <v>85</v>
      </c>
      <c r="N59" s="496" t="s">
        <v>87</v>
      </c>
      <c r="O59" s="496" t="s">
        <v>85</v>
      </c>
      <c r="P59" s="496" t="s">
        <v>87</v>
      </c>
      <c r="Q59" s="496" t="s">
        <v>85</v>
      </c>
      <c r="R59" s="496" t="s">
        <v>87</v>
      </c>
      <c r="S59" s="496" t="s">
        <v>85</v>
      </c>
      <c r="T59" s="496" t="s">
        <v>87</v>
      </c>
      <c r="U59" s="496" t="s">
        <v>85</v>
      </c>
      <c r="V59" s="496" t="s">
        <v>87</v>
      </c>
      <c r="W59" s="496" t="s">
        <v>85</v>
      </c>
      <c r="X59" s="496" t="s">
        <v>87</v>
      </c>
      <c r="Y59" s="496" t="s">
        <v>85</v>
      </c>
      <c r="Z59" s="496" t="s">
        <v>87</v>
      </c>
    </row>
    <row r="60" spans="1:26" ht="15.75" x14ac:dyDescent="0.25">
      <c r="A60" s="707" t="s">
        <v>302</v>
      </c>
      <c r="B60" s="708"/>
      <c r="C60" s="164">
        <f>'Proy. ventas'!E152</f>
        <v>1224</v>
      </c>
      <c r="D60" s="112">
        <f>C60*$E$23</f>
        <v>1224</v>
      </c>
      <c r="E60" s="164">
        <f>'Proy. ventas'!G152</f>
        <v>1020</v>
      </c>
      <c r="F60" s="112">
        <f>E60*$E$23</f>
        <v>1020</v>
      </c>
      <c r="G60" s="164">
        <f>'Proy. ventas'!I152</f>
        <v>816</v>
      </c>
      <c r="H60" s="112">
        <f>G60*$E$23</f>
        <v>816</v>
      </c>
      <c r="I60" s="164">
        <f>'Proy. ventas'!K152</f>
        <v>714</v>
      </c>
      <c r="J60" s="112">
        <f>I60*$E$23</f>
        <v>714</v>
      </c>
      <c r="K60" s="164">
        <f>'Proy. ventas'!M152</f>
        <v>408</v>
      </c>
      <c r="L60" s="112">
        <f>K60*$E$23</f>
        <v>408</v>
      </c>
      <c r="M60" s="164">
        <f>'Proy. ventas'!O152</f>
        <v>408</v>
      </c>
      <c r="N60" s="112">
        <f>M60*$E$23</f>
        <v>408</v>
      </c>
      <c r="O60" s="164">
        <f>'Proy. ventas'!Q152</f>
        <v>816</v>
      </c>
      <c r="P60" s="112">
        <f>O60*$E$23</f>
        <v>816</v>
      </c>
      <c r="Q60" s="164">
        <f>'Proy. ventas'!S152</f>
        <v>408</v>
      </c>
      <c r="R60" s="112">
        <f>Q60*$E$23</f>
        <v>408</v>
      </c>
      <c r="S60" s="164">
        <f>'Proy. ventas'!U152</f>
        <v>1020</v>
      </c>
      <c r="T60" s="112">
        <f>S60*$E$23</f>
        <v>1020</v>
      </c>
      <c r="U60" s="164">
        <f>'Proy. ventas'!W152</f>
        <v>1020</v>
      </c>
      <c r="V60" s="112">
        <f>U60*$E$23</f>
        <v>1020</v>
      </c>
      <c r="W60" s="164">
        <f>'Proy. ventas'!Y152</f>
        <v>1122</v>
      </c>
      <c r="X60" s="112">
        <f>W60*$E$23</f>
        <v>1122</v>
      </c>
      <c r="Y60" s="164">
        <f>'Proy. ventas'!AA152</f>
        <v>1428</v>
      </c>
      <c r="Z60" s="112">
        <f>Y60*$E$23</f>
        <v>1428</v>
      </c>
    </row>
    <row r="61" spans="1:26" ht="15.75" x14ac:dyDescent="0.25">
      <c r="A61" s="709" t="s">
        <v>234</v>
      </c>
      <c r="B61" s="710"/>
      <c r="C61" s="164">
        <f>'Proy. ventas'!E153</f>
        <v>900</v>
      </c>
      <c r="D61" s="112">
        <f>C61*$E$33</f>
        <v>1350</v>
      </c>
      <c r="E61" s="164">
        <f>'Proy. ventas'!G153</f>
        <v>750</v>
      </c>
      <c r="F61" s="112">
        <f>E61*$E$33</f>
        <v>1125</v>
      </c>
      <c r="G61" s="164">
        <f>'Proy. ventas'!I153</f>
        <v>600</v>
      </c>
      <c r="H61" s="112">
        <f>G61*$E$33</f>
        <v>900</v>
      </c>
      <c r="I61" s="164">
        <f>'Proy. ventas'!K153</f>
        <v>525</v>
      </c>
      <c r="J61" s="112">
        <f>I61*$E$33</f>
        <v>787.5</v>
      </c>
      <c r="K61" s="164">
        <f>'Proy. ventas'!M153</f>
        <v>300</v>
      </c>
      <c r="L61" s="112">
        <f>K61*$E$33</f>
        <v>450</v>
      </c>
      <c r="M61" s="164">
        <f>'Proy. ventas'!O153</f>
        <v>300</v>
      </c>
      <c r="N61" s="112">
        <f>M61*$E$33</f>
        <v>450</v>
      </c>
      <c r="O61" s="164">
        <f>'Proy. ventas'!Q153</f>
        <v>600</v>
      </c>
      <c r="P61" s="112">
        <f>O61*$E$33</f>
        <v>900</v>
      </c>
      <c r="Q61" s="164">
        <f>'Proy. ventas'!S153</f>
        <v>300</v>
      </c>
      <c r="R61" s="112">
        <f>Q61*$E$33</f>
        <v>450</v>
      </c>
      <c r="S61" s="164">
        <f>'Proy. ventas'!U153</f>
        <v>750</v>
      </c>
      <c r="T61" s="112">
        <f>S61*$E$33</f>
        <v>1125</v>
      </c>
      <c r="U61" s="164">
        <f>'Proy. ventas'!W153</f>
        <v>750</v>
      </c>
      <c r="V61" s="112">
        <f>U61*$E$33</f>
        <v>1125</v>
      </c>
      <c r="W61" s="164">
        <f>'Proy. ventas'!Y153</f>
        <v>825</v>
      </c>
      <c r="X61" s="112">
        <f>W61*$E$33</f>
        <v>1237.5</v>
      </c>
      <c r="Y61" s="164">
        <f>'Proy. ventas'!AA153</f>
        <v>1050</v>
      </c>
      <c r="Z61" s="112">
        <f>Y61*$E$33</f>
        <v>1575</v>
      </c>
    </row>
    <row r="62" spans="1:26" ht="15.75" x14ac:dyDescent="0.25">
      <c r="A62" s="711" t="s">
        <v>235</v>
      </c>
      <c r="B62" s="712"/>
      <c r="C62" s="164">
        <f>'Proy. ventas'!E154</f>
        <v>396</v>
      </c>
      <c r="D62" s="112">
        <f>C62*$E$23</f>
        <v>396</v>
      </c>
      <c r="E62" s="164">
        <f>'Proy. ventas'!G154</f>
        <v>330</v>
      </c>
      <c r="F62" s="112">
        <f>E62*$E$23</f>
        <v>330</v>
      </c>
      <c r="G62" s="164">
        <f>'Proy. ventas'!I154</f>
        <v>264</v>
      </c>
      <c r="H62" s="112">
        <f>G62*$E$23</f>
        <v>264</v>
      </c>
      <c r="I62" s="164">
        <f>'Proy. ventas'!K154</f>
        <v>231.00000000000003</v>
      </c>
      <c r="J62" s="112">
        <f>I62*$E$23</f>
        <v>231.00000000000003</v>
      </c>
      <c r="K62" s="164">
        <f>'Proy. ventas'!M154</f>
        <v>132</v>
      </c>
      <c r="L62" s="112">
        <f>K62*$E$23</f>
        <v>132</v>
      </c>
      <c r="M62" s="164">
        <f>'Proy. ventas'!O154</f>
        <v>132</v>
      </c>
      <c r="N62" s="112">
        <f>M62*$E$23</f>
        <v>132</v>
      </c>
      <c r="O62" s="164">
        <f>'Proy. ventas'!Q154</f>
        <v>264</v>
      </c>
      <c r="P62" s="112">
        <f>O62*$E$23</f>
        <v>264</v>
      </c>
      <c r="Q62" s="164">
        <f>'Proy. ventas'!S154</f>
        <v>132</v>
      </c>
      <c r="R62" s="112">
        <f>Q62*$E$23</f>
        <v>132</v>
      </c>
      <c r="S62" s="164">
        <f>'Proy. ventas'!U154</f>
        <v>330</v>
      </c>
      <c r="T62" s="112">
        <f>S62*$E$23</f>
        <v>330</v>
      </c>
      <c r="U62" s="164">
        <f>'Proy. ventas'!W154</f>
        <v>330</v>
      </c>
      <c r="V62" s="112">
        <f>U62*$E$23</f>
        <v>330</v>
      </c>
      <c r="W62" s="164">
        <f>'Proy. ventas'!Y154</f>
        <v>363</v>
      </c>
      <c r="X62" s="112">
        <f>W62*$E$23</f>
        <v>363</v>
      </c>
      <c r="Y62" s="164">
        <f>'Proy. ventas'!AA154</f>
        <v>462.00000000000006</v>
      </c>
      <c r="Z62" s="112">
        <f>Y62*$E$23</f>
        <v>462.00000000000006</v>
      </c>
    </row>
    <row r="63" spans="1:26" ht="16.5" thickBot="1" x14ac:dyDescent="0.3">
      <c r="A63" s="713" t="s">
        <v>236</v>
      </c>
      <c r="B63" s="714"/>
      <c r="C63" s="164">
        <f>'Proy. ventas'!E155</f>
        <v>936</v>
      </c>
      <c r="D63" s="112">
        <f>C63*$E$23</f>
        <v>936</v>
      </c>
      <c r="E63" s="164">
        <f>'Proy. ventas'!G155</f>
        <v>780</v>
      </c>
      <c r="F63" s="112">
        <f>E63*$E$23</f>
        <v>780</v>
      </c>
      <c r="G63" s="164">
        <f>'Proy. ventas'!I155</f>
        <v>624</v>
      </c>
      <c r="H63" s="112">
        <f>G63*$E$23</f>
        <v>624</v>
      </c>
      <c r="I63" s="164">
        <f>'Proy. ventas'!K155</f>
        <v>546</v>
      </c>
      <c r="J63" s="112">
        <f>I63*$E$23</f>
        <v>546</v>
      </c>
      <c r="K63" s="164">
        <f>'Proy. ventas'!M155</f>
        <v>312</v>
      </c>
      <c r="L63" s="112">
        <f>K63*$E$23</f>
        <v>312</v>
      </c>
      <c r="M63" s="164">
        <f>'Proy. ventas'!O155</f>
        <v>312</v>
      </c>
      <c r="N63" s="112">
        <f>M63*$E$23</f>
        <v>312</v>
      </c>
      <c r="O63" s="164">
        <f>'Proy. ventas'!Q155</f>
        <v>624</v>
      </c>
      <c r="P63" s="112">
        <f>O63*$E$23</f>
        <v>624</v>
      </c>
      <c r="Q63" s="164">
        <f>'Proy. ventas'!S155</f>
        <v>312</v>
      </c>
      <c r="R63" s="112">
        <f>Q63*$E$23</f>
        <v>312</v>
      </c>
      <c r="S63" s="164">
        <f>'Proy. ventas'!U155</f>
        <v>780</v>
      </c>
      <c r="T63" s="112">
        <f>S63*$E$23</f>
        <v>780</v>
      </c>
      <c r="U63" s="164">
        <f>'Proy. ventas'!W155</f>
        <v>780</v>
      </c>
      <c r="V63" s="112">
        <f>U63*$E$23</f>
        <v>780</v>
      </c>
      <c r="W63" s="164">
        <f>'Proy. ventas'!Y155</f>
        <v>858</v>
      </c>
      <c r="X63" s="112">
        <f>W63*$E$23</f>
        <v>858</v>
      </c>
      <c r="Y63" s="164">
        <f>'Proy. ventas'!AA155</f>
        <v>1092</v>
      </c>
      <c r="Z63" s="112">
        <f>Y63*$E$23</f>
        <v>1092</v>
      </c>
    </row>
    <row r="64" spans="1:26" x14ac:dyDescent="0.25">
      <c r="A64" s="830" t="s">
        <v>41</v>
      </c>
      <c r="B64" s="830"/>
      <c r="C64" s="164">
        <f t="shared" ref="C64" si="27">SUM(C60:C63)</f>
        <v>3456</v>
      </c>
      <c r="D64" s="165">
        <f t="shared" ref="D64" si="28">SUM(D60:D63)</f>
        <v>3906</v>
      </c>
      <c r="E64" s="164">
        <f t="shared" ref="E64" si="29">SUM(E60:E63)</f>
        <v>2880</v>
      </c>
      <c r="F64" s="165">
        <f t="shared" ref="F64" si="30">SUM(F60:F63)</f>
        <v>3255</v>
      </c>
      <c r="G64" s="164">
        <f t="shared" ref="G64" si="31">SUM(G60:G63)</f>
        <v>2304</v>
      </c>
      <c r="H64" s="165">
        <f t="shared" ref="H64" si="32">SUM(H60:H63)</f>
        <v>2604</v>
      </c>
      <c r="I64" s="164">
        <f t="shared" ref="I64" si="33">SUM(I60:I63)</f>
        <v>2016</v>
      </c>
      <c r="J64" s="165">
        <f t="shared" ref="J64" si="34">SUM(J60:J63)</f>
        <v>2278.5</v>
      </c>
      <c r="K64" s="164">
        <f t="shared" ref="K64" si="35">SUM(K60:K63)</f>
        <v>1152</v>
      </c>
      <c r="L64" s="165">
        <f t="shared" ref="L64" si="36">SUM(L60:L63)</f>
        <v>1302</v>
      </c>
      <c r="M64" s="164">
        <f t="shared" ref="M64" si="37">SUM(M60:M63)</f>
        <v>1152</v>
      </c>
      <c r="N64" s="165">
        <f t="shared" ref="N64" si="38">SUM(N60:N63)</f>
        <v>1302</v>
      </c>
      <c r="O64" s="164">
        <f t="shared" ref="O64" si="39">SUM(O60:O63)</f>
        <v>2304</v>
      </c>
      <c r="P64" s="165">
        <f t="shared" ref="P64" si="40">SUM(P60:P63)</f>
        <v>2604</v>
      </c>
      <c r="Q64" s="164">
        <f t="shared" ref="Q64" si="41">SUM(Q60:Q63)</f>
        <v>1152</v>
      </c>
      <c r="R64" s="165">
        <f t="shared" ref="R64" si="42">SUM(R60:R63)</f>
        <v>1302</v>
      </c>
      <c r="S64" s="164">
        <f t="shared" ref="S64" si="43">SUM(S60:S63)</f>
        <v>2880</v>
      </c>
      <c r="T64" s="165">
        <f t="shared" ref="T64" si="44">SUM(T60:T63)</f>
        <v>3255</v>
      </c>
      <c r="U64" s="164">
        <f t="shared" ref="U64" si="45">SUM(U60:U63)</f>
        <v>2880</v>
      </c>
      <c r="V64" s="165">
        <f t="shared" ref="V64" si="46">SUM(V60:V63)</f>
        <v>3255</v>
      </c>
      <c r="W64" s="164">
        <f t="shared" ref="W64" si="47">SUM(W60:W63)</f>
        <v>3168</v>
      </c>
      <c r="X64" s="165">
        <f t="shared" ref="X64" si="48">SUM(X60:X63)</f>
        <v>3580.5</v>
      </c>
      <c r="Y64" s="164">
        <f t="shared" ref="Y64" si="49">SUM(Y60:Y63)</f>
        <v>4032</v>
      </c>
      <c r="Z64" s="165">
        <f t="shared" ref="Z64" si="50">SUM(Z60:Z63)</f>
        <v>4557</v>
      </c>
    </row>
    <row r="65" spans="1:10" ht="9.75" customHeight="1" thickBot="1" x14ac:dyDescent="0.3"/>
    <row r="66" spans="1:10" ht="22.5" customHeight="1" thickBot="1" x14ac:dyDescent="0.45">
      <c r="A66" s="823" t="s">
        <v>90</v>
      </c>
      <c r="B66" s="824"/>
      <c r="C66" s="824"/>
      <c r="D66" s="824"/>
      <c r="E66" s="825"/>
    </row>
    <row r="67" spans="1:10" ht="52.5" customHeight="1" x14ac:dyDescent="0.25">
      <c r="A67" s="831" t="s">
        <v>365</v>
      </c>
      <c r="B67" s="831"/>
      <c r="C67" s="831"/>
      <c r="D67" s="831"/>
      <c r="E67" s="831"/>
      <c r="F67" s="163"/>
      <c r="G67" s="163"/>
      <c r="H67" s="163"/>
      <c r="I67" s="163"/>
      <c r="J67" s="163"/>
    </row>
    <row r="68" spans="1:10" ht="9.75" customHeight="1" x14ac:dyDescent="0.25"/>
    <row r="69" spans="1:10" ht="9.75" customHeight="1" x14ac:dyDescent="0.25"/>
    <row r="70" spans="1:10" ht="9.75" customHeight="1" x14ac:dyDescent="0.25"/>
    <row r="71" spans="1:10" ht="9.75" customHeight="1" x14ac:dyDescent="0.25"/>
    <row r="72" spans="1:10" ht="9.75" customHeight="1" x14ac:dyDescent="0.25"/>
    <row r="73" spans="1:10" ht="9.75" customHeight="1" x14ac:dyDescent="0.25"/>
    <row r="74" spans="1:10" ht="9.75" customHeight="1" x14ac:dyDescent="0.25"/>
    <row r="75" spans="1:10" ht="9.75" customHeight="1" x14ac:dyDescent="0.25"/>
    <row r="76" spans="1:10" ht="9.75" customHeight="1" x14ac:dyDescent="0.25"/>
    <row r="77" spans="1:10" ht="9.75" customHeight="1" x14ac:dyDescent="0.25"/>
    <row r="78" spans="1:10" ht="9.75" customHeight="1" x14ac:dyDescent="0.25"/>
    <row r="79" spans="1:10" ht="9" customHeight="1" x14ac:dyDescent="0.25"/>
    <row r="80" spans="1:10" ht="15" customHeight="1" x14ac:dyDescent="0.25"/>
    <row r="81" spans="1:10" ht="9" customHeight="1" x14ac:dyDescent="0.25"/>
    <row r="82" spans="1:10" ht="9" customHeight="1" x14ac:dyDescent="0.25"/>
    <row r="83" spans="1:10" ht="17.25" customHeight="1" x14ac:dyDescent="0.25"/>
    <row r="84" spans="1:10" ht="12.75" customHeight="1" x14ac:dyDescent="0.25">
      <c r="A84"/>
      <c r="B84" s="1"/>
      <c r="C84" s="122"/>
    </row>
    <row r="85" spans="1:10" x14ac:dyDescent="0.25">
      <c r="B85" s="1"/>
      <c r="C85" s="122"/>
      <c r="D85" s="124"/>
      <c r="E85" s="124"/>
      <c r="F85" s="124"/>
      <c r="G85" s="124"/>
      <c r="H85" s="124"/>
      <c r="I85" s="124"/>
      <c r="J85" s="124"/>
    </row>
    <row r="88" spans="1:10" ht="14.25" customHeight="1" x14ac:dyDescent="0.25"/>
  </sheetData>
  <mergeCells count="65">
    <mergeCell ref="A61:B61"/>
    <mergeCell ref="A62:B62"/>
    <mergeCell ref="A63:B63"/>
    <mergeCell ref="A51:B51"/>
    <mergeCell ref="A52:B52"/>
    <mergeCell ref="A53:B53"/>
    <mergeCell ref="A54:B54"/>
    <mergeCell ref="A60:B60"/>
    <mergeCell ref="A64:B64"/>
    <mergeCell ref="A39:E39"/>
    <mergeCell ref="A66:E66"/>
    <mergeCell ref="A67:E67"/>
    <mergeCell ref="W49:X49"/>
    <mergeCell ref="O49:P49"/>
    <mergeCell ref="Q49:R49"/>
    <mergeCell ref="S49:T49"/>
    <mergeCell ref="U49:V49"/>
    <mergeCell ref="C49:D49"/>
    <mergeCell ref="E49:F49"/>
    <mergeCell ref="G49:H49"/>
    <mergeCell ref="I49:J49"/>
    <mergeCell ref="K49:L49"/>
    <mergeCell ref="A40:B41"/>
    <mergeCell ref="A46:B46"/>
    <mergeCell ref="Y49:Z49"/>
    <mergeCell ref="A55:B55"/>
    <mergeCell ref="A58:B59"/>
    <mergeCell ref="C58:D58"/>
    <mergeCell ref="E58:F58"/>
    <mergeCell ref="G58:H58"/>
    <mergeCell ref="I58:J58"/>
    <mergeCell ref="K58:L58"/>
    <mergeCell ref="M58:N58"/>
    <mergeCell ref="O58:P58"/>
    <mergeCell ref="Q58:R58"/>
    <mergeCell ref="S58:T58"/>
    <mergeCell ref="U58:V58"/>
    <mergeCell ref="W58:X58"/>
    <mergeCell ref="Y58:Z58"/>
    <mergeCell ref="M49:N49"/>
    <mergeCell ref="A49:B50"/>
    <mergeCell ref="C40:D40"/>
    <mergeCell ref="E40:F40"/>
    <mergeCell ref="G40:H40"/>
    <mergeCell ref="I40:J40"/>
    <mergeCell ref="A42:B42"/>
    <mergeCell ref="A43:B43"/>
    <mergeCell ref="A44:B44"/>
    <mergeCell ref="A45:B45"/>
    <mergeCell ref="U40:V40"/>
    <mergeCell ref="W40:X40"/>
    <mergeCell ref="Y40:Z40"/>
    <mergeCell ref="A28:E28"/>
    <mergeCell ref="K40:L40"/>
    <mergeCell ref="M40:N40"/>
    <mergeCell ref="O40:P40"/>
    <mergeCell ref="Q40:R40"/>
    <mergeCell ref="S40:T40"/>
    <mergeCell ref="A13:A14"/>
    <mergeCell ref="A23:C24"/>
    <mergeCell ref="A33:C34"/>
    <mergeCell ref="A3:E3"/>
    <mergeCell ref="A4:E4"/>
    <mergeCell ref="A6:C6"/>
    <mergeCell ref="A18:E18"/>
  </mergeCells>
  <phoneticPr fontId="24" type="noConversion"/>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29"/>
  <sheetViews>
    <sheetView zoomScale="70" zoomScaleNormal="70" workbookViewId="0">
      <pane ySplit="1" topLeftCell="A2" activePane="bottomLeft" state="frozen"/>
      <selection pane="bottomLeft" activeCell="B12" sqref="B12"/>
    </sheetView>
  </sheetViews>
  <sheetFormatPr baseColWidth="10" defaultColWidth="11.42578125" defaultRowHeight="15" x14ac:dyDescent="0.25"/>
  <cols>
    <col min="1" max="1" width="11.42578125" style="1"/>
    <col min="2" max="2" width="29.42578125" style="1" customWidth="1"/>
    <col min="3" max="3" width="22.85546875" style="1" bestFit="1" customWidth="1"/>
    <col min="4" max="4" width="27.7109375" style="1" customWidth="1"/>
    <col min="5" max="5" width="23.140625" style="1" bestFit="1" customWidth="1"/>
    <col min="6" max="7" width="11.42578125" style="1"/>
    <col min="8" max="8" width="15.5703125" style="1" customWidth="1"/>
    <col min="9" max="16384" width="11.42578125" style="1"/>
  </cols>
  <sheetData>
    <row r="1" spans="1:24" s="341" customFormat="1" ht="58.5" customHeight="1" x14ac:dyDescent="0.25">
      <c r="A1" s="344"/>
      <c r="B1" s="344"/>
      <c r="C1" s="344"/>
      <c r="D1" s="344"/>
      <c r="E1" s="349" t="s">
        <v>3</v>
      </c>
      <c r="F1" s="344"/>
      <c r="G1" s="350"/>
      <c r="H1" s="350"/>
      <c r="I1" s="344"/>
      <c r="J1" s="344"/>
      <c r="K1" s="344"/>
      <c r="L1" s="344"/>
      <c r="M1" s="344"/>
      <c r="N1" s="344"/>
      <c r="O1" s="344"/>
      <c r="P1" s="344"/>
      <c r="Q1" s="344"/>
      <c r="R1" s="344"/>
      <c r="S1" s="344"/>
      <c r="T1" s="344"/>
      <c r="U1" s="344"/>
      <c r="V1" s="344"/>
      <c r="W1" s="344"/>
      <c r="X1" s="344"/>
    </row>
    <row r="6" spans="1:24" ht="15.75" thickBot="1" x14ac:dyDescent="0.3"/>
    <row r="7" spans="1:24" ht="27" thickBot="1" x14ac:dyDescent="0.45">
      <c r="B7" s="785" t="s">
        <v>22</v>
      </c>
      <c r="C7" s="786"/>
      <c r="D7" s="787"/>
    </row>
    <row r="8" spans="1:24" x14ac:dyDescent="0.25">
      <c r="B8" s="503">
        <v>2021</v>
      </c>
      <c r="C8" s="503">
        <v>2022</v>
      </c>
      <c r="D8" s="503">
        <v>2023</v>
      </c>
    </row>
    <row r="9" spans="1:24" x14ac:dyDescent="0.25">
      <c r="B9" s="559">
        <f>Hipótesis!C24</f>
        <v>1.2999999999999999E-2</v>
      </c>
      <c r="C9" s="559">
        <f>Hipótesis!C25</f>
        <v>2.5000000000000001E-2</v>
      </c>
      <c r="D9" s="559">
        <f>Hipótesis!C26</f>
        <v>0.04</v>
      </c>
    </row>
    <row r="10" spans="1:24" x14ac:dyDescent="0.25">
      <c r="B10" s="16">
        <f>Hipótesis!D24</f>
        <v>31551000</v>
      </c>
      <c r="C10" s="16">
        <f>Hipótesis!D25</f>
        <v>60675000</v>
      </c>
      <c r="D10" s="16">
        <f>Hipótesis!D26</f>
        <v>97080000</v>
      </c>
    </row>
    <row r="14" spans="1:24" ht="15.75" thickBot="1" x14ac:dyDescent="0.3"/>
    <row r="15" spans="1:24" ht="27" thickBot="1" x14ac:dyDescent="0.45">
      <c r="B15" s="832" t="s">
        <v>42</v>
      </c>
      <c r="C15" s="833"/>
      <c r="D15" s="833"/>
      <c r="E15" s="834"/>
    </row>
    <row r="16" spans="1:24" ht="16.5" thickBot="1" x14ac:dyDescent="0.3">
      <c r="B16" s="500" t="s">
        <v>20</v>
      </c>
      <c r="C16" s="501">
        <v>2021</v>
      </c>
      <c r="D16" s="501">
        <v>2022</v>
      </c>
      <c r="E16" s="502">
        <v>2023</v>
      </c>
    </row>
    <row r="17" spans="2:5" ht="15.75" x14ac:dyDescent="0.25">
      <c r="B17" s="380" t="str">
        <f>Hipótesis!B58</f>
        <v>Aviador</v>
      </c>
      <c r="C17" s="436">
        <f>'Proy. ventas'!D19</f>
        <v>4900000</v>
      </c>
      <c r="D17" s="84">
        <f>'Proy. ventas'!D80</f>
        <v>9800000</v>
      </c>
      <c r="E17" s="85">
        <f>'Proy. ventas'!D139</f>
        <v>14700000</v>
      </c>
    </row>
    <row r="18" spans="2:5" ht="15.75" x14ac:dyDescent="0.25">
      <c r="B18" s="381" t="str">
        <f>Hipótesis!B59</f>
        <v>Cuadrado</v>
      </c>
      <c r="C18" s="437">
        <f>'Proy. ventas'!D20</f>
        <v>3600000</v>
      </c>
      <c r="D18" s="86">
        <f>'Proy. ventas'!D81</f>
        <v>7200000</v>
      </c>
      <c r="E18" s="87">
        <f>'Proy. ventas'!D140</f>
        <v>10800000</v>
      </c>
    </row>
    <row r="19" spans="2:5" ht="16.5" thickBot="1" x14ac:dyDescent="0.3">
      <c r="B19" s="382" t="str">
        <f>Hipótesis!B60</f>
        <v>Redondo</v>
      </c>
      <c r="C19" s="438">
        <f>'Proy. ventas'!D21</f>
        <v>2000000</v>
      </c>
      <c r="D19" s="88">
        <f>'Proy. ventas'!D82</f>
        <v>4000000</v>
      </c>
      <c r="E19" s="89">
        <f>'Proy. ventas'!D141</f>
        <v>6000000</v>
      </c>
    </row>
    <row r="20" spans="2:5" x14ac:dyDescent="0.25">
      <c r="B20" s="439" t="str">
        <f>Hipótesis!B61</f>
        <v>Running</v>
      </c>
      <c r="C20" s="400">
        <f>'Proy. ventas'!D22</f>
        <v>1750000</v>
      </c>
      <c r="D20" s="90">
        <f>'Proy. ventas'!D83</f>
        <v>3500000</v>
      </c>
      <c r="E20" s="91">
        <f>'Proy. ventas'!D142</f>
        <v>5250000</v>
      </c>
    </row>
    <row r="21" spans="2:5" x14ac:dyDescent="0.25">
      <c r="B21" s="403" t="str">
        <f>Hipótesis!B62</f>
        <v>Cilismo</v>
      </c>
      <c r="C21" s="401">
        <f>'Proy. ventas'!D23</f>
        <v>3000000</v>
      </c>
      <c r="D21" s="92">
        <f>'Proy. ventas'!D84</f>
        <v>6000000</v>
      </c>
      <c r="E21" s="93">
        <f>'Proy. ventas'!D143</f>
        <v>9000000</v>
      </c>
    </row>
    <row r="22" spans="2:5" ht="15.75" thickBot="1" x14ac:dyDescent="0.3">
      <c r="B22" s="404" t="str">
        <f>Hipótesis!B63</f>
        <v>Ski</v>
      </c>
      <c r="C22" s="402">
        <f>'Proy. ventas'!D24</f>
        <v>2800000</v>
      </c>
      <c r="D22" s="94">
        <f>'Proy. ventas'!D85</f>
        <v>5600000</v>
      </c>
      <c r="E22" s="95">
        <f>'Proy. ventas'!D144</f>
        <v>8400000</v>
      </c>
    </row>
    <row r="23" spans="2:5" x14ac:dyDescent="0.25">
      <c r="B23" s="397" t="str">
        <f>Hipótesis!B64</f>
        <v>Estilo 90</v>
      </c>
      <c r="C23" s="394">
        <f>'Proy. ventas'!D25</f>
        <v>2100000</v>
      </c>
      <c r="D23" s="96">
        <f>'Proy. ventas'!D86</f>
        <v>4200000</v>
      </c>
      <c r="E23" s="97">
        <f>'Proy. ventas'!D145</f>
        <v>6300000</v>
      </c>
    </row>
    <row r="24" spans="2:5" x14ac:dyDescent="0.25">
      <c r="B24" s="398" t="str">
        <f>Hipótesis!B65</f>
        <v>Estilo 80</v>
      </c>
      <c r="C24" s="395">
        <f>'Proy. ventas'!D26</f>
        <v>900000</v>
      </c>
      <c r="D24" s="98">
        <f>'Proy. ventas'!D87</f>
        <v>1800000</v>
      </c>
      <c r="E24" s="99">
        <f>'Proy. ventas'!D146</f>
        <v>2700000</v>
      </c>
    </row>
    <row r="25" spans="2:5" ht="15.75" thickBot="1" x14ac:dyDescent="0.3">
      <c r="B25" s="399" t="str">
        <f>Hipótesis!B66</f>
        <v>Estilo 70</v>
      </c>
      <c r="C25" s="396">
        <f>'Proy. ventas'!D27</f>
        <v>500000</v>
      </c>
      <c r="D25" s="371">
        <f>'Proy. ventas'!D88</f>
        <v>1000000</v>
      </c>
      <c r="E25" s="372">
        <f>'Proy. ventas'!D147</f>
        <v>1500000</v>
      </c>
    </row>
    <row r="26" spans="2:5" x14ac:dyDescent="0.25">
      <c r="B26" s="408" t="str">
        <f>Hipótesis!B67</f>
        <v>Ovalado</v>
      </c>
      <c r="C26" s="405">
        <f>'Proy. ventas'!D28</f>
        <v>2750000</v>
      </c>
      <c r="D26" s="373">
        <f>'Proy. ventas'!D89</f>
        <v>5500000</v>
      </c>
      <c r="E26" s="374">
        <f>'Proy. ventas'!D148</f>
        <v>8250000</v>
      </c>
    </row>
    <row r="27" spans="2:5" x14ac:dyDescent="0.25">
      <c r="B27" s="409" t="str">
        <f>Hipótesis!B68</f>
        <v>Rectangular</v>
      </c>
      <c r="C27" s="406">
        <f>'Proy. ventas'!D29</f>
        <v>2400000</v>
      </c>
      <c r="D27" s="100">
        <f>'Proy. ventas'!D90</f>
        <v>4800000</v>
      </c>
      <c r="E27" s="101">
        <f>'Proy. ventas'!D149</f>
        <v>7200000</v>
      </c>
    </row>
    <row r="28" spans="2:5" ht="15.75" thickBot="1" x14ac:dyDescent="0.3">
      <c r="B28" s="410" t="str">
        <f>Hipótesis!B69</f>
        <v>Hexagonal</v>
      </c>
      <c r="C28" s="407">
        <f>'Proy. ventas'!D30</f>
        <v>2450000</v>
      </c>
      <c r="D28" s="375">
        <f>'Proy. ventas'!D91</f>
        <v>4900000</v>
      </c>
      <c r="E28" s="376">
        <f>'Proy. ventas'!D150</f>
        <v>7350000</v>
      </c>
    </row>
    <row r="29" spans="2:5" ht="15.75" thickBot="1" x14ac:dyDescent="0.3">
      <c r="B29" s="497" t="s">
        <v>41</v>
      </c>
      <c r="C29" s="498">
        <f>SUM(C17:C28)</f>
        <v>29150000</v>
      </c>
      <c r="D29" s="498">
        <f>SUM(D17:D28)</f>
        <v>58300000</v>
      </c>
      <c r="E29" s="499">
        <f>SUM(E17:E28)</f>
        <v>87450000</v>
      </c>
    </row>
  </sheetData>
  <mergeCells count="2">
    <mergeCell ref="B7:D7"/>
    <mergeCell ref="B15:E15"/>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58"/>
  <sheetViews>
    <sheetView zoomScale="70" zoomScaleNormal="70" workbookViewId="0">
      <pane ySplit="1" topLeftCell="A2" activePane="bottomLeft" state="frozen"/>
      <selection pane="bottomLeft" activeCell="B3" sqref="B3"/>
    </sheetView>
  </sheetViews>
  <sheetFormatPr baseColWidth="10" defaultColWidth="11.42578125" defaultRowHeight="15" x14ac:dyDescent="0.25"/>
  <cols>
    <col min="1" max="1" width="11.42578125" style="1"/>
    <col min="2" max="2" width="15.140625" style="1" customWidth="1"/>
    <col min="3" max="3" width="66.5703125" style="1" customWidth="1"/>
    <col min="4" max="5" width="19.28515625" style="1" bestFit="1" customWidth="1"/>
    <col min="6" max="6" width="25.5703125" style="1" customWidth="1"/>
    <col min="7" max="7" width="19.28515625" style="1" bestFit="1" customWidth="1"/>
    <col min="8" max="8" width="18.85546875" style="1" bestFit="1" customWidth="1"/>
    <col min="9" max="9" width="19.28515625" style="1" bestFit="1" customWidth="1"/>
    <col min="10" max="10" width="22.7109375" style="1" customWidth="1"/>
    <col min="11" max="11" width="18.85546875" style="1" bestFit="1" customWidth="1"/>
    <col min="12" max="12" width="19.85546875" style="1" customWidth="1"/>
    <col min="13" max="13" width="19.28515625" style="1" bestFit="1" customWidth="1"/>
    <col min="14" max="15" width="18.85546875" style="1" bestFit="1" customWidth="1"/>
    <col min="16" max="16" width="21.7109375" style="1" bestFit="1" customWidth="1"/>
    <col min="17" max="17" width="105.28515625" style="1" customWidth="1"/>
    <col min="18" max="16384" width="11.42578125" style="1"/>
  </cols>
  <sheetData>
    <row r="1" spans="1:17" s="341" customFormat="1" ht="58.5" customHeight="1" x14ac:dyDescent="0.25">
      <c r="A1" s="344"/>
      <c r="B1" s="344"/>
      <c r="C1" s="344"/>
      <c r="D1" s="344"/>
      <c r="E1" s="344"/>
      <c r="F1" s="349" t="s">
        <v>4</v>
      </c>
      <c r="G1" s="350"/>
      <c r="H1" s="350"/>
      <c r="I1" s="344"/>
      <c r="J1" s="344"/>
      <c r="K1" s="344"/>
      <c r="L1" s="344"/>
      <c r="M1" s="344"/>
      <c r="N1" s="344"/>
      <c r="O1" s="344"/>
      <c r="P1" s="344"/>
      <c r="Q1" s="344"/>
    </row>
    <row r="2" spans="1:17" ht="15.75" thickBot="1" x14ac:dyDescent="0.3"/>
    <row r="3" spans="1:17" ht="27" thickBot="1" x14ac:dyDescent="0.45">
      <c r="C3" s="785" t="s">
        <v>22</v>
      </c>
      <c r="D3" s="786"/>
      <c r="E3" s="787"/>
      <c r="G3" s="785" t="s">
        <v>106</v>
      </c>
      <c r="H3" s="786"/>
      <c r="I3" s="787"/>
    </row>
    <row r="4" spans="1:17" x14ac:dyDescent="0.25">
      <c r="C4" s="504">
        <v>2021</v>
      </c>
      <c r="D4" s="503">
        <v>2022</v>
      </c>
      <c r="E4" s="505">
        <v>2023</v>
      </c>
      <c r="G4" s="504">
        <v>2021</v>
      </c>
      <c r="H4" s="503">
        <v>2022</v>
      </c>
      <c r="I4" s="505">
        <v>2023</v>
      </c>
    </row>
    <row r="5" spans="1:17" ht="15.75" thickBot="1" x14ac:dyDescent="0.3">
      <c r="C5" s="573">
        <f>Hipótesis!C24</f>
        <v>1.2999999999999999E-2</v>
      </c>
      <c r="D5" s="559">
        <f>Hipótesis!C25</f>
        <v>2.5000000000000001E-2</v>
      </c>
      <c r="E5" s="574">
        <f>Hipótesis!C26</f>
        <v>0.04</v>
      </c>
      <c r="G5" s="46">
        <f>P23</f>
        <v>3351744</v>
      </c>
      <c r="H5" s="47">
        <f>P40</f>
        <v>3951744</v>
      </c>
      <c r="I5" s="48">
        <f>P58</f>
        <v>4551744</v>
      </c>
    </row>
    <row r="6" spans="1:17" ht="15.75" thickBot="1" x14ac:dyDescent="0.3">
      <c r="C6" s="46">
        <f>Hipótesis!D24</f>
        <v>31551000</v>
      </c>
      <c r="D6" s="47">
        <f>Hipótesis!D25</f>
        <v>60675000</v>
      </c>
      <c r="E6" s="48">
        <f>Hipótesis!D26</f>
        <v>97080000</v>
      </c>
      <c r="G6" s="204"/>
      <c r="H6" s="204"/>
      <c r="I6" s="204"/>
    </row>
    <row r="8" spans="1:17" ht="15.75" thickBot="1" x14ac:dyDescent="0.3"/>
    <row r="9" spans="1:17" ht="27" thickBot="1" x14ac:dyDescent="0.45">
      <c r="B9" s="785" t="s">
        <v>105</v>
      </c>
      <c r="C9" s="786"/>
      <c r="D9" s="786"/>
      <c r="E9" s="786"/>
      <c r="F9" s="786"/>
      <c r="G9" s="786"/>
      <c r="H9" s="786"/>
      <c r="I9" s="786"/>
      <c r="J9" s="786"/>
      <c r="K9" s="786"/>
      <c r="L9" s="786"/>
      <c r="M9" s="786"/>
      <c r="N9" s="786"/>
      <c r="O9" s="786"/>
      <c r="P9" s="786"/>
      <c r="Q9" s="787"/>
    </row>
    <row r="10" spans="1:17" ht="19.5" thickBot="1" x14ac:dyDescent="0.3">
      <c r="B10" s="838" t="s">
        <v>98</v>
      </c>
      <c r="C10" s="839"/>
      <c r="D10" s="506" t="s">
        <v>27</v>
      </c>
      <c r="E10" s="507" t="s">
        <v>28</v>
      </c>
      <c r="F10" s="507" t="s">
        <v>29</v>
      </c>
      <c r="G10" s="507" t="s">
        <v>30</v>
      </c>
      <c r="H10" s="507" t="s">
        <v>31</v>
      </c>
      <c r="I10" s="507" t="s">
        <v>32</v>
      </c>
      <c r="J10" s="507" t="s">
        <v>33</v>
      </c>
      <c r="K10" s="507" t="s">
        <v>34</v>
      </c>
      <c r="L10" s="507" t="s">
        <v>35</v>
      </c>
      <c r="M10" s="507" t="s">
        <v>36</v>
      </c>
      <c r="N10" s="507" t="s">
        <v>37</v>
      </c>
      <c r="O10" s="508" t="s">
        <v>38</v>
      </c>
      <c r="P10" s="509" t="s">
        <v>100</v>
      </c>
      <c r="Q10" s="520" t="s">
        <v>99</v>
      </c>
    </row>
    <row r="11" spans="1:17" x14ac:dyDescent="0.25">
      <c r="B11" s="835" t="s">
        <v>91</v>
      </c>
      <c r="C11" s="198" t="s">
        <v>92</v>
      </c>
      <c r="D11" s="192">
        <v>1600</v>
      </c>
      <c r="E11" s="179">
        <v>0</v>
      </c>
      <c r="F11" s="179">
        <v>1600</v>
      </c>
      <c r="G11" s="179">
        <v>0</v>
      </c>
      <c r="H11" s="179">
        <v>1600</v>
      </c>
      <c r="I11" s="179">
        <v>0</v>
      </c>
      <c r="J11" s="179">
        <v>1600</v>
      </c>
      <c r="K11" s="179">
        <v>0</v>
      </c>
      <c r="L11" s="179">
        <v>1600</v>
      </c>
      <c r="M11" s="179">
        <v>0</v>
      </c>
      <c r="N11" s="179">
        <v>1600</v>
      </c>
      <c r="O11" s="180">
        <v>0</v>
      </c>
      <c r="P11" s="514">
        <f t="shared" ref="P11:P18" si="0">SUM(D11:O11)</f>
        <v>9600</v>
      </c>
      <c r="Q11" s="181"/>
    </row>
    <row r="12" spans="1:17" x14ac:dyDescent="0.25">
      <c r="B12" s="836"/>
      <c r="C12" s="199" t="s">
        <v>94</v>
      </c>
      <c r="D12" s="193">
        <v>11132</v>
      </c>
      <c r="E12" s="193">
        <v>11132</v>
      </c>
      <c r="F12" s="193">
        <v>11132</v>
      </c>
      <c r="G12" s="193">
        <v>11132</v>
      </c>
      <c r="H12" s="193">
        <v>11132</v>
      </c>
      <c r="I12" s="193">
        <v>11132</v>
      </c>
      <c r="J12" s="193">
        <v>11132</v>
      </c>
      <c r="K12" s="193">
        <v>11132</v>
      </c>
      <c r="L12" s="193">
        <v>11132</v>
      </c>
      <c r="M12" s="193">
        <v>11132</v>
      </c>
      <c r="N12" s="193">
        <v>11132</v>
      </c>
      <c r="O12" s="193">
        <v>11132</v>
      </c>
      <c r="P12" s="515">
        <f t="shared" si="0"/>
        <v>133584</v>
      </c>
      <c r="Q12" s="174"/>
    </row>
    <row r="13" spans="1:17" x14ac:dyDescent="0.25">
      <c r="B13" s="836"/>
      <c r="C13" s="199" t="s">
        <v>93</v>
      </c>
      <c r="D13" s="193">
        <v>1200</v>
      </c>
      <c r="E13" s="171">
        <v>1200</v>
      </c>
      <c r="F13" s="171">
        <v>1200</v>
      </c>
      <c r="G13" s="171">
        <v>1200</v>
      </c>
      <c r="H13" s="171">
        <v>1200</v>
      </c>
      <c r="I13" s="171">
        <v>1200</v>
      </c>
      <c r="J13" s="171">
        <v>1200</v>
      </c>
      <c r="K13" s="171">
        <v>1200</v>
      </c>
      <c r="L13" s="171">
        <v>1200</v>
      </c>
      <c r="M13" s="171">
        <v>1200</v>
      </c>
      <c r="N13" s="171">
        <v>1200</v>
      </c>
      <c r="O13" s="173">
        <v>1200</v>
      </c>
      <c r="P13" s="515">
        <f t="shared" si="0"/>
        <v>14400</v>
      </c>
      <c r="Q13" s="174"/>
    </row>
    <row r="14" spans="1:17" x14ac:dyDescent="0.25">
      <c r="B14" s="836"/>
      <c r="C14" s="199" t="s">
        <v>101</v>
      </c>
      <c r="D14" s="193">
        <v>390</v>
      </c>
      <c r="E14" s="171">
        <v>390</v>
      </c>
      <c r="F14" s="171">
        <v>390</v>
      </c>
      <c r="G14" s="171">
        <v>390</v>
      </c>
      <c r="H14" s="171">
        <v>390</v>
      </c>
      <c r="I14" s="171">
        <v>390</v>
      </c>
      <c r="J14" s="171">
        <v>390</v>
      </c>
      <c r="K14" s="171">
        <v>390</v>
      </c>
      <c r="L14" s="171">
        <v>390</v>
      </c>
      <c r="M14" s="171">
        <v>390</v>
      </c>
      <c r="N14" s="171">
        <v>390</v>
      </c>
      <c r="O14" s="173">
        <v>390</v>
      </c>
      <c r="P14" s="515">
        <f t="shared" si="0"/>
        <v>4680</v>
      </c>
      <c r="Q14" s="175"/>
    </row>
    <row r="15" spans="1:17" x14ac:dyDescent="0.25">
      <c r="B15" s="836"/>
      <c r="C15" s="200" t="s">
        <v>102</v>
      </c>
      <c r="D15" s="193">
        <v>2290</v>
      </c>
      <c r="E15" s="171">
        <v>2290</v>
      </c>
      <c r="F15" s="171">
        <v>2290</v>
      </c>
      <c r="G15" s="171">
        <v>2290</v>
      </c>
      <c r="H15" s="171">
        <v>2290</v>
      </c>
      <c r="I15" s="171">
        <v>2290</v>
      </c>
      <c r="J15" s="171">
        <v>2290</v>
      </c>
      <c r="K15" s="171">
        <v>2290</v>
      </c>
      <c r="L15" s="171">
        <v>2290</v>
      </c>
      <c r="M15" s="171">
        <v>2290</v>
      </c>
      <c r="N15" s="171">
        <v>2290</v>
      </c>
      <c r="O15" s="173">
        <v>2290</v>
      </c>
      <c r="P15" s="515">
        <f t="shared" ref="P15" si="1">SUM(D15:O15)</f>
        <v>27480</v>
      </c>
      <c r="Q15" s="176"/>
    </row>
    <row r="16" spans="1:17" x14ac:dyDescent="0.25">
      <c r="B16" s="836"/>
      <c r="C16" s="199" t="s">
        <v>103</v>
      </c>
      <c r="D16" s="193">
        <v>2500</v>
      </c>
      <c r="E16" s="171">
        <v>2500</v>
      </c>
      <c r="F16" s="171">
        <v>2500</v>
      </c>
      <c r="G16" s="171">
        <v>2500</v>
      </c>
      <c r="H16" s="171">
        <v>2500</v>
      </c>
      <c r="I16" s="171">
        <v>2500</v>
      </c>
      <c r="J16" s="171">
        <v>2500</v>
      </c>
      <c r="K16" s="171">
        <v>2500</v>
      </c>
      <c r="L16" s="171">
        <v>2500</v>
      </c>
      <c r="M16" s="171">
        <v>2500</v>
      </c>
      <c r="N16" s="171">
        <v>2500</v>
      </c>
      <c r="O16" s="171">
        <v>2500</v>
      </c>
      <c r="P16" s="515">
        <f t="shared" si="0"/>
        <v>30000</v>
      </c>
      <c r="Q16" s="176"/>
    </row>
    <row r="17" spans="2:17" x14ac:dyDescent="0.25">
      <c r="B17" s="836"/>
      <c r="C17" s="199"/>
      <c r="D17" s="193"/>
      <c r="E17" s="171"/>
      <c r="F17" s="171"/>
      <c r="G17" s="171"/>
      <c r="H17" s="171"/>
      <c r="I17" s="171"/>
      <c r="J17" s="171"/>
      <c r="K17" s="171"/>
      <c r="L17" s="171"/>
      <c r="M17" s="171"/>
      <c r="N17" s="171"/>
      <c r="O17" s="173"/>
      <c r="P17" s="515"/>
      <c r="Q17" s="176"/>
    </row>
    <row r="18" spans="2:17" ht="16.5" customHeight="1" thickBot="1" x14ac:dyDescent="0.3">
      <c r="B18" s="837"/>
      <c r="C18" s="201"/>
      <c r="D18" s="194"/>
      <c r="E18" s="182"/>
      <c r="F18" s="182"/>
      <c r="G18" s="182"/>
      <c r="H18" s="182"/>
      <c r="I18" s="182"/>
      <c r="J18" s="182"/>
      <c r="K18" s="182"/>
      <c r="L18" s="182"/>
      <c r="M18" s="182"/>
      <c r="N18" s="182"/>
      <c r="O18" s="183"/>
      <c r="P18" s="516">
        <f t="shared" si="0"/>
        <v>0</v>
      </c>
      <c r="Q18" s="184"/>
    </row>
    <row r="19" spans="2:17" ht="36.75" customHeight="1" x14ac:dyDescent="0.25">
      <c r="B19" s="840" t="s">
        <v>95</v>
      </c>
      <c r="C19" s="202" t="s">
        <v>298</v>
      </c>
      <c r="D19" s="195">
        <v>150000</v>
      </c>
      <c r="E19" s="185">
        <v>150000</v>
      </c>
      <c r="F19" s="185">
        <v>150000</v>
      </c>
      <c r="G19" s="185">
        <v>150000</v>
      </c>
      <c r="H19" s="185">
        <v>150000</v>
      </c>
      <c r="I19" s="185">
        <v>150000</v>
      </c>
      <c r="J19" s="185">
        <v>175000</v>
      </c>
      <c r="K19" s="185">
        <v>175000</v>
      </c>
      <c r="L19" s="185">
        <v>175000</v>
      </c>
      <c r="M19" s="185">
        <v>175000</v>
      </c>
      <c r="N19" s="185">
        <v>175000</v>
      </c>
      <c r="O19" s="186">
        <v>175000</v>
      </c>
      <c r="P19" s="517">
        <f t="shared" ref="P19:P22" si="2">SUM(D19:O19)</f>
        <v>1950000</v>
      </c>
      <c r="Q19" s="187"/>
    </row>
    <row r="20" spans="2:17" ht="22.5" customHeight="1" thickBot="1" x14ac:dyDescent="0.3">
      <c r="B20" s="841"/>
      <c r="C20" s="201" t="s">
        <v>104</v>
      </c>
      <c r="D20" s="194">
        <v>0</v>
      </c>
      <c r="E20" s="182">
        <v>0</v>
      </c>
      <c r="F20" s="182">
        <v>0</v>
      </c>
      <c r="G20" s="182">
        <v>0</v>
      </c>
      <c r="H20" s="182">
        <v>0</v>
      </c>
      <c r="I20" s="182">
        <v>0</v>
      </c>
      <c r="J20" s="182">
        <v>0</v>
      </c>
      <c r="K20" s="182">
        <v>0</v>
      </c>
      <c r="L20" s="182">
        <v>0</v>
      </c>
      <c r="M20" s="182">
        <v>0</v>
      </c>
      <c r="N20" s="182">
        <v>0</v>
      </c>
      <c r="O20" s="183">
        <v>0</v>
      </c>
      <c r="P20" s="516">
        <f t="shared" si="2"/>
        <v>0</v>
      </c>
      <c r="Q20" s="184"/>
    </row>
    <row r="21" spans="2:17" ht="19.5" thickBot="1" x14ac:dyDescent="0.35">
      <c r="B21" s="510" t="s">
        <v>96</v>
      </c>
      <c r="C21" s="203" t="s">
        <v>97</v>
      </c>
      <c r="D21" s="196">
        <v>8500</v>
      </c>
      <c r="E21" s="188">
        <v>8500</v>
      </c>
      <c r="F21" s="188">
        <v>8500</v>
      </c>
      <c r="G21" s="188">
        <v>8500</v>
      </c>
      <c r="H21" s="188">
        <v>8500</v>
      </c>
      <c r="I21" s="188">
        <v>8500</v>
      </c>
      <c r="J21" s="188">
        <v>8500</v>
      </c>
      <c r="K21" s="188">
        <v>8500</v>
      </c>
      <c r="L21" s="188">
        <v>8500</v>
      </c>
      <c r="M21" s="188">
        <v>8500</v>
      </c>
      <c r="N21" s="188">
        <v>8500</v>
      </c>
      <c r="O21" s="189">
        <v>8500</v>
      </c>
      <c r="P21" s="518">
        <f t="shared" si="2"/>
        <v>102000</v>
      </c>
      <c r="Q21" s="190"/>
    </row>
    <row r="22" spans="2:17" ht="20.25" customHeight="1" thickBot="1" x14ac:dyDescent="0.3">
      <c r="B22" s="611" t="s">
        <v>315</v>
      </c>
      <c r="C22" s="201" t="s">
        <v>314</v>
      </c>
      <c r="D22" s="197">
        <v>90000</v>
      </c>
      <c r="E22" s="197">
        <v>90000</v>
      </c>
      <c r="F22" s="197">
        <v>90000</v>
      </c>
      <c r="G22" s="197">
        <v>90000</v>
      </c>
      <c r="H22" s="197">
        <v>90000</v>
      </c>
      <c r="I22" s="197">
        <v>90000</v>
      </c>
      <c r="J22" s="197">
        <v>90000</v>
      </c>
      <c r="K22" s="197">
        <v>90000</v>
      </c>
      <c r="L22" s="197">
        <v>90000</v>
      </c>
      <c r="M22" s="197">
        <v>90000</v>
      </c>
      <c r="N22" s="197">
        <v>90000</v>
      </c>
      <c r="O22" s="197">
        <v>90000</v>
      </c>
      <c r="P22" s="519">
        <f t="shared" si="2"/>
        <v>1080000</v>
      </c>
      <c r="Q22" s="175"/>
    </row>
    <row r="23" spans="2:17" ht="15.75" thickBot="1" x14ac:dyDescent="0.3">
      <c r="B23" s="7"/>
      <c r="C23" s="511" t="s">
        <v>15</v>
      </c>
      <c r="D23" s="512">
        <f t="shared" ref="D23:P23" si="3">SUM(D11:D22)</f>
        <v>267612</v>
      </c>
      <c r="E23" s="512">
        <f t="shared" si="3"/>
        <v>266012</v>
      </c>
      <c r="F23" s="512">
        <f t="shared" si="3"/>
        <v>267612</v>
      </c>
      <c r="G23" s="512">
        <f t="shared" si="3"/>
        <v>266012</v>
      </c>
      <c r="H23" s="512">
        <f t="shared" si="3"/>
        <v>267612</v>
      </c>
      <c r="I23" s="512">
        <f t="shared" si="3"/>
        <v>266012</v>
      </c>
      <c r="J23" s="512">
        <f t="shared" si="3"/>
        <v>292612</v>
      </c>
      <c r="K23" s="512">
        <f t="shared" si="3"/>
        <v>291012</v>
      </c>
      <c r="L23" s="512">
        <f t="shared" si="3"/>
        <v>292612</v>
      </c>
      <c r="M23" s="512">
        <f t="shared" si="3"/>
        <v>291012</v>
      </c>
      <c r="N23" s="512">
        <f t="shared" si="3"/>
        <v>292612</v>
      </c>
      <c r="O23" s="513">
        <f t="shared" si="3"/>
        <v>291012</v>
      </c>
      <c r="P23" s="191">
        <f t="shared" si="3"/>
        <v>3351744</v>
      </c>
      <c r="Q23" s="172"/>
    </row>
    <row r="25" spans="2:17" ht="15.75" thickBot="1" x14ac:dyDescent="0.3"/>
    <row r="26" spans="2:17" ht="27" thickBot="1" x14ac:dyDescent="0.45">
      <c r="B26" s="785" t="s">
        <v>278</v>
      </c>
      <c r="C26" s="786"/>
      <c r="D26" s="786"/>
      <c r="E26" s="786"/>
      <c r="F26" s="786"/>
      <c r="G26" s="786"/>
      <c r="H26" s="786"/>
      <c r="I26" s="786"/>
      <c r="J26" s="786"/>
      <c r="K26" s="786"/>
      <c r="L26" s="786"/>
      <c r="M26" s="786"/>
      <c r="N26" s="786"/>
      <c r="O26" s="786"/>
      <c r="P26" s="786"/>
      <c r="Q26" s="787"/>
    </row>
    <row r="27" spans="2:17" ht="19.5" thickBot="1" x14ac:dyDescent="0.3">
      <c r="B27" s="838" t="s">
        <v>98</v>
      </c>
      <c r="C27" s="839"/>
      <c r="D27" s="506" t="s">
        <v>27</v>
      </c>
      <c r="E27" s="507" t="s">
        <v>28</v>
      </c>
      <c r="F27" s="507" t="s">
        <v>29</v>
      </c>
      <c r="G27" s="507" t="s">
        <v>30</v>
      </c>
      <c r="H27" s="507" t="s">
        <v>31</v>
      </c>
      <c r="I27" s="507" t="s">
        <v>32</v>
      </c>
      <c r="J27" s="507" t="s">
        <v>33</v>
      </c>
      <c r="K27" s="507" t="s">
        <v>34</v>
      </c>
      <c r="L27" s="507" t="s">
        <v>35</v>
      </c>
      <c r="M27" s="507" t="s">
        <v>36</v>
      </c>
      <c r="N27" s="507" t="s">
        <v>37</v>
      </c>
      <c r="O27" s="508" t="s">
        <v>38</v>
      </c>
      <c r="P27" s="509" t="s">
        <v>100</v>
      </c>
      <c r="Q27" s="520" t="s">
        <v>99</v>
      </c>
    </row>
    <row r="28" spans="2:17" x14ac:dyDescent="0.25">
      <c r="B28" s="835" t="s">
        <v>91</v>
      </c>
      <c r="C28" s="198" t="s">
        <v>92</v>
      </c>
      <c r="D28" s="192">
        <v>1600</v>
      </c>
      <c r="E28" s="179">
        <v>0</v>
      </c>
      <c r="F28" s="179">
        <v>1600</v>
      </c>
      <c r="G28" s="179">
        <v>0</v>
      </c>
      <c r="H28" s="179">
        <v>1600</v>
      </c>
      <c r="I28" s="179">
        <v>0</v>
      </c>
      <c r="J28" s="179">
        <v>1600</v>
      </c>
      <c r="K28" s="179">
        <v>0</v>
      </c>
      <c r="L28" s="179">
        <v>1600</v>
      </c>
      <c r="M28" s="179">
        <v>0</v>
      </c>
      <c r="N28" s="179">
        <v>1600</v>
      </c>
      <c r="O28" s="180">
        <v>0</v>
      </c>
      <c r="P28" s="514">
        <f t="shared" ref="P28:P35" si="4">SUM(D28:O28)</f>
        <v>9600</v>
      </c>
      <c r="Q28" s="181"/>
    </row>
    <row r="29" spans="2:17" x14ac:dyDescent="0.25">
      <c r="B29" s="836"/>
      <c r="C29" s="199" t="s">
        <v>94</v>
      </c>
      <c r="D29" s="193">
        <v>11132</v>
      </c>
      <c r="E29" s="193">
        <v>11132</v>
      </c>
      <c r="F29" s="193">
        <v>11132</v>
      </c>
      <c r="G29" s="193">
        <v>11132</v>
      </c>
      <c r="H29" s="193">
        <v>11132</v>
      </c>
      <c r="I29" s="193">
        <v>11132</v>
      </c>
      <c r="J29" s="193">
        <v>11132</v>
      </c>
      <c r="K29" s="193">
        <v>11132</v>
      </c>
      <c r="L29" s="193">
        <v>11132</v>
      </c>
      <c r="M29" s="193">
        <v>11132</v>
      </c>
      <c r="N29" s="193">
        <v>11132</v>
      </c>
      <c r="O29" s="193">
        <v>11132</v>
      </c>
      <c r="P29" s="515">
        <f t="shared" si="4"/>
        <v>133584</v>
      </c>
      <c r="Q29" s="174"/>
    </row>
    <row r="30" spans="2:17" x14ac:dyDescent="0.25">
      <c r="B30" s="836"/>
      <c r="C30" s="199" t="s">
        <v>93</v>
      </c>
      <c r="D30" s="193">
        <v>1200</v>
      </c>
      <c r="E30" s="171">
        <v>1200</v>
      </c>
      <c r="F30" s="171">
        <v>1200</v>
      </c>
      <c r="G30" s="171">
        <v>1200</v>
      </c>
      <c r="H30" s="171">
        <v>1200</v>
      </c>
      <c r="I30" s="171">
        <v>1200</v>
      </c>
      <c r="J30" s="171">
        <v>1200</v>
      </c>
      <c r="K30" s="171">
        <v>1200</v>
      </c>
      <c r="L30" s="171">
        <v>1200</v>
      </c>
      <c r="M30" s="171">
        <v>1200</v>
      </c>
      <c r="N30" s="171">
        <v>1200</v>
      </c>
      <c r="O30" s="173">
        <v>1200</v>
      </c>
      <c r="P30" s="515">
        <f t="shared" si="4"/>
        <v>14400</v>
      </c>
      <c r="Q30" s="174"/>
    </row>
    <row r="31" spans="2:17" x14ac:dyDescent="0.25">
      <c r="B31" s="836"/>
      <c r="C31" s="199" t="s">
        <v>101</v>
      </c>
      <c r="D31" s="193">
        <v>390</v>
      </c>
      <c r="E31" s="171">
        <v>390</v>
      </c>
      <c r="F31" s="171">
        <v>390</v>
      </c>
      <c r="G31" s="171">
        <v>390</v>
      </c>
      <c r="H31" s="171">
        <v>390</v>
      </c>
      <c r="I31" s="171">
        <v>390</v>
      </c>
      <c r="J31" s="171">
        <v>390</v>
      </c>
      <c r="K31" s="171">
        <v>390</v>
      </c>
      <c r="L31" s="171">
        <v>390</v>
      </c>
      <c r="M31" s="171">
        <v>390</v>
      </c>
      <c r="N31" s="171">
        <v>390</v>
      </c>
      <c r="O31" s="173">
        <v>390</v>
      </c>
      <c r="P31" s="515">
        <f t="shared" si="4"/>
        <v>4680</v>
      </c>
      <c r="Q31" s="175"/>
    </row>
    <row r="32" spans="2:17" x14ac:dyDescent="0.25">
      <c r="B32" s="836"/>
      <c r="C32" s="200" t="s">
        <v>102</v>
      </c>
      <c r="D32" s="193">
        <v>2290</v>
      </c>
      <c r="E32" s="171">
        <v>2290</v>
      </c>
      <c r="F32" s="171">
        <v>2290</v>
      </c>
      <c r="G32" s="171">
        <v>2290</v>
      </c>
      <c r="H32" s="171">
        <v>2290</v>
      </c>
      <c r="I32" s="171">
        <v>2290</v>
      </c>
      <c r="J32" s="171">
        <v>2290</v>
      </c>
      <c r="K32" s="171">
        <v>2290</v>
      </c>
      <c r="L32" s="171">
        <v>2290</v>
      </c>
      <c r="M32" s="171">
        <v>2290</v>
      </c>
      <c r="N32" s="171">
        <v>2290</v>
      </c>
      <c r="O32" s="173">
        <v>2290</v>
      </c>
      <c r="P32" s="515">
        <f t="shared" si="4"/>
        <v>27480</v>
      </c>
      <c r="Q32" s="176"/>
    </row>
    <row r="33" spans="2:17" x14ac:dyDescent="0.25">
      <c r="B33" s="836"/>
      <c r="C33" s="199" t="s">
        <v>103</v>
      </c>
      <c r="D33" s="193">
        <v>2500</v>
      </c>
      <c r="E33" s="171">
        <v>2500</v>
      </c>
      <c r="F33" s="171">
        <v>2500</v>
      </c>
      <c r="G33" s="171">
        <v>2500</v>
      </c>
      <c r="H33" s="171">
        <v>2500</v>
      </c>
      <c r="I33" s="171">
        <v>2500</v>
      </c>
      <c r="J33" s="171">
        <v>2500</v>
      </c>
      <c r="K33" s="171">
        <v>2500</v>
      </c>
      <c r="L33" s="171">
        <v>2500</v>
      </c>
      <c r="M33" s="171">
        <v>2500</v>
      </c>
      <c r="N33" s="171">
        <v>2500</v>
      </c>
      <c r="O33" s="171">
        <v>2500</v>
      </c>
      <c r="P33" s="515">
        <f t="shared" si="4"/>
        <v>30000</v>
      </c>
      <c r="Q33" s="176"/>
    </row>
    <row r="34" spans="2:17" x14ac:dyDescent="0.25">
      <c r="B34" s="836"/>
      <c r="C34" s="199"/>
      <c r="D34" s="193"/>
      <c r="E34" s="171"/>
      <c r="F34" s="171"/>
      <c r="G34" s="171"/>
      <c r="H34" s="171"/>
      <c r="I34" s="171"/>
      <c r="J34" s="171"/>
      <c r="K34" s="171"/>
      <c r="L34" s="171"/>
      <c r="M34" s="171"/>
      <c r="N34" s="171"/>
      <c r="O34" s="173"/>
      <c r="P34" s="515">
        <f t="shared" si="4"/>
        <v>0</v>
      </c>
      <c r="Q34" s="176"/>
    </row>
    <row r="35" spans="2:17" ht="15.75" thickBot="1" x14ac:dyDescent="0.3">
      <c r="B35" s="837"/>
      <c r="C35" s="201"/>
      <c r="D35" s="194"/>
      <c r="E35" s="182"/>
      <c r="F35" s="182"/>
      <c r="G35" s="182"/>
      <c r="H35" s="182"/>
      <c r="I35" s="182"/>
      <c r="J35" s="182"/>
      <c r="K35" s="182"/>
      <c r="L35" s="182"/>
      <c r="M35" s="182"/>
      <c r="N35" s="182"/>
      <c r="O35" s="183"/>
      <c r="P35" s="516">
        <f t="shared" si="4"/>
        <v>0</v>
      </c>
      <c r="Q35" s="184"/>
    </row>
    <row r="36" spans="2:17" x14ac:dyDescent="0.25">
      <c r="B36" s="840" t="s">
        <v>95</v>
      </c>
      <c r="C36" s="202" t="s">
        <v>298</v>
      </c>
      <c r="D36" s="195">
        <v>200000</v>
      </c>
      <c r="E36" s="185">
        <v>200000</v>
      </c>
      <c r="F36" s="185">
        <v>200000</v>
      </c>
      <c r="G36" s="185">
        <v>200000</v>
      </c>
      <c r="H36" s="185">
        <v>200000</v>
      </c>
      <c r="I36" s="185">
        <v>200000</v>
      </c>
      <c r="J36" s="185">
        <v>225000</v>
      </c>
      <c r="K36" s="185">
        <v>225000</v>
      </c>
      <c r="L36" s="185">
        <v>225000</v>
      </c>
      <c r="M36" s="185">
        <v>225000</v>
      </c>
      <c r="N36" s="185">
        <v>225000</v>
      </c>
      <c r="O36" s="186">
        <v>225000</v>
      </c>
      <c r="P36" s="517">
        <f t="shared" ref="P36:P39" si="5">SUM(D36:O36)</f>
        <v>2550000</v>
      </c>
      <c r="Q36" s="187" t="s">
        <v>284</v>
      </c>
    </row>
    <row r="37" spans="2:17" ht="15.75" thickBot="1" x14ac:dyDescent="0.3">
      <c r="B37" s="841"/>
      <c r="C37" s="201" t="s">
        <v>104</v>
      </c>
      <c r="D37" s="194">
        <v>0</v>
      </c>
      <c r="E37" s="182">
        <v>0</v>
      </c>
      <c r="F37" s="182">
        <v>0</v>
      </c>
      <c r="G37" s="182">
        <v>0</v>
      </c>
      <c r="H37" s="182">
        <v>0</v>
      </c>
      <c r="I37" s="182">
        <v>0</v>
      </c>
      <c r="J37" s="182">
        <v>0</v>
      </c>
      <c r="K37" s="182">
        <v>0</v>
      </c>
      <c r="L37" s="182">
        <v>0</v>
      </c>
      <c r="M37" s="182">
        <v>0</v>
      </c>
      <c r="N37" s="182">
        <v>0</v>
      </c>
      <c r="O37" s="183">
        <v>0</v>
      </c>
      <c r="P37" s="516">
        <f t="shared" si="5"/>
        <v>0</v>
      </c>
      <c r="Q37" s="184"/>
    </row>
    <row r="38" spans="2:17" ht="19.5" thickBot="1" x14ac:dyDescent="0.35">
      <c r="B38" s="510" t="s">
        <v>96</v>
      </c>
      <c r="C38" s="203" t="s">
        <v>97</v>
      </c>
      <c r="D38" s="196">
        <v>8500</v>
      </c>
      <c r="E38" s="188">
        <v>8500</v>
      </c>
      <c r="F38" s="188">
        <v>8500</v>
      </c>
      <c r="G38" s="188">
        <v>8500</v>
      </c>
      <c r="H38" s="188">
        <v>8500</v>
      </c>
      <c r="I38" s="188">
        <v>8500</v>
      </c>
      <c r="J38" s="188">
        <v>8500</v>
      </c>
      <c r="K38" s="188">
        <v>8500</v>
      </c>
      <c r="L38" s="188">
        <v>8500</v>
      </c>
      <c r="M38" s="188">
        <v>8500</v>
      </c>
      <c r="N38" s="188">
        <v>8500</v>
      </c>
      <c r="O38" s="189">
        <v>8500</v>
      </c>
      <c r="P38" s="518">
        <f t="shared" si="5"/>
        <v>102000</v>
      </c>
      <c r="Q38" s="190"/>
    </row>
    <row r="39" spans="2:17" ht="19.5" customHeight="1" thickBot="1" x14ac:dyDescent="0.3">
      <c r="B39" s="611" t="s">
        <v>315</v>
      </c>
      <c r="C39" s="201" t="s">
        <v>314</v>
      </c>
      <c r="D39" s="197">
        <v>90000</v>
      </c>
      <c r="E39" s="197">
        <v>90000</v>
      </c>
      <c r="F39" s="197">
        <v>90000</v>
      </c>
      <c r="G39" s="197">
        <v>90000</v>
      </c>
      <c r="H39" s="197">
        <v>90000</v>
      </c>
      <c r="I39" s="197">
        <v>90000</v>
      </c>
      <c r="J39" s="197">
        <v>90000</v>
      </c>
      <c r="K39" s="197">
        <v>90000</v>
      </c>
      <c r="L39" s="197">
        <v>90000</v>
      </c>
      <c r="M39" s="197">
        <v>90000</v>
      </c>
      <c r="N39" s="197">
        <v>90000</v>
      </c>
      <c r="O39" s="197">
        <v>90000</v>
      </c>
      <c r="P39" s="519">
        <f t="shared" si="5"/>
        <v>1080000</v>
      </c>
      <c r="Q39" s="175"/>
    </row>
    <row r="40" spans="2:17" ht="15.75" thickBot="1" x14ac:dyDescent="0.3">
      <c r="B40" s="7"/>
      <c r="C40" s="511" t="s">
        <v>15</v>
      </c>
      <c r="D40" s="512">
        <f t="shared" ref="D40:P40" si="6">SUM(D28:D39)</f>
        <v>317612</v>
      </c>
      <c r="E40" s="512">
        <f t="shared" si="6"/>
        <v>316012</v>
      </c>
      <c r="F40" s="512">
        <f t="shared" si="6"/>
        <v>317612</v>
      </c>
      <c r="G40" s="512">
        <f t="shared" si="6"/>
        <v>316012</v>
      </c>
      <c r="H40" s="512">
        <f t="shared" si="6"/>
        <v>317612</v>
      </c>
      <c r="I40" s="512">
        <f t="shared" si="6"/>
        <v>316012</v>
      </c>
      <c r="J40" s="512">
        <f t="shared" si="6"/>
        <v>342612</v>
      </c>
      <c r="K40" s="512">
        <f t="shared" si="6"/>
        <v>341012</v>
      </c>
      <c r="L40" s="512">
        <f t="shared" si="6"/>
        <v>342612</v>
      </c>
      <c r="M40" s="512">
        <f t="shared" si="6"/>
        <v>341012</v>
      </c>
      <c r="N40" s="512">
        <f t="shared" si="6"/>
        <v>342612</v>
      </c>
      <c r="O40" s="513">
        <f t="shared" si="6"/>
        <v>341012</v>
      </c>
      <c r="P40" s="191">
        <f t="shared" si="6"/>
        <v>3951744</v>
      </c>
      <c r="Q40" s="172"/>
    </row>
    <row r="43" spans="2:17" ht="15.75" thickBot="1" x14ac:dyDescent="0.3"/>
    <row r="44" spans="2:17" ht="27" thickBot="1" x14ac:dyDescent="0.45">
      <c r="B44" s="785" t="s">
        <v>367</v>
      </c>
      <c r="C44" s="786"/>
      <c r="D44" s="786"/>
      <c r="E44" s="786"/>
      <c r="F44" s="786"/>
      <c r="G44" s="786"/>
      <c r="H44" s="786"/>
      <c r="I44" s="786"/>
      <c r="J44" s="786"/>
      <c r="K44" s="786"/>
      <c r="L44" s="786"/>
      <c r="M44" s="786"/>
      <c r="N44" s="786"/>
      <c r="O44" s="786"/>
      <c r="P44" s="786"/>
      <c r="Q44" s="787"/>
    </row>
    <row r="45" spans="2:17" ht="19.5" thickBot="1" x14ac:dyDescent="0.3">
      <c r="B45" s="838" t="s">
        <v>98</v>
      </c>
      <c r="C45" s="839"/>
      <c r="D45" s="506" t="s">
        <v>27</v>
      </c>
      <c r="E45" s="507" t="s">
        <v>28</v>
      </c>
      <c r="F45" s="507" t="s">
        <v>29</v>
      </c>
      <c r="G45" s="507" t="s">
        <v>30</v>
      </c>
      <c r="H45" s="507" t="s">
        <v>31</v>
      </c>
      <c r="I45" s="507" t="s">
        <v>32</v>
      </c>
      <c r="J45" s="507" t="s">
        <v>33</v>
      </c>
      <c r="K45" s="507" t="s">
        <v>34</v>
      </c>
      <c r="L45" s="507" t="s">
        <v>35</v>
      </c>
      <c r="M45" s="507" t="s">
        <v>36</v>
      </c>
      <c r="N45" s="507" t="s">
        <v>37</v>
      </c>
      <c r="O45" s="508" t="s">
        <v>38</v>
      </c>
      <c r="P45" s="509" t="s">
        <v>100</v>
      </c>
      <c r="Q45" s="520" t="s">
        <v>99</v>
      </c>
    </row>
    <row r="46" spans="2:17" x14ac:dyDescent="0.25">
      <c r="B46" s="835" t="s">
        <v>91</v>
      </c>
      <c r="C46" s="198" t="s">
        <v>92</v>
      </c>
      <c r="D46" s="192">
        <v>1600</v>
      </c>
      <c r="E46" s="179">
        <v>0</v>
      </c>
      <c r="F46" s="179">
        <v>1600</v>
      </c>
      <c r="G46" s="179">
        <v>0</v>
      </c>
      <c r="H46" s="179">
        <v>1600</v>
      </c>
      <c r="I46" s="179">
        <v>0</v>
      </c>
      <c r="J46" s="179">
        <v>1600</v>
      </c>
      <c r="K46" s="179">
        <v>0</v>
      </c>
      <c r="L46" s="179">
        <v>1600</v>
      </c>
      <c r="M46" s="179">
        <v>0</v>
      </c>
      <c r="N46" s="179">
        <v>1600</v>
      </c>
      <c r="O46" s="180">
        <v>0</v>
      </c>
      <c r="P46" s="514">
        <f t="shared" ref="P46:P53" si="7">SUM(D46:O46)</f>
        <v>9600</v>
      </c>
      <c r="Q46" s="181"/>
    </row>
    <row r="47" spans="2:17" x14ac:dyDescent="0.25">
      <c r="B47" s="836"/>
      <c r="C47" s="199" t="s">
        <v>94</v>
      </c>
      <c r="D47" s="193">
        <v>11132</v>
      </c>
      <c r="E47" s="193">
        <v>11132</v>
      </c>
      <c r="F47" s="193">
        <v>11132</v>
      </c>
      <c r="G47" s="193">
        <v>11132</v>
      </c>
      <c r="H47" s="193">
        <v>11132</v>
      </c>
      <c r="I47" s="193">
        <v>11132</v>
      </c>
      <c r="J47" s="193">
        <v>11132</v>
      </c>
      <c r="K47" s="193">
        <v>11132</v>
      </c>
      <c r="L47" s="193">
        <v>11132</v>
      </c>
      <c r="M47" s="193">
        <v>11132</v>
      </c>
      <c r="N47" s="193">
        <v>11132</v>
      </c>
      <c r="O47" s="193">
        <v>11132</v>
      </c>
      <c r="P47" s="515">
        <f t="shared" si="7"/>
        <v>133584</v>
      </c>
      <c r="Q47" s="174"/>
    </row>
    <row r="48" spans="2:17" x14ac:dyDescent="0.25">
      <c r="B48" s="836"/>
      <c r="C48" s="199" t="s">
        <v>93</v>
      </c>
      <c r="D48" s="193">
        <v>1200</v>
      </c>
      <c r="E48" s="171">
        <v>1200</v>
      </c>
      <c r="F48" s="171">
        <v>1200</v>
      </c>
      <c r="G48" s="171">
        <v>1200</v>
      </c>
      <c r="H48" s="171">
        <v>1200</v>
      </c>
      <c r="I48" s="171">
        <v>1200</v>
      </c>
      <c r="J48" s="171">
        <v>1200</v>
      </c>
      <c r="K48" s="171">
        <v>1200</v>
      </c>
      <c r="L48" s="171">
        <v>1200</v>
      </c>
      <c r="M48" s="171">
        <v>1200</v>
      </c>
      <c r="N48" s="171">
        <v>1200</v>
      </c>
      <c r="O48" s="173">
        <v>1200</v>
      </c>
      <c r="P48" s="515">
        <f t="shared" si="7"/>
        <v>14400</v>
      </c>
      <c r="Q48" s="174"/>
    </row>
    <row r="49" spans="2:17" x14ac:dyDescent="0.25">
      <c r="B49" s="836"/>
      <c r="C49" s="199" t="s">
        <v>101</v>
      </c>
      <c r="D49" s="193">
        <v>390</v>
      </c>
      <c r="E49" s="171">
        <v>390</v>
      </c>
      <c r="F49" s="171">
        <v>390</v>
      </c>
      <c r="G49" s="171">
        <v>390</v>
      </c>
      <c r="H49" s="171">
        <v>390</v>
      </c>
      <c r="I49" s="171">
        <v>390</v>
      </c>
      <c r="J49" s="171">
        <v>390</v>
      </c>
      <c r="K49" s="171">
        <v>390</v>
      </c>
      <c r="L49" s="171">
        <v>390</v>
      </c>
      <c r="M49" s="171">
        <v>390</v>
      </c>
      <c r="N49" s="171">
        <v>390</v>
      </c>
      <c r="O49" s="173">
        <v>390</v>
      </c>
      <c r="P49" s="515">
        <f t="shared" si="7"/>
        <v>4680</v>
      </c>
      <c r="Q49" s="175"/>
    </row>
    <row r="50" spans="2:17" x14ac:dyDescent="0.25">
      <c r="B50" s="836"/>
      <c r="C50" s="200" t="s">
        <v>102</v>
      </c>
      <c r="D50" s="193">
        <v>2290</v>
      </c>
      <c r="E50" s="171">
        <v>2290</v>
      </c>
      <c r="F50" s="171">
        <v>2290</v>
      </c>
      <c r="G50" s="171">
        <v>2290</v>
      </c>
      <c r="H50" s="171">
        <v>2290</v>
      </c>
      <c r="I50" s="171">
        <v>2290</v>
      </c>
      <c r="J50" s="171">
        <v>2290</v>
      </c>
      <c r="K50" s="171">
        <v>2290</v>
      </c>
      <c r="L50" s="171">
        <v>2290</v>
      </c>
      <c r="M50" s="171">
        <v>2290</v>
      </c>
      <c r="N50" s="171">
        <v>2290</v>
      </c>
      <c r="O50" s="173">
        <v>2290</v>
      </c>
      <c r="P50" s="515">
        <f t="shared" si="7"/>
        <v>27480</v>
      </c>
      <c r="Q50" s="176"/>
    </row>
    <row r="51" spans="2:17" x14ac:dyDescent="0.25">
      <c r="B51" s="836"/>
      <c r="C51" s="199" t="s">
        <v>103</v>
      </c>
      <c r="D51" s="193">
        <v>2500</v>
      </c>
      <c r="E51" s="171">
        <v>2500</v>
      </c>
      <c r="F51" s="171">
        <v>2500</v>
      </c>
      <c r="G51" s="171">
        <v>2500</v>
      </c>
      <c r="H51" s="171">
        <v>2500</v>
      </c>
      <c r="I51" s="171">
        <v>2500</v>
      </c>
      <c r="J51" s="171">
        <v>2500</v>
      </c>
      <c r="K51" s="171">
        <v>2500</v>
      </c>
      <c r="L51" s="171">
        <v>2500</v>
      </c>
      <c r="M51" s="171">
        <v>2500</v>
      </c>
      <c r="N51" s="171">
        <v>2500</v>
      </c>
      <c r="O51" s="171">
        <v>2500</v>
      </c>
      <c r="P51" s="515">
        <f t="shared" si="7"/>
        <v>30000</v>
      </c>
      <c r="Q51" s="176"/>
    </row>
    <row r="52" spans="2:17" x14ac:dyDescent="0.25">
      <c r="B52" s="836"/>
      <c r="C52" s="199"/>
      <c r="D52" s="193"/>
      <c r="E52" s="171"/>
      <c r="F52" s="171"/>
      <c r="G52" s="171"/>
      <c r="H52" s="171"/>
      <c r="I52" s="171"/>
      <c r="J52" s="171"/>
      <c r="K52" s="171"/>
      <c r="L52" s="171"/>
      <c r="M52" s="171"/>
      <c r="N52" s="171"/>
      <c r="O52" s="173"/>
      <c r="P52" s="515">
        <f t="shared" si="7"/>
        <v>0</v>
      </c>
      <c r="Q52" s="176"/>
    </row>
    <row r="53" spans="2:17" ht="15.75" thickBot="1" x14ac:dyDescent="0.3">
      <c r="B53" s="837"/>
      <c r="C53" s="201"/>
      <c r="D53" s="194"/>
      <c r="E53" s="182"/>
      <c r="F53" s="182"/>
      <c r="G53" s="182"/>
      <c r="H53" s="182"/>
      <c r="I53" s="182"/>
      <c r="J53" s="182"/>
      <c r="K53" s="182"/>
      <c r="L53" s="182"/>
      <c r="M53" s="182"/>
      <c r="N53" s="182"/>
      <c r="O53" s="183"/>
      <c r="P53" s="516">
        <f t="shared" si="7"/>
        <v>0</v>
      </c>
      <c r="Q53" s="184"/>
    </row>
    <row r="54" spans="2:17" x14ac:dyDescent="0.25">
      <c r="B54" s="840" t="s">
        <v>95</v>
      </c>
      <c r="C54" s="202" t="s">
        <v>298</v>
      </c>
      <c r="D54" s="195">
        <v>250000</v>
      </c>
      <c r="E54" s="185">
        <v>250000</v>
      </c>
      <c r="F54" s="185">
        <v>250000</v>
      </c>
      <c r="G54" s="185">
        <v>250000</v>
      </c>
      <c r="H54" s="185">
        <v>250000</v>
      </c>
      <c r="I54" s="185">
        <v>250000</v>
      </c>
      <c r="J54" s="185">
        <v>275000</v>
      </c>
      <c r="K54" s="185">
        <v>275000</v>
      </c>
      <c r="L54" s="185">
        <v>275000</v>
      </c>
      <c r="M54" s="185">
        <v>275000</v>
      </c>
      <c r="N54" s="185">
        <v>275000</v>
      </c>
      <c r="O54" s="186">
        <v>275000</v>
      </c>
      <c r="P54" s="517">
        <f t="shared" ref="P54:P57" si="8">SUM(D54:O54)</f>
        <v>3150000</v>
      </c>
      <c r="Q54" s="187" t="s">
        <v>284</v>
      </c>
    </row>
    <row r="55" spans="2:17" ht="15.75" thickBot="1" x14ac:dyDescent="0.3">
      <c r="B55" s="841"/>
      <c r="C55" s="201" t="s">
        <v>104</v>
      </c>
      <c r="D55" s="194">
        <v>0</v>
      </c>
      <c r="E55" s="182">
        <v>0</v>
      </c>
      <c r="F55" s="182">
        <v>0</v>
      </c>
      <c r="G55" s="182">
        <v>0</v>
      </c>
      <c r="H55" s="182">
        <v>0</v>
      </c>
      <c r="I55" s="182">
        <v>0</v>
      </c>
      <c r="J55" s="182">
        <v>0</v>
      </c>
      <c r="K55" s="182">
        <v>0</v>
      </c>
      <c r="L55" s="182">
        <v>0</v>
      </c>
      <c r="M55" s="182">
        <v>0</v>
      </c>
      <c r="N55" s="182">
        <v>0</v>
      </c>
      <c r="O55" s="183">
        <v>0</v>
      </c>
      <c r="P55" s="516">
        <f t="shared" si="8"/>
        <v>0</v>
      </c>
      <c r="Q55" s="184"/>
    </row>
    <row r="56" spans="2:17" ht="19.5" thickBot="1" x14ac:dyDescent="0.35">
      <c r="B56" s="510" t="s">
        <v>96</v>
      </c>
      <c r="C56" s="203" t="s">
        <v>97</v>
      </c>
      <c r="D56" s="196">
        <v>8500</v>
      </c>
      <c r="E56" s="188">
        <v>8500</v>
      </c>
      <c r="F56" s="188">
        <v>8500</v>
      </c>
      <c r="G56" s="188">
        <v>8500</v>
      </c>
      <c r="H56" s="188">
        <v>8500</v>
      </c>
      <c r="I56" s="188">
        <v>8500</v>
      </c>
      <c r="J56" s="188">
        <v>8500</v>
      </c>
      <c r="K56" s="188">
        <v>8500</v>
      </c>
      <c r="L56" s="188">
        <v>8500</v>
      </c>
      <c r="M56" s="188">
        <v>8500</v>
      </c>
      <c r="N56" s="188">
        <v>8500</v>
      </c>
      <c r="O56" s="189">
        <v>8500</v>
      </c>
      <c r="P56" s="518">
        <f t="shared" si="8"/>
        <v>102000</v>
      </c>
      <c r="Q56" s="190"/>
    </row>
    <row r="57" spans="2:17" ht="18.75" customHeight="1" thickBot="1" x14ac:dyDescent="0.3">
      <c r="B57" s="611" t="s">
        <v>315</v>
      </c>
      <c r="C57" s="201" t="s">
        <v>314</v>
      </c>
      <c r="D57" s="197">
        <v>90000</v>
      </c>
      <c r="E57" s="197">
        <v>90000</v>
      </c>
      <c r="F57" s="197">
        <v>90000</v>
      </c>
      <c r="G57" s="197">
        <v>90000</v>
      </c>
      <c r="H57" s="197">
        <v>90000</v>
      </c>
      <c r="I57" s="197">
        <v>90000</v>
      </c>
      <c r="J57" s="197">
        <v>90000</v>
      </c>
      <c r="K57" s="197">
        <v>90000</v>
      </c>
      <c r="L57" s="197">
        <v>90000</v>
      </c>
      <c r="M57" s="197">
        <v>90000</v>
      </c>
      <c r="N57" s="197">
        <v>90000</v>
      </c>
      <c r="O57" s="197">
        <v>90000</v>
      </c>
      <c r="P57" s="519">
        <f t="shared" si="8"/>
        <v>1080000</v>
      </c>
      <c r="Q57" s="175"/>
    </row>
    <row r="58" spans="2:17" ht="15.75" thickBot="1" x14ac:dyDescent="0.3">
      <c r="B58" s="7"/>
      <c r="C58" s="511" t="s">
        <v>15</v>
      </c>
      <c r="D58" s="512">
        <f t="shared" ref="D58:P58" si="9">SUM(D46:D57)</f>
        <v>367612</v>
      </c>
      <c r="E58" s="512">
        <f t="shared" si="9"/>
        <v>366012</v>
      </c>
      <c r="F58" s="512">
        <f t="shared" si="9"/>
        <v>367612</v>
      </c>
      <c r="G58" s="512">
        <f t="shared" si="9"/>
        <v>366012</v>
      </c>
      <c r="H58" s="512">
        <f t="shared" si="9"/>
        <v>367612</v>
      </c>
      <c r="I58" s="512">
        <f t="shared" si="9"/>
        <v>366012</v>
      </c>
      <c r="J58" s="512">
        <f t="shared" si="9"/>
        <v>392612</v>
      </c>
      <c r="K58" s="512">
        <f t="shared" si="9"/>
        <v>391012</v>
      </c>
      <c r="L58" s="512">
        <f t="shared" si="9"/>
        <v>392612</v>
      </c>
      <c r="M58" s="512">
        <f t="shared" si="9"/>
        <v>391012</v>
      </c>
      <c r="N58" s="512">
        <f t="shared" si="9"/>
        <v>392612</v>
      </c>
      <c r="O58" s="513">
        <f t="shared" si="9"/>
        <v>391012</v>
      </c>
      <c r="P58" s="191">
        <f t="shared" si="9"/>
        <v>4551744</v>
      </c>
      <c r="Q58" s="172"/>
    </row>
  </sheetData>
  <mergeCells count="14">
    <mergeCell ref="B54:B55"/>
    <mergeCell ref="B26:Q26"/>
    <mergeCell ref="B27:C27"/>
    <mergeCell ref="B28:B35"/>
    <mergeCell ref="B36:B37"/>
    <mergeCell ref="B11:B18"/>
    <mergeCell ref="G3:I3"/>
    <mergeCell ref="B44:Q44"/>
    <mergeCell ref="B45:C45"/>
    <mergeCell ref="B46:B53"/>
    <mergeCell ref="B19:B20"/>
    <mergeCell ref="B9:Q9"/>
    <mergeCell ref="B10:C10"/>
    <mergeCell ref="C3:E3"/>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73"/>
  <sheetViews>
    <sheetView zoomScale="85" zoomScaleNormal="85" workbookViewId="0">
      <pane xSplit="3" ySplit="1" topLeftCell="D2" activePane="bottomRight" state="frozen"/>
      <selection pane="topRight" activeCell="D1" sqref="D1"/>
      <selection pane="bottomLeft" activeCell="A2" sqref="A2"/>
      <selection pane="bottomRight" activeCell="A58" sqref="A58"/>
    </sheetView>
  </sheetViews>
  <sheetFormatPr baseColWidth="10" defaultColWidth="11.42578125" defaultRowHeight="15" x14ac:dyDescent="0.25"/>
  <cols>
    <col min="1" max="1" width="20.140625" style="1" customWidth="1"/>
    <col min="2" max="2" width="50.42578125" style="1" customWidth="1"/>
    <col min="3" max="3" width="22.7109375" style="1" customWidth="1"/>
    <col min="4" max="4" width="21.7109375" style="1" bestFit="1" customWidth="1"/>
    <col min="5" max="5" width="22.140625" style="1" customWidth="1"/>
    <col min="6" max="6" width="18.42578125" style="1" customWidth="1"/>
    <col min="7" max="7" width="18.5703125" style="1" customWidth="1"/>
    <col min="8" max="8" width="16.7109375" style="1" customWidth="1"/>
    <col min="9" max="9" width="19" style="1" customWidth="1"/>
    <col min="10" max="10" width="19.42578125" style="1" bestFit="1" customWidth="1"/>
    <col min="11" max="11" width="18.42578125" style="1" customWidth="1"/>
    <col min="12" max="12" width="11.42578125" style="1"/>
    <col min="13" max="13" width="18.5703125" style="1" customWidth="1"/>
    <col min="14" max="14" width="11.42578125" style="1"/>
    <col min="15" max="15" width="19.140625" style="1" customWidth="1"/>
    <col min="16" max="16" width="11.42578125" style="1"/>
    <col min="17" max="17" width="19.140625" style="1" customWidth="1"/>
    <col min="18" max="18" width="11.42578125" style="1"/>
    <col min="19" max="19" width="19" style="1" customWidth="1"/>
    <col min="20" max="20" width="11.42578125" style="1"/>
    <col min="21" max="21" width="19" style="1" customWidth="1"/>
    <col min="22" max="22" width="11.42578125" style="1"/>
    <col min="23" max="23" width="18.5703125" style="1" customWidth="1"/>
    <col min="24" max="24" width="12.85546875" style="1" customWidth="1"/>
    <col min="25" max="25" width="19" style="1" customWidth="1"/>
    <col min="26" max="26" width="11.42578125" style="1"/>
    <col min="27" max="27" width="19.28515625" style="1" customWidth="1"/>
    <col min="28" max="28" width="23.7109375" style="1" customWidth="1"/>
    <col min="29" max="16384" width="11.42578125" style="1"/>
  </cols>
  <sheetData>
    <row r="1" spans="1:12" s="341" customFormat="1" ht="58.5" customHeight="1" x14ac:dyDescent="0.25">
      <c r="A1" s="344"/>
      <c r="B1" s="344"/>
      <c r="C1" s="344"/>
      <c r="D1" s="344"/>
      <c r="E1" s="344"/>
      <c r="F1" s="349" t="s">
        <v>5</v>
      </c>
      <c r="G1" s="350"/>
      <c r="H1" s="350"/>
      <c r="I1" s="344"/>
      <c r="J1" s="344"/>
      <c r="K1" s="344"/>
      <c r="L1" s="344"/>
    </row>
    <row r="3" spans="1:12" ht="15.75" thickBot="1" x14ac:dyDescent="0.3"/>
    <row r="4" spans="1:12" ht="27" thickBot="1" x14ac:dyDescent="0.45">
      <c r="B4" s="785" t="s">
        <v>22</v>
      </c>
      <c r="C4" s="786"/>
      <c r="D4" s="787"/>
      <c r="E4" s="18"/>
      <c r="H4" s="785" t="s">
        <v>107</v>
      </c>
      <c r="I4" s="786"/>
      <c r="J4" s="787"/>
    </row>
    <row r="5" spans="1:12" x14ac:dyDescent="0.25">
      <c r="B5" s="503">
        <v>2021</v>
      </c>
      <c r="C5" s="503">
        <v>2022</v>
      </c>
      <c r="D5" s="503">
        <v>2023</v>
      </c>
      <c r="E5" s="127"/>
      <c r="H5" s="504">
        <v>2021</v>
      </c>
      <c r="I5" s="503">
        <v>2022</v>
      </c>
      <c r="J5" s="505">
        <v>2023</v>
      </c>
    </row>
    <row r="6" spans="1:12" ht="15.75" thickBot="1" x14ac:dyDescent="0.3">
      <c r="B6" s="19">
        <f>Hipótesis!C24</f>
        <v>1.2999999999999999E-2</v>
      </c>
      <c r="C6" s="19">
        <f>Hipótesis!C25</f>
        <v>2.5000000000000001E-2</v>
      </c>
      <c r="D6" s="19">
        <f>Hipótesis!C26</f>
        <v>0.04</v>
      </c>
      <c r="E6" s="207"/>
      <c r="H6" s="46">
        <f>AB45</f>
        <v>8753536</v>
      </c>
      <c r="I6" s="47">
        <f>AB59</f>
        <v>15604672</v>
      </c>
      <c r="J6" s="48">
        <f>AB73</f>
        <v>22455808</v>
      </c>
    </row>
    <row r="7" spans="1:12" x14ac:dyDescent="0.25">
      <c r="B7" s="16">
        <f>Hipótesis!D24</f>
        <v>31551000</v>
      </c>
      <c r="C7" s="16">
        <f>Hipótesis!D25</f>
        <v>60675000</v>
      </c>
      <c r="D7" s="16">
        <f>Hipótesis!D26</f>
        <v>97080000</v>
      </c>
      <c r="E7" s="204"/>
    </row>
    <row r="9" spans="1:12" ht="15.75" thickBot="1" x14ac:dyDescent="0.3"/>
    <row r="10" spans="1:12" ht="27" thickBot="1" x14ac:dyDescent="0.45">
      <c r="B10" s="785" t="s">
        <v>115</v>
      </c>
      <c r="C10" s="786"/>
      <c r="D10" s="786"/>
      <c r="E10" s="787"/>
    </row>
    <row r="11" spans="1:12" ht="27" thickBot="1" x14ac:dyDescent="0.45">
      <c r="B11" s="842" t="s">
        <v>285</v>
      </c>
      <c r="C11" s="843"/>
      <c r="D11" s="843"/>
      <c r="E11" s="844"/>
      <c r="F11" s="138"/>
    </row>
    <row r="12" spans="1:12" ht="15.75" x14ac:dyDescent="0.25">
      <c r="B12" s="521" t="s">
        <v>47</v>
      </c>
      <c r="C12" s="522" t="s">
        <v>43</v>
      </c>
      <c r="D12" s="522" t="s">
        <v>109</v>
      </c>
      <c r="E12" s="523" t="s">
        <v>108</v>
      </c>
    </row>
    <row r="13" spans="1:12" ht="15.75" x14ac:dyDescent="0.25">
      <c r="B13" s="210" t="s">
        <v>288</v>
      </c>
      <c r="C13" s="208">
        <v>4</v>
      </c>
      <c r="D13" s="209">
        <v>16</v>
      </c>
      <c r="E13" s="211">
        <f>C13*D13</f>
        <v>64</v>
      </c>
      <c r="I13" s="612"/>
      <c r="J13" s="613"/>
    </row>
    <row r="14" spans="1:12" ht="15.75" x14ac:dyDescent="0.25">
      <c r="B14" s="210" t="s">
        <v>287</v>
      </c>
      <c r="C14" s="208">
        <v>0.5</v>
      </c>
      <c r="D14" s="209">
        <v>33</v>
      </c>
      <c r="E14" s="211">
        <f>C14*D14</f>
        <v>16.5</v>
      </c>
      <c r="I14" s="612"/>
      <c r="J14" s="613"/>
    </row>
    <row r="15" spans="1:12" ht="15.75" x14ac:dyDescent="0.25">
      <c r="B15" s="210" t="s">
        <v>289</v>
      </c>
      <c r="C15" s="208">
        <v>1</v>
      </c>
      <c r="D15" s="209">
        <v>500</v>
      </c>
      <c r="E15" s="211">
        <f>C15*D15</f>
        <v>500</v>
      </c>
      <c r="I15" s="612"/>
      <c r="J15" s="613"/>
    </row>
    <row r="16" spans="1:12" x14ac:dyDescent="0.25">
      <c r="B16" s="210" t="s">
        <v>293</v>
      </c>
      <c r="C16" s="208">
        <v>1</v>
      </c>
      <c r="D16" s="209">
        <v>100</v>
      </c>
      <c r="E16" s="211">
        <f>C16*D16</f>
        <v>100</v>
      </c>
    </row>
    <row r="17" spans="2:6" x14ac:dyDescent="0.25">
      <c r="B17" s="210"/>
      <c r="C17" s="208"/>
      <c r="D17" s="209"/>
      <c r="E17" s="211"/>
    </row>
    <row r="18" spans="2:6" ht="15.75" thickBot="1" x14ac:dyDescent="0.3">
      <c r="B18" s="212"/>
      <c r="C18" s="213"/>
      <c r="D18" s="214"/>
      <c r="E18" s="215"/>
    </row>
    <row r="19" spans="2:6" ht="16.5" thickBot="1" x14ac:dyDescent="0.3">
      <c r="D19" s="524" t="s">
        <v>15</v>
      </c>
      <c r="E19" s="219">
        <f>SUM(E13:E18)</f>
        <v>680.5</v>
      </c>
    </row>
    <row r="20" spans="2:6" ht="15.75" thickBot="1" x14ac:dyDescent="0.3"/>
    <row r="21" spans="2:6" ht="27" thickBot="1" x14ac:dyDescent="0.45">
      <c r="B21" s="785" t="s">
        <v>286</v>
      </c>
      <c r="C21" s="786"/>
      <c r="D21" s="786"/>
      <c r="E21" s="787"/>
      <c r="F21" s="216"/>
    </row>
    <row r="22" spans="2:6" ht="15.75" x14ac:dyDescent="0.25">
      <c r="B22" s="521" t="s">
        <v>47</v>
      </c>
      <c r="C22" s="522" t="s">
        <v>43</v>
      </c>
      <c r="D22" s="522" t="s">
        <v>109</v>
      </c>
      <c r="E22" s="523" t="s">
        <v>108</v>
      </c>
      <c r="F22" s="217"/>
    </row>
    <row r="23" spans="2:6" ht="16.5" customHeight="1" x14ac:dyDescent="0.25">
      <c r="B23" s="210" t="s">
        <v>288</v>
      </c>
      <c r="C23" s="208">
        <v>5</v>
      </c>
      <c r="D23" s="209">
        <v>16</v>
      </c>
      <c r="E23" s="211">
        <f>C23*D23</f>
        <v>80</v>
      </c>
      <c r="F23" s="217"/>
    </row>
    <row r="24" spans="2:6" x14ac:dyDescent="0.25">
      <c r="B24" s="210" t="s">
        <v>287</v>
      </c>
      <c r="C24" s="208">
        <v>0.5</v>
      </c>
      <c r="D24" s="209">
        <v>33</v>
      </c>
      <c r="E24" s="211">
        <f>C24*D24</f>
        <v>16.5</v>
      </c>
      <c r="F24" s="217"/>
    </row>
    <row r="25" spans="2:6" x14ac:dyDescent="0.25">
      <c r="B25" s="210" t="s">
        <v>289</v>
      </c>
      <c r="C25" s="208">
        <v>1</v>
      </c>
      <c r="D25" s="209">
        <v>500</v>
      </c>
      <c r="E25" s="211">
        <f>C25*D25</f>
        <v>500</v>
      </c>
      <c r="F25" s="217"/>
    </row>
    <row r="26" spans="2:6" x14ac:dyDescent="0.25">
      <c r="B26" s="210" t="s">
        <v>293</v>
      </c>
      <c r="C26" s="208">
        <v>1</v>
      </c>
      <c r="D26" s="209">
        <v>100</v>
      </c>
      <c r="E26" s="211">
        <f>C26*D26</f>
        <v>100</v>
      </c>
      <c r="F26" s="217"/>
    </row>
    <row r="27" spans="2:6" x14ac:dyDescent="0.25">
      <c r="B27" s="210"/>
      <c r="C27" s="208"/>
      <c r="D27" s="209"/>
      <c r="E27" s="211"/>
      <c r="F27" s="217"/>
    </row>
    <row r="28" spans="2:6" ht="15.75" thickBot="1" x14ac:dyDescent="0.3">
      <c r="B28" s="212"/>
      <c r="C28" s="213"/>
      <c r="D28" s="214"/>
      <c r="E28" s="215"/>
      <c r="F28" s="218"/>
    </row>
    <row r="29" spans="2:6" ht="16.5" thickBot="1" x14ac:dyDescent="0.3">
      <c r="D29" s="524" t="s">
        <v>15</v>
      </c>
      <c r="E29" s="219">
        <f>SUM(E23:E28)</f>
        <v>696.5</v>
      </c>
      <c r="F29" s="50"/>
    </row>
    <row r="30" spans="2:6" x14ac:dyDescent="0.25">
      <c r="B30" s="50"/>
      <c r="C30" s="50"/>
      <c r="D30" s="50"/>
      <c r="E30" s="50"/>
      <c r="F30" s="50"/>
    </row>
    <row r="33" spans="1:28" ht="15.75" thickBot="1" x14ac:dyDescent="0.3"/>
    <row r="34" spans="1:28" ht="27" thickBot="1" x14ac:dyDescent="0.45">
      <c r="B34" s="785" t="s">
        <v>114</v>
      </c>
      <c r="C34" s="786"/>
      <c r="D34" s="786"/>
      <c r="E34" s="786"/>
      <c r="F34" s="786"/>
      <c r="G34" s="786"/>
      <c r="H34" s="786"/>
      <c r="I34" s="786"/>
      <c r="J34" s="786"/>
      <c r="K34" s="786"/>
      <c r="L34" s="786"/>
      <c r="M34" s="786"/>
      <c r="N34" s="786"/>
      <c r="O34" s="786"/>
      <c r="P34" s="786"/>
      <c r="Q34" s="786"/>
      <c r="R34" s="786"/>
      <c r="S34" s="786"/>
      <c r="T34" s="786"/>
      <c r="U34" s="786"/>
      <c r="V34" s="786"/>
      <c r="W34" s="786"/>
      <c r="X34" s="786"/>
      <c r="Y34" s="786"/>
      <c r="Z34" s="786"/>
      <c r="AA34" s="786"/>
      <c r="AB34" s="787"/>
    </row>
    <row r="35" spans="1:28" x14ac:dyDescent="0.25">
      <c r="B35" s="848" t="s">
        <v>47</v>
      </c>
      <c r="C35" s="849"/>
      <c r="D35" s="847" t="s">
        <v>27</v>
      </c>
      <c r="E35" s="846"/>
      <c r="F35" s="845" t="s">
        <v>28</v>
      </c>
      <c r="G35" s="846"/>
      <c r="H35" s="845" t="s">
        <v>29</v>
      </c>
      <c r="I35" s="846"/>
      <c r="J35" s="845" t="s">
        <v>30</v>
      </c>
      <c r="K35" s="846"/>
      <c r="L35" s="845" t="s">
        <v>31</v>
      </c>
      <c r="M35" s="846"/>
      <c r="N35" s="845" t="s">
        <v>32</v>
      </c>
      <c r="O35" s="846"/>
      <c r="P35" s="845" t="s">
        <v>33</v>
      </c>
      <c r="Q35" s="846"/>
      <c r="R35" s="845" t="s">
        <v>34</v>
      </c>
      <c r="S35" s="846"/>
      <c r="T35" s="845" t="s">
        <v>35</v>
      </c>
      <c r="U35" s="846"/>
      <c r="V35" s="845" t="s">
        <v>36</v>
      </c>
      <c r="W35" s="846"/>
      <c r="X35" s="845" t="s">
        <v>37</v>
      </c>
      <c r="Y35" s="846"/>
      <c r="Z35" s="845" t="s">
        <v>38</v>
      </c>
      <c r="AA35" s="847"/>
      <c r="AB35" s="850" t="s">
        <v>15</v>
      </c>
    </row>
    <row r="36" spans="1:28" ht="15.75" thickBot="1" x14ac:dyDescent="0.3">
      <c r="B36" s="525" t="s">
        <v>71</v>
      </c>
      <c r="C36" s="526" t="s">
        <v>109</v>
      </c>
      <c r="D36" s="527" t="s">
        <v>43</v>
      </c>
      <c r="E36" s="528" t="s">
        <v>60</v>
      </c>
      <c r="F36" s="528" t="s">
        <v>43</v>
      </c>
      <c r="G36" s="528" t="s">
        <v>60</v>
      </c>
      <c r="H36" s="528" t="s">
        <v>43</v>
      </c>
      <c r="I36" s="528" t="s">
        <v>60</v>
      </c>
      <c r="J36" s="528" t="s">
        <v>43</v>
      </c>
      <c r="K36" s="528" t="s">
        <v>60</v>
      </c>
      <c r="L36" s="528" t="s">
        <v>43</v>
      </c>
      <c r="M36" s="528" t="s">
        <v>60</v>
      </c>
      <c r="N36" s="528" t="s">
        <v>43</v>
      </c>
      <c r="O36" s="528" t="s">
        <v>60</v>
      </c>
      <c r="P36" s="528" t="s">
        <v>43</v>
      </c>
      <c r="Q36" s="528" t="s">
        <v>60</v>
      </c>
      <c r="R36" s="528" t="s">
        <v>43</v>
      </c>
      <c r="S36" s="528" t="s">
        <v>60</v>
      </c>
      <c r="T36" s="528" t="s">
        <v>43</v>
      </c>
      <c r="U36" s="528" t="s">
        <v>60</v>
      </c>
      <c r="V36" s="528" t="s">
        <v>43</v>
      </c>
      <c r="W36" s="528" t="s">
        <v>60</v>
      </c>
      <c r="X36" s="528" t="s">
        <v>43</v>
      </c>
      <c r="Y36" s="528" t="s">
        <v>60</v>
      </c>
      <c r="Z36" s="528" t="s">
        <v>43</v>
      </c>
      <c r="AA36" s="529" t="s">
        <v>60</v>
      </c>
      <c r="AB36" s="850"/>
    </row>
    <row r="37" spans="1:28" ht="18" customHeight="1" x14ac:dyDescent="0.25">
      <c r="A37" s="852" t="s">
        <v>110</v>
      </c>
      <c r="B37" s="227" t="s">
        <v>285</v>
      </c>
      <c r="C37" s="228">
        <f>E19</f>
        <v>680.5</v>
      </c>
      <c r="D37" s="229">
        <f>'Proy. ventas'!E32  + 'Proy. ventas'!E34 + 'Proy. ventas'!E35</f>
        <v>852</v>
      </c>
      <c r="E37" s="179">
        <f t="shared" ref="E37:E38" si="0">D37*C37</f>
        <v>579786</v>
      </c>
      <c r="F37" s="243">
        <f>'Proy. ventas'!G32  + 'Proy. ventas'!G34 + 'Proy. ventas'!G35</f>
        <v>710</v>
      </c>
      <c r="G37" s="179">
        <f>F37*C37</f>
        <v>483155</v>
      </c>
      <c r="H37" s="243">
        <f>'Proy. ventas'!I32  + 'Proy. ventas'!I34 + 'Proy. ventas'!I35</f>
        <v>568</v>
      </c>
      <c r="I37" s="179">
        <f>H37*C37</f>
        <v>386524</v>
      </c>
      <c r="J37" s="243">
        <f>'Proy. ventas'!K32  + 'Proy. ventas'!K34 + 'Proy. ventas'!K35</f>
        <v>497.00000000000011</v>
      </c>
      <c r="K37" s="179">
        <f>J37*C37</f>
        <v>338208.50000000006</v>
      </c>
      <c r="L37" s="243">
        <f>'Proy. ventas'!M32  + 'Proy. ventas'!M34 + 'Proy. ventas'!M35</f>
        <v>284</v>
      </c>
      <c r="M37" s="179">
        <f>L37*C37</f>
        <v>193262</v>
      </c>
      <c r="N37" s="243">
        <f>'Proy. ventas'!O32  + 'Proy. ventas'!O34 + 'Proy. ventas'!O35</f>
        <v>284</v>
      </c>
      <c r="O37" s="179">
        <f>N37*C37</f>
        <v>193262</v>
      </c>
      <c r="P37" s="243">
        <f>'Proy. ventas'!Q32  + 'Proy. ventas'!Q34 + 'Proy. ventas'!Q35</f>
        <v>568</v>
      </c>
      <c r="Q37" s="179">
        <f>P37*C37</f>
        <v>386524</v>
      </c>
      <c r="R37" s="243">
        <f>'Proy. ventas'!S32  + 'Proy. ventas'!S34 + 'Proy. ventas'!S35</f>
        <v>284</v>
      </c>
      <c r="S37" s="179">
        <f>R37*C37</f>
        <v>193262</v>
      </c>
      <c r="T37" s="243">
        <f>'Proy. ventas'!U32  + 'Proy. ventas'!U34 + 'Proy. ventas'!U35</f>
        <v>710</v>
      </c>
      <c r="U37" s="179">
        <f>T37*C37</f>
        <v>483155</v>
      </c>
      <c r="V37" s="243">
        <f>'Proy. ventas'!W32  + 'Proy. ventas'!W34 + 'Proy. ventas'!W35</f>
        <v>710</v>
      </c>
      <c r="W37" s="179">
        <f>V37*C37</f>
        <v>483155</v>
      </c>
      <c r="X37" s="243">
        <f>'Proy. ventas'!Y32  + 'Proy. ventas'!Y34 + 'Proy. ventas'!Y35</f>
        <v>781</v>
      </c>
      <c r="Y37" s="179">
        <f>X37*C37</f>
        <v>531470.5</v>
      </c>
      <c r="Z37" s="243">
        <f>'Proy. ventas'!AA32  + 'Proy. ventas'!AA34 + 'Proy. ventas'!AA35</f>
        <v>994.00000000000023</v>
      </c>
      <c r="AA37" s="180">
        <f>Z37*C37</f>
        <v>676417.00000000012</v>
      </c>
      <c r="AB37" s="532">
        <f t="shared" ref="AB37:AB42" si="1">E37+G37+I37+K37+M37+O37+Q37+S37++U37+W37+Y37+AA37</f>
        <v>4928181</v>
      </c>
    </row>
    <row r="38" spans="1:28" ht="18.75" customHeight="1" thickBot="1" x14ac:dyDescent="0.3">
      <c r="A38" s="853"/>
      <c r="B38" s="230" t="s">
        <v>286</v>
      </c>
      <c r="C38" s="231">
        <f>E29</f>
        <v>696.5</v>
      </c>
      <c r="D38" s="232">
        <f>'Proy. ventas'!E33</f>
        <v>300</v>
      </c>
      <c r="E38" s="182">
        <f t="shared" si="0"/>
        <v>208950</v>
      </c>
      <c r="F38" s="244">
        <f>'Proy. ventas'!G33</f>
        <v>250</v>
      </c>
      <c r="G38" s="182">
        <f>F38*C38</f>
        <v>174125</v>
      </c>
      <c r="H38" s="244">
        <f>'Proy. ventas'!I33</f>
        <v>200</v>
      </c>
      <c r="I38" s="182">
        <f>H38*C38</f>
        <v>139300</v>
      </c>
      <c r="J38" s="244">
        <f>'Proy. ventas'!K33</f>
        <v>175</v>
      </c>
      <c r="K38" s="182">
        <f>J38*C38</f>
        <v>121887.5</v>
      </c>
      <c r="L38" s="244">
        <f>'Proy. ventas'!M33</f>
        <v>100</v>
      </c>
      <c r="M38" s="182">
        <f>L38*C38</f>
        <v>69650</v>
      </c>
      <c r="N38" s="244">
        <f>'Proy. ventas'!O33</f>
        <v>100</v>
      </c>
      <c r="O38" s="182">
        <f>N38*C38</f>
        <v>69650</v>
      </c>
      <c r="P38" s="244">
        <f>'Proy. ventas'!Q33</f>
        <v>200</v>
      </c>
      <c r="Q38" s="182">
        <f>P38*C38</f>
        <v>139300</v>
      </c>
      <c r="R38" s="244">
        <f>'Proy. ventas'!S33</f>
        <v>100</v>
      </c>
      <c r="S38" s="182">
        <f>R38*C38</f>
        <v>69650</v>
      </c>
      <c r="T38" s="244">
        <f>'Proy. ventas'!U33</f>
        <v>250</v>
      </c>
      <c r="U38" s="182">
        <f>T38*C38</f>
        <v>174125</v>
      </c>
      <c r="V38" s="244">
        <f>'Proy. ventas'!W33</f>
        <v>250</v>
      </c>
      <c r="W38" s="182">
        <f>V38*C38</f>
        <v>174125</v>
      </c>
      <c r="X38" s="244">
        <f>'Proy. ventas'!Y33</f>
        <v>275</v>
      </c>
      <c r="Y38" s="182">
        <f>X38*C38</f>
        <v>191537.5</v>
      </c>
      <c r="Z38" s="244">
        <f>'Proy. ventas'!AA33</f>
        <v>350</v>
      </c>
      <c r="AA38" s="183">
        <f>Z38*C38</f>
        <v>243775</v>
      </c>
      <c r="AB38" s="534">
        <f t="shared" si="1"/>
        <v>1776075</v>
      </c>
    </row>
    <row r="39" spans="1:28" ht="35.25" customHeight="1" thickBot="1" x14ac:dyDescent="0.3">
      <c r="A39" s="530" t="s">
        <v>290</v>
      </c>
      <c r="B39" s="233" t="s">
        <v>311</v>
      </c>
      <c r="C39" s="234"/>
      <c r="D39" s="235">
        <v>1</v>
      </c>
      <c r="E39" s="188">
        <v>400</v>
      </c>
      <c r="F39" s="235"/>
      <c r="G39" s="188"/>
      <c r="H39" s="235">
        <v>1</v>
      </c>
      <c r="I39" s="188">
        <v>400</v>
      </c>
      <c r="J39" s="235"/>
      <c r="K39" s="188"/>
      <c r="L39" s="235">
        <v>1</v>
      </c>
      <c r="M39" s="188">
        <v>400</v>
      </c>
      <c r="N39" s="235"/>
      <c r="O39" s="188"/>
      <c r="P39" s="235">
        <v>1</v>
      </c>
      <c r="Q39" s="188">
        <v>400</v>
      </c>
      <c r="R39" s="235"/>
      <c r="S39" s="188"/>
      <c r="T39" s="235">
        <v>1</v>
      </c>
      <c r="U39" s="188">
        <v>400</v>
      </c>
      <c r="V39" s="235"/>
      <c r="W39" s="188"/>
      <c r="X39" s="235">
        <v>1</v>
      </c>
      <c r="Y39" s="188">
        <v>400</v>
      </c>
      <c r="Z39" s="235"/>
      <c r="AA39" s="188"/>
      <c r="AB39" s="536">
        <f t="shared" si="1"/>
        <v>2400</v>
      </c>
    </row>
    <row r="40" spans="1:28" x14ac:dyDescent="0.25">
      <c r="A40" s="854" t="s">
        <v>113</v>
      </c>
      <c r="B40" s="240" t="s">
        <v>291</v>
      </c>
      <c r="C40" s="224">
        <v>150000</v>
      </c>
      <c r="D40" s="222">
        <v>1</v>
      </c>
      <c r="E40" s="177">
        <f t="shared" ref="E40:E41" si="2">D40*C40</f>
        <v>150000</v>
      </c>
      <c r="F40" s="221"/>
      <c r="G40" s="177"/>
      <c r="H40" s="221"/>
      <c r="I40" s="177"/>
      <c r="J40" s="221"/>
      <c r="K40" s="177"/>
      <c r="L40" s="221"/>
      <c r="M40" s="177"/>
      <c r="N40" s="221">
        <v>1</v>
      </c>
      <c r="O40" s="177">
        <f>N40*E40</f>
        <v>150000</v>
      </c>
      <c r="P40" s="221">
        <v>1</v>
      </c>
      <c r="Q40" s="177">
        <f>P40*E40</f>
        <v>150000</v>
      </c>
      <c r="R40" s="221"/>
      <c r="S40" s="177"/>
      <c r="T40" s="221"/>
      <c r="U40" s="177"/>
      <c r="V40" s="221"/>
      <c r="W40" s="177"/>
      <c r="X40" s="221">
        <v>1</v>
      </c>
      <c r="Y40" s="178">
        <f>X40*E40</f>
        <v>150000</v>
      </c>
      <c r="Z40" s="221">
        <v>1</v>
      </c>
      <c r="AA40" s="178">
        <f>Z40*C40</f>
        <v>150000</v>
      </c>
      <c r="AB40" s="535">
        <f t="shared" si="1"/>
        <v>750000</v>
      </c>
    </row>
    <row r="41" spans="1:28" x14ac:dyDescent="0.25">
      <c r="A41" s="855"/>
      <c r="B41" s="241" t="s">
        <v>292</v>
      </c>
      <c r="C41" s="225">
        <v>40000</v>
      </c>
      <c r="D41" s="223">
        <v>1</v>
      </c>
      <c r="E41" s="171">
        <f t="shared" si="2"/>
        <v>40000</v>
      </c>
      <c r="F41" s="220"/>
      <c r="G41" s="171"/>
      <c r="H41" s="220"/>
      <c r="I41" s="171"/>
      <c r="J41" s="220"/>
      <c r="K41" s="171"/>
      <c r="L41" s="220"/>
      <c r="M41" s="171"/>
      <c r="N41" s="220">
        <v>1</v>
      </c>
      <c r="O41" s="171">
        <f>N41*E41</f>
        <v>40000</v>
      </c>
      <c r="P41" s="220">
        <v>1</v>
      </c>
      <c r="Q41" s="171">
        <f>P41*E41</f>
        <v>40000</v>
      </c>
      <c r="R41" s="220"/>
      <c r="S41" s="171"/>
      <c r="T41" s="220"/>
      <c r="U41" s="171"/>
      <c r="V41" s="220"/>
      <c r="W41" s="171"/>
      <c r="X41" s="220">
        <v>1</v>
      </c>
      <c r="Y41" s="173">
        <f>X41*E41</f>
        <v>40000</v>
      </c>
      <c r="Z41" s="220">
        <v>1</v>
      </c>
      <c r="AA41" s="173">
        <f>Z41*C41</f>
        <v>40000</v>
      </c>
      <c r="AB41" s="533">
        <f t="shared" si="1"/>
        <v>200000</v>
      </c>
    </row>
    <row r="42" spans="1:28" x14ac:dyDescent="0.25">
      <c r="A42" s="855"/>
      <c r="B42" s="226"/>
      <c r="C42" s="225"/>
      <c r="D42" s="223"/>
      <c r="E42" s="171"/>
      <c r="F42" s="220"/>
      <c r="G42" s="171"/>
      <c r="H42" s="220"/>
      <c r="I42" s="171"/>
      <c r="J42" s="220"/>
      <c r="K42" s="171"/>
      <c r="L42" s="220"/>
      <c r="M42" s="171"/>
      <c r="N42" s="220"/>
      <c r="O42" s="171"/>
      <c r="P42" s="220"/>
      <c r="Q42" s="171"/>
      <c r="R42" s="220"/>
      <c r="S42" s="171"/>
      <c r="T42" s="220"/>
      <c r="U42" s="171"/>
      <c r="V42" s="220"/>
      <c r="W42" s="171"/>
      <c r="X42" s="220"/>
      <c r="Y42" s="171"/>
      <c r="Z42" s="220"/>
      <c r="AA42" s="173"/>
      <c r="AB42" s="533">
        <f t="shared" si="1"/>
        <v>0</v>
      </c>
    </row>
    <row r="43" spans="1:28" ht="15.75" thickBot="1" x14ac:dyDescent="0.3">
      <c r="A43" s="856"/>
      <c r="B43" s="236"/>
      <c r="C43" s="236"/>
      <c r="D43" s="237">
        <v>0</v>
      </c>
      <c r="E43" s="182">
        <f>E40+E41</f>
        <v>190000</v>
      </c>
      <c r="F43" s="245">
        <v>0</v>
      </c>
      <c r="G43" s="182">
        <f>G40+G41</f>
        <v>0</v>
      </c>
      <c r="H43" s="245">
        <v>0</v>
      </c>
      <c r="I43" s="182">
        <f>I40+I41</f>
        <v>0</v>
      </c>
      <c r="J43" s="245">
        <v>0</v>
      </c>
      <c r="K43" s="182">
        <f>K40+K41</f>
        <v>0</v>
      </c>
      <c r="L43" s="245">
        <v>0</v>
      </c>
      <c r="M43" s="182">
        <f>M40+M41</f>
        <v>0</v>
      </c>
      <c r="N43" s="245">
        <v>0</v>
      </c>
      <c r="O43" s="182">
        <f>O40+O41</f>
        <v>190000</v>
      </c>
      <c r="P43" s="245">
        <v>0</v>
      </c>
      <c r="Q43" s="182">
        <f>Q40+Q41</f>
        <v>190000</v>
      </c>
      <c r="R43" s="245">
        <v>0</v>
      </c>
      <c r="S43" s="182">
        <f>S40+S41</f>
        <v>0</v>
      </c>
      <c r="T43" s="245">
        <v>0</v>
      </c>
      <c r="U43" s="182">
        <f>U40+U41</f>
        <v>0</v>
      </c>
      <c r="V43" s="245">
        <v>0</v>
      </c>
      <c r="W43" s="182">
        <f>W40+W41</f>
        <v>0</v>
      </c>
      <c r="X43" s="245">
        <v>0</v>
      </c>
      <c r="Y43" s="182">
        <f>Y40+Y41</f>
        <v>190000</v>
      </c>
      <c r="Z43" s="245">
        <v>0</v>
      </c>
      <c r="AA43" s="182">
        <f>AA40+AA41</f>
        <v>190000</v>
      </c>
      <c r="AB43" s="534">
        <f>E43+G43+I43+K43+M43+O43+Q43+S43+U43+W43+Y43+AA43</f>
        <v>950000</v>
      </c>
    </row>
    <row r="44" spans="1:28" ht="15.75" thickBot="1" x14ac:dyDescent="0.3">
      <c r="A44" s="530" t="s">
        <v>111</v>
      </c>
      <c r="B44" s="233" t="s">
        <v>369</v>
      </c>
      <c r="C44" s="225">
        <v>15</v>
      </c>
      <c r="D44" s="223">
        <f>D37+D38</f>
        <v>1152</v>
      </c>
      <c r="E44" s="188">
        <f>C44*D44</f>
        <v>17280</v>
      </c>
      <c r="F44" s="223">
        <f>F37+F38</f>
        <v>960</v>
      </c>
      <c r="G44" s="188">
        <f>C44*F44</f>
        <v>14400</v>
      </c>
      <c r="H44" s="223">
        <f>H37+H38</f>
        <v>768</v>
      </c>
      <c r="I44" s="188">
        <f>C44*H44</f>
        <v>11520</v>
      </c>
      <c r="J44" s="223">
        <f>J37+J38</f>
        <v>672.00000000000011</v>
      </c>
      <c r="K44" s="188">
        <f>C44*J44</f>
        <v>10080.000000000002</v>
      </c>
      <c r="L44" s="223">
        <f>L37+L38</f>
        <v>384</v>
      </c>
      <c r="M44" s="188">
        <f>C44*L44</f>
        <v>5760</v>
      </c>
      <c r="N44" s="223">
        <f>N37+N38</f>
        <v>384</v>
      </c>
      <c r="O44" s="188">
        <f>C44*N44</f>
        <v>5760</v>
      </c>
      <c r="P44" s="223">
        <f>P37+P38</f>
        <v>768</v>
      </c>
      <c r="Q44" s="188">
        <f>C44*P44</f>
        <v>11520</v>
      </c>
      <c r="R44" s="223">
        <f>R37+R38</f>
        <v>384</v>
      </c>
      <c r="S44" s="188">
        <f>C44*R44</f>
        <v>5760</v>
      </c>
      <c r="T44" s="223">
        <f>T37+T38</f>
        <v>960</v>
      </c>
      <c r="U44" s="188">
        <f>C44*T44</f>
        <v>14400</v>
      </c>
      <c r="V44" s="223">
        <f>V37+V38</f>
        <v>960</v>
      </c>
      <c r="W44" s="188">
        <f>C44*V44</f>
        <v>14400</v>
      </c>
      <c r="X44" s="223">
        <f>X37+X38</f>
        <v>1056</v>
      </c>
      <c r="Y44" s="188">
        <f>C44*X44</f>
        <v>15840</v>
      </c>
      <c r="Z44" s="223">
        <f>Z37+Z38</f>
        <v>1344.0000000000002</v>
      </c>
      <c r="AA44" s="188">
        <f>C44*Z44</f>
        <v>20160.000000000004</v>
      </c>
      <c r="AB44" s="534">
        <f>E44+G44+I44+K44+M44+O44+Q44+S44+U44+W44+Y44+AA44</f>
        <v>146880</v>
      </c>
    </row>
    <row r="45" spans="1:28" ht="15.75" thickBot="1" x14ac:dyDescent="0.3">
      <c r="B45" s="531" t="s">
        <v>112</v>
      </c>
      <c r="C45" s="238"/>
      <c r="D45" s="239"/>
      <c r="E45" s="538">
        <f>SUM(E37:E44)</f>
        <v>1186416</v>
      </c>
      <c r="F45" s="246"/>
      <c r="G45" s="538">
        <f>SUM(G37:G44)</f>
        <v>671680</v>
      </c>
      <c r="H45" s="246"/>
      <c r="I45" s="538">
        <f>SUM(I37:I44)</f>
        <v>537744</v>
      </c>
      <c r="J45" s="246"/>
      <c r="K45" s="538">
        <f>SUM(K37:K44)</f>
        <v>470176.00000000006</v>
      </c>
      <c r="L45" s="246"/>
      <c r="M45" s="538">
        <f>SUM(M37:M44)</f>
        <v>269072</v>
      </c>
      <c r="N45" s="239"/>
      <c r="O45" s="538">
        <f>SUM(O37:O44)</f>
        <v>648672</v>
      </c>
      <c r="P45" s="246"/>
      <c r="Q45" s="538">
        <f>SUM(Q37:Q44)</f>
        <v>917744</v>
      </c>
      <c r="R45" s="246"/>
      <c r="S45" s="538">
        <f>SUM(S37:S44)</f>
        <v>268672</v>
      </c>
      <c r="T45" s="246"/>
      <c r="U45" s="538">
        <f>SUM(U37:U44)</f>
        <v>672080</v>
      </c>
      <c r="V45" s="246"/>
      <c r="W45" s="538">
        <f>SUM(W37:W44)</f>
        <v>671680</v>
      </c>
      <c r="X45" s="246"/>
      <c r="Y45" s="538">
        <f>SUM(Y37:Y44)</f>
        <v>1119248</v>
      </c>
      <c r="Z45" s="246"/>
      <c r="AA45" s="537">
        <f>SUM(AA37:AA44)</f>
        <v>1320352</v>
      </c>
      <c r="AB45" s="242">
        <f>SUM(AB37:AB44)</f>
        <v>8753536</v>
      </c>
    </row>
    <row r="47" spans="1:28" ht="15.75" thickBot="1" x14ac:dyDescent="0.3"/>
    <row r="48" spans="1:28" ht="27" thickBot="1" x14ac:dyDescent="0.45">
      <c r="B48" s="785" t="s">
        <v>277</v>
      </c>
      <c r="C48" s="786"/>
      <c r="D48" s="786"/>
      <c r="E48" s="786"/>
      <c r="F48" s="786"/>
      <c r="G48" s="786"/>
      <c r="H48" s="786"/>
      <c r="I48" s="786"/>
      <c r="J48" s="786"/>
      <c r="K48" s="786"/>
      <c r="L48" s="786"/>
      <c r="M48" s="786"/>
      <c r="N48" s="786"/>
      <c r="O48" s="786"/>
      <c r="P48" s="786"/>
      <c r="Q48" s="786"/>
      <c r="R48" s="786"/>
      <c r="S48" s="786"/>
      <c r="T48" s="786"/>
      <c r="U48" s="786"/>
      <c r="V48" s="786"/>
      <c r="W48" s="786"/>
      <c r="X48" s="786"/>
      <c r="Y48" s="786"/>
      <c r="Z48" s="786"/>
      <c r="AA48" s="786"/>
      <c r="AB48" s="787"/>
    </row>
    <row r="49" spans="1:28" x14ac:dyDescent="0.25">
      <c r="B49" s="848" t="s">
        <v>47</v>
      </c>
      <c r="C49" s="849"/>
      <c r="D49" s="847" t="s">
        <v>27</v>
      </c>
      <c r="E49" s="846"/>
      <c r="F49" s="845" t="s">
        <v>28</v>
      </c>
      <c r="G49" s="846"/>
      <c r="H49" s="845" t="s">
        <v>29</v>
      </c>
      <c r="I49" s="846"/>
      <c r="J49" s="845" t="s">
        <v>30</v>
      </c>
      <c r="K49" s="846"/>
      <c r="L49" s="845" t="s">
        <v>31</v>
      </c>
      <c r="M49" s="846"/>
      <c r="N49" s="845" t="s">
        <v>32</v>
      </c>
      <c r="O49" s="846"/>
      <c r="P49" s="845" t="s">
        <v>33</v>
      </c>
      <c r="Q49" s="846"/>
      <c r="R49" s="845" t="s">
        <v>34</v>
      </c>
      <c r="S49" s="846"/>
      <c r="T49" s="845" t="s">
        <v>35</v>
      </c>
      <c r="U49" s="846"/>
      <c r="V49" s="845" t="s">
        <v>36</v>
      </c>
      <c r="W49" s="846"/>
      <c r="X49" s="845" t="s">
        <v>37</v>
      </c>
      <c r="Y49" s="846"/>
      <c r="Z49" s="845" t="s">
        <v>38</v>
      </c>
      <c r="AA49" s="847"/>
      <c r="AB49" s="851" t="s">
        <v>15</v>
      </c>
    </row>
    <row r="50" spans="1:28" ht="15.75" thickBot="1" x14ac:dyDescent="0.3">
      <c r="B50" s="525" t="s">
        <v>71</v>
      </c>
      <c r="C50" s="526" t="s">
        <v>109</v>
      </c>
      <c r="D50" s="527" t="s">
        <v>43</v>
      </c>
      <c r="E50" s="528" t="s">
        <v>60</v>
      </c>
      <c r="F50" s="528" t="s">
        <v>43</v>
      </c>
      <c r="G50" s="528" t="s">
        <v>60</v>
      </c>
      <c r="H50" s="528" t="s">
        <v>43</v>
      </c>
      <c r="I50" s="528" t="s">
        <v>60</v>
      </c>
      <c r="J50" s="528" t="s">
        <v>43</v>
      </c>
      <c r="K50" s="528" t="s">
        <v>60</v>
      </c>
      <c r="L50" s="528" t="s">
        <v>43</v>
      </c>
      <c r="M50" s="528" t="s">
        <v>60</v>
      </c>
      <c r="N50" s="528" t="s">
        <v>43</v>
      </c>
      <c r="O50" s="528" t="s">
        <v>60</v>
      </c>
      <c r="P50" s="528" t="s">
        <v>43</v>
      </c>
      <c r="Q50" s="528" t="s">
        <v>60</v>
      </c>
      <c r="R50" s="528" t="s">
        <v>43</v>
      </c>
      <c r="S50" s="528" t="s">
        <v>60</v>
      </c>
      <c r="T50" s="528" t="s">
        <v>43</v>
      </c>
      <c r="U50" s="528" t="s">
        <v>60</v>
      </c>
      <c r="V50" s="528" t="s">
        <v>43</v>
      </c>
      <c r="W50" s="528" t="s">
        <v>60</v>
      </c>
      <c r="X50" s="528" t="s">
        <v>43</v>
      </c>
      <c r="Y50" s="528" t="s">
        <v>60</v>
      </c>
      <c r="Z50" s="528" t="s">
        <v>43</v>
      </c>
      <c r="AA50" s="529" t="s">
        <v>60</v>
      </c>
      <c r="AB50" s="850"/>
    </row>
    <row r="51" spans="1:28" x14ac:dyDescent="0.25">
      <c r="A51" s="852" t="s">
        <v>110</v>
      </c>
      <c r="B51" s="227" t="s">
        <v>285</v>
      </c>
      <c r="C51" s="228">
        <f>$E$19</f>
        <v>680.5</v>
      </c>
      <c r="D51" s="243">
        <f>'Proy. ventas'!E93  + 'Proy. ventas'!E95 + 'Proy. ventas'!E96</f>
        <v>1704</v>
      </c>
      <c r="E51" s="179">
        <f t="shared" ref="E51:E52" si="3">D51*C51</f>
        <v>1159572</v>
      </c>
      <c r="F51" s="243">
        <f>'Proy. ventas'!G93  + 'Proy. ventas'!G95 + 'Proy. ventas'!G96</f>
        <v>1420</v>
      </c>
      <c r="G51" s="179">
        <f>F51*C51</f>
        <v>966310</v>
      </c>
      <c r="H51" s="243">
        <f>'Proy. ventas'!I93  + 'Proy. ventas'!I95 + 'Proy. ventas'!I96</f>
        <v>1136</v>
      </c>
      <c r="I51" s="179">
        <f>H51*C51</f>
        <v>773048</v>
      </c>
      <c r="J51" s="243">
        <f>'Proy. ventas'!K93  + 'Proy. ventas'!K95 + 'Proy. ventas'!K96</f>
        <v>994.00000000000023</v>
      </c>
      <c r="K51" s="179">
        <f>J51*C51</f>
        <v>676417.00000000012</v>
      </c>
      <c r="L51" s="243">
        <f>'Proy. ventas'!M93  + 'Proy. ventas'!M95 + 'Proy. ventas'!M96</f>
        <v>568</v>
      </c>
      <c r="M51" s="179">
        <f>L51*C51</f>
        <v>386524</v>
      </c>
      <c r="N51" s="243">
        <f>'Proy. ventas'!O93  + 'Proy. ventas'!O95 + 'Proy. ventas'!O96</f>
        <v>568</v>
      </c>
      <c r="O51" s="179">
        <f>N51*C51</f>
        <v>386524</v>
      </c>
      <c r="P51" s="243">
        <f>'Proy. ventas'!Q93  + 'Proy. ventas'!Q95 + 'Proy. ventas'!Q96</f>
        <v>1136</v>
      </c>
      <c r="Q51" s="179">
        <f>P51*C51</f>
        <v>773048</v>
      </c>
      <c r="R51" s="243">
        <f>'Proy. ventas'!S93  + 'Proy. ventas'!S95 + 'Proy. ventas'!S96</f>
        <v>568</v>
      </c>
      <c r="S51" s="179">
        <f>R51*C51</f>
        <v>386524</v>
      </c>
      <c r="T51" s="243">
        <f>'Proy. ventas'!U93  + 'Proy. ventas'!U95 + 'Proy. ventas'!U96</f>
        <v>1420</v>
      </c>
      <c r="U51" s="179">
        <f>T51*C51</f>
        <v>966310</v>
      </c>
      <c r="V51" s="243">
        <f>'Proy. ventas'!W93  + 'Proy. ventas'!W95 + 'Proy. ventas'!W96</f>
        <v>1420</v>
      </c>
      <c r="W51" s="179">
        <f>V51*C51</f>
        <v>966310</v>
      </c>
      <c r="X51" s="243">
        <f>'Proy. ventas'!Y93  + 'Proy. ventas'!Y95 + 'Proy. ventas'!Y96</f>
        <v>1562</v>
      </c>
      <c r="Y51" s="179">
        <f>X51*C51</f>
        <v>1062941</v>
      </c>
      <c r="Z51" s="243">
        <f>'Proy. ventas'!AA93  + 'Proy. ventas'!AA95 + 'Proy. ventas'!AA96</f>
        <v>1988.0000000000005</v>
      </c>
      <c r="AA51" s="180">
        <f>Z51*C51</f>
        <v>1352834.0000000002</v>
      </c>
      <c r="AB51" s="532">
        <f t="shared" ref="AB51:AB52" si="4">E51+G51+I51+K51+M51+O51+Q51+S51++U51+W51+Y51+AA51</f>
        <v>9856362</v>
      </c>
    </row>
    <row r="52" spans="1:28" ht="15.75" thickBot="1" x14ac:dyDescent="0.3">
      <c r="A52" s="853"/>
      <c r="B52" s="230" t="s">
        <v>286</v>
      </c>
      <c r="C52" s="231">
        <f>E29</f>
        <v>696.5</v>
      </c>
      <c r="D52" s="244">
        <f>'Proy. ventas'!E94</f>
        <v>600</v>
      </c>
      <c r="E52" s="182">
        <f t="shared" si="3"/>
        <v>417900</v>
      </c>
      <c r="F52" s="244">
        <f>'Proy. ventas'!G94</f>
        <v>500</v>
      </c>
      <c r="G52" s="182">
        <f>F52*C52</f>
        <v>348250</v>
      </c>
      <c r="H52" s="244">
        <f>'Proy. ventas'!I94</f>
        <v>400</v>
      </c>
      <c r="I52" s="182">
        <f>H52*C52</f>
        <v>278600</v>
      </c>
      <c r="J52" s="244">
        <f>'Proy. ventas'!K94</f>
        <v>350</v>
      </c>
      <c r="K52" s="182">
        <f>J52*C52</f>
        <v>243775</v>
      </c>
      <c r="L52" s="244">
        <f>'Proy. ventas'!M94</f>
        <v>200</v>
      </c>
      <c r="M52" s="182">
        <f>L52*C52</f>
        <v>139300</v>
      </c>
      <c r="N52" s="244">
        <f>'Proy. ventas'!O94</f>
        <v>200</v>
      </c>
      <c r="O52" s="182">
        <f>N52*C52</f>
        <v>139300</v>
      </c>
      <c r="P52" s="244">
        <f>'Proy. ventas'!Q94</f>
        <v>400</v>
      </c>
      <c r="Q52" s="182">
        <f>P52*C52</f>
        <v>278600</v>
      </c>
      <c r="R52" s="244">
        <f>'Proy. ventas'!S94</f>
        <v>200</v>
      </c>
      <c r="S52" s="182">
        <f>R52*C52</f>
        <v>139300</v>
      </c>
      <c r="T52" s="244">
        <f>'Proy. ventas'!U94</f>
        <v>500</v>
      </c>
      <c r="U52" s="182">
        <f>T52*C52</f>
        <v>348250</v>
      </c>
      <c r="V52" s="244">
        <f>'Proy. ventas'!W94</f>
        <v>500</v>
      </c>
      <c r="W52" s="182">
        <f>V52*C52</f>
        <v>348250</v>
      </c>
      <c r="X52" s="244">
        <f>'Proy. ventas'!Y94</f>
        <v>550</v>
      </c>
      <c r="Y52" s="182">
        <f>X52*C52</f>
        <v>383075</v>
      </c>
      <c r="Z52" s="244">
        <f>'Proy. ventas'!AA94</f>
        <v>700</v>
      </c>
      <c r="AA52" s="183">
        <f>Z52*C52</f>
        <v>487550</v>
      </c>
      <c r="AB52" s="534">
        <f t="shared" si="4"/>
        <v>3552150</v>
      </c>
    </row>
    <row r="53" spans="1:28" ht="41.25" customHeight="1" thickBot="1" x14ac:dyDescent="0.3">
      <c r="A53" s="530" t="s">
        <v>290</v>
      </c>
      <c r="B53" s="233" t="s">
        <v>311</v>
      </c>
      <c r="C53" s="234"/>
      <c r="D53" s="235">
        <v>1</v>
      </c>
      <c r="E53" s="188">
        <v>400</v>
      </c>
      <c r="F53" s="235"/>
      <c r="G53" s="188"/>
      <c r="H53" s="235">
        <v>1</v>
      </c>
      <c r="I53" s="188">
        <v>400</v>
      </c>
      <c r="J53" s="235"/>
      <c r="K53" s="188"/>
      <c r="L53" s="235">
        <v>1</v>
      </c>
      <c r="M53" s="188">
        <v>400</v>
      </c>
      <c r="N53" s="235"/>
      <c r="O53" s="188"/>
      <c r="P53" s="235">
        <v>1</v>
      </c>
      <c r="Q53" s="188">
        <v>400</v>
      </c>
      <c r="R53" s="235"/>
      <c r="S53" s="188"/>
      <c r="T53" s="235">
        <v>1</v>
      </c>
      <c r="U53" s="188">
        <v>400</v>
      </c>
      <c r="V53" s="235"/>
      <c r="W53" s="188"/>
      <c r="X53" s="235">
        <v>1</v>
      </c>
      <c r="Y53" s="188">
        <v>400</v>
      </c>
      <c r="Z53" s="235"/>
      <c r="AA53" s="188"/>
      <c r="AB53" s="536">
        <f t="shared" ref="AB53:AB56" si="5">E53+G53+I53+K53+M53+O53+Q53+S53++U53+W53+Y53+AA53</f>
        <v>2400</v>
      </c>
    </row>
    <row r="54" spans="1:28" x14ac:dyDescent="0.25">
      <c r="A54" s="854" t="s">
        <v>113</v>
      </c>
      <c r="B54" s="240" t="s">
        <v>291</v>
      </c>
      <c r="C54" s="224">
        <v>150000</v>
      </c>
      <c r="D54" s="222">
        <v>1</v>
      </c>
      <c r="E54" s="177">
        <f t="shared" ref="E54:E55" si="6">D54*C54</f>
        <v>150000</v>
      </c>
      <c r="F54" s="221"/>
      <c r="G54" s="177"/>
      <c r="H54" s="221"/>
      <c r="I54" s="177"/>
      <c r="J54" s="221"/>
      <c r="K54" s="177"/>
      <c r="L54" s="221"/>
      <c r="M54" s="177"/>
      <c r="N54" s="221">
        <v>1</v>
      </c>
      <c r="O54" s="177">
        <f>N54*E54</f>
        <v>150000</v>
      </c>
      <c r="P54" s="221">
        <v>1</v>
      </c>
      <c r="Q54" s="177">
        <f>P54*E54</f>
        <v>150000</v>
      </c>
      <c r="R54" s="221"/>
      <c r="S54" s="177"/>
      <c r="T54" s="221"/>
      <c r="U54" s="177"/>
      <c r="V54" s="221"/>
      <c r="W54" s="177"/>
      <c r="X54" s="221">
        <v>1</v>
      </c>
      <c r="Y54" s="178">
        <f>X54*E54</f>
        <v>150000</v>
      </c>
      <c r="Z54" s="221">
        <v>1</v>
      </c>
      <c r="AA54" s="178">
        <f>Z54*C54</f>
        <v>150000</v>
      </c>
      <c r="AB54" s="535">
        <f t="shared" si="5"/>
        <v>750000</v>
      </c>
    </row>
    <row r="55" spans="1:28" x14ac:dyDescent="0.25">
      <c r="A55" s="855"/>
      <c r="B55" s="241" t="s">
        <v>292</v>
      </c>
      <c r="C55" s="225">
        <v>40000</v>
      </c>
      <c r="D55" s="223">
        <v>1</v>
      </c>
      <c r="E55" s="171">
        <f t="shared" si="6"/>
        <v>40000</v>
      </c>
      <c r="F55" s="220"/>
      <c r="G55" s="171"/>
      <c r="H55" s="220"/>
      <c r="I55" s="171"/>
      <c r="J55" s="220"/>
      <c r="K55" s="171"/>
      <c r="L55" s="220"/>
      <c r="M55" s="171"/>
      <c r="N55" s="220">
        <v>1</v>
      </c>
      <c r="O55" s="171">
        <f>N55*E55</f>
        <v>40000</v>
      </c>
      <c r="P55" s="220">
        <v>1</v>
      </c>
      <c r="Q55" s="171">
        <f>P55*E55</f>
        <v>40000</v>
      </c>
      <c r="R55" s="220"/>
      <c r="S55" s="171"/>
      <c r="T55" s="220"/>
      <c r="U55" s="171"/>
      <c r="V55" s="220"/>
      <c r="W55" s="171"/>
      <c r="X55" s="220">
        <v>1</v>
      </c>
      <c r="Y55" s="173">
        <f>X55*E55</f>
        <v>40000</v>
      </c>
      <c r="Z55" s="220">
        <v>1</v>
      </c>
      <c r="AA55" s="173">
        <f>Z55*C55</f>
        <v>40000</v>
      </c>
      <c r="AB55" s="533">
        <f t="shared" si="5"/>
        <v>200000</v>
      </c>
    </row>
    <row r="56" spans="1:28" x14ac:dyDescent="0.25">
      <c r="A56" s="855"/>
      <c r="B56" s="226"/>
      <c r="C56" s="225"/>
      <c r="D56" s="223"/>
      <c r="E56" s="171"/>
      <c r="F56" s="220"/>
      <c r="G56" s="171"/>
      <c r="H56" s="220"/>
      <c r="I56" s="171"/>
      <c r="J56" s="220"/>
      <c r="K56" s="171"/>
      <c r="L56" s="220"/>
      <c r="M56" s="171"/>
      <c r="N56" s="220"/>
      <c r="O56" s="171"/>
      <c r="P56" s="220"/>
      <c r="Q56" s="171"/>
      <c r="R56" s="220"/>
      <c r="S56" s="171"/>
      <c r="T56" s="220"/>
      <c r="U56" s="171"/>
      <c r="V56" s="220"/>
      <c r="W56" s="171"/>
      <c r="X56" s="220"/>
      <c r="Y56" s="171"/>
      <c r="Z56" s="220"/>
      <c r="AA56" s="173"/>
      <c r="AB56" s="533">
        <f t="shared" si="5"/>
        <v>0</v>
      </c>
    </row>
    <row r="57" spans="1:28" ht="15.75" thickBot="1" x14ac:dyDescent="0.3">
      <c r="A57" s="856"/>
      <c r="B57" s="236"/>
      <c r="C57" s="236"/>
      <c r="D57" s="237">
        <v>0</v>
      </c>
      <c r="E57" s="182">
        <f>E54+E55</f>
        <v>190000</v>
      </c>
      <c r="F57" s="245">
        <v>0</v>
      </c>
      <c r="G57" s="182">
        <f>G54+G55</f>
        <v>0</v>
      </c>
      <c r="H57" s="245">
        <v>0</v>
      </c>
      <c r="I57" s="182">
        <f>I54+I55</f>
        <v>0</v>
      </c>
      <c r="J57" s="245">
        <v>0</v>
      </c>
      <c r="K57" s="182">
        <f>K54+K55</f>
        <v>0</v>
      </c>
      <c r="L57" s="245">
        <v>0</v>
      </c>
      <c r="M57" s="182">
        <f>M54+M55</f>
        <v>0</v>
      </c>
      <c r="N57" s="245">
        <v>0</v>
      </c>
      <c r="O57" s="182">
        <f>O54+O55</f>
        <v>190000</v>
      </c>
      <c r="P57" s="245">
        <v>0</v>
      </c>
      <c r="Q57" s="182">
        <f>Q54+Q55</f>
        <v>190000</v>
      </c>
      <c r="R57" s="245">
        <v>0</v>
      </c>
      <c r="S57" s="182">
        <f>S54+S55</f>
        <v>0</v>
      </c>
      <c r="T57" s="245">
        <v>0</v>
      </c>
      <c r="U57" s="182">
        <f>U54+U55</f>
        <v>0</v>
      </c>
      <c r="V57" s="245">
        <v>0</v>
      </c>
      <c r="W57" s="182">
        <f>W54+W55</f>
        <v>0</v>
      </c>
      <c r="X57" s="245">
        <v>0</v>
      </c>
      <c r="Y57" s="182">
        <f>Y54+Y55</f>
        <v>190000</v>
      </c>
      <c r="Z57" s="245">
        <v>0</v>
      </c>
      <c r="AA57" s="182">
        <f>AA54+AA55</f>
        <v>190000</v>
      </c>
      <c r="AB57" s="534">
        <f>E57+G57+I57+K57+M57+O57+Q57+S57+U57+W57+Y57+AA57</f>
        <v>950000</v>
      </c>
    </row>
    <row r="58" spans="1:28" ht="15.75" thickBot="1" x14ac:dyDescent="0.3">
      <c r="A58" s="530" t="s">
        <v>111</v>
      </c>
      <c r="B58" s="233" t="s">
        <v>369</v>
      </c>
      <c r="C58" s="225">
        <v>15</v>
      </c>
      <c r="D58" s="223">
        <f>D51+D52</f>
        <v>2304</v>
      </c>
      <c r="E58" s="188">
        <f>C58*D58</f>
        <v>34560</v>
      </c>
      <c r="F58" s="223">
        <f>F51+F52</f>
        <v>1920</v>
      </c>
      <c r="G58" s="188">
        <f>C58*F58</f>
        <v>28800</v>
      </c>
      <c r="H58" s="223">
        <f>H51+H52</f>
        <v>1536</v>
      </c>
      <c r="I58" s="188">
        <f>C58*H58</f>
        <v>23040</v>
      </c>
      <c r="J58" s="223">
        <f>J51+J52</f>
        <v>1344.0000000000002</v>
      </c>
      <c r="K58" s="188">
        <f>C58*J58</f>
        <v>20160.000000000004</v>
      </c>
      <c r="L58" s="223">
        <f>L51+L52</f>
        <v>768</v>
      </c>
      <c r="M58" s="188">
        <f>C58*L58</f>
        <v>11520</v>
      </c>
      <c r="N58" s="223">
        <f>N51+N52</f>
        <v>768</v>
      </c>
      <c r="O58" s="188">
        <f>C58*N58</f>
        <v>11520</v>
      </c>
      <c r="P58" s="223">
        <f>P51+P52</f>
        <v>1536</v>
      </c>
      <c r="Q58" s="188">
        <f>C58*P58</f>
        <v>23040</v>
      </c>
      <c r="R58" s="223">
        <f>R51+R52</f>
        <v>768</v>
      </c>
      <c r="S58" s="188">
        <f>C58*R58</f>
        <v>11520</v>
      </c>
      <c r="T58" s="223">
        <f>T51+T52</f>
        <v>1920</v>
      </c>
      <c r="U58" s="188">
        <f>C58*T58</f>
        <v>28800</v>
      </c>
      <c r="V58" s="223">
        <f>V51+V52</f>
        <v>1920</v>
      </c>
      <c r="W58" s="188">
        <f>C58*V58</f>
        <v>28800</v>
      </c>
      <c r="X58" s="223">
        <f>X51+X52</f>
        <v>2112</v>
      </c>
      <c r="Y58" s="188">
        <f>C58*X58</f>
        <v>31680</v>
      </c>
      <c r="Z58" s="223">
        <f>Z51+Z52</f>
        <v>2688.0000000000005</v>
      </c>
      <c r="AA58" s="188">
        <f>C58*Z58</f>
        <v>40320.000000000007</v>
      </c>
      <c r="AB58" s="534">
        <f>E58+G58+I58+K58+M58+O58+Q58+S58+U58+W58+Y58+AA58</f>
        <v>293760</v>
      </c>
    </row>
    <row r="59" spans="1:28" ht="15.75" thickBot="1" x14ac:dyDescent="0.3">
      <c r="B59" s="531" t="s">
        <v>112</v>
      </c>
      <c r="C59" s="238"/>
      <c r="D59" s="239"/>
      <c r="E59" s="538">
        <f>SUM(E53:E58)</f>
        <v>414960</v>
      </c>
      <c r="F59" s="246"/>
      <c r="G59" s="538">
        <f>SUM(G53:G58)</f>
        <v>28800</v>
      </c>
      <c r="H59" s="246"/>
      <c r="I59" s="538">
        <f>SUM(I53:I58)</f>
        <v>23440</v>
      </c>
      <c r="J59" s="246"/>
      <c r="K59" s="538">
        <f>SUM(K53:K58)</f>
        <v>20160.000000000004</v>
      </c>
      <c r="L59" s="246"/>
      <c r="M59" s="538">
        <f>SUM(M53:M58)</f>
        <v>11920</v>
      </c>
      <c r="N59" s="239"/>
      <c r="O59" s="538">
        <f>SUM(O53:O58)</f>
        <v>391520</v>
      </c>
      <c r="P59" s="246"/>
      <c r="Q59" s="538">
        <f>SUM(Q53:Q58)</f>
        <v>403440</v>
      </c>
      <c r="R59" s="246"/>
      <c r="S59" s="538">
        <f>SUM(S53:S58)</f>
        <v>11520</v>
      </c>
      <c r="T59" s="246"/>
      <c r="U59" s="538">
        <f>SUM(U53:U58)</f>
        <v>29200</v>
      </c>
      <c r="V59" s="246"/>
      <c r="W59" s="538">
        <f>SUM(W53:W58)</f>
        <v>28800</v>
      </c>
      <c r="X59" s="246"/>
      <c r="Y59" s="538">
        <f>SUM(Y53:Y58)</f>
        <v>412080</v>
      </c>
      <c r="Z59" s="246"/>
      <c r="AA59" s="537">
        <f>SUM(AA53:AA58)</f>
        <v>420320</v>
      </c>
      <c r="AB59" s="242">
        <f>SUM(AB51:AB58)</f>
        <v>15604672</v>
      </c>
    </row>
    <row r="61" spans="1:28" ht="15.75" thickBot="1" x14ac:dyDescent="0.3"/>
    <row r="62" spans="1:28" ht="27" thickBot="1" x14ac:dyDescent="0.45">
      <c r="B62" s="785" t="s">
        <v>368</v>
      </c>
      <c r="C62" s="786"/>
      <c r="D62" s="786"/>
      <c r="E62" s="786"/>
      <c r="F62" s="786"/>
      <c r="G62" s="786"/>
      <c r="H62" s="786"/>
      <c r="I62" s="786"/>
      <c r="J62" s="786"/>
      <c r="K62" s="786"/>
      <c r="L62" s="786"/>
      <c r="M62" s="786"/>
      <c r="N62" s="786"/>
      <c r="O62" s="786"/>
      <c r="P62" s="786"/>
      <c r="Q62" s="786"/>
      <c r="R62" s="786"/>
      <c r="S62" s="786"/>
      <c r="T62" s="786"/>
      <c r="U62" s="786"/>
      <c r="V62" s="786"/>
      <c r="W62" s="786"/>
      <c r="X62" s="786"/>
      <c r="Y62" s="786"/>
      <c r="Z62" s="786"/>
      <c r="AA62" s="786"/>
      <c r="AB62" s="787"/>
    </row>
    <row r="63" spans="1:28" x14ac:dyDescent="0.25">
      <c r="B63" s="848" t="s">
        <v>47</v>
      </c>
      <c r="C63" s="849"/>
      <c r="D63" s="847" t="s">
        <v>27</v>
      </c>
      <c r="E63" s="846"/>
      <c r="F63" s="845" t="s">
        <v>28</v>
      </c>
      <c r="G63" s="846"/>
      <c r="H63" s="845" t="s">
        <v>29</v>
      </c>
      <c r="I63" s="846"/>
      <c r="J63" s="845" t="s">
        <v>30</v>
      </c>
      <c r="K63" s="846"/>
      <c r="L63" s="845" t="s">
        <v>31</v>
      </c>
      <c r="M63" s="846"/>
      <c r="N63" s="845" t="s">
        <v>32</v>
      </c>
      <c r="O63" s="846"/>
      <c r="P63" s="845" t="s">
        <v>33</v>
      </c>
      <c r="Q63" s="846"/>
      <c r="R63" s="845" t="s">
        <v>34</v>
      </c>
      <c r="S63" s="846"/>
      <c r="T63" s="845" t="s">
        <v>35</v>
      </c>
      <c r="U63" s="846"/>
      <c r="V63" s="845" t="s">
        <v>36</v>
      </c>
      <c r="W63" s="846"/>
      <c r="X63" s="845" t="s">
        <v>37</v>
      </c>
      <c r="Y63" s="846"/>
      <c r="Z63" s="845" t="s">
        <v>38</v>
      </c>
      <c r="AA63" s="847"/>
      <c r="AB63" s="851" t="s">
        <v>15</v>
      </c>
    </row>
    <row r="64" spans="1:28" ht="15.75" thickBot="1" x14ac:dyDescent="0.3">
      <c r="B64" s="525" t="s">
        <v>71</v>
      </c>
      <c r="C64" s="526" t="s">
        <v>109</v>
      </c>
      <c r="D64" s="527" t="s">
        <v>43</v>
      </c>
      <c r="E64" s="528" t="s">
        <v>60</v>
      </c>
      <c r="F64" s="528" t="s">
        <v>43</v>
      </c>
      <c r="G64" s="528" t="s">
        <v>60</v>
      </c>
      <c r="H64" s="528" t="s">
        <v>43</v>
      </c>
      <c r="I64" s="528" t="s">
        <v>60</v>
      </c>
      <c r="J64" s="528" t="s">
        <v>43</v>
      </c>
      <c r="K64" s="528" t="s">
        <v>60</v>
      </c>
      <c r="L64" s="528" t="s">
        <v>43</v>
      </c>
      <c r="M64" s="528" t="s">
        <v>60</v>
      </c>
      <c r="N64" s="528" t="s">
        <v>43</v>
      </c>
      <c r="O64" s="528" t="s">
        <v>60</v>
      </c>
      <c r="P64" s="528" t="s">
        <v>43</v>
      </c>
      <c r="Q64" s="528" t="s">
        <v>60</v>
      </c>
      <c r="R64" s="528" t="s">
        <v>43</v>
      </c>
      <c r="S64" s="528" t="s">
        <v>60</v>
      </c>
      <c r="T64" s="528" t="s">
        <v>43</v>
      </c>
      <c r="U64" s="528" t="s">
        <v>60</v>
      </c>
      <c r="V64" s="528" t="s">
        <v>43</v>
      </c>
      <c r="W64" s="528" t="s">
        <v>60</v>
      </c>
      <c r="X64" s="528" t="s">
        <v>43</v>
      </c>
      <c r="Y64" s="528" t="s">
        <v>60</v>
      </c>
      <c r="Z64" s="528" t="s">
        <v>43</v>
      </c>
      <c r="AA64" s="529" t="s">
        <v>60</v>
      </c>
      <c r="AB64" s="850"/>
    </row>
    <row r="65" spans="1:28" x14ac:dyDescent="0.25">
      <c r="A65" s="852" t="s">
        <v>110</v>
      </c>
      <c r="B65" s="227" t="s">
        <v>285</v>
      </c>
      <c r="C65" s="228">
        <f>E19</f>
        <v>680.5</v>
      </c>
      <c r="D65" s="243">
        <f>'Proy. ventas'!E152  + 'Proy. ventas'!E154 + 'Proy. ventas'!E155</f>
        <v>2556</v>
      </c>
      <c r="E65" s="179">
        <f t="shared" ref="E65:E66" si="7">D65*C65</f>
        <v>1739358</v>
      </c>
      <c r="F65" s="243">
        <f>'Proy. ventas'!G152  + 'Proy. ventas'!G154 + 'Proy. ventas'!G155</f>
        <v>2130</v>
      </c>
      <c r="G65" s="179">
        <f>F65*C65</f>
        <v>1449465</v>
      </c>
      <c r="H65" s="243">
        <f>'Proy. ventas'!I152  + 'Proy. ventas'!I154 + 'Proy. ventas'!I155</f>
        <v>1704</v>
      </c>
      <c r="I65" s="179">
        <f>H65*C65</f>
        <v>1159572</v>
      </c>
      <c r="J65" s="243">
        <f>'Proy. ventas'!K152  + 'Proy. ventas'!K154 + 'Proy. ventas'!K155</f>
        <v>1491</v>
      </c>
      <c r="K65" s="179">
        <f>J65*C65</f>
        <v>1014625.5</v>
      </c>
      <c r="L65" s="243">
        <f>'Proy. ventas'!M152  + 'Proy. ventas'!M154 + 'Proy. ventas'!M155</f>
        <v>852</v>
      </c>
      <c r="M65" s="179">
        <f>L65*C65</f>
        <v>579786</v>
      </c>
      <c r="N65" s="243">
        <f>'Proy. ventas'!O152  + 'Proy. ventas'!O154 + 'Proy. ventas'!O155</f>
        <v>852</v>
      </c>
      <c r="O65" s="179">
        <f>N65*C65</f>
        <v>579786</v>
      </c>
      <c r="P65" s="243">
        <f>'Proy. ventas'!Q152  + 'Proy. ventas'!Q154 + 'Proy. ventas'!Q155</f>
        <v>1704</v>
      </c>
      <c r="Q65" s="179">
        <f>P65*C65</f>
        <v>1159572</v>
      </c>
      <c r="R65" s="243">
        <f>'Proy. ventas'!S152  + 'Proy. ventas'!S154 + 'Proy. ventas'!S155</f>
        <v>852</v>
      </c>
      <c r="S65" s="179">
        <f>R65*C65</f>
        <v>579786</v>
      </c>
      <c r="T65" s="243">
        <f>'Proy. ventas'!U152  + 'Proy. ventas'!U154 + 'Proy. ventas'!U155</f>
        <v>2130</v>
      </c>
      <c r="U65" s="179">
        <f>T65*C65</f>
        <v>1449465</v>
      </c>
      <c r="V65" s="243">
        <f>'Proy. ventas'!W152  + 'Proy. ventas'!W154 + 'Proy. ventas'!W155</f>
        <v>2130</v>
      </c>
      <c r="W65" s="179">
        <f>V65*C65</f>
        <v>1449465</v>
      </c>
      <c r="X65" s="243">
        <f>'Proy. ventas'!Y152  + 'Proy. ventas'!Y154 + 'Proy. ventas'!Y155</f>
        <v>2343</v>
      </c>
      <c r="Y65" s="179">
        <f>X65*C65</f>
        <v>1594411.5</v>
      </c>
      <c r="Z65" s="243">
        <f>'Proy. ventas'!AA152  + 'Proy. ventas'!AA154 + 'Proy. ventas'!AA155</f>
        <v>2982</v>
      </c>
      <c r="AA65" s="180">
        <f>Z65*C65</f>
        <v>2029251</v>
      </c>
      <c r="AB65" s="532">
        <f t="shared" ref="AB65:AB70" si="8">E65+G65+I65+K65+M65+O65+Q65+S65++U65+W65+Y65+AA65</f>
        <v>14784543</v>
      </c>
    </row>
    <row r="66" spans="1:28" ht="24" customHeight="1" thickBot="1" x14ac:dyDescent="0.3">
      <c r="A66" s="853"/>
      <c r="B66" s="230" t="s">
        <v>286</v>
      </c>
      <c r="C66" s="231">
        <f>E29</f>
        <v>696.5</v>
      </c>
      <c r="D66" s="244">
        <f>'Proy. ventas'!E153</f>
        <v>900</v>
      </c>
      <c r="E66" s="182">
        <f t="shared" si="7"/>
        <v>626850</v>
      </c>
      <c r="F66" s="244">
        <f>'Proy. ventas'!G153</f>
        <v>750</v>
      </c>
      <c r="G66" s="182">
        <f>F66*C66</f>
        <v>522375</v>
      </c>
      <c r="H66" s="244">
        <f>'Proy. ventas'!I153</f>
        <v>600</v>
      </c>
      <c r="I66" s="182">
        <f>H66*C66</f>
        <v>417900</v>
      </c>
      <c r="J66" s="244">
        <f>'Proy. ventas'!K153</f>
        <v>525</v>
      </c>
      <c r="K66" s="182">
        <f>J66*C66</f>
        <v>365662.5</v>
      </c>
      <c r="L66" s="244">
        <f>'Proy. ventas'!M153</f>
        <v>300</v>
      </c>
      <c r="M66" s="182">
        <f>L66*C66</f>
        <v>208950</v>
      </c>
      <c r="N66" s="244">
        <f>'Proy. ventas'!O153</f>
        <v>300</v>
      </c>
      <c r="O66" s="182">
        <f>N66*C66</f>
        <v>208950</v>
      </c>
      <c r="P66" s="244">
        <f>'Proy. ventas'!Q153</f>
        <v>600</v>
      </c>
      <c r="Q66" s="182">
        <f>P66*C66</f>
        <v>417900</v>
      </c>
      <c r="R66" s="244">
        <f>'Proy. ventas'!S153</f>
        <v>300</v>
      </c>
      <c r="S66" s="182">
        <f>R66*C66</f>
        <v>208950</v>
      </c>
      <c r="T66" s="244">
        <f>'Proy. ventas'!U153</f>
        <v>750</v>
      </c>
      <c r="U66" s="182">
        <f>T66*C66</f>
        <v>522375</v>
      </c>
      <c r="V66" s="244">
        <f>'Proy. ventas'!W153</f>
        <v>750</v>
      </c>
      <c r="W66" s="182">
        <f>V66*C66</f>
        <v>522375</v>
      </c>
      <c r="X66" s="244">
        <f>'Proy. ventas'!Y153</f>
        <v>825</v>
      </c>
      <c r="Y66" s="182">
        <f>X66*C66</f>
        <v>574612.5</v>
      </c>
      <c r="Z66" s="244">
        <f>'Proy. ventas'!AA153</f>
        <v>1050</v>
      </c>
      <c r="AA66" s="183">
        <f>Z66*C66</f>
        <v>731325</v>
      </c>
      <c r="AB66" s="534">
        <f t="shared" si="8"/>
        <v>5328225</v>
      </c>
    </row>
    <row r="67" spans="1:28" ht="36" customHeight="1" thickBot="1" x14ac:dyDescent="0.3">
      <c r="A67" s="530" t="s">
        <v>290</v>
      </c>
      <c r="B67" s="233" t="s">
        <v>311</v>
      </c>
      <c r="C67" s="234"/>
      <c r="D67" s="235">
        <v>1</v>
      </c>
      <c r="E67" s="188">
        <v>400</v>
      </c>
      <c r="F67" s="235"/>
      <c r="G67" s="188"/>
      <c r="H67" s="235">
        <v>1</v>
      </c>
      <c r="I67" s="188">
        <v>400</v>
      </c>
      <c r="J67" s="235"/>
      <c r="K67" s="188"/>
      <c r="L67" s="235">
        <v>1</v>
      </c>
      <c r="M67" s="188">
        <v>400</v>
      </c>
      <c r="N67" s="235"/>
      <c r="O67" s="188"/>
      <c r="P67" s="235">
        <v>1</v>
      </c>
      <c r="Q67" s="188">
        <v>400</v>
      </c>
      <c r="R67" s="235"/>
      <c r="S67" s="188"/>
      <c r="T67" s="235">
        <v>1</v>
      </c>
      <c r="U67" s="188">
        <v>400</v>
      </c>
      <c r="V67" s="235"/>
      <c r="W67" s="188"/>
      <c r="X67" s="235">
        <v>1</v>
      </c>
      <c r="Y67" s="188">
        <v>400</v>
      </c>
      <c r="Z67" s="235"/>
      <c r="AA67" s="188"/>
      <c r="AB67" s="536">
        <f t="shared" si="8"/>
        <v>2400</v>
      </c>
    </row>
    <row r="68" spans="1:28" x14ac:dyDescent="0.25">
      <c r="A68" s="854" t="s">
        <v>113</v>
      </c>
      <c r="B68" s="240" t="s">
        <v>291</v>
      </c>
      <c r="C68" s="224">
        <v>150000</v>
      </c>
      <c r="D68" s="222">
        <v>1</v>
      </c>
      <c r="E68" s="177">
        <f t="shared" ref="E68:E69" si="9">D68*C68</f>
        <v>150000</v>
      </c>
      <c r="F68" s="221"/>
      <c r="G68" s="177"/>
      <c r="H68" s="221"/>
      <c r="I68" s="177"/>
      <c r="J68" s="221"/>
      <c r="K68" s="177"/>
      <c r="L68" s="221"/>
      <c r="M68" s="177"/>
      <c r="N68" s="221">
        <v>1</v>
      </c>
      <c r="O68" s="177">
        <f>N68*E68</f>
        <v>150000</v>
      </c>
      <c r="P68" s="221">
        <v>1</v>
      </c>
      <c r="Q68" s="177">
        <f>P68*E68</f>
        <v>150000</v>
      </c>
      <c r="R68" s="221"/>
      <c r="S68" s="177"/>
      <c r="T68" s="221"/>
      <c r="U68" s="177"/>
      <c r="V68" s="221"/>
      <c r="W68" s="177"/>
      <c r="X68" s="221">
        <v>1</v>
      </c>
      <c r="Y68" s="178">
        <f>X68*E68</f>
        <v>150000</v>
      </c>
      <c r="Z68" s="221">
        <v>1</v>
      </c>
      <c r="AA68" s="178">
        <f>Z68*C68</f>
        <v>150000</v>
      </c>
      <c r="AB68" s="535">
        <f t="shared" si="8"/>
        <v>750000</v>
      </c>
    </row>
    <row r="69" spans="1:28" x14ac:dyDescent="0.25">
      <c r="A69" s="855"/>
      <c r="B69" s="241" t="s">
        <v>292</v>
      </c>
      <c r="C69" s="225">
        <v>40000</v>
      </c>
      <c r="D69" s="223">
        <v>1</v>
      </c>
      <c r="E69" s="171">
        <f t="shared" si="9"/>
        <v>40000</v>
      </c>
      <c r="F69" s="220"/>
      <c r="G69" s="171"/>
      <c r="H69" s="220"/>
      <c r="I69" s="171"/>
      <c r="J69" s="220"/>
      <c r="K69" s="171"/>
      <c r="L69" s="220"/>
      <c r="M69" s="171"/>
      <c r="N69" s="220">
        <v>1</v>
      </c>
      <c r="O69" s="171">
        <f>N69*E69</f>
        <v>40000</v>
      </c>
      <c r="P69" s="220">
        <v>1</v>
      </c>
      <c r="Q69" s="171">
        <f>P69*E69</f>
        <v>40000</v>
      </c>
      <c r="R69" s="220"/>
      <c r="S69" s="171"/>
      <c r="T69" s="220"/>
      <c r="U69" s="171"/>
      <c r="V69" s="220"/>
      <c r="W69" s="171"/>
      <c r="X69" s="220">
        <v>1</v>
      </c>
      <c r="Y69" s="173">
        <f>X69*E69</f>
        <v>40000</v>
      </c>
      <c r="Z69" s="220">
        <v>1</v>
      </c>
      <c r="AA69" s="173">
        <f>Z69*C69</f>
        <v>40000</v>
      </c>
      <c r="AB69" s="533">
        <f t="shared" si="8"/>
        <v>200000</v>
      </c>
    </row>
    <row r="70" spans="1:28" x14ac:dyDescent="0.25">
      <c r="A70" s="855"/>
      <c r="B70" s="226"/>
      <c r="C70" s="225"/>
      <c r="D70" s="223"/>
      <c r="E70" s="171"/>
      <c r="F70" s="220"/>
      <c r="G70" s="171"/>
      <c r="H70" s="220"/>
      <c r="I70" s="171"/>
      <c r="J70" s="220"/>
      <c r="K70" s="171"/>
      <c r="L70" s="220"/>
      <c r="M70" s="171"/>
      <c r="N70" s="220"/>
      <c r="O70" s="171"/>
      <c r="P70" s="220"/>
      <c r="Q70" s="171"/>
      <c r="R70" s="220"/>
      <c r="S70" s="171"/>
      <c r="T70" s="220"/>
      <c r="U70" s="171"/>
      <c r="V70" s="220"/>
      <c r="W70" s="171"/>
      <c r="X70" s="220"/>
      <c r="Y70" s="171"/>
      <c r="Z70" s="220"/>
      <c r="AA70" s="173"/>
      <c r="AB70" s="533">
        <f t="shared" si="8"/>
        <v>0</v>
      </c>
    </row>
    <row r="71" spans="1:28" ht="15.75" thickBot="1" x14ac:dyDescent="0.3">
      <c r="A71" s="856"/>
      <c r="B71" s="236"/>
      <c r="C71" s="236"/>
      <c r="D71" s="237">
        <v>0</v>
      </c>
      <c r="E71" s="182">
        <f>E68+E69</f>
        <v>190000</v>
      </c>
      <c r="F71" s="245">
        <v>0</v>
      </c>
      <c r="G71" s="182">
        <f>G68+G69</f>
        <v>0</v>
      </c>
      <c r="H71" s="245">
        <v>0</v>
      </c>
      <c r="I71" s="182">
        <f>I68+I69</f>
        <v>0</v>
      </c>
      <c r="J71" s="245">
        <v>0</v>
      </c>
      <c r="K71" s="182">
        <f>K68+K69</f>
        <v>0</v>
      </c>
      <c r="L71" s="245">
        <v>0</v>
      </c>
      <c r="M71" s="182">
        <f>M68+M69</f>
        <v>0</v>
      </c>
      <c r="N71" s="245">
        <v>0</v>
      </c>
      <c r="O71" s="182">
        <f>O68+O69</f>
        <v>190000</v>
      </c>
      <c r="P71" s="245">
        <v>0</v>
      </c>
      <c r="Q71" s="182">
        <f>Q68+Q69</f>
        <v>190000</v>
      </c>
      <c r="R71" s="245">
        <v>0</v>
      </c>
      <c r="S71" s="182">
        <f>S68+S69</f>
        <v>0</v>
      </c>
      <c r="T71" s="245">
        <v>0</v>
      </c>
      <c r="U71" s="182">
        <f>U68+U69</f>
        <v>0</v>
      </c>
      <c r="V71" s="245">
        <v>0</v>
      </c>
      <c r="W71" s="182">
        <f>W68+W69</f>
        <v>0</v>
      </c>
      <c r="X71" s="245">
        <v>0</v>
      </c>
      <c r="Y71" s="182">
        <f>Y68+Y69</f>
        <v>190000</v>
      </c>
      <c r="Z71" s="245">
        <v>0</v>
      </c>
      <c r="AA71" s="182">
        <f>AA68+AA69</f>
        <v>190000</v>
      </c>
      <c r="AB71" s="534">
        <f>E71+G71+I71+K71+M71+O71+Q71+S71+U71+W71+Y71+AA71</f>
        <v>950000</v>
      </c>
    </row>
    <row r="72" spans="1:28" ht="15.75" thickBot="1" x14ac:dyDescent="0.3">
      <c r="A72" s="530" t="s">
        <v>111</v>
      </c>
      <c r="B72" s="233" t="s">
        <v>369</v>
      </c>
      <c r="C72" s="225">
        <v>15</v>
      </c>
      <c r="D72" s="223">
        <f>D65+D66</f>
        <v>3456</v>
      </c>
      <c r="E72" s="188">
        <f>C72*D72</f>
        <v>51840</v>
      </c>
      <c r="F72" s="223">
        <f>F65+F66</f>
        <v>2880</v>
      </c>
      <c r="G72" s="188">
        <f>C72*F72</f>
        <v>43200</v>
      </c>
      <c r="H72" s="223">
        <f>H65+H66</f>
        <v>2304</v>
      </c>
      <c r="I72" s="188">
        <f>C72*H72</f>
        <v>34560</v>
      </c>
      <c r="J72" s="223">
        <f>J65+J66</f>
        <v>2016</v>
      </c>
      <c r="K72" s="188">
        <f>C72*J72</f>
        <v>30240</v>
      </c>
      <c r="L72" s="223">
        <f>L65+L66</f>
        <v>1152</v>
      </c>
      <c r="M72" s="188">
        <f>C72*L72</f>
        <v>17280</v>
      </c>
      <c r="N72" s="223">
        <f>N65+N66</f>
        <v>1152</v>
      </c>
      <c r="O72" s="188">
        <f>C72*N72</f>
        <v>17280</v>
      </c>
      <c r="P72" s="223">
        <f>P65+P66</f>
        <v>2304</v>
      </c>
      <c r="Q72" s="188">
        <f>C72*P72</f>
        <v>34560</v>
      </c>
      <c r="R72" s="223">
        <f>R65+R66</f>
        <v>1152</v>
      </c>
      <c r="S72" s="188">
        <f>C72*R72</f>
        <v>17280</v>
      </c>
      <c r="T72" s="223">
        <f>T65+T66</f>
        <v>2880</v>
      </c>
      <c r="U72" s="188">
        <f>C72*T72</f>
        <v>43200</v>
      </c>
      <c r="V72" s="223">
        <f>V65+V66</f>
        <v>2880</v>
      </c>
      <c r="W72" s="188">
        <f>C72*V72</f>
        <v>43200</v>
      </c>
      <c r="X72" s="223">
        <f>X65+X66</f>
        <v>3168</v>
      </c>
      <c r="Y72" s="188">
        <f>C72*X72</f>
        <v>47520</v>
      </c>
      <c r="Z72" s="223">
        <f>Z65+Z66</f>
        <v>4032</v>
      </c>
      <c r="AA72" s="188">
        <f>C72*Z72</f>
        <v>60480</v>
      </c>
      <c r="AB72" s="534">
        <f>E72+G72+I72+K72+M72+O72+Q72+S72+U72+W72+Y72+AA72</f>
        <v>440640</v>
      </c>
    </row>
    <row r="73" spans="1:28" ht="15.75" thickBot="1" x14ac:dyDescent="0.3">
      <c r="B73" s="531" t="s">
        <v>112</v>
      </c>
      <c r="C73" s="238"/>
      <c r="D73" s="239"/>
      <c r="E73" s="538">
        <f>SUM(E67:E72)</f>
        <v>432240</v>
      </c>
      <c r="F73" s="246"/>
      <c r="G73" s="538">
        <f>SUM(G67:G72)</f>
        <v>43200</v>
      </c>
      <c r="H73" s="246"/>
      <c r="I73" s="538">
        <f>SUM(I67:I72)</f>
        <v>34960</v>
      </c>
      <c r="J73" s="246"/>
      <c r="K73" s="538">
        <f>SUM(K67:K72)</f>
        <v>30240</v>
      </c>
      <c r="L73" s="246"/>
      <c r="M73" s="538">
        <f>SUM(M67:M72)</f>
        <v>17680</v>
      </c>
      <c r="N73" s="239"/>
      <c r="O73" s="538">
        <f>SUM(O67:O72)</f>
        <v>397280</v>
      </c>
      <c r="P73" s="246"/>
      <c r="Q73" s="538">
        <f>SUM(Q67:Q72)</f>
        <v>414960</v>
      </c>
      <c r="R73" s="246"/>
      <c r="S73" s="538">
        <f>SUM(S67:S72)</f>
        <v>17280</v>
      </c>
      <c r="T73" s="246"/>
      <c r="U73" s="538">
        <f>SUM(U67:U72)</f>
        <v>43600</v>
      </c>
      <c r="V73" s="246"/>
      <c r="W73" s="538">
        <f>SUM(W67:W72)</f>
        <v>43200</v>
      </c>
      <c r="X73" s="246"/>
      <c r="Y73" s="538">
        <f>SUM(Y67:Y72)</f>
        <v>427920</v>
      </c>
      <c r="Z73" s="246"/>
      <c r="AA73" s="537">
        <f>SUM(AA67:AA72)</f>
        <v>440480</v>
      </c>
      <c r="AB73" s="242">
        <f>SUM(AB65:AB72)</f>
        <v>22455808</v>
      </c>
    </row>
  </sheetData>
  <mergeCells count="56">
    <mergeCell ref="A68:A71"/>
    <mergeCell ref="P63:Q63"/>
    <mergeCell ref="R63:S63"/>
    <mergeCell ref="T63:U63"/>
    <mergeCell ref="V63:W63"/>
    <mergeCell ref="A65:A66"/>
    <mergeCell ref="B63:C63"/>
    <mergeCell ref="D63:E63"/>
    <mergeCell ref="F63:G63"/>
    <mergeCell ref="H63:I63"/>
    <mergeCell ref="J63:K63"/>
    <mergeCell ref="L63:M63"/>
    <mergeCell ref="N63:O63"/>
    <mergeCell ref="A54:A57"/>
    <mergeCell ref="L49:M49"/>
    <mergeCell ref="N49:O49"/>
    <mergeCell ref="P49:Q49"/>
    <mergeCell ref="B62:AB62"/>
    <mergeCell ref="V49:W49"/>
    <mergeCell ref="R49:S49"/>
    <mergeCell ref="A51:A52"/>
    <mergeCell ref="A37:A38"/>
    <mergeCell ref="A40:A43"/>
    <mergeCell ref="B48:AB48"/>
    <mergeCell ref="B49:C49"/>
    <mergeCell ref="D49:E49"/>
    <mergeCell ref="F49:G49"/>
    <mergeCell ref="H49:I49"/>
    <mergeCell ref="J49:K49"/>
    <mergeCell ref="X49:Y49"/>
    <mergeCell ref="Z49:AA49"/>
    <mergeCell ref="AB49:AB50"/>
    <mergeCell ref="T49:U49"/>
    <mergeCell ref="D35:E35"/>
    <mergeCell ref="F35:G35"/>
    <mergeCell ref="H35:I35"/>
    <mergeCell ref="J35:K35"/>
    <mergeCell ref="AB63:AB64"/>
    <mergeCell ref="X63:Y63"/>
    <mergeCell ref="Z63:AA63"/>
    <mergeCell ref="H4:J4"/>
    <mergeCell ref="B4:D4"/>
    <mergeCell ref="B11:E11"/>
    <mergeCell ref="X35:Y35"/>
    <mergeCell ref="Z35:AA35"/>
    <mergeCell ref="B10:E10"/>
    <mergeCell ref="B35:C35"/>
    <mergeCell ref="B34:AB34"/>
    <mergeCell ref="AB35:AB36"/>
    <mergeCell ref="L35:M35"/>
    <mergeCell ref="N35:O35"/>
    <mergeCell ref="P35:Q35"/>
    <mergeCell ref="R35:S35"/>
    <mergeCell ref="T35:U35"/>
    <mergeCell ref="V35:W35"/>
    <mergeCell ref="B21:E21"/>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E95"/>
  <sheetViews>
    <sheetView zoomScaleNormal="100" workbookViewId="0">
      <pane xSplit="2" ySplit="1" topLeftCell="C2" activePane="bottomRight" state="frozen"/>
      <selection pane="topRight" activeCell="C1" sqref="C1"/>
      <selection pane="bottomLeft" activeCell="A2" sqref="A2"/>
      <selection pane="bottomRight" activeCell="C50" sqref="C50"/>
    </sheetView>
  </sheetViews>
  <sheetFormatPr baseColWidth="10" defaultColWidth="11.42578125" defaultRowHeight="15" x14ac:dyDescent="0.25"/>
  <cols>
    <col min="1" max="1" width="11.42578125" style="1"/>
    <col min="2" max="2" width="31" style="1" bestFit="1" customWidth="1"/>
    <col min="3" max="3" width="36.140625" style="1" bestFit="1" customWidth="1"/>
    <col min="4" max="4" width="19" style="1" customWidth="1"/>
    <col min="5" max="5" width="22" style="1" customWidth="1"/>
    <col min="6" max="6" width="23" style="1" customWidth="1"/>
    <col min="7" max="7" width="13.140625" style="1" customWidth="1"/>
    <col min="8" max="8" width="19.7109375" style="1" customWidth="1"/>
    <col min="9" max="9" width="18.42578125" style="1" customWidth="1"/>
    <col min="10" max="10" width="21.5703125" style="1" customWidth="1"/>
    <col min="11" max="11" width="16.7109375" style="1" bestFit="1" customWidth="1"/>
    <col min="12" max="12" width="21.28515625" style="1" customWidth="1"/>
    <col min="13" max="13" width="11.42578125" style="1"/>
    <col min="14" max="14" width="20.5703125" style="1" customWidth="1"/>
    <col min="15" max="15" width="11.42578125" style="1"/>
    <col min="16" max="16" width="20.85546875" style="1" customWidth="1"/>
    <col min="17" max="17" width="11.42578125" style="1"/>
    <col min="18" max="18" width="20" style="1" customWidth="1"/>
    <col min="19" max="19" width="11.42578125" style="1"/>
    <col min="20" max="20" width="20.28515625" style="1" customWidth="1"/>
    <col min="21" max="21" width="11.42578125" style="1"/>
    <col min="22" max="22" width="19.7109375" style="1" customWidth="1"/>
    <col min="23" max="23" width="17.85546875" style="1" customWidth="1"/>
    <col min="24" max="24" width="20.5703125" style="1" customWidth="1"/>
    <col min="25" max="25" width="12.42578125" style="1" bestFit="1" customWidth="1"/>
    <col min="26" max="26" width="18.28515625" style="1" customWidth="1"/>
    <col min="27" max="27" width="20.140625" style="1" customWidth="1"/>
    <col min="28" max="28" width="11.42578125" style="1"/>
    <col min="29" max="29" width="12.42578125" style="1" bestFit="1" customWidth="1"/>
    <col min="30" max="16384" width="11.42578125" style="1"/>
  </cols>
  <sheetData>
    <row r="1" spans="1:31" s="341" customFormat="1" ht="58.5" customHeight="1" x14ac:dyDescent="0.25">
      <c r="A1" s="344"/>
      <c r="B1" s="344"/>
      <c r="C1" s="344"/>
      <c r="D1" s="344"/>
      <c r="E1" s="349" t="s">
        <v>6</v>
      </c>
      <c r="F1" s="352"/>
      <c r="G1" s="352"/>
      <c r="H1" s="344"/>
      <c r="I1" s="344"/>
      <c r="J1" s="344"/>
      <c r="K1" s="344"/>
      <c r="L1" s="344"/>
      <c r="M1" s="344"/>
      <c r="N1" s="344"/>
      <c r="O1" s="344"/>
      <c r="P1" s="344"/>
      <c r="Q1" s="344"/>
      <c r="R1" s="344"/>
      <c r="S1" s="344"/>
      <c r="T1" s="344"/>
      <c r="U1" s="344"/>
      <c r="V1" s="344"/>
      <c r="W1" s="344"/>
      <c r="X1" s="344"/>
      <c r="Y1" s="344"/>
      <c r="Z1" s="344"/>
      <c r="AA1" s="344"/>
      <c r="AB1" s="344"/>
      <c r="AC1" s="344"/>
      <c r="AD1" s="344"/>
      <c r="AE1" s="344"/>
    </row>
    <row r="3" spans="1:31" ht="15.75" thickBot="1" x14ac:dyDescent="0.3"/>
    <row r="4" spans="1:31" ht="27" thickBot="1" x14ac:dyDescent="0.45">
      <c r="B4" s="785" t="s">
        <v>22</v>
      </c>
      <c r="C4" s="786"/>
      <c r="D4" s="787"/>
      <c r="E4" s="18"/>
      <c r="H4" s="785" t="s">
        <v>116</v>
      </c>
      <c r="I4" s="786"/>
      <c r="J4" s="787"/>
    </row>
    <row r="5" spans="1:31" x14ac:dyDescent="0.25">
      <c r="B5" s="503">
        <v>2021</v>
      </c>
      <c r="C5" s="503">
        <v>2022</v>
      </c>
      <c r="D5" s="503">
        <v>2023</v>
      </c>
      <c r="E5" s="127"/>
      <c r="H5" s="504">
        <v>2021</v>
      </c>
      <c r="I5" s="503">
        <v>2022</v>
      </c>
      <c r="J5" s="505">
        <v>2023</v>
      </c>
    </row>
    <row r="6" spans="1:31" ht="15.75" thickBot="1" x14ac:dyDescent="0.3">
      <c r="B6" s="19">
        <f>Hipótesis!C24</f>
        <v>1.2999999999999999E-2</v>
      </c>
      <c r="C6" s="19">
        <f>Hipótesis!C25</f>
        <v>2.5000000000000001E-2</v>
      </c>
      <c r="D6" s="19">
        <f>Hipótesis!C26</f>
        <v>0.04</v>
      </c>
      <c r="E6" s="207"/>
      <c r="H6" s="46">
        <f>$AA$48</f>
        <v>17854117.440000001</v>
      </c>
      <c r="I6" s="47">
        <f>$AA$68</f>
        <v>26928160.68</v>
      </c>
      <c r="J6" s="48">
        <f>$AA$91</f>
        <v>38051296.439999998</v>
      </c>
    </row>
    <row r="7" spans="1:31" x14ac:dyDescent="0.25">
      <c r="B7" s="16">
        <f>Hipótesis!D24</f>
        <v>31551000</v>
      </c>
      <c r="C7" s="16">
        <f>Hipótesis!D25</f>
        <v>60675000</v>
      </c>
      <c r="D7" s="16">
        <f>Hipótesis!D26</f>
        <v>97080000</v>
      </c>
      <c r="E7" s="204"/>
    </row>
    <row r="10" spans="1:31" ht="15.75" thickBot="1" x14ac:dyDescent="0.3"/>
    <row r="11" spans="1:31" ht="27" thickBot="1" x14ac:dyDescent="0.45">
      <c r="B11" s="785" t="s">
        <v>132</v>
      </c>
      <c r="C11" s="786"/>
      <c r="D11" s="786"/>
      <c r="E11" s="786"/>
      <c r="F11" s="786"/>
      <c r="G11" s="786"/>
      <c r="H11" s="786"/>
      <c r="I11" s="786"/>
      <c r="J11" s="786"/>
      <c r="K11" s="786"/>
      <c r="L11" s="787"/>
    </row>
    <row r="12" spans="1:31" ht="15.75" x14ac:dyDescent="0.25">
      <c r="B12" s="876" t="s">
        <v>123</v>
      </c>
      <c r="C12" s="874" t="s">
        <v>124</v>
      </c>
      <c r="D12" s="872" t="s">
        <v>125</v>
      </c>
      <c r="E12" s="539" t="s">
        <v>117</v>
      </c>
      <c r="F12" s="522" t="s">
        <v>118</v>
      </c>
      <c r="G12" s="522" t="s">
        <v>119</v>
      </c>
      <c r="H12" s="522" t="s">
        <v>120</v>
      </c>
      <c r="I12" s="540" t="s">
        <v>121</v>
      </c>
      <c r="J12" s="541" t="s">
        <v>122</v>
      </c>
      <c r="K12" s="864" t="s">
        <v>134</v>
      </c>
      <c r="L12" s="864" t="s">
        <v>135</v>
      </c>
    </row>
    <row r="13" spans="1:31" ht="16.5" thickBot="1" x14ac:dyDescent="0.3">
      <c r="B13" s="877"/>
      <c r="C13" s="875"/>
      <c r="D13" s="873"/>
      <c r="E13" s="542">
        <v>0.1047</v>
      </c>
      <c r="F13" s="543">
        <v>1.54E-2</v>
      </c>
      <c r="G13" s="544">
        <v>0.06</v>
      </c>
      <c r="H13" s="543">
        <v>9.1999999999999998E-3</v>
      </c>
      <c r="I13" s="544" t="s">
        <v>133</v>
      </c>
      <c r="J13" s="545">
        <v>0.03</v>
      </c>
      <c r="K13" s="865"/>
      <c r="L13" s="865"/>
    </row>
    <row r="14" spans="1:31" ht="15.75" thickBot="1" x14ac:dyDescent="0.3">
      <c r="B14" s="247" t="s">
        <v>126</v>
      </c>
      <c r="C14" s="248" t="s">
        <v>252</v>
      </c>
      <c r="D14" s="251">
        <v>200000</v>
      </c>
      <c r="E14" s="196">
        <f>$D$14*E13</f>
        <v>20940</v>
      </c>
      <c r="F14" s="188">
        <f t="shared" ref="F14:J14" si="0">$D$14*F13</f>
        <v>3080</v>
      </c>
      <c r="G14" s="188">
        <f t="shared" si="0"/>
        <v>12000</v>
      </c>
      <c r="H14" s="188">
        <f t="shared" si="0"/>
        <v>1840</v>
      </c>
      <c r="I14" s="188">
        <v>18.57</v>
      </c>
      <c r="J14" s="189">
        <f t="shared" si="0"/>
        <v>6000</v>
      </c>
      <c r="K14" s="255">
        <f>SUM(E14:J14)</f>
        <v>43878.57</v>
      </c>
      <c r="L14" s="546">
        <f>D14+K14</f>
        <v>243878.57</v>
      </c>
    </row>
    <row r="15" spans="1:31" x14ac:dyDescent="0.25">
      <c r="B15" s="866" t="s">
        <v>129</v>
      </c>
      <c r="C15" s="249" t="s">
        <v>253</v>
      </c>
      <c r="D15" s="252">
        <v>140000</v>
      </c>
      <c r="E15" s="192">
        <f>$D$15*E13</f>
        <v>14658</v>
      </c>
      <c r="F15" s="179">
        <f t="shared" ref="F15:J15" si="1">$D$15*F13</f>
        <v>2156</v>
      </c>
      <c r="G15" s="179">
        <f t="shared" si="1"/>
        <v>8400</v>
      </c>
      <c r="H15" s="179">
        <f t="shared" si="1"/>
        <v>1288</v>
      </c>
      <c r="I15" s="179">
        <v>18.57</v>
      </c>
      <c r="J15" s="180">
        <f t="shared" si="1"/>
        <v>4200</v>
      </c>
      <c r="K15" s="256">
        <f t="shared" ref="K15:K31" si="2">SUM(E15:J15)</f>
        <v>30720.57</v>
      </c>
      <c r="L15" s="547">
        <f t="shared" ref="L15:L31" si="3">D15+K15</f>
        <v>170720.57</v>
      </c>
    </row>
    <row r="16" spans="1:31" x14ac:dyDescent="0.25">
      <c r="B16" s="867"/>
      <c r="C16" s="112" t="s">
        <v>254</v>
      </c>
      <c r="D16" s="253">
        <v>70000</v>
      </c>
      <c r="E16" s="193">
        <f>$D$16*E13</f>
        <v>7329</v>
      </c>
      <c r="F16" s="171">
        <f t="shared" ref="F16:J16" si="4">$D$16*F13</f>
        <v>1078</v>
      </c>
      <c r="G16" s="171">
        <f t="shared" si="4"/>
        <v>4200</v>
      </c>
      <c r="H16" s="171">
        <f t="shared" si="4"/>
        <v>644</v>
      </c>
      <c r="I16" s="171">
        <v>18.57</v>
      </c>
      <c r="J16" s="173">
        <f t="shared" si="4"/>
        <v>2100</v>
      </c>
      <c r="K16" s="257">
        <f t="shared" si="2"/>
        <v>15369.57</v>
      </c>
      <c r="L16" s="548">
        <f t="shared" si="3"/>
        <v>85369.57</v>
      </c>
    </row>
    <row r="17" spans="2:12" x14ac:dyDescent="0.25">
      <c r="B17" s="867"/>
      <c r="C17" s="112" t="s">
        <v>255</v>
      </c>
      <c r="D17" s="253">
        <v>70000</v>
      </c>
      <c r="E17" s="193">
        <f>$D$17*E13</f>
        <v>7329</v>
      </c>
      <c r="F17" s="171">
        <f t="shared" ref="F17:H17" si="5">$D$17*F13</f>
        <v>1078</v>
      </c>
      <c r="G17" s="171">
        <f t="shared" si="5"/>
        <v>4200</v>
      </c>
      <c r="H17" s="171">
        <f t="shared" si="5"/>
        <v>644</v>
      </c>
      <c r="I17" s="171">
        <v>18.57</v>
      </c>
      <c r="J17" s="173">
        <f>$D$17*J13</f>
        <v>2100</v>
      </c>
      <c r="K17" s="257">
        <f t="shared" si="2"/>
        <v>15369.57</v>
      </c>
      <c r="L17" s="548">
        <f t="shared" si="3"/>
        <v>85369.57</v>
      </c>
    </row>
    <row r="18" spans="2:12" x14ac:dyDescent="0.25">
      <c r="B18" s="867"/>
      <c r="C18" s="112" t="s">
        <v>256</v>
      </c>
      <c r="D18" s="253">
        <v>70000</v>
      </c>
      <c r="E18" s="193">
        <f>$D$18*E13</f>
        <v>7329</v>
      </c>
      <c r="F18" s="171">
        <f t="shared" ref="F18:J18" si="6">$D$18*F13</f>
        <v>1078</v>
      </c>
      <c r="G18" s="171">
        <f t="shared" si="6"/>
        <v>4200</v>
      </c>
      <c r="H18" s="171">
        <f t="shared" si="6"/>
        <v>644</v>
      </c>
      <c r="I18" s="171">
        <v>18.57</v>
      </c>
      <c r="J18" s="173">
        <f t="shared" si="6"/>
        <v>2100</v>
      </c>
      <c r="K18" s="257">
        <f t="shared" si="2"/>
        <v>15369.57</v>
      </c>
      <c r="L18" s="548">
        <f t="shared" si="3"/>
        <v>85369.57</v>
      </c>
    </row>
    <row r="19" spans="2:12" ht="15.75" thickBot="1" x14ac:dyDescent="0.3">
      <c r="B19" s="868"/>
      <c r="C19" s="250" t="s">
        <v>257</v>
      </c>
      <c r="D19" s="254">
        <v>80000</v>
      </c>
      <c r="E19" s="194">
        <f>$D$19*E13</f>
        <v>8376</v>
      </c>
      <c r="F19" s="182">
        <f t="shared" ref="F19:J19" si="7">$D$19*F13</f>
        <v>1232</v>
      </c>
      <c r="G19" s="182">
        <f t="shared" si="7"/>
        <v>4800</v>
      </c>
      <c r="H19" s="182">
        <f t="shared" si="7"/>
        <v>736</v>
      </c>
      <c r="I19" s="182">
        <v>18.57</v>
      </c>
      <c r="J19" s="183">
        <f t="shared" si="7"/>
        <v>2400</v>
      </c>
      <c r="K19" s="258">
        <f t="shared" si="2"/>
        <v>17562.57</v>
      </c>
      <c r="L19" s="549">
        <f t="shared" si="3"/>
        <v>97562.57</v>
      </c>
    </row>
    <row r="20" spans="2:12" x14ac:dyDescent="0.25">
      <c r="B20" s="866" t="s">
        <v>127</v>
      </c>
      <c r="C20" s="249" t="s">
        <v>262</v>
      </c>
      <c r="D20" s="252">
        <v>110000</v>
      </c>
      <c r="E20" s="192">
        <f>$D$20*E13</f>
        <v>11517</v>
      </c>
      <c r="F20" s="179">
        <f t="shared" ref="F20:J20" si="8">$D$20*F13</f>
        <v>1694</v>
      </c>
      <c r="G20" s="179">
        <f t="shared" si="8"/>
        <v>6600</v>
      </c>
      <c r="H20" s="179">
        <f t="shared" si="8"/>
        <v>1012</v>
      </c>
      <c r="I20" s="179">
        <v>18.57</v>
      </c>
      <c r="J20" s="180">
        <f t="shared" si="8"/>
        <v>3300</v>
      </c>
      <c r="K20" s="256">
        <f t="shared" si="2"/>
        <v>24141.57</v>
      </c>
      <c r="L20" s="547">
        <f t="shared" si="3"/>
        <v>134141.57</v>
      </c>
    </row>
    <row r="21" spans="2:12" ht="15.75" thickBot="1" x14ac:dyDescent="0.3">
      <c r="B21" s="868"/>
      <c r="C21" s="250" t="s">
        <v>263</v>
      </c>
      <c r="D21" s="254">
        <v>50000</v>
      </c>
      <c r="E21" s="194">
        <f>$D$21*E13</f>
        <v>5235</v>
      </c>
      <c r="F21" s="182">
        <f t="shared" ref="F21:J21" si="9">$D$21*F13</f>
        <v>770</v>
      </c>
      <c r="G21" s="182">
        <f t="shared" si="9"/>
        <v>3000</v>
      </c>
      <c r="H21" s="182">
        <f t="shared" si="9"/>
        <v>460</v>
      </c>
      <c r="I21" s="182">
        <v>18.57</v>
      </c>
      <c r="J21" s="183">
        <f t="shared" si="9"/>
        <v>1500</v>
      </c>
      <c r="K21" s="258">
        <f t="shared" si="2"/>
        <v>10983.57</v>
      </c>
      <c r="L21" s="549">
        <f t="shared" si="3"/>
        <v>60983.57</v>
      </c>
    </row>
    <row r="22" spans="2:12" x14ac:dyDescent="0.25">
      <c r="B22" s="883" t="s">
        <v>130</v>
      </c>
      <c r="C22" s="249" t="s">
        <v>268</v>
      </c>
      <c r="D22" s="252">
        <v>120000</v>
      </c>
      <c r="E22" s="192">
        <f>$D$22*E13</f>
        <v>12564</v>
      </c>
      <c r="F22" s="179">
        <f t="shared" ref="F22:J22" si="10">$D$22*F13</f>
        <v>1848</v>
      </c>
      <c r="G22" s="179">
        <f t="shared" si="10"/>
        <v>7200</v>
      </c>
      <c r="H22" s="179">
        <f t="shared" si="10"/>
        <v>1104</v>
      </c>
      <c r="I22" s="179">
        <v>18.57</v>
      </c>
      <c r="J22" s="180">
        <f t="shared" si="10"/>
        <v>3600</v>
      </c>
      <c r="K22" s="256">
        <f t="shared" si="2"/>
        <v>26334.57</v>
      </c>
      <c r="L22" s="547">
        <f t="shared" si="3"/>
        <v>146334.57</v>
      </c>
    </row>
    <row r="23" spans="2:12" ht="15.75" thickBot="1" x14ac:dyDescent="0.3">
      <c r="B23" s="870"/>
      <c r="C23" s="112" t="s">
        <v>269</v>
      </c>
      <c r="D23" s="253">
        <v>50000</v>
      </c>
      <c r="E23" s="193">
        <f>$D$23*E13</f>
        <v>5235</v>
      </c>
      <c r="F23" s="171">
        <f t="shared" ref="F23:J23" si="11">$D$23*F13</f>
        <v>770</v>
      </c>
      <c r="G23" s="171">
        <f t="shared" si="11"/>
        <v>3000</v>
      </c>
      <c r="H23" s="171">
        <f t="shared" si="11"/>
        <v>460</v>
      </c>
      <c r="I23" s="171">
        <v>18.57</v>
      </c>
      <c r="J23" s="173">
        <f t="shared" si="11"/>
        <v>1500</v>
      </c>
      <c r="K23" s="257">
        <f t="shared" si="2"/>
        <v>10983.57</v>
      </c>
      <c r="L23" s="548">
        <f t="shared" si="3"/>
        <v>60983.57</v>
      </c>
    </row>
    <row r="24" spans="2:12" x14ac:dyDescent="0.25">
      <c r="B24" s="869" t="s">
        <v>128</v>
      </c>
      <c r="C24" s="112" t="s">
        <v>264</v>
      </c>
      <c r="D24" s="252">
        <v>130000</v>
      </c>
      <c r="E24" s="192">
        <f>$D$24*E13</f>
        <v>13611</v>
      </c>
      <c r="F24" s="179">
        <f>$D$24*F13</f>
        <v>2002</v>
      </c>
      <c r="G24" s="179">
        <f>$D$24*G13</f>
        <v>7800</v>
      </c>
      <c r="H24" s="179">
        <f>$D$24*H13</f>
        <v>1196</v>
      </c>
      <c r="I24" s="179">
        <v>18.57</v>
      </c>
      <c r="J24" s="180">
        <f>$D$24*J13</f>
        <v>3900</v>
      </c>
      <c r="K24" s="256">
        <f>SUM(E24:J24)</f>
        <v>28527.57</v>
      </c>
      <c r="L24" s="547">
        <f>D24+K24</f>
        <v>158527.57</v>
      </c>
    </row>
    <row r="25" spans="2:12" x14ac:dyDescent="0.25">
      <c r="B25" s="870"/>
      <c r="C25" s="112" t="s">
        <v>265</v>
      </c>
      <c r="D25" s="253">
        <v>60000</v>
      </c>
      <c r="E25" s="193">
        <f>$D$25*E13</f>
        <v>6282</v>
      </c>
      <c r="F25" s="171">
        <f>$D$25*F13</f>
        <v>924</v>
      </c>
      <c r="G25" s="171">
        <f>$D$25*G13</f>
        <v>3600</v>
      </c>
      <c r="H25" s="171">
        <f>$D$25*H13</f>
        <v>552</v>
      </c>
      <c r="I25" s="171">
        <v>18.57</v>
      </c>
      <c r="J25" s="173">
        <f>$D$25*J13</f>
        <v>1800</v>
      </c>
      <c r="K25" s="257">
        <f t="shared" si="2"/>
        <v>13176.57</v>
      </c>
      <c r="L25" s="548">
        <f t="shared" si="3"/>
        <v>73176.570000000007</v>
      </c>
    </row>
    <row r="26" spans="2:12" x14ac:dyDescent="0.25">
      <c r="B26" s="870"/>
      <c r="C26" s="112" t="s">
        <v>266</v>
      </c>
      <c r="D26" s="253">
        <v>50000</v>
      </c>
      <c r="E26" s="193">
        <f>$D$26*E13</f>
        <v>5235</v>
      </c>
      <c r="F26" s="171">
        <f>$D$26*F13</f>
        <v>770</v>
      </c>
      <c r="G26" s="171">
        <f>$D$26*G13</f>
        <v>3000</v>
      </c>
      <c r="H26" s="171">
        <f>$D$26*H13</f>
        <v>460</v>
      </c>
      <c r="I26" s="171">
        <v>18.57</v>
      </c>
      <c r="J26" s="173">
        <f>$D$26*J13</f>
        <v>1500</v>
      </c>
      <c r="K26" s="257">
        <f t="shared" si="2"/>
        <v>10983.57</v>
      </c>
      <c r="L26" s="548">
        <f t="shared" si="3"/>
        <v>60983.57</v>
      </c>
    </row>
    <row r="27" spans="2:12" ht="15.75" thickBot="1" x14ac:dyDescent="0.3">
      <c r="B27" s="871"/>
      <c r="C27" s="250" t="s">
        <v>267</v>
      </c>
      <c r="D27" s="254">
        <v>100000</v>
      </c>
      <c r="E27" s="194">
        <f>$D$27*E13</f>
        <v>10470</v>
      </c>
      <c r="F27" s="182">
        <f>$D$27*F13</f>
        <v>1540</v>
      </c>
      <c r="G27" s="182">
        <f>$D$27*G13</f>
        <v>6000</v>
      </c>
      <c r="H27" s="182">
        <f>$D$27*H13</f>
        <v>920</v>
      </c>
      <c r="I27" s="182">
        <v>18.57</v>
      </c>
      <c r="J27" s="183">
        <f>$D$27*J13</f>
        <v>3000</v>
      </c>
      <c r="K27" s="258">
        <f t="shared" si="2"/>
        <v>21948.57</v>
      </c>
      <c r="L27" s="549">
        <f t="shared" si="3"/>
        <v>121948.57</v>
      </c>
    </row>
    <row r="28" spans="2:12" x14ac:dyDescent="0.25">
      <c r="B28" s="869" t="s">
        <v>131</v>
      </c>
      <c r="C28" s="112" t="s">
        <v>258</v>
      </c>
      <c r="D28" s="252">
        <v>180000</v>
      </c>
      <c r="E28" s="192">
        <f>$D$28*E13</f>
        <v>18846</v>
      </c>
      <c r="F28" s="179">
        <f>$D$28*F13</f>
        <v>2772</v>
      </c>
      <c r="G28" s="179">
        <f>$D$28*G13</f>
        <v>10800</v>
      </c>
      <c r="H28" s="179">
        <f>$D$28*H13</f>
        <v>1656</v>
      </c>
      <c r="I28" s="179">
        <v>18.57</v>
      </c>
      <c r="J28" s="180">
        <f>$D$28*J13</f>
        <v>5400</v>
      </c>
      <c r="K28" s="256">
        <f t="shared" si="2"/>
        <v>39492.57</v>
      </c>
      <c r="L28" s="547">
        <f t="shared" si="3"/>
        <v>219492.57</v>
      </c>
    </row>
    <row r="29" spans="2:12" x14ac:dyDescent="0.25">
      <c r="B29" s="870"/>
      <c r="C29" s="112" t="s">
        <v>260</v>
      </c>
      <c r="D29" s="253">
        <v>80000</v>
      </c>
      <c r="E29" s="193">
        <f>$D$29*E13</f>
        <v>8376</v>
      </c>
      <c r="F29" s="171">
        <f>$D$29*F13</f>
        <v>1232</v>
      </c>
      <c r="G29" s="171">
        <f>$D$29*G13</f>
        <v>4800</v>
      </c>
      <c r="H29" s="171">
        <f>$D$29*H13</f>
        <v>736</v>
      </c>
      <c r="I29" s="171">
        <v>18.57</v>
      </c>
      <c r="J29" s="173">
        <f>$D$29*J13</f>
        <v>2400</v>
      </c>
      <c r="K29" s="257">
        <f t="shared" si="2"/>
        <v>17562.57</v>
      </c>
      <c r="L29" s="548">
        <f t="shared" si="3"/>
        <v>97562.57</v>
      </c>
    </row>
    <row r="30" spans="2:12" x14ac:dyDescent="0.25">
      <c r="B30" s="870"/>
      <c r="C30" s="112" t="s">
        <v>259</v>
      </c>
      <c r="D30" s="253">
        <v>50000</v>
      </c>
      <c r="E30" s="193">
        <f>$D$30*E13</f>
        <v>5235</v>
      </c>
      <c r="F30" s="171">
        <f>$D$30*F13</f>
        <v>770</v>
      </c>
      <c r="G30" s="171">
        <f>$D$30*G13</f>
        <v>3000</v>
      </c>
      <c r="H30" s="171">
        <f>$D$30*H13</f>
        <v>460</v>
      </c>
      <c r="I30" s="171">
        <v>18.57</v>
      </c>
      <c r="J30" s="173">
        <f>$D$30*J13</f>
        <v>1500</v>
      </c>
      <c r="K30" s="257">
        <f t="shared" si="2"/>
        <v>10983.57</v>
      </c>
      <c r="L30" s="548">
        <f t="shared" si="3"/>
        <v>60983.57</v>
      </c>
    </row>
    <row r="31" spans="2:12" ht="15.75" thickBot="1" x14ac:dyDescent="0.3">
      <c r="B31" s="871"/>
      <c r="C31" s="250" t="s">
        <v>261</v>
      </c>
      <c r="D31" s="254">
        <v>40000</v>
      </c>
      <c r="E31" s="194">
        <f>$D$31*E13</f>
        <v>4188</v>
      </c>
      <c r="F31" s="182">
        <f>$D$31*F13</f>
        <v>616</v>
      </c>
      <c r="G31" s="182">
        <f>$D$31*G13</f>
        <v>2400</v>
      </c>
      <c r="H31" s="182">
        <f>$D$31*H13</f>
        <v>368</v>
      </c>
      <c r="I31" s="182">
        <v>18.57</v>
      </c>
      <c r="J31" s="183">
        <f>$D$31*J13</f>
        <v>1200</v>
      </c>
      <c r="K31" s="258">
        <f t="shared" si="2"/>
        <v>8790.57</v>
      </c>
      <c r="L31" s="549">
        <f t="shared" si="3"/>
        <v>48790.57</v>
      </c>
    </row>
    <row r="34" spans="2:27" ht="15.75" thickBot="1" x14ac:dyDescent="0.3"/>
    <row r="35" spans="2:27" ht="27" thickBot="1" x14ac:dyDescent="0.45">
      <c r="B35" s="879" t="s">
        <v>139</v>
      </c>
      <c r="C35" s="880"/>
      <c r="D35" s="880"/>
      <c r="E35" s="880"/>
      <c r="F35" s="880"/>
      <c r="G35" s="880"/>
      <c r="H35" s="880"/>
      <c r="I35" s="880"/>
      <c r="J35" s="880"/>
      <c r="K35" s="880"/>
      <c r="L35" s="880"/>
      <c r="M35" s="880"/>
      <c r="N35" s="880"/>
      <c r="O35" s="880"/>
      <c r="P35" s="880"/>
      <c r="Q35" s="880"/>
      <c r="R35" s="880"/>
      <c r="S35" s="880"/>
      <c r="T35" s="880"/>
      <c r="U35" s="880"/>
      <c r="V35" s="880"/>
      <c r="W35" s="880"/>
      <c r="X35" s="880"/>
      <c r="Y35" s="880"/>
      <c r="Z35" s="880"/>
      <c r="AA35" s="881"/>
    </row>
    <row r="36" spans="2:27" ht="15.75" x14ac:dyDescent="0.25">
      <c r="B36" s="860" t="s">
        <v>124</v>
      </c>
      <c r="C36" s="863" t="s">
        <v>27</v>
      </c>
      <c r="D36" s="863"/>
      <c r="E36" s="863" t="s">
        <v>28</v>
      </c>
      <c r="F36" s="863"/>
      <c r="G36" s="863" t="s">
        <v>29</v>
      </c>
      <c r="H36" s="863"/>
      <c r="I36" s="863" t="s">
        <v>30</v>
      </c>
      <c r="J36" s="863"/>
      <c r="K36" s="863" t="s">
        <v>31</v>
      </c>
      <c r="L36" s="863"/>
      <c r="M36" s="863" t="s">
        <v>136</v>
      </c>
      <c r="N36" s="863"/>
      <c r="O36" s="863" t="s">
        <v>33</v>
      </c>
      <c r="P36" s="863"/>
      <c r="Q36" s="863" t="s">
        <v>34</v>
      </c>
      <c r="R36" s="863"/>
      <c r="S36" s="863" t="s">
        <v>35</v>
      </c>
      <c r="T36" s="863"/>
      <c r="U36" s="863" t="s">
        <v>36</v>
      </c>
      <c r="V36" s="863"/>
      <c r="W36" s="863" t="s">
        <v>37</v>
      </c>
      <c r="X36" s="863"/>
      <c r="Y36" s="863" t="s">
        <v>137</v>
      </c>
      <c r="Z36" s="863"/>
      <c r="AA36" s="858" t="s">
        <v>100</v>
      </c>
    </row>
    <row r="37" spans="2:27" ht="15.75" x14ac:dyDescent="0.25">
      <c r="B37" s="878"/>
      <c r="C37" s="550" t="s">
        <v>43</v>
      </c>
      <c r="D37" s="550" t="s">
        <v>60</v>
      </c>
      <c r="E37" s="550" t="s">
        <v>43</v>
      </c>
      <c r="F37" s="550" t="s">
        <v>60</v>
      </c>
      <c r="G37" s="550" t="s">
        <v>43</v>
      </c>
      <c r="H37" s="550" t="s">
        <v>60</v>
      </c>
      <c r="I37" s="550" t="s">
        <v>43</v>
      </c>
      <c r="J37" s="550" t="s">
        <v>60</v>
      </c>
      <c r="K37" s="550" t="s">
        <v>43</v>
      </c>
      <c r="L37" s="550" t="s">
        <v>60</v>
      </c>
      <c r="M37" s="550" t="s">
        <v>43</v>
      </c>
      <c r="N37" s="550" t="s">
        <v>60</v>
      </c>
      <c r="O37" s="550" t="s">
        <v>43</v>
      </c>
      <c r="P37" s="550" t="s">
        <v>60</v>
      </c>
      <c r="Q37" s="550" t="s">
        <v>43</v>
      </c>
      <c r="R37" s="550" t="s">
        <v>60</v>
      </c>
      <c r="S37" s="550" t="s">
        <v>43</v>
      </c>
      <c r="T37" s="550" t="s">
        <v>60</v>
      </c>
      <c r="U37" s="550" t="s">
        <v>43</v>
      </c>
      <c r="V37" s="550" t="s">
        <v>60</v>
      </c>
      <c r="W37" s="550" t="s">
        <v>43</v>
      </c>
      <c r="X37" s="550" t="s">
        <v>60</v>
      </c>
      <c r="Y37" s="550" t="s">
        <v>43</v>
      </c>
      <c r="Z37" s="550" t="s">
        <v>60</v>
      </c>
      <c r="AA37" s="882"/>
    </row>
    <row r="38" spans="2:27" x14ac:dyDescent="0.25">
      <c r="B38" s="266" t="s">
        <v>252</v>
      </c>
      <c r="C38" s="205">
        <v>1</v>
      </c>
      <c r="D38" s="206">
        <f>C38*$L$14</f>
        <v>243878.57</v>
      </c>
      <c r="E38" s="205">
        <v>1</v>
      </c>
      <c r="F38" s="206">
        <f>E38*$L$14</f>
        <v>243878.57</v>
      </c>
      <c r="G38" s="205">
        <v>1</v>
      </c>
      <c r="H38" s="206">
        <f>G38*$L$14</f>
        <v>243878.57</v>
      </c>
      <c r="I38" s="205">
        <v>1</v>
      </c>
      <c r="J38" s="206">
        <f>I38*$L$14</f>
        <v>243878.57</v>
      </c>
      <c r="K38" s="205">
        <v>1</v>
      </c>
      <c r="L38" s="206">
        <f>K38*$L$14</f>
        <v>243878.57</v>
      </c>
      <c r="M38" s="205">
        <v>1</v>
      </c>
      <c r="N38" s="206">
        <f>M38*$L$14</f>
        <v>243878.57</v>
      </c>
      <c r="O38" s="205">
        <v>1</v>
      </c>
      <c r="P38" s="206">
        <f>O38*$L$14</f>
        <v>243878.57</v>
      </c>
      <c r="Q38" s="205">
        <v>1</v>
      </c>
      <c r="R38" s="206">
        <f>Q38*$L$14</f>
        <v>243878.57</v>
      </c>
      <c r="S38" s="205">
        <v>1</v>
      </c>
      <c r="T38" s="206">
        <f>S38*$L$14</f>
        <v>243878.57</v>
      </c>
      <c r="U38" s="205">
        <v>1</v>
      </c>
      <c r="V38" s="206">
        <f>U38*$L$14</f>
        <v>243878.57</v>
      </c>
      <c r="W38" s="205">
        <v>1</v>
      </c>
      <c r="X38" s="206">
        <f>W38*$L$14</f>
        <v>243878.57</v>
      </c>
      <c r="Y38" s="205">
        <v>1</v>
      </c>
      <c r="Z38" s="206">
        <f>Y38*$L$14</f>
        <v>243878.57</v>
      </c>
      <c r="AA38" s="551">
        <f>D38+F38+H38+J38+L38+N38+P38+R38+T38+V38+X38+Z38</f>
        <v>2926542.84</v>
      </c>
    </row>
    <row r="39" spans="2:27" x14ac:dyDescent="0.25">
      <c r="B39" s="267" t="s">
        <v>280</v>
      </c>
      <c r="C39" s="205">
        <v>1</v>
      </c>
      <c r="D39" s="206">
        <f>C39*$L$16</f>
        <v>85369.57</v>
      </c>
      <c r="E39" s="205">
        <v>1</v>
      </c>
      <c r="F39" s="206">
        <f>E39*$L$16</f>
        <v>85369.57</v>
      </c>
      <c r="G39" s="205">
        <v>1</v>
      </c>
      <c r="H39" s="206">
        <f>G39*$L$16</f>
        <v>85369.57</v>
      </c>
      <c r="I39" s="205">
        <v>1</v>
      </c>
      <c r="J39" s="206">
        <f>I39*$L$16</f>
        <v>85369.57</v>
      </c>
      <c r="K39" s="205">
        <v>1</v>
      </c>
      <c r="L39" s="206">
        <f>K39*$L$16</f>
        <v>85369.57</v>
      </c>
      <c r="M39" s="205">
        <v>1</v>
      </c>
      <c r="N39" s="206">
        <f>M39*$L$16</f>
        <v>85369.57</v>
      </c>
      <c r="O39" s="205">
        <v>1</v>
      </c>
      <c r="P39" s="206">
        <f>O39*$L$16</f>
        <v>85369.57</v>
      </c>
      <c r="Q39" s="205">
        <v>1</v>
      </c>
      <c r="R39" s="206">
        <f>Q39*$L$16</f>
        <v>85369.57</v>
      </c>
      <c r="S39" s="205">
        <v>1</v>
      </c>
      <c r="T39" s="206">
        <f>S39*$L$16</f>
        <v>85369.57</v>
      </c>
      <c r="U39" s="205">
        <v>1</v>
      </c>
      <c r="V39" s="206">
        <f>U39*$L$16</f>
        <v>85369.57</v>
      </c>
      <c r="W39" s="205">
        <v>1</v>
      </c>
      <c r="X39" s="206">
        <f>W39*$L$16</f>
        <v>85369.57</v>
      </c>
      <c r="Y39" s="205">
        <v>1</v>
      </c>
      <c r="Z39" s="206">
        <f>Y39*$L$16</f>
        <v>85369.57</v>
      </c>
      <c r="AA39" s="551">
        <f t="shared" ref="AA39:AA47" si="12">D39+F39+H39+J39+L39+N39+P39+R39+T39+V39+X39+Z39</f>
        <v>1024434.8400000003</v>
      </c>
    </row>
    <row r="40" spans="2:27" x14ac:dyDescent="0.25">
      <c r="B40" s="267" t="s">
        <v>279</v>
      </c>
      <c r="C40" s="205">
        <v>1</v>
      </c>
      <c r="D40" s="206">
        <f>C40*$L$17</f>
        <v>85369.57</v>
      </c>
      <c r="E40" s="205">
        <v>1</v>
      </c>
      <c r="F40" s="206">
        <f>E40*$L$17</f>
        <v>85369.57</v>
      </c>
      <c r="G40" s="205">
        <v>1</v>
      </c>
      <c r="H40" s="206">
        <f>G40*$L$17</f>
        <v>85369.57</v>
      </c>
      <c r="I40" s="205">
        <v>1</v>
      </c>
      <c r="J40" s="206">
        <f>I40*$L$17</f>
        <v>85369.57</v>
      </c>
      <c r="K40" s="205">
        <v>1</v>
      </c>
      <c r="L40" s="206">
        <f>K40*$L$17</f>
        <v>85369.57</v>
      </c>
      <c r="M40" s="205">
        <v>1</v>
      </c>
      <c r="N40" s="206">
        <f>M40*$L$17</f>
        <v>85369.57</v>
      </c>
      <c r="O40" s="205">
        <v>1</v>
      </c>
      <c r="P40" s="206">
        <f>O40*$L$17</f>
        <v>85369.57</v>
      </c>
      <c r="Q40" s="205">
        <v>1</v>
      </c>
      <c r="R40" s="206">
        <f>Q40*$L$17</f>
        <v>85369.57</v>
      </c>
      <c r="S40" s="205">
        <v>1</v>
      </c>
      <c r="T40" s="206">
        <f>S40*$L$17</f>
        <v>85369.57</v>
      </c>
      <c r="U40" s="205">
        <v>1</v>
      </c>
      <c r="V40" s="206">
        <f>U40*$L$17</f>
        <v>85369.57</v>
      </c>
      <c r="W40" s="205">
        <v>1</v>
      </c>
      <c r="X40" s="206">
        <f>W40*$L$17</f>
        <v>85369.57</v>
      </c>
      <c r="Y40" s="205">
        <v>1</v>
      </c>
      <c r="Z40" s="206">
        <f>Y40*$L$17</f>
        <v>85369.57</v>
      </c>
      <c r="AA40" s="551">
        <f t="shared" si="12"/>
        <v>1024434.8400000003</v>
      </c>
    </row>
    <row r="41" spans="2:27" x14ac:dyDescent="0.25">
      <c r="B41" s="266" t="s">
        <v>264</v>
      </c>
      <c r="C41" s="205">
        <v>1</v>
      </c>
      <c r="D41" s="206">
        <f>C41*$L$24</f>
        <v>158527.57</v>
      </c>
      <c r="E41" s="205">
        <v>1</v>
      </c>
      <c r="F41" s="206">
        <f>E41*$L$24</f>
        <v>158527.57</v>
      </c>
      <c r="G41" s="205">
        <v>1</v>
      </c>
      <c r="H41" s="206">
        <f>G41*$L$24</f>
        <v>158527.57</v>
      </c>
      <c r="I41" s="205">
        <v>1</v>
      </c>
      <c r="J41" s="206">
        <f>I41*$L$24</f>
        <v>158527.57</v>
      </c>
      <c r="K41" s="205">
        <v>1</v>
      </c>
      <c r="L41" s="206">
        <f>K41*$L$24</f>
        <v>158527.57</v>
      </c>
      <c r="M41" s="205">
        <v>1</v>
      </c>
      <c r="N41" s="206">
        <f>M41*$L$24</f>
        <v>158527.57</v>
      </c>
      <c r="O41" s="205">
        <v>1</v>
      </c>
      <c r="P41" s="206">
        <f>O41*$L$24</f>
        <v>158527.57</v>
      </c>
      <c r="Q41" s="205">
        <v>1</v>
      </c>
      <c r="R41" s="206">
        <f>Q41*$L$24</f>
        <v>158527.57</v>
      </c>
      <c r="S41" s="205">
        <v>1</v>
      </c>
      <c r="T41" s="206">
        <f>S41*$L$24</f>
        <v>158527.57</v>
      </c>
      <c r="U41" s="205">
        <v>1</v>
      </c>
      <c r="V41" s="206">
        <f>U41*$L$24</f>
        <v>158527.57</v>
      </c>
      <c r="W41" s="205">
        <v>1</v>
      </c>
      <c r="X41" s="206">
        <f>W41*$L$24</f>
        <v>158527.57</v>
      </c>
      <c r="Y41" s="205">
        <v>1</v>
      </c>
      <c r="Z41" s="206">
        <f>Y41*$L$24</f>
        <v>158527.57</v>
      </c>
      <c r="AA41" s="551">
        <f t="shared" si="12"/>
        <v>1902330.8400000005</v>
      </c>
    </row>
    <row r="42" spans="2:27" x14ac:dyDescent="0.25">
      <c r="B42" s="266" t="s">
        <v>265</v>
      </c>
      <c r="C42" s="205">
        <v>1</v>
      </c>
      <c r="D42" s="206">
        <f>C42*$L$25</f>
        <v>73176.570000000007</v>
      </c>
      <c r="E42" s="205">
        <v>1</v>
      </c>
      <c r="F42" s="206">
        <f>E42*$L$25</f>
        <v>73176.570000000007</v>
      </c>
      <c r="G42" s="205">
        <v>1</v>
      </c>
      <c r="H42" s="206">
        <f>G42*$L$25</f>
        <v>73176.570000000007</v>
      </c>
      <c r="I42" s="205">
        <v>1</v>
      </c>
      <c r="J42" s="206">
        <f>I42*$L$25</f>
        <v>73176.570000000007</v>
      </c>
      <c r="K42" s="205">
        <v>1</v>
      </c>
      <c r="L42" s="206">
        <f>K42*$L$25</f>
        <v>73176.570000000007</v>
      </c>
      <c r="M42" s="205">
        <v>1</v>
      </c>
      <c r="N42" s="206">
        <f>M42*$L$25</f>
        <v>73176.570000000007</v>
      </c>
      <c r="O42" s="205">
        <v>1</v>
      </c>
      <c r="P42" s="206">
        <f>O42*$L$25</f>
        <v>73176.570000000007</v>
      </c>
      <c r="Q42" s="205">
        <v>1</v>
      </c>
      <c r="R42" s="206">
        <f>Q42*$L$25</f>
        <v>73176.570000000007</v>
      </c>
      <c r="S42" s="205">
        <v>1</v>
      </c>
      <c r="T42" s="206">
        <f>S42*$L$25</f>
        <v>73176.570000000007</v>
      </c>
      <c r="U42" s="205">
        <v>1</v>
      </c>
      <c r="V42" s="206">
        <f>U42*$L$25</f>
        <v>73176.570000000007</v>
      </c>
      <c r="W42" s="205">
        <v>1</v>
      </c>
      <c r="X42" s="206">
        <f>W42*$L$25</f>
        <v>73176.570000000007</v>
      </c>
      <c r="Y42" s="205">
        <v>1</v>
      </c>
      <c r="Z42" s="206">
        <f>Y42*$L$25</f>
        <v>73176.570000000007</v>
      </c>
      <c r="AA42" s="551">
        <f t="shared" si="12"/>
        <v>878118.84000000032</v>
      </c>
    </row>
    <row r="43" spans="2:27" x14ac:dyDescent="0.25">
      <c r="B43" s="266" t="s">
        <v>266</v>
      </c>
      <c r="C43" s="205">
        <v>1</v>
      </c>
      <c r="D43" s="206">
        <f>C43*$L$26</f>
        <v>60983.57</v>
      </c>
      <c r="E43" s="205">
        <v>1</v>
      </c>
      <c r="F43" s="206">
        <f>E43*$L$26</f>
        <v>60983.57</v>
      </c>
      <c r="G43" s="205">
        <v>1</v>
      </c>
      <c r="H43" s="206">
        <f>G43*$L$26</f>
        <v>60983.57</v>
      </c>
      <c r="I43" s="205">
        <v>1</v>
      </c>
      <c r="J43" s="206">
        <f>I43*$L$26</f>
        <v>60983.57</v>
      </c>
      <c r="K43" s="205">
        <v>1</v>
      </c>
      <c r="L43" s="206">
        <f>K43*$L$26</f>
        <v>60983.57</v>
      </c>
      <c r="M43" s="205">
        <v>1</v>
      </c>
      <c r="N43" s="206">
        <f>M43*$L$26</f>
        <v>60983.57</v>
      </c>
      <c r="O43" s="205">
        <v>1</v>
      </c>
      <c r="P43" s="206">
        <f>O43*$L$26</f>
        <v>60983.57</v>
      </c>
      <c r="Q43" s="205">
        <v>1</v>
      </c>
      <c r="R43" s="206">
        <f>Q43*$L$26</f>
        <v>60983.57</v>
      </c>
      <c r="S43" s="205">
        <v>1</v>
      </c>
      <c r="T43" s="206">
        <f>S43*$L$26</f>
        <v>60983.57</v>
      </c>
      <c r="U43" s="205">
        <v>1</v>
      </c>
      <c r="V43" s="206">
        <f>U43*$L$26</f>
        <v>60983.57</v>
      </c>
      <c r="W43" s="205">
        <v>1</v>
      </c>
      <c r="X43" s="206">
        <f>W43*$L$26</f>
        <v>60983.57</v>
      </c>
      <c r="Y43" s="205">
        <v>1</v>
      </c>
      <c r="Z43" s="206">
        <f>Y43*$L$26</f>
        <v>60983.57</v>
      </c>
      <c r="AA43" s="551">
        <f t="shared" si="12"/>
        <v>731802.83999999985</v>
      </c>
    </row>
    <row r="44" spans="2:27" x14ac:dyDescent="0.25">
      <c r="B44" s="266" t="s">
        <v>267</v>
      </c>
      <c r="C44" s="205">
        <v>1</v>
      </c>
      <c r="D44" s="206">
        <f>C44*$L$27</f>
        <v>121948.57</v>
      </c>
      <c r="E44" s="205">
        <v>1</v>
      </c>
      <c r="F44" s="206">
        <f>E44*$L$27</f>
        <v>121948.57</v>
      </c>
      <c r="G44" s="205">
        <v>1</v>
      </c>
      <c r="H44" s="206">
        <f>G44*$L$27</f>
        <v>121948.57</v>
      </c>
      <c r="I44" s="205">
        <v>1</v>
      </c>
      <c r="J44" s="206">
        <f>I44*$L$27</f>
        <v>121948.57</v>
      </c>
      <c r="K44" s="205">
        <v>1</v>
      </c>
      <c r="L44" s="206">
        <f>K44*$L$27</f>
        <v>121948.57</v>
      </c>
      <c r="M44" s="205">
        <v>1</v>
      </c>
      <c r="N44" s="206">
        <f>M44*$L$27</f>
        <v>121948.57</v>
      </c>
      <c r="O44" s="205">
        <v>1</v>
      </c>
      <c r="P44" s="206">
        <f>O44*$L$27</f>
        <v>121948.57</v>
      </c>
      <c r="Q44" s="205">
        <v>1</v>
      </c>
      <c r="R44" s="206">
        <f>Q44*$L$27</f>
        <v>121948.57</v>
      </c>
      <c r="S44" s="205">
        <v>1</v>
      </c>
      <c r="T44" s="206">
        <f>S44*$L$27</f>
        <v>121948.57</v>
      </c>
      <c r="U44" s="205">
        <v>1</v>
      </c>
      <c r="V44" s="206">
        <f>U44*$L$27</f>
        <v>121948.57</v>
      </c>
      <c r="W44" s="205">
        <v>1</v>
      </c>
      <c r="X44" s="206">
        <f>W44*$L$27</f>
        <v>121948.57</v>
      </c>
      <c r="Y44" s="205">
        <v>1</v>
      </c>
      <c r="Z44" s="206">
        <f>Y44*$L$27</f>
        <v>121948.57</v>
      </c>
      <c r="AA44" s="551">
        <f t="shared" si="12"/>
        <v>1463382.8400000005</v>
      </c>
    </row>
    <row r="45" spans="2:27" x14ac:dyDescent="0.25">
      <c r="B45" s="266" t="s">
        <v>258</v>
      </c>
      <c r="C45" s="205">
        <v>1</v>
      </c>
      <c r="D45" s="206">
        <f>C45*$L$28</f>
        <v>219492.57</v>
      </c>
      <c r="E45" s="205">
        <v>1</v>
      </c>
      <c r="F45" s="206">
        <f>E45*$L$28</f>
        <v>219492.57</v>
      </c>
      <c r="G45" s="205">
        <v>1</v>
      </c>
      <c r="H45" s="206">
        <f>G45*$L$28</f>
        <v>219492.57</v>
      </c>
      <c r="I45" s="205">
        <v>1</v>
      </c>
      <c r="J45" s="206">
        <f>I45*$L$28</f>
        <v>219492.57</v>
      </c>
      <c r="K45" s="205">
        <v>1</v>
      </c>
      <c r="L45" s="206">
        <f>K45*$L$28</f>
        <v>219492.57</v>
      </c>
      <c r="M45" s="205">
        <v>1</v>
      </c>
      <c r="N45" s="206">
        <f>M45*$L$28</f>
        <v>219492.57</v>
      </c>
      <c r="O45" s="205">
        <v>1</v>
      </c>
      <c r="P45" s="206">
        <f>O45*$L$28</f>
        <v>219492.57</v>
      </c>
      <c r="Q45" s="205">
        <v>1</v>
      </c>
      <c r="R45" s="206">
        <f>Q45*$L$28</f>
        <v>219492.57</v>
      </c>
      <c r="S45" s="205">
        <v>1</v>
      </c>
      <c r="T45" s="206">
        <f>S45*$L$28</f>
        <v>219492.57</v>
      </c>
      <c r="U45" s="205">
        <v>1</v>
      </c>
      <c r="V45" s="206">
        <f>U45*$L$28</f>
        <v>219492.57</v>
      </c>
      <c r="W45" s="205">
        <v>1</v>
      </c>
      <c r="X45" s="206">
        <f>W45*$L$28</f>
        <v>219492.57</v>
      </c>
      <c r="Y45" s="205">
        <v>1</v>
      </c>
      <c r="Z45" s="206">
        <f>Y45*$L$28</f>
        <v>219492.57</v>
      </c>
      <c r="AA45" s="551">
        <f t="shared" si="12"/>
        <v>2633910.84</v>
      </c>
    </row>
    <row r="46" spans="2:27" x14ac:dyDescent="0.25">
      <c r="B46" s="266" t="s">
        <v>260</v>
      </c>
      <c r="C46" s="205">
        <v>1</v>
      </c>
      <c r="D46" s="206">
        <f>C46*$L$29</f>
        <v>97562.57</v>
      </c>
      <c r="E46" s="205">
        <v>1</v>
      </c>
      <c r="F46" s="206">
        <f>E46*$L$29</f>
        <v>97562.57</v>
      </c>
      <c r="G46" s="205">
        <v>1</v>
      </c>
      <c r="H46" s="206">
        <f>G46*$L$29</f>
        <v>97562.57</v>
      </c>
      <c r="I46" s="205">
        <v>1</v>
      </c>
      <c r="J46" s="206">
        <f>I46*$L$29</f>
        <v>97562.57</v>
      </c>
      <c r="K46" s="205">
        <v>1</v>
      </c>
      <c r="L46" s="206">
        <f>K46*$L$29</f>
        <v>97562.57</v>
      </c>
      <c r="M46" s="205">
        <v>1</v>
      </c>
      <c r="N46" s="206">
        <f>M46*$L$29</f>
        <v>97562.57</v>
      </c>
      <c r="O46" s="205">
        <v>1</v>
      </c>
      <c r="P46" s="206">
        <f>O46*$L$29</f>
        <v>97562.57</v>
      </c>
      <c r="Q46" s="205">
        <v>1</v>
      </c>
      <c r="R46" s="206">
        <f>Q46*$L$29</f>
        <v>97562.57</v>
      </c>
      <c r="S46" s="205">
        <v>1</v>
      </c>
      <c r="T46" s="206">
        <f>S46*$L$29</f>
        <v>97562.57</v>
      </c>
      <c r="U46" s="205">
        <v>1</v>
      </c>
      <c r="V46" s="206">
        <f>U46*$L$29</f>
        <v>97562.57</v>
      </c>
      <c r="W46" s="205">
        <v>1</v>
      </c>
      <c r="X46" s="206">
        <f>W46*$L$29</f>
        <v>97562.57</v>
      </c>
      <c r="Y46" s="205">
        <v>1</v>
      </c>
      <c r="Z46" s="206">
        <f>Y46*$L$29</f>
        <v>97562.57</v>
      </c>
      <c r="AA46" s="551">
        <f t="shared" si="12"/>
        <v>1170750.8400000003</v>
      </c>
    </row>
    <row r="47" spans="2:27" x14ac:dyDescent="0.25">
      <c r="B47" s="266" t="s">
        <v>261</v>
      </c>
      <c r="C47" s="205">
        <v>7</v>
      </c>
      <c r="D47" s="206">
        <f>C47*$L$31</f>
        <v>341533.99</v>
      </c>
      <c r="E47" s="205">
        <v>7</v>
      </c>
      <c r="F47" s="206">
        <f>E47*$L$31</f>
        <v>341533.99</v>
      </c>
      <c r="G47" s="205">
        <v>7</v>
      </c>
      <c r="H47" s="206">
        <f>G47*$L$31</f>
        <v>341533.99</v>
      </c>
      <c r="I47" s="205">
        <v>7</v>
      </c>
      <c r="J47" s="206">
        <f>I47*$L$31</f>
        <v>341533.99</v>
      </c>
      <c r="K47" s="205">
        <v>7</v>
      </c>
      <c r="L47" s="206">
        <f>K47*$L$31</f>
        <v>341533.99</v>
      </c>
      <c r="M47" s="205">
        <v>7</v>
      </c>
      <c r="N47" s="206">
        <f>M47*$L$31</f>
        <v>341533.99</v>
      </c>
      <c r="O47" s="205">
        <v>7</v>
      </c>
      <c r="P47" s="206">
        <f>O47*$L$31</f>
        <v>341533.99</v>
      </c>
      <c r="Q47" s="205">
        <v>7</v>
      </c>
      <c r="R47" s="206">
        <f>Q47*$L$31</f>
        <v>341533.99</v>
      </c>
      <c r="S47" s="205">
        <v>7</v>
      </c>
      <c r="T47" s="206">
        <f>S47*$L$31</f>
        <v>341533.99</v>
      </c>
      <c r="U47" s="205">
        <v>7</v>
      </c>
      <c r="V47" s="206">
        <f>U47*$L$31</f>
        <v>341533.99</v>
      </c>
      <c r="W47" s="205">
        <v>7</v>
      </c>
      <c r="X47" s="206">
        <f>W47*$L$31</f>
        <v>341533.99</v>
      </c>
      <c r="Y47" s="205">
        <v>7</v>
      </c>
      <c r="Z47" s="206">
        <f>Y47*$L$31</f>
        <v>341533.99</v>
      </c>
      <c r="AA47" s="551">
        <f t="shared" si="12"/>
        <v>4098407.8800000008</v>
      </c>
    </row>
    <row r="48" spans="2:27" ht="16.5" thickBot="1" x14ac:dyDescent="0.3">
      <c r="B48" s="552" t="s">
        <v>138</v>
      </c>
      <c r="C48" s="553">
        <f t="shared" ref="C48:AA48" si="13">SUM(C38:C47)</f>
        <v>16</v>
      </c>
      <c r="D48" s="554">
        <f t="shared" si="13"/>
        <v>1487843.12</v>
      </c>
      <c r="E48" s="553">
        <f t="shared" si="13"/>
        <v>16</v>
      </c>
      <c r="F48" s="554">
        <f t="shared" si="13"/>
        <v>1487843.12</v>
      </c>
      <c r="G48" s="553">
        <f t="shared" si="13"/>
        <v>16</v>
      </c>
      <c r="H48" s="554">
        <f t="shared" si="13"/>
        <v>1487843.12</v>
      </c>
      <c r="I48" s="553">
        <f t="shared" si="13"/>
        <v>16</v>
      </c>
      <c r="J48" s="554">
        <f t="shared" si="13"/>
        <v>1487843.12</v>
      </c>
      <c r="K48" s="553">
        <f t="shared" si="13"/>
        <v>16</v>
      </c>
      <c r="L48" s="554">
        <f t="shared" si="13"/>
        <v>1487843.12</v>
      </c>
      <c r="M48" s="553">
        <f t="shared" si="13"/>
        <v>16</v>
      </c>
      <c r="N48" s="554">
        <f t="shared" si="13"/>
        <v>1487843.12</v>
      </c>
      <c r="O48" s="553">
        <f t="shared" si="13"/>
        <v>16</v>
      </c>
      <c r="P48" s="554">
        <f t="shared" si="13"/>
        <v>1487843.12</v>
      </c>
      <c r="Q48" s="553">
        <f t="shared" si="13"/>
        <v>16</v>
      </c>
      <c r="R48" s="554">
        <f t="shared" si="13"/>
        <v>1487843.12</v>
      </c>
      <c r="S48" s="553">
        <f t="shared" si="13"/>
        <v>16</v>
      </c>
      <c r="T48" s="554">
        <f t="shared" si="13"/>
        <v>1487843.12</v>
      </c>
      <c r="U48" s="553">
        <f t="shared" si="13"/>
        <v>16</v>
      </c>
      <c r="V48" s="554">
        <f t="shared" si="13"/>
        <v>1487843.12</v>
      </c>
      <c r="W48" s="553">
        <f t="shared" si="13"/>
        <v>16</v>
      </c>
      <c r="X48" s="554">
        <f t="shared" si="13"/>
        <v>1487843.12</v>
      </c>
      <c r="Y48" s="553">
        <f t="shared" si="13"/>
        <v>16</v>
      </c>
      <c r="Z48" s="554">
        <f t="shared" si="13"/>
        <v>1487843.12</v>
      </c>
      <c r="AA48" s="268">
        <f t="shared" si="13"/>
        <v>17854117.440000001</v>
      </c>
    </row>
    <row r="51" spans="2:27" ht="15.75" thickBot="1" x14ac:dyDescent="0.3"/>
    <row r="52" spans="2:27" ht="27" thickBot="1" x14ac:dyDescent="0.45">
      <c r="B52" s="879" t="s">
        <v>276</v>
      </c>
      <c r="C52" s="880"/>
      <c r="D52" s="880"/>
      <c r="E52" s="880"/>
      <c r="F52" s="880"/>
      <c r="G52" s="880"/>
      <c r="H52" s="880"/>
      <c r="I52" s="880"/>
      <c r="J52" s="880"/>
      <c r="K52" s="880"/>
      <c r="L52" s="880"/>
      <c r="M52" s="880"/>
      <c r="N52" s="880"/>
      <c r="O52" s="880"/>
      <c r="P52" s="880"/>
      <c r="Q52" s="880"/>
      <c r="R52" s="880"/>
      <c r="S52" s="880"/>
      <c r="T52" s="880"/>
      <c r="U52" s="880"/>
      <c r="V52" s="880"/>
      <c r="W52" s="880"/>
      <c r="X52" s="880"/>
      <c r="Y52" s="880"/>
      <c r="Z52" s="880"/>
      <c r="AA52" s="881"/>
    </row>
    <row r="53" spans="2:27" ht="15.75" x14ac:dyDescent="0.25">
      <c r="B53" s="860" t="s">
        <v>124</v>
      </c>
      <c r="C53" s="863" t="s">
        <v>27</v>
      </c>
      <c r="D53" s="863"/>
      <c r="E53" s="863" t="s">
        <v>28</v>
      </c>
      <c r="F53" s="863"/>
      <c r="G53" s="863" t="s">
        <v>29</v>
      </c>
      <c r="H53" s="863"/>
      <c r="I53" s="863" t="s">
        <v>30</v>
      </c>
      <c r="J53" s="863"/>
      <c r="K53" s="863" t="s">
        <v>31</v>
      </c>
      <c r="L53" s="863"/>
      <c r="M53" s="863" t="s">
        <v>136</v>
      </c>
      <c r="N53" s="863"/>
      <c r="O53" s="863" t="s">
        <v>33</v>
      </c>
      <c r="P53" s="863"/>
      <c r="Q53" s="863" t="s">
        <v>34</v>
      </c>
      <c r="R53" s="863"/>
      <c r="S53" s="863" t="s">
        <v>35</v>
      </c>
      <c r="T53" s="863"/>
      <c r="U53" s="863" t="s">
        <v>36</v>
      </c>
      <c r="V53" s="863"/>
      <c r="W53" s="863" t="s">
        <v>37</v>
      </c>
      <c r="X53" s="863"/>
      <c r="Y53" s="863" t="s">
        <v>137</v>
      </c>
      <c r="Z53" s="863"/>
      <c r="AA53" s="858" t="s">
        <v>100</v>
      </c>
    </row>
    <row r="54" spans="2:27" ht="15.75" x14ac:dyDescent="0.25">
      <c r="B54" s="878"/>
      <c r="C54" s="550" t="s">
        <v>43</v>
      </c>
      <c r="D54" s="550" t="s">
        <v>60</v>
      </c>
      <c r="E54" s="550" t="s">
        <v>43</v>
      </c>
      <c r="F54" s="550" t="s">
        <v>60</v>
      </c>
      <c r="G54" s="550" t="s">
        <v>43</v>
      </c>
      <c r="H54" s="550" t="s">
        <v>60</v>
      </c>
      <c r="I54" s="550" t="s">
        <v>43</v>
      </c>
      <c r="J54" s="550" t="s">
        <v>60</v>
      </c>
      <c r="K54" s="550" t="s">
        <v>43</v>
      </c>
      <c r="L54" s="550" t="s">
        <v>60</v>
      </c>
      <c r="M54" s="550" t="s">
        <v>43</v>
      </c>
      <c r="N54" s="550" t="s">
        <v>60</v>
      </c>
      <c r="O54" s="550" t="s">
        <v>43</v>
      </c>
      <c r="P54" s="550" t="s">
        <v>60</v>
      </c>
      <c r="Q54" s="550" t="s">
        <v>43</v>
      </c>
      <c r="R54" s="550" t="s">
        <v>60</v>
      </c>
      <c r="S54" s="550" t="s">
        <v>43</v>
      </c>
      <c r="T54" s="550" t="s">
        <v>60</v>
      </c>
      <c r="U54" s="550" t="s">
        <v>43</v>
      </c>
      <c r="V54" s="550" t="s">
        <v>60</v>
      </c>
      <c r="W54" s="550" t="s">
        <v>43</v>
      </c>
      <c r="X54" s="550" t="s">
        <v>60</v>
      </c>
      <c r="Y54" s="550" t="s">
        <v>43</v>
      </c>
      <c r="Z54" s="550" t="s">
        <v>60</v>
      </c>
      <c r="AA54" s="882"/>
    </row>
    <row r="55" spans="2:27" x14ac:dyDescent="0.25">
      <c r="B55" s="266" t="s">
        <v>252</v>
      </c>
      <c r="C55" s="205">
        <v>1</v>
      </c>
      <c r="D55" s="206">
        <f>C55*$L$14</f>
        <v>243878.57</v>
      </c>
      <c r="E55" s="205">
        <v>1</v>
      </c>
      <c r="F55" s="206">
        <f>E55*$L$14</f>
        <v>243878.57</v>
      </c>
      <c r="G55" s="205">
        <v>1</v>
      </c>
      <c r="H55" s="206">
        <f>G55*$L$14</f>
        <v>243878.57</v>
      </c>
      <c r="I55" s="205">
        <v>1</v>
      </c>
      <c r="J55" s="206">
        <f>I55*$L$14</f>
        <v>243878.57</v>
      </c>
      <c r="K55" s="205">
        <v>1</v>
      </c>
      <c r="L55" s="206">
        <f>K55*$L$14</f>
        <v>243878.57</v>
      </c>
      <c r="M55" s="205">
        <v>1</v>
      </c>
      <c r="N55" s="206">
        <f>M55*$L$14</f>
        <v>243878.57</v>
      </c>
      <c r="O55" s="205">
        <v>1</v>
      </c>
      <c r="P55" s="206">
        <f>O55*$L$14</f>
        <v>243878.57</v>
      </c>
      <c r="Q55" s="205">
        <v>1</v>
      </c>
      <c r="R55" s="206">
        <f>Q55*$L$14</f>
        <v>243878.57</v>
      </c>
      <c r="S55" s="205">
        <v>1</v>
      </c>
      <c r="T55" s="206">
        <f>S55*$L$14</f>
        <v>243878.57</v>
      </c>
      <c r="U55" s="205">
        <v>1</v>
      </c>
      <c r="V55" s="206">
        <f>U55*$L$14</f>
        <v>243878.57</v>
      </c>
      <c r="W55" s="205">
        <v>1</v>
      </c>
      <c r="X55" s="206">
        <f>W55*$L$14</f>
        <v>243878.57</v>
      </c>
      <c r="Y55" s="205">
        <v>1</v>
      </c>
      <c r="Z55" s="206">
        <f>Y55*$L$14</f>
        <v>243878.57</v>
      </c>
      <c r="AA55" s="551">
        <f>D55+F55+H55+J55+L55+N55+P55+R55+T55+V55+X55+Z55</f>
        <v>2926542.84</v>
      </c>
    </row>
    <row r="56" spans="2:27" x14ac:dyDescent="0.25">
      <c r="B56" s="267" t="s">
        <v>253</v>
      </c>
      <c r="C56" s="205">
        <v>1</v>
      </c>
      <c r="D56" s="206">
        <f>C56*$L$15</f>
        <v>170720.57</v>
      </c>
      <c r="E56" s="205">
        <v>1</v>
      </c>
      <c r="F56" s="206">
        <f>E56*$L$15</f>
        <v>170720.57</v>
      </c>
      <c r="G56" s="205">
        <v>1</v>
      </c>
      <c r="H56" s="206">
        <f>G56*$L$15</f>
        <v>170720.57</v>
      </c>
      <c r="I56" s="205">
        <v>1</v>
      </c>
      <c r="J56" s="206">
        <f>I56*$L$15</f>
        <v>170720.57</v>
      </c>
      <c r="K56" s="205">
        <v>1</v>
      </c>
      <c r="L56" s="206">
        <f>K56*$L$15</f>
        <v>170720.57</v>
      </c>
      <c r="M56" s="205">
        <v>1</v>
      </c>
      <c r="N56" s="206">
        <f>M56*$L$15</f>
        <v>170720.57</v>
      </c>
      <c r="O56" s="205">
        <v>1</v>
      </c>
      <c r="P56" s="206">
        <f>O56*$L$15</f>
        <v>170720.57</v>
      </c>
      <c r="Q56" s="205">
        <v>1</v>
      </c>
      <c r="R56" s="206">
        <f>Q56*$L$15</f>
        <v>170720.57</v>
      </c>
      <c r="S56" s="205">
        <v>1</v>
      </c>
      <c r="T56" s="206">
        <f>S56*$L$15</f>
        <v>170720.57</v>
      </c>
      <c r="U56" s="205">
        <v>1</v>
      </c>
      <c r="V56" s="206">
        <f>U56*$L$15</f>
        <v>170720.57</v>
      </c>
      <c r="W56" s="205">
        <v>1</v>
      </c>
      <c r="X56" s="206">
        <f>W56*$L$15</f>
        <v>170720.57</v>
      </c>
      <c r="Y56" s="205">
        <v>1</v>
      </c>
      <c r="Z56" s="206">
        <f>Y56*$L$15</f>
        <v>170720.57</v>
      </c>
      <c r="AA56" s="551">
        <f t="shared" ref="AA56:AA67" si="14">D56+F56+H56+J56+L56+N56+P56+R56+T56+V56+X56+Z56</f>
        <v>2048646.8400000005</v>
      </c>
    </row>
    <row r="57" spans="2:27" x14ac:dyDescent="0.25">
      <c r="B57" s="267" t="s">
        <v>280</v>
      </c>
      <c r="C57" s="205">
        <v>1</v>
      </c>
      <c r="D57" s="206">
        <f>C57*$L$16</f>
        <v>85369.57</v>
      </c>
      <c r="E57" s="205">
        <v>1</v>
      </c>
      <c r="F57" s="206">
        <f>E57*$L$16</f>
        <v>85369.57</v>
      </c>
      <c r="G57" s="205">
        <v>1</v>
      </c>
      <c r="H57" s="206">
        <f>G57*$L$16</f>
        <v>85369.57</v>
      </c>
      <c r="I57" s="205">
        <v>1</v>
      </c>
      <c r="J57" s="206">
        <f>I57*$L$16</f>
        <v>85369.57</v>
      </c>
      <c r="K57" s="205">
        <v>1</v>
      </c>
      <c r="L57" s="206">
        <f>K57*$L$16</f>
        <v>85369.57</v>
      </c>
      <c r="M57" s="205">
        <v>1</v>
      </c>
      <c r="N57" s="206">
        <f>M57*$L$16</f>
        <v>85369.57</v>
      </c>
      <c r="O57" s="205">
        <v>1</v>
      </c>
      <c r="P57" s="206">
        <f>O57*$L$16</f>
        <v>85369.57</v>
      </c>
      <c r="Q57" s="205">
        <v>1</v>
      </c>
      <c r="R57" s="206">
        <f>Q57*$L$16</f>
        <v>85369.57</v>
      </c>
      <c r="S57" s="205">
        <v>1</v>
      </c>
      <c r="T57" s="206">
        <f>S57*$L$16</f>
        <v>85369.57</v>
      </c>
      <c r="U57" s="205">
        <v>1</v>
      </c>
      <c r="V57" s="206">
        <f>U57*$L$16</f>
        <v>85369.57</v>
      </c>
      <c r="W57" s="205">
        <v>1</v>
      </c>
      <c r="X57" s="206">
        <f>W57*$L$16</f>
        <v>85369.57</v>
      </c>
      <c r="Y57" s="205">
        <v>1</v>
      </c>
      <c r="Z57" s="206">
        <f>Y57*$L$16</f>
        <v>85369.57</v>
      </c>
      <c r="AA57" s="551">
        <f t="shared" si="14"/>
        <v>1024434.8400000003</v>
      </c>
    </row>
    <row r="58" spans="2:27" x14ac:dyDescent="0.25">
      <c r="B58" s="267" t="s">
        <v>279</v>
      </c>
      <c r="C58" s="205">
        <v>1</v>
      </c>
      <c r="D58" s="206">
        <f>C58*$L$17</f>
        <v>85369.57</v>
      </c>
      <c r="E58" s="205">
        <v>1</v>
      </c>
      <c r="F58" s="206">
        <f>E58*$L$17</f>
        <v>85369.57</v>
      </c>
      <c r="G58" s="205">
        <v>1</v>
      </c>
      <c r="H58" s="206">
        <f>G58*$L$17</f>
        <v>85369.57</v>
      </c>
      <c r="I58" s="205">
        <v>1</v>
      </c>
      <c r="J58" s="206">
        <f>I58*$L$17</f>
        <v>85369.57</v>
      </c>
      <c r="K58" s="205">
        <v>1</v>
      </c>
      <c r="L58" s="206">
        <f>K58*$L$17</f>
        <v>85369.57</v>
      </c>
      <c r="M58" s="205">
        <v>1</v>
      </c>
      <c r="N58" s="206">
        <f>M58*$L$17</f>
        <v>85369.57</v>
      </c>
      <c r="O58" s="205">
        <v>1</v>
      </c>
      <c r="P58" s="206">
        <f>O58*$L$17</f>
        <v>85369.57</v>
      </c>
      <c r="Q58" s="205">
        <v>1</v>
      </c>
      <c r="R58" s="206">
        <f>Q58*$L$17</f>
        <v>85369.57</v>
      </c>
      <c r="S58" s="205">
        <v>1</v>
      </c>
      <c r="T58" s="206">
        <f>S58*$L$17</f>
        <v>85369.57</v>
      </c>
      <c r="U58" s="205">
        <v>1</v>
      </c>
      <c r="V58" s="206">
        <f>U58*$L$17</f>
        <v>85369.57</v>
      </c>
      <c r="W58" s="205">
        <v>1</v>
      </c>
      <c r="X58" s="206">
        <f>W58*$L$17</f>
        <v>85369.57</v>
      </c>
      <c r="Y58" s="205">
        <v>1</v>
      </c>
      <c r="Z58" s="206">
        <f>Y58*$L$17</f>
        <v>85369.57</v>
      </c>
      <c r="AA58" s="551">
        <f t="shared" si="14"/>
        <v>1024434.8400000003</v>
      </c>
    </row>
    <row r="59" spans="2:27" x14ac:dyDescent="0.25">
      <c r="B59" s="267" t="s">
        <v>268</v>
      </c>
      <c r="C59" s="205">
        <v>1</v>
      </c>
      <c r="D59" s="206">
        <f>C59*$L$22</f>
        <v>146334.57</v>
      </c>
      <c r="E59" s="205">
        <v>1</v>
      </c>
      <c r="F59" s="206">
        <f>E59*$L$22</f>
        <v>146334.57</v>
      </c>
      <c r="G59" s="205">
        <v>1</v>
      </c>
      <c r="H59" s="206">
        <f>G59*$L$22</f>
        <v>146334.57</v>
      </c>
      <c r="I59" s="205">
        <v>1</v>
      </c>
      <c r="J59" s="206">
        <f>I59*$L$22</f>
        <v>146334.57</v>
      </c>
      <c r="K59" s="205">
        <v>1</v>
      </c>
      <c r="L59" s="206">
        <f>K59*$L$22</f>
        <v>146334.57</v>
      </c>
      <c r="M59" s="205">
        <v>1</v>
      </c>
      <c r="N59" s="206">
        <f>M59*$L$22</f>
        <v>146334.57</v>
      </c>
      <c r="O59" s="205">
        <v>1</v>
      </c>
      <c r="P59" s="206">
        <f>O59*$L$22</f>
        <v>146334.57</v>
      </c>
      <c r="Q59" s="205">
        <v>1</v>
      </c>
      <c r="R59" s="206">
        <f>Q59*$L$22</f>
        <v>146334.57</v>
      </c>
      <c r="S59" s="205">
        <v>1</v>
      </c>
      <c r="T59" s="206">
        <f>S59*$L$22</f>
        <v>146334.57</v>
      </c>
      <c r="U59" s="205">
        <v>1</v>
      </c>
      <c r="V59" s="206">
        <f>U59*$L$22</f>
        <v>146334.57</v>
      </c>
      <c r="W59" s="205">
        <v>1</v>
      </c>
      <c r="X59" s="206">
        <f>W59*$L$22</f>
        <v>146334.57</v>
      </c>
      <c r="Y59" s="205">
        <v>1</v>
      </c>
      <c r="Z59" s="206">
        <f>Y59*$L$22</f>
        <v>146334.57</v>
      </c>
      <c r="AA59" s="551">
        <f t="shared" si="14"/>
        <v>1756014.8400000005</v>
      </c>
    </row>
    <row r="60" spans="2:27" x14ac:dyDescent="0.25">
      <c r="B60" s="266" t="s">
        <v>264</v>
      </c>
      <c r="C60" s="205">
        <v>1</v>
      </c>
      <c r="D60" s="206">
        <f>C60*$L$22</f>
        <v>146334.57</v>
      </c>
      <c r="E60" s="205">
        <v>1</v>
      </c>
      <c r="F60" s="206">
        <f>E60*$L$22</f>
        <v>146334.57</v>
      </c>
      <c r="G60" s="205">
        <v>1</v>
      </c>
      <c r="H60" s="206">
        <f>G60*$L$22</f>
        <v>146334.57</v>
      </c>
      <c r="I60" s="205">
        <v>1</v>
      </c>
      <c r="J60" s="206">
        <f>I60*$L$22</f>
        <v>146334.57</v>
      </c>
      <c r="K60" s="205">
        <v>1</v>
      </c>
      <c r="L60" s="206">
        <f>K60*$L$22</f>
        <v>146334.57</v>
      </c>
      <c r="M60" s="205">
        <v>1</v>
      </c>
      <c r="N60" s="206">
        <f>M60*$L$22</f>
        <v>146334.57</v>
      </c>
      <c r="O60" s="205">
        <v>1</v>
      </c>
      <c r="P60" s="206">
        <f>O60*$L$22</f>
        <v>146334.57</v>
      </c>
      <c r="Q60" s="205">
        <v>1</v>
      </c>
      <c r="R60" s="206">
        <f>Q60*$L$22</f>
        <v>146334.57</v>
      </c>
      <c r="S60" s="205">
        <v>1</v>
      </c>
      <c r="T60" s="206">
        <f>S60*$L$22</f>
        <v>146334.57</v>
      </c>
      <c r="U60" s="205">
        <v>1</v>
      </c>
      <c r="V60" s="206">
        <f>U60*$L$22</f>
        <v>146334.57</v>
      </c>
      <c r="W60" s="205">
        <v>1</v>
      </c>
      <c r="X60" s="206">
        <f>W60*$L$22</f>
        <v>146334.57</v>
      </c>
      <c r="Y60" s="205">
        <v>1</v>
      </c>
      <c r="Z60" s="206">
        <f>Y60*$L$22</f>
        <v>146334.57</v>
      </c>
      <c r="AA60" s="551">
        <f t="shared" si="14"/>
        <v>1756014.8400000005</v>
      </c>
    </row>
    <row r="61" spans="2:27" x14ac:dyDescent="0.25">
      <c r="B61" s="267" t="s">
        <v>265</v>
      </c>
      <c r="C61" s="205">
        <v>1</v>
      </c>
      <c r="D61" s="206">
        <f>C61*$L$25</f>
        <v>73176.570000000007</v>
      </c>
      <c r="E61" s="205">
        <v>1</v>
      </c>
      <c r="F61" s="206">
        <f>E61*$L$25</f>
        <v>73176.570000000007</v>
      </c>
      <c r="G61" s="205">
        <v>1</v>
      </c>
      <c r="H61" s="206">
        <f>G61*$L$25</f>
        <v>73176.570000000007</v>
      </c>
      <c r="I61" s="205">
        <v>1</v>
      </c>
      <c r="J61" s="206">
        <f>I61*$L$25</f>
        <v>73176.570000000007</v>
      </c>
      <c r="K61" s="205">
        <v>1</v>
      </c>
      <c r="L61" s="206">
        <f>K61*$L$25</f>
        <v>73176.570000000007</v>
      </c>
      <c r="M61" s="205">
        <v>1</v>
      </c>
      <c r="N61" s="206">
        <f>M61*$L$25</f>
        <v>73176.570000000007</v>
      </c>
      <c r="O61" s="205">
        <v>1</v>
      </c>
      <c r="P61" s="206">
        <f>O61*$L$25</f>
        <v>73176.570000000007</v>
      </c>
      <c r="Q61" s="205">
        <v>1</v>
      </c>
      <c r="R61" s="206">
        <f>Q61*$L$25</f>
        <v>73176.570000000007</v>
      </c>
      <c r="S61" s="205">
        <v>1</v>
      </c>
      <c r="T61" s="206">
        <f>S61*$L$25</f>
        <v>73176.570000000007</v>
      </c>
      <c r="U61" s="205">
        <v>1</v>
      </c>
      <c r="V61" s="206">
        <f>U61*$L$25</f>
        <v>73176.570000000007</v>
      </c>
      <c r="W61" s="205">
        <v>1</v>
      </c>
      <c r="X61" s="206">
        <f>W61*$L$25</f>
        <v>73176.570000000007</v>
      </c>
      <c r="Y61" s="205">
        <v>1</v>
      </c>
      <c r="Z61" s="206">
        <f>Y61*$L$25</f>
        <v>73176.570000000007</v>
      </c>
      <c r="AA61" s="551">
        <f t="shared" si="14"/>
        <v>878118.84000000032</v>
      </c>
    </row>
    <row r="62" spans="2:27" x14ac:dyDescent="0.25">
      <c r="B62" s="267" t="s">
        <v>266</v>
      </c>
      <c r="C62" s="205">
        <v>1</v>
      </c>
      <c r="D62" s="206">
        <f>C62*$L$26</f>
        <v>60983.57</v>
      </c>
      <c r="E62" s="205">
        <v>1</v>
      </c>
      <c r="F62" s="206">
        <f>E62*$L$26</f>
        <v>60983.57</v>
      </c>
      <c r="G62" s="205">
        <v>1</v>
      </c>
      <c r="H62" s="206">
        <f>G62*$L$26</f>
        <v>60983.57</v>
      </c>
      <c r="I62" s="205">
        <v>1</v>
      </c>
      <c r="J62" s="206">
        <f>I62*$L$26</f>
        <v>60983.57</v>
      </c>
      <c r="K62" s="205">
        <v>1</v>
      </c>
      <c r="L62" s="206">
        <f>K62*$L$26</f>
        <v>60983.57</v>
      </c>
      <c r="M62" s="205">
        <v>1</v>
      </c>
      <c r="N62" s="206">
        <f>M62*$L$26</f>
        <v>60983.57</v>
      </c>
      <c r="O62" s="205">
        <v>1</v>
      </c>
      <c r="P62" s="206">
        <f>O62*$L$26</f>
        <v>60983.57</v>
      </c>
      <c r="Q62" s="205">
        <v>1</v>
      </c>
      <c r="R62" s="206">
        <f>Q62*$L$26</f>
        <v>60983.57</v>
      </c>
      <c r="S62" s="205">
        <v>1</v>
      </c>
      <c r="T62" s="206">
        <f>S62*$L$26</f>
        <v>60983.57</v>
      </c>
      <c r="U62" s="205">
        <v>1</v>
      </c>
      <c r="V62" s="206">
        <f>U62*$L$26</f>
        <v>60983.57</v>
      </c>
      <c r="W62" s="205">
        <v>1</v>
      </c>
      <c r="X62" s="206">
        <f>W62*$L$26</f>
        <v>60983.57</v>
      </c>
      <c r="Y62" s="205">
        <v>1</v>
      </c>
      <c r="Z62" s="206">
        <f>Y62*$L$26</f>
        <v>60983.57</v>
      </c>
      <c r="AA62" s="551">
        <f t="shared" si="14"/>
        <v>731802.83999999985</v>
      </c>
    </row>
    <row r="63" spans="2:27" x14ac:dyDescent="0.25">
      <c r="B63" s="267" t="s">
        <v>267</v>
      </c>
      <c r="C63" s="205">
        <v>1</v>
      </c>
      <c r="D63" s="206">
        <f>C63*$L$27</f>
        <v>121948.57</v>
      </c>
      <c r="E63" s="205">
        <v>1</v>
      </c>
      <c r="F63" s="206">
        <f>E63*$L$27</f>
        <v>121948.57</v>
      </c>
      <c r="G63" s="205">
        <v>1</v>
      </c>
      <c r="H63" s="206">
        <f>G63*$L$27</f>
        <v>121948.57</v>
      </c>
      <c r="I63" s="205">
        <v>1</v>
      </c>
      <c r="J63" s="206">
        <f>I63*$L$27</f>
        <v>121948.57</v>
      </c>
      <c r="K63" s="205">
        <v>1</v>
      </c>
      <c r="L63" s="206">
        <f>K63*$L$27</f>
        <v>121948.57</v>
      </c>
      <c r="M63" s="205">
        <v>1</v>
      </c>
      <c r="N63" s="206">
        <f>M63*$L$27</f>
        <v>121948.57</v>
      </c>
      <c r="O63" s="205">
        <v>1</v>
      </c>
      <c r="P63" s="206">
        <f>O63*$L$27</f>
        <v>121948.57</v>
      </c>
      <c r="Q63" s="205">
        <v>1</v>
      </c>
      <c r="R63" s="206">
        <f>Q63*$L$27</f>
        <v>121948.57</v>
      </c>
      <c r="S63" s="205">
        <v>1</v>
      </c>
      <c r="T63" s="206">
        <f>S63*$L$27</f>
        <v>121948.57</v>
      </c>
      <c r="U63" s="205">
        <v>1</v>
      </c>
      <c r="V63" s="206">
        <f>U63*$L$27</f>
        <v>121948.57</v>
      </c>
      <c r="W63" s="205">
        <v>1</v>
      </c>
      <c r="X63" s="206">
        <f>W63*$L$27</f>
        <v>121948.57</v>
      </c>
      <c r="Y63" s="205">
        <v>1</v>
      </c>
      <c r="Z63" s="206">
        <f>Y63*$L$27</f>
        <v>121948.57</v>
      </c>
      <c r="AA63" s="551">
        <f t="shared" si="14"/>
        <v>1463382.8400000005</v>
      </c>
    </row>
    <row r="64" spans="2:27" x14ac:dyDescent="0.25">
      <c r="B64" s="267" t="s">
        <v>258</v>
      </c>
      <c r="C64" s="205">
        <v>1</v>
      </c>
      <c r="D64" s="206">
        <f>C64*$L$28</f>
        <v>219492.57</v>
      </c>
      <c r="E64" s="205">
        <v>1</v>
      </c>
      <c r="F64" s="206">
        <f>E64*$L$28</f>
        <v>219492.57</v>
      </c>
      <c r="G64" s="205">
        <v>1</v>
      </c>
      <c r="H64" s="206">
        <f>G64*$L$28</f>
        <v>219492.57</v>
      </c>
      <c r="I64" s="205">
        <v>1</v>
      </c>
      <c r="J64" s="206">
        <f>I64*$L$28</f>
        <v>219492.57</v>
      </c>
      <c r="K64" s="205">
        <v>1</v>
      </c>
      <c r="L64" s="206">
        <f>K64*$L$28</f>
        <v>219492.57</v>
      </c>
      <c r="M64" s="205">
        <v>1</v>
      </c>
      <c r="N64" s="206">
        <f>M64*$L$28</f>
        <v>219492.57</v>
      </c>
      <c r="O64" s="205">
        <v>1</v>
      </c>
      <c r="P64" s="206">
        <f>O64*$L$28</f>
        <v>219492.57</v>
      </c>
      <c r="Q64" s="205">
        <v>1</v>
      </c>
      <c r="R64" s="206">
        <f>Q64*$L$28</f>
        <v>219492.57</v>
      </c>
      <c r="S64" s="205">
        <v>1</v>
      </c>
      <c r="T64" s="206">
        <f>S64*$L$28</f>
        <v>219492.57</v>
      </c>
      <c r="U64" s="205">
        <v>1</v>
      </c>
      <c r="V64" s="206">
        <f>U64*$L$28</f>
        <v>219492.57</v>
      </c>
      <c r="W64" s="205">
        <v>1</v>
      </c>
      <c r="X64" s="206">
        <f>W64*$L$28</f>
        <v>219492.57</v>
      </c>
      <c r="Y64" s="205">
        <v>1</v>
      </c>
      <c r="Z64" s="206">
        <f>Y64*$L$28</f>
        <v>219492.57</v>
      </c>
      <c r="AA64" s="551">
        <f t="shared" si="14"/>
        <v>2633910.84</v>
      </c>
    </row>
    <row r="65" spans="2:27" x14ac:dyDescent="0.25">
      <c r="B65" s="267" t="s">
        <v>260</v>
      </c>
      <c r="C65" s="205">
        <v>1</v>
      </c>
      <c r="D65" s="206">
        <f>C65*$L$29</f>
        <v>97562.57</v>
      </c>
      <c r="E65" s="205">
        <v>1</v>
      </c>
      <c r="F65" s="206">
        <f>E65*$L$29</f>
        <v>97562.57</v>
      </c>
      <c r="G65" s="205">
        <v>1</v>
      </c>
      <c r="H65" s="206">
        <f>G65*$L$29</f>
        <v>97562.57</v>
      </c>
      <c r="I65" s="205">
        <v>1</v>
      </c>
      <c r="J65" s="206">
        <f>I65*$L$29</f>
        <v>97562.57</v>
      </c>
      <c r="K65" s="205">
        <v>1</v>
      </c>
      <c r="L65" s="206">
        <f>K65*$L$29</f>
        <v>97562.57</v>
      </c>
      <c r="M65" s="205">
        <v>1</v>
      </c>
      <c r="N65" s="206">
        <f>M65*$L$29</f>
        <v>97562.57</v>
      </c>
      <c r="O65" s="205">
        <v>1</v>
      </c>
      <c r="P65" s="206">
        <f>O65*$L$29</f>
        <v>97562.57</v>
      </c>
      <c r="Q65" s="205">
        <v>1</v>
      </c>
      <c r="R65" s="206">
        <f>Q65*$L$29</f>
        <v>97562.57</v>
      </c>
      <c r="S65" s="205">
        <v>1</v>
      </c>
      <c r="T65" s="206">
        <f>S65*$L$29</f>
        <v>97562.57</v>
      </c>
      <c r="U65" s="205">
        <v>1</v>
      </c>
      <c r="V65" s="206">
        <f>U65*$L$29</f>
        <v>97562.57</v>
      </c>
      <c r="W65" s="205">
        <v>1</v>
      </c>
      <c r="X65" s="206">
        <f>W65*$L$29</f>
        <v>97562.57</v>
      </c>
      <c r="Y65" s="205">
        <v>1</v>
      </c>
      <c r="Z65" s="206">
        <f>Y65*$L$29</f>
        <v>97562.57</v>
      </c>
      <c r="AA65" s="551">
        <f t="shared" si="14"/>
        <v>1170750.8400000003</v>
      </c>
    </row>
    <row r="66" spans="2:27" x14ac:dyDescent="0.25">
      <c r="B66" s="267" t="s">
        <v>259</v>
      </c>
      <c r="C66" s="205">
        <v>1</v>
      </c>
      <c r="D66" s="206">
        <f>C66*$L$30</f>
        <v>60983.57</v>
      </c>
      <c r="E66" s="205">
        <v>1</v>
      </c>
      <c r="F66" s="206">
        <f>E66*$L$30</f>
        <v>60983.57</v>
      </c>
      <c r="G66" s="205">
        <v>1</v>
      </c>
      <c r="H66" s="206">
        <f>G66*$L$30</f>
        <v>60983.57</v>
      </c>
      <c r="I66" s="205">
        <v>1</v>
      </c>
      <c r="J66" s="206">
        <f>I66*$L$30</f>
        <v>60983.57</v>
      </c>
      <c r="K66" s="205">
        <v>1</v>
      </c>
      <c r="L66" s="206">
        <f>K66*$L$30</f>
        <v>60983.57</v>
      </c>
      <c r="M66" s="205">
        <v>1</v>
      </c>
      <c r="N66" s="206">
        <f>M66*$L$30</f>
        <v>60983.57</v>
      </c>
      <c r="O66" s="205">
        <v>1</v>
      </c>
      <c r="P66" s="206">
        <f>O66*$L$30</f>
        <v>60983.57</v>
      </c>
      <c r="Q66" s="205">
        <v>1</v>
      </c>
      <c r="R66" s="206">
        <f>Q66*$L$30</f>
        <v>60983.57</v>
      </c>
      <c r="S66" s="205">
        <v>1</v>
      </c>
      <c r="T66" s="206">
        <f>S66*$L$30</f>
        <v>60983.57</v>
      </c>
      <c r="U66" s="205">
        <v>1</v>
      </c>
      <c r="V66" s="206">
        <f>U66*$L$30</f>
        <v>60983.57</v>
      </c>
      <c r="W66" s="205">
        <v>1</v>
      </c>
      <c r="X66" s="206">
        <f>W66*$L$30</f>
        <v>60983.57</v>
      </c>
      <c r="Y66" s="205">
        <v>1</v>
      </c>
      <c r="Z66" s="206">
        <f>Y66*$L$30</f>
        <v>60983.57</v>
      </c>
      <c r="AA66" s="551">
        <f t="shared" si="14"/>
        <v>731802.83999999985</v>
      </c>
    </row>
    <row r="67" spans="2:27" x14ac:dyDescent="0.25">
      <c r="B67" s="266" t="s">
        <v>261</v>
      </c>
      <c r="C67" s="205">
        <v>15</v>
      </c>
      <c r="D67" s="206">
        <f>C67*$L$31</f>
        <v>731858.55</v>
      </c>
      <c r="E67" s="205">
        <v>15</v>
      </c>
      <c r="F67" s="206">
        <f>E67*$L$31</f>
        <v>731858.55</v>
      </c>
      <c r="G67" s="205">
        <v>15</v>
      </c>
      <c r="H67" s="206">
        <f>G67*$L$31</f>
        <v>731858.55</v>
      </c>
      <c r="I67" s="205">
        <v>15</v>
      </c>
      <c r="J67" s="206">
        <f>I67*$L$31</f>
        <v>731858.55</v>
      </c>
      <c r="K67" s="205">
        <v>15</v>
      </c>
      <c r="L67" s="206">
        <f>K67*$L$31</f>
        <v>731858.55</v>
      </c>
      <c r="M67" s="205">
        <v>15</v>
      </c>
      <c r="N67" s="206">
        <f>M67*$L$31</f>
        <v>731858.55</v>
      </c>
      <c r="O67" s="205">
        <v>15</v>
      </c>
      <c r="P67" s="206">
        <f>O67*$L$31</f>
        <v>731858.55</v>
      </c>
      <c r="Q67" s="205">
        <v>15</v>
      </c>
      <c r="R67" s="206">
        <f>Q67*$L$31</f>
        <v>731858.55</v>
      </c>
      <c r="S67" s="205">
        <v>15</v>
      </c>
      <c r="T67" s="206">
        <f>S67*$L$31</f>
        <v>731858.55</v>
      </c>
      <c r="U67" s="205">
        <v>15</v>
      </c>
      <c r="V67" s="206">
        <f>U67*$L$31</f>
        <v>731858.55</v>
      </c>
      <c r="W67" s="205">
        <v>15</v>
      </c>
      <c r="X67" s="206">
        <f>W67*$L$31</f>
        <v>731858.55</v>
      </c>
      <c r="Y67" s="205">
        <v>15</v>
      </c>
      <c r="Z67" s="206">
        <f>Y67*$L$31</f>
        <v>731858.55</v>
      </c>
      <c r="AA67" s="551">
        <f t="shared" si="14"/>
        <v>8782302.5999999996</v>
      </c>
    </row>
    <row r="68" spans="2:27" ht="16.5" thickBot="1" x14ac:dyDescent="0.3">
      <c r="B68" s="552" t="s">
        <v>138</v>
      </c>
      <c r="C68" s="553">
        <f t="shared" ref="C68:AA68" si="15">SUM(C55:C67)</f>
        <v>27</v>
      </c>
      <c r="D68" s="554">
        <f t="shared" si="15"/>
        <v>2244013.3900000006</v>
      </c>
      <c r="E68" s="553">
        <f t="shared" si="15"/>
        <v>27</v>
      </c>
      <c r="F68" s="554">
        <f t="shared" si="15"/>
        <v>2244013.3900000006</v>
      </c>
      <c r="G68" s="553">
        <f t="shared" si="15"/>
        <v>27</v>
      </c>
      <c r="H68" s="554">
        <f t="shared" si="15"/>
        <v>2244013.3900000006</v>
      </c>
      <c r="I68" s="553">
        <f t="shared" si="15"/>
        <v>27</v>
      </c>
      <c r="J68" s="554">
        <f t="shared" si="15"/>
        <v>2244013.3900000006</v>
      </c>
      <c r="K68" s="553">
        <f t="shared" si="15"/>
        <v>27</v>
      </c>
      <c r="L68" s="554">
        <f t="shared" si="15"/>
        <v>2244013.3900000006</v>
      </c>
      <c r="M68" s="553">
        <f t="shared" si="15"/>
        <v>27</v>
      </c>
      <c r="N68" s="554">
        <f t="shared" si="15"/>
        <v>2244013.3900000006</v>
      </c>
      <c r="O68" s="553">
        <f t="shared" si="15"/>
        <v>27</v>
      </c>
      <c r="P68" s="554">
        <f t="shared" si="15"/>
        <v>2244013.3900000006</v>
      </c>
      <c r="Q68" s="553">
        <f t="shared" si="15"/>
        <v>27</v>
      </c>
      <c r="R68" s="554">
        <f t="shared" si="15"/>
        <v>2244013.3900000006</v>
      </c>
      <c r="S68" s="553">
        <f t="shared" si="15"/>
        <v>27</v>
      </c>
      <c r="T68" s="554">
        <f t="shared" si="15"/>
        <v>2244013.3900000006</v>
      </c>
      <c r="U68" s="553">
        <f t="shared" si="15"/>
        <v>27</v>
      </c>
      <c r="V68" s="554">
        <f t="shared" si="15"/>
        <v>2244013.3900000006</v>
      </c>
      <c r="W68" s="553">
        <f t="shared" si="15"/>
        <v>27</v>
      </c>
      <c r="X68" s="554">
        <f t="shared" si="15"/>
        <v>2244013.3900000006</v>
      </c>
      <c r="Y68" s="553">
        <f t="shared" si="15"/>
        <v>27</v>
      </c>
      <c r="Z68" s="554">
        <f t="shared" si="15"/>
        <v>2244013.3900000006</v>
      </c>
      <c r="AA68" s="268">
        <f t="shared" si="15"/>
        <v>26928160.68</v>
      </c>
    </row>
    <row r="69" spans="2:27" ht="15.75" thickBot="1" x14ac:dyDescent="0.3"/>
    <row r="70" spans="2:27" ht="27" thickBot="1" x14ac:dyDescent="0.45">
      <c r="B70" s="785" t="s">
        <v>370</v>
      </c>
      <c r="C70" s="786"/>
      <c r="D70" s="786"/>
      <c r="E70" s="786"/>
      <c r="F70" s="786"/>
      <c r="G70" s="786"/>
      <c r="H70" s="786"/>
      <c r="I70" s="786"/>
      <c r="J70" s="786"/>
      <c r="K70" s="786"/>
      <c r="L70" s="786"/>
      <c r="M70" s="786"/>
      <c r="N70" s="786"/>
      <c r="O70" s="786"/>
      <c r="P70" s="786"/>
      <c r="Q70" s="786"/>
      <c r="R70" s="786"/>
      <c r="S70" s="786"/>
      <c r="T70" s="786"/>
      <c r="U70" s="786"/>
      <c r="V70" s="786"/>
      <c r="W70" s="786"/>
      <c r="X70" s="786"/>
      <c r="Y70" s="786"/>
      <c r="Z70" s="786"/>
      <c r="AA70" s="787"/>
    </row>
    <row r="71" spans="2:27" ht="15.75" x14ac:dyDescent="0.25">
      <c r="B71" s="859" t="s">
        <v>124</v>
      </c>
      <c r="C71" s="861" t="s">
        <v>27</v>
      </c>
      <c r="D71" s="862"/>
      <c r="E71" s="861" t="s">
        <v>28</v>
      </c>
      <c r="F71" s="862"/>
      <c r="G71" s="861" t="s">
        <v>29</v>
      </c>
      <c r="H71" s="862"/>
      <c r="I71" s="861" t="s">
        <v>30</v>
      </c>
      <c r="J71" s="862"/>
      <c r="K71" s="861" t="s">
        <v>31</v>
      </c>
      <c r="L71" s="862"/>
      <c r="M71" s="861" t="s">
        <v>136</v>
      </c>
      <c r="N71" s="862"/>
      <c r="O71" s="861" t="s">
        <v>33</v>
      </c>
      <c r="P71" s="862"/>
      <c r="Q71" s="861" t="s">
        <v>34</v>
      </c>
      <c r="R71" s="862"/>
      <c r="S71" s="861" t="s">
        <v>35</v>
      </c>
      <c r="T71" s="862"/>
      <c r="U71" s="861" t="s">
        <v>36</v>
      </c>
      <c r="V71" s="862"/>
      <c r="W71" s="861" t="s">
        <v>37</v>
      </c>
      <c r="X71" s="862"/>
      <c r="Y71" s="861" t="s">
        <v>137</v>
      </c>
      <c r="Z71" s="862"/>
      <c r="AA71" s="857" t="s">
        <v>100</v>
      </c>
    </row>
    <row r="72" spans="2:27" ht="15.75" x14ac:dyDescent="0.25">
      <c r="B72" s="860"/>
      <c r="C72" s="550" t="s">
        <v>43</v>
      </c>
      <c r="D72" s="550" t="s">
        <v>60</v>
      </c>
      <c r="E72" s="550" t="s">
        <v>43</v>
      </c>
      <c r="F72" s="550" t="s">
        <v>60</v>
      </c>
      <c r="G72" s="550" t="s">
        <v>43</v>
      </c>
      <c r="H72" s="550" t="s">
        <v>60</v>
      </c>
      <c r="I72" s="550" t="s">
        <v>43</v>
      </c>
      <c r="J72" s="550" t="s">
        <v>60</v>
      </c>
      <c r="K72" s="550" t="s">
        <v>43</v>
      </c>
      <c r="L72" s="550" t="s">
        <v>60</v>
      </c>
      <c r="M72" s="550" t="s">
        <v>43</v>
      </c>
      <c r="N72" s="550" t="s">
        <v>60</v>
      </c>
      <c r="O72" s="550" t="s">
        <v>43</v>
      </c>
      <c r="P72" s="550" t="s">
        <v>60</v>
      </c>
      <c r="Q72" s="550" t="s">
        <v>43</v>
      </c>
      <c r="R72" s="550" t="s">
        <v>60</v>
      </c>
      <c r="S72" s="550" t="s">
        <v>43</v>
      </c>
      <c r="T72" s="550" t="s">
        <v>60</v>
      </c>
      <c r="U72" s="550" t="s">
        <v>43</v>
      </c>
      <c r="V72" s="550" t="s">
        <v>60</v>
      </c>
      <c r="W72" s="550" t="s">
        <v>43</v>
      </c>
      <c r="X72" s="550" t="s">
        <v>60</v>
      </c>
      <c r="Y72" s="550" t="s">
        <v>43</v>
      </c>
      <c r="Z72" s="550" t="s">
        <v>60</v>
      </c>
      <c r="AA72" s="858"/>
    </row>
    <row r="73" spans="2:27" x14ac:dyDescent="0.25">
      <c r="B73" s="266" t="s">
        <v>252</v>
      </c>
      <c r="C73" s="205">
        <v>1</v>
      </c>
      <c r="D73" s="206">
        <f>C73*$L$14</f>
        <v>243878.57</v>
      </c>
      <c r="E73" s="205">
        <v>1</v>
      </c>
      <c r="F73" s="206">
        <f>E73*$L$14</f>
        <v>243878.57</v>
      </c>
      <c r="G73" s="205">
        <v>1</v>
      </c>
      <c r="H73" s="206">
        <f>G73*$L$14</f>
        <v>243878.57</v>
      </c>
      <c r="I73" s="205">
        <v>1</v>
      </c>
      <c r="J73" s="206">
        <f>I73*$L$14</f>
        <v>243878.57</v>
      </c>
      <c r="K73" s="205">
        <v>1</v>
      </c>
      <c r="L73" s="206">
        <f>K73*$L$14</f>
        <v>243878.57</v>
      </c>
      <c r="M73" s="205">
        <v>1</v>
      </c>
      <c r="N73" s="206">
        <f>M73*$L$14</f>
        <v>243878.57</v>
      </c>
      <c r="O73" s="205">
        <v>1</v>
      </c>
      <c r="P73" s="206">
        <f>O73*$L$14</f>
        <v>243878.57</v>
      </c>
      <c r="Q73" s="205">
        <v>1</v>
      </c>
      <c r="R73" s="206">
        <f>Q73*$L$14</f>
        <v>243878.57</v>
      </c>
      <c r="S73" s="205">
        <v>1</v>
      </c>
      <c r="T73" s="206">
        <f>S73*$L$14</f>
        <v>243878.57</v>
      </c>
      <c r="U73" s="205">
        <v>1</v>
      </c>
      <c r="V73" s="206">
        <f>U73*$L$14</f>
        <v>243878.57</v>
      </c>
      <c r="W73" s="205">
        <v>1</v>
      </c>
      <c r="X73" s="206">
        <f>W73*$L$14</f>
        <v>243878.57</v>
      </c>
      <c r="Y73" s="205">
        <v>1</v>
      </c>
      <c r="Z73" s="206">
        <f>Y73*$L$14</f>
        <v>243878.57</v>
      </c>
      <c r="AA73" s="551">
        <f>D73+F73+H73+J73+L73+N73+P73+R73+T73+V73+X73+Z73</f>
        <v>2926542.84</v>
      </c>
    </row>
    <row r="74" spans="2:27" x14ac:dyDescent="0.25">
      <c r="B74" s="267" t="s">
        <v>253</v>
      </c>
      <c r="C74" s="205">
        <v>1</v>
      </c>
      <c r="D74" s="206">
        <f>C74*$L$15</f>
        <v>170720.57</v>
      </c>
      <c r="E74" s="205">
        <v>1</v>
      </c>
      <c r="F74" s="206">
        <f>E74*$L$15</f>
        <v>170720.57</v>
      </c>
      <c r="G74" s="205">
        <v>1</v>
      </c>
      <c r="H74" s="206">
        <f>G74*$L$15</f>
        <v>170720.57</v>
      </c>
      <c r="I74" s="205">
        <v>1</v>
      </c>
      <c r="J74" s="206">
        <f>I74*$L$15</f>
        <v>170720.57</v>
      </c>
      <c r="K74" s="205">
        <v>1</v>
      </c>
      <c r="L74" s="206">
        <f>K74*$L$15</f>
        <v>170720.57</v>
      </c>
      <c r="M74" s="205">
        <v>1</v>
      </c>
      <c r="N74" s="206">
        <f>M74*$L$15</f>
        <v>170720.57</v>
      </c>
      <c r="O74" s="205">
        <v>1</v>
      </c>
      <c r="P74" s="206">
        <f>O74*$L$15</f>
        <v>170720.57</v>
      </c>
      <c r="Q74" s="205">
        <v>1</v>
      </c>
      <c r="R74" s="206">
        <f>Q74*$L$15</f>
        <v>170720.57</v>
      </c>
      <c r="S74" s="205">
        <v>1</v>
      </c>
      <c r="T74" s="206">
        <f>S74*$L$15</f>
        <v>170720.57</v>
      </c>
      <c r="U74" s="205">
        <v>1</v>
      </c>
      <c r="V74" s="206">
        <f>U74*$L$15</f>
        <v>170720.57</v>
      </c>
      <c r="W74" s="205">
        <v>1</v>
      </c>
      <c r="X74" s="206">
        <f>W74*$L$15</f>
        <v>170720.57</v>
      </c>
      <c r="Y74" s="205">
        <v>1</v>
      </c>
      <c r="Z74" s="206">
        <f>Y74*$L$15</f>
        <v>170720.57</v>
      </c>
      <c r="AA74" s="551">
        <f t="shared" ref="AA74:AA90" si="16">D74+F74+H74+J74+L74+N74+P74+R74+T74+V74+X74+Z74</f>
        <v>2048646.8400000005</v>
      </c>
    </row>
    <row r="75" spans="2:27" x14ac:dyDescent="0.25">
      <c r="B75" s="267" t="s">
        <v>254</v>
      </c>
      <c r="C75" s="205">
        <v>1</v>
      </c>
      <c r="D75" s="206">
        <f>C75*$L$16</f>
        <v>85369.57</v>
      </c>
      <c r="E75" s="205">
        <v>1</v>
      </c>
      <c r="F75" s="206">
        <f>E75*$L$16</f>
        <v>85369.57</v>
      </c>
      <c r="G75" s="205">
        <v>1</v>
      </c>
      <c r="H75" s="206">
        <f>G75*$L$16</f>
        <v>85369.57</v>
      </c>
      <c r="I75" s="205">
        <v>1</v>
      </c>
      <c r="J75" s="206">
        <f>I75*$L$16</f>
        <v>85369.57</v>
      </c>
      <c r="K75" s="205">
        <v>1</v>
      </c>
      <c r="L75" s="206">
        <f>K75*$L$16</f>
        <v>85369.57</v>
      </c>
      <c r="M75" s="205">
        <v>1</v>
      </c>
      <c r="N75" s="206">
        <f>M75*$L$16</f>
        <v>85369.57</v>
      </c>
      <c r="O75" s="205">
        <v>1</v>
      </c>
      <c r="P75" s="206">
        <f>O75*$L$16</f>
        <v>85369.57</v>
      </c>
      <c r="Q75" s="205">
        <v>1</v>
      </c>
      <c r="R75" s="206">
        <f>Q75*$L$16</f>
        <v>85369.57</v>
      </c>
      <c r="S75" s="205">
        <v>1</v>
      </c>
      <c r="T75" s="206">
        <f>S75*$L$16</f>
        <v>85369.57</v>
      </c>
      <c r="U75" s="205">
        <v>1</v>
      </c>
      <c r="V75" s="206">
        <f>U75*$L$16</f>
        <v>85369.57</v>
      </c>
      <c r="W75" s="205">
        <v>1</v>
      </c>
      <c r="X75" s="206">
        <f>W75*$L$16</f>
        <v>85369.57</v>
      </c>
      <c r="Y75" s="205">
        <v>1</v>
      </c>
      <c r="Z75" s="206">
        <f>Y75*$L$16</f>
        <v>85369.57</v>
      </c>
      <c r="AA75" s="551">
        <f t="shared" si="16"/>
        <v>1024434.8400000003</v>
      </c>
    </row>
    <row r="76" spans="2:27" x14ac:dyDescent="0.25">
      <c r="B76" s="267" t="s">
        <v>255</v>
      </c>
      <c r="C76" s="205">
        <v>1</v>
      </c>
      <c r="D76" s="206">
        <f>C76*$L$17</f>
        <v>85369.57</v>
      </c>
      <c r="E76" s="205">
        <v>1</v>
      </c>
      <c r="F76" s="206">
        <f>E76*$L$17</f>
        <v>85369.57</v>
      </c>
      <c r="G76" s="205">
        <v>1</v>
      </c>
      <c r="H76" s="206">
        <f>G76*$L$17</f>
        <v>85369.57</v>
      </c>
      <c r="I76" s="205">
        <v>1</v>
      </c>
      <c r="J76" s="206">
        <f>I76*$L$17</f>
        <v>85369.57</v>
      </c>
      <c r="K76" s="205">
        <v>1</v>
      </c>
      <c r="L76" s="206">
        <f>K76*$L$17</f>
        <v>85369.57</v>
      </c>
      <c r="M76" s="205">
        <v>1</v>
      </c>
      <c r="N76" s="206">
        <f>M76*$L$17</f>
        <v>85369.57</v>
      </c>
      <c r="O76" s="205">
        <v>1</v>
      </c>
      <c r="P76" s="206">
        <f>O76*$L$17</f>
        <v>85369.57</v>
      </c>
      <c r="Q76" s="205">
        <v>1</v>
      </c>
      <c r="R76" s="206">
        <f>Q76*$L$17</f>
        <v>85369.57</v>
      </c>
      <c r="S76" s="205">
        <v>1</v>
      </c>
      <c r="T76" s="206">
        <f>S76*$L$17</f>
        <v>85369.57</v>
      </c>
      <c r="U76" s="205">
        <v>1</v>
      </c>
      <c r="V76" s="206">
        <f>U76*$L$17</f>
        <v>85369.57</v>
      </c>
      <c r="W76" s="205">
        <v>1</v>
      </c>
      <c r="X76" s="206">
        <f>W76*$L$17</f>
        <v>85369.57</v>
      </c>
      <c r="Y76" s="205">
        <v>1</v>
      </c>
      <c r="Z76" s="206">
        <f>Y76*$L$17</f>
        <v>85369.57</v>
      </c>
      <c r="AA76" s="551">
        <f t="shared" si="16"/>
        <v>1024434.8400000003</v>
      </c>
    </row>
    <row r="77" spans="2:27" x14ac:dyDescent="0.25">
      <c r="B77" s="267" t="s">
        <v>256</v>
      </c>
      <c r="C77" s="205">
        <v>1</v>
      </c>
      <c r="D77" s="206">
        <f>C77*$L$18</f>
        <v>85369.57</v>
      </c>
      <c r="E77" s="205">
        <v>1</v>
      </c>
      <c r="F77" s="206">
        <f>E77*$L$18</f>
        <v>85369.57</v>
      </c>
      <c r="G77" s="205">
        <v>1</v>
      </c>
      <c r="H77" s="206">
        <f>G77*$L$18</f>
        <v>85369.57</v>
      </c>
      <c r="I77" s="205">
        <v>1</v>
      </c>
      <c r="J77" s="206">
        <f>I77*$L$18</f>
        <v>85369.57</v>
      </c>
      <c r="K77" s="205">
        <v>1</v>
      </c>
      <c r="L77" s="206">
        <f>K77*$L$18</f>
        <v>85369.57</v>
      </c>
      <c r="M77" s="205">
        <v>1</v>
      </c>
      <c r="N77" s="206">
        <f>M77*$L$18</f>
        <v>85369.57</v>
      </c>
      <c r="O77" s="205">
        <v>1</v>
      </c>
      <c r="P77" s="206">
        <f>O77*$L$18</f>
        <v>85369.57</v>
      </c>
      <c r="Q77" s="205">
        <v>1</v>
      </c>
      <c r="R77" s="206">
        <f>Q77*$L$18</f>
        <v>85369.57</v>
      </c>
      <c r="S77" s="205">
        <v>1</v>
      </c>
      <c r="T77" s="206">
        <f>S77*$L$18</f>
        <v>85369.57</v>
      </c>
      <c r="U77" s="205">
        <v>1</v>
      </c>
      <c r="V77" s="206">
        <f>U77*$L$18</f>
        <v>85369.57</v>
      </c>
      <c r="W77" s="205">
        <v>1</v>
      </c>
      <c r="X77" s="206">
        <f>W77*$L$18</f>
        <v>85369.57</v>
      </c>
      <c r="Y77" s="205">
        <v>1</v>
      </c>
      <c r="Z77" s="206">
        <f>Y77*$L$18</f>
        <v>85369.57</v>
      </c>
      <c r="AA77" s="551">
        <f t="shared" si="16"/>
        <v>1024434.8400000003</v>
      </c>
    </row>
    <row r="78" spans="2:27" x14ac:dyDescent="0.25">
      <c r="B78" s="267" t="s">
        <v>257</v>
      </c>
      <c r="C78" s="205">
        <v>1</v>
      </c>
      <c r="D78" s="206">
        <f>C78*$L$19</f>
        <v>97562.57</v>
      </c>
      <c r="E78" s="205">
        <v>1</v>
      </c>
      <c r="F78" s="206">
        <f>E78*$L$19</f>
        <v>97562.57</v>
      </c>
      <c r="G78" s="205">
        <v>1</v>
      </c>
      <c r="H78" s="206">
        <f>G78*$L$19</f>
        <v>97562.57</v>
      </c>
      <c r="I78" s="205">
        <v>1</v>
      </c>
      <c r="J78" s="206">
        <f>I78*$L$19</f>
        <v>97562.57</v>
      </c>
      <c r="K78" s="205">
        <v>1</v>
      </c>
      <c r="L78" s="206">
        <f>K78*$L$19</f>
        <v>97562.57</v>
      </c>
      <c r="M78" s="205">
        <v>1</v>
      </c>
      <c r="N78" s="206">
        <f>M78*$L$19</f>
        <v>97562.57</v>
      </c>
      <c r="O78" s="205">
        <v>1</v>
      </c>
      <c r="P78" s="206">
        <f>O78*$L$19</f>
        <v>97562.57</v>
      </c>
      <c r="Q78" s="205">
        <v>1</v>
      </c>
      <c r="R78" s="206">
        <f>Q78*$L$19</f>
        <v>97562.57</v>
      </c>
      <c r="S78" s="205">
        <v>1</v>
      </c>
      <c r="T78" s="206">
        <f>S78*$L$19</f>
        <v>97562.57</v>
      </c>
      <c r="U78" s="205">
        <v>1</v>
      </c>
      <c r="V78" s="206">
        <f>U78*$L$19</f>
        <v>97562.57</v>
      </c>
      <c r="W78" s="205">
        <v>1</v>
      </c>
      <c r="X78" s="206">
        <f>W78*$L$19</f>
        <v>97562.57</v>
      </c>
      <c r="Y78" s="205">
        <v>1</v>
      </c>
      <c r="Z78" s="206">
        <f>Y78*$L$19</f>
        <v>97562.57</v>
      </c>
      <c r="AA78" s="551">
        <f t="shared" si="16"/>
        <v>1170750.8400000003</v>
      </c>
    </row>
    <row r="79" spans="2:27" x14ac:dyDescent="0.25">
      <c r="B79" s="267" t="s">
        <v>262</v>
      </c>
      <c r="C79" s="205">
        <v>1</v>
      </c>
      <c r="D79" s="206">
        <f>C79*$L$20</f>
        <v>134141.57</v>
      </c>
      <c r="E79" s="205">
        <v>1</v>
      </c>
      <c r="F79" s="206">
        <f>E79*$L$20</f>
        <v>134141.57</v>
      </c>
      <c r="G79" s="205">
        <v>1</v>
      </c>
      <c r="H79" s="206">
        <f>G79*$L$20</f>
        <v>134141.57</v>
      </c>
      <c r="I79" s="205">
        <v>1</v>
      </c>
      <c r="J79" s="206">
        <f>I79*$L$20</f>
        <v>134141.57</v>
      </c>
      <c r="K79" s="205">
        <v>1</v>
      </c>
      <c r="L79" s="206">
        <f>K79*$L$20</f>
        <v>134141.57</v>
      </c>
      <c r="M79" s="205">
        <v>1</v>
      </c>
      <c r="N79" s="206">
        <f>M79*$L$20</f>
        <v>134141.57</v>
      </c>
      <c r="O79" s="205">
        <v>1</v>
      </c>
      <c r="P79" s="206">
        <f>O79*$L$20</f>
        <v>134141.57</v>
      </c>
      <c r="Q79" s="205">
        <v>1</v>
      </c>
      <c r="R79" s="206">
        <f>Q79*$L$20</f>
        <v>134141.57</v>
      </c>
      <c r="S79" s="205">
        <v>1</v>
      </c>
      <c r="T79" s="206">
        <f>S79*$L$20</f>
        <v>134141.57</v>
      </c>
      <c r="U79" s="205">
        <v>1</v>
      </c>
      <c r="V79" s="206">
        <f>U79*$L$20</f>
        <v>134141.57</v>
      </c>
      <c r="W79" s="205">
        <v>1</v>
      </c>
      <c r="X79" s="206">
        <f>W79*$L$20</f>
        <v>134141.57</v>
      </c>
      <c r="Y79" s="205">
        <v>1</v>
      </c>
      <c r="Z79" s="206">
        <f>Y79*$L$20</f>
        <v>134141.57</v>
      </c>
      <c r="AA79" s="551">
        <f t="shared" si="16"/>
        <v>1609698.8400000005</v>
      </c>
    </row>
    <row r="80" spans="2:27" x14ac:dyDescent="0.25">
      <c r="B80" s="267" t="s">
        <v>263</v>
      </c>
      <c r="C80" s="205">
        <v>1</v>
      </c>
      <c r="D80" s="206">
        <f>C80*$L$21</f>
        <v>60983.57</v>
      </c>
      <c r="E80" s="205">
        <v>1</v>
      </c>
      <c r="F80" s="206">
        <f>E80*$L$21</f>
        <v>60983.57</v>
      </c>
      <c r="G80" s="205">
        <v>1</v>
      </c>
      <c r="H80" s="206">
        <f>G80*$L$21</f>
        <v>60983.57</v>
      </c>
      <c r="I80" s="205">
        <v>1</v>
      </c>
      <c r="J80" s="206">
        <f>I80*$L$21</f>
        <v>60983.57</v>
      </c>
      <c r="K80" s="205">
        <v>1</v>
      </c>
      <c r="L80" s="206">
        <f>K80*$L$21</f>
        <v>60983.57</v>
      </c>
      <c r="M80" s="205">
        <v>1</v>
      </c>
      <c r="N80" s="206">
        <f>M80*$L$21</f>
        <v>60983.57</v>
      </c>
      <c r="O80" s="205">
        <v>1</v>
      </c>
      <c r="P80" s="206">
        <f>O80*$L$21</f>
        <v>60983.57</v>
      </c>
      <c r="Q80" s="205">
        <v>1</v>
      </c>
      <c r="R80" s="206">
        <f>Q80*$L$21</f>
        <v>60983.57</v>
      </c>
      <c r="S80" s="205">
        <v>1</v>
      </c>
      <c r="T80" s="206">
        <f>S80*$L$21</f>
        <v>60983.57</v>
      </c>
      <c r="U80" s="205">
        <v>1</v>
      </c>
      <c r="V80" s="206">
        <f>U80*$L$21</f>
        <v>60983.57</v>
      </c>
      <c r="W80" s="205">
        <v>1</v>
      </c>
      <c r="X80" s="206">
        <f>W80*$L$21</f>
        <v>60983.57</v>
      </c>
      <c r="Y80" s="205">
        <v>1</v>
      </c>
      <c r="Z80" s="206">
        <f>Y80*$L$21</f>
        <v>60983.57</v>
      </c>
      <c r="AA80" s="551">
        <f t="shared" si="16"/>
        <v>731802.83999999985</v>
      </c>
    </row>
    <row r="81" spans="2:29" x14ac:dyDescent="0.25">
      <c r="B81" s="267" t="s">
        <v>268</v>
      </c>
      <c r="C81" s="205">
        <v>1</v>
      </c>
      <c r="D81" s="206">
        <f>C81*$L$22</f>
        <v>146334.57</v>
      </c>
      <c r="E81" s="205">
        <v>1</v>
      </c>
      <c r="F81" s="206">
        <f>E81*$L$22</f>
        <v>146334.57</v>
      </c>
      <c r="G81" s="205">
        <v>1</v>
      </c>
      <c r="H81" s="206">
        <f>G81*$L$22</f>
        <v>146334.57</v>
      </c>
      <c r="I81" s="205">
        <v>1</v>
      </c>
      <c r="J81" s="206">
        <f>I81*$L$22</f>
        <v>146334.57</v>
      </c>
      <c r="K81" s="205">
        <v>1</v>
      </c>
      <c r="L81" s="206">
        <f>K81*$L$22</f>
        <v>146334.57</v>
      </c>
      <c r="M81" s="205">
        <v>1</v>
      </c>
      <c r="N81" s="206">
        <f>M81*$L$22</f>
        <v>146334.57</v>
      </c>
      <c r="O81" s="205">
        <v>1</v>
      </c>
      <c r="P81" s="206">
        <f>O81*$L$22</f>
        <v>146334.57</v>
      </c>
      <c r="Q81" s="205">
        <v>1</v>
      </c>
      <c r="R81" s="206">
        <f>Q81*$L$22</f>
        <v>146334.57</v>
      </c>
      <c r="S81" s="205">
        <v>1</v>
      </c>
      <c r="T81" s="206">
        <f>S81*$L$22</f>
        <v>146334.57</v>
      </c>
      <c r="U81" s="205">
        <v>1</v>
      </c>
      <c r="V81" s="206">
        <f>U81*$L$22</f>
        <v>146334.57</v>
      </c>
      <c r="W81" s="205">
        <v>1</v>
      </c>
      <c r="X81" s="206">
        <f>W81*$L$22</f>
        <v>146334.57</v>
      </c>
      <c r="Y81" s="205">
        <v>1</v>
      </c>
      <c r="Z81" s="206">
        <f>Y81*$L$22</f>
        <v>146334.57</v>
      </c>
      <c r="AA81" s="551">
        <f t="shared" si="16"/>
        <v>1756014.8400000005</v>
      </c>
    </row>
    <row r="82" spans="2:29" x14ac:dyDescent="0.25">
      <c r="B82" s="267" t="s">
        <v>269</v>
      </c>
      <c r="C82" s="205">
        <v>1</v>
      </c>
      <c r="D82" s="206">
        <f>C82*$L$23</f>
        <v>60983.57</v>
      </c>
      <c r="E82" s="205">
        <v>1</v>
      </c>
      <c r="F82" s="206">
        <f>E82*$L$23</f>
        <v>60983.57</v>
      </c>
      <c r="G82" s="205">
        <v>1</v>
      </c>
      <c r="H82" s="206">
        <f>G82*$L$23</f>
        <v>60983.57</v>
      </c>
      <c r="I82" s="205">
        <v>1</v>
      </c>
      <c r="J82" s="206">
        <f>I82*$L$23</f>
        <v>60983.57</v>
      </c>
      <c r="K82" s="205">
        <v>1</v>
      </c>
      <c r="L82" s="206">
        <f>K82*$L$23</f>
        <v>60983.57</v>
      </c>
      <c r="M82" s="205">
        <v>1</v>
      </c>
      <c r="N82" s="206">
        <f>M82*$L$23</f>
        <v>60983.57</v>
      </c>
      <c r="O82" s="205">
        <v>1</v>
      </c>
      <c r="P82" s="206">
        <f>O82*$L$23</f>
        <v>60983.57</v>
      </c>
      <c r="Q82" s="205">
        <v>1</v>
      </c>
      <c r="R82" s="206">
        <f>Q82*$L$23</f>
        <v>60983.57</v>
      </c>
      <c r="S82" s="205">
        <v>1</v>
      </c>
      <c r="T82" s="206">
        <f>S82*$L$23</f>
        <v>60983.57</v>
      </c>
      <c r="U82" s="205">
        <v>1</v>
      </c>
      <c r="V82" s="206">
        <f>U82*$L$23</f>
        <v>60983.57</v>
      </c>
      <c r="W82" s="205">
        <v>1</v>
      </c>
      <c r="X82" s="206">
        <f>W82*$L$23</f>
        <v>60983.57</v>
      </c>
      <c r="Y82" s="205">
        <v>1</v>
      </c>
      <c r="Z82" s="206">
        <f>Y82*$L$23</f>
        <v>60983.57</v>
      </c>
      <c r="AA82" s="551">
        <f t="shared" si="16"/>
        <v>731802.83999999985</v>
      </c>
    </row>
    <row r="83" spans="2:29" x14ac:dyDescent="0.25">
      <c r="B83" s="267" t="s">
        <v>264</v>
      </c>
      <c r="C83" s="205">
        <v>1</v>
      </c>
      <c r="D83" s="206">
        <f>C83*$L$24</f>
        <v>158527.57</v>
      </c>
      <c r="E83" s="205">
        <v>1</v>
      </c>
      <c r="F83" s="206">
        <f>E83*$L$24</f>
        <v>158527.57</v>
      </c>
      <c r="G83" s="205">
        <v>1</v>
      </c>
      <c r="H83" s="206">
        <f>G83*$L$24</f>
        <v>158527.57</v>
      </c>
      <c r="I83" s="205">
        <v>1</v>
      </c>
      <c r="J83" s="206">
        <f>I83*$L$24</f>
        <v>158527.57</v>
      </c>
      <c r="K83" s="205">
        <v>1</v>
      </c>
      <c r="L83" s="206">
        <f>K83*$L$24</f>
        <v>158527.57</v>
      </c>
      <c r="M83" s="205">
        <v>1</v>
      </c>
      <c r="N83" s="206">
        <f>M83*$L$24</f>
        <v>158527.57</v>
      </c>
      <c r="O83" s="205">
        <v>1</v>
      </c>
      <c r="P83" s="206">
        <f>O83*$L$24</f>
        <v>158527.57</v>
      </c>
      <c r="Q83" s="205">
        <v>1</v>
      </c>
      <c r="R83" s="206">
        <f>Q83*$L$24</f>
        <v>158527.57</v>
      </c>
      <c r="S83" s="205">
        <v>1</v>
      </c>
      <c r="T83" s="206">
        <f>S83*$L$24</f>
        <v>158527.57</v>
      </c>
      <c r="U83" s="205">
        <v>1</v>
      </c>
      <c r="V83" s="206">
        <f>U83*$L$24</f>
        <v>158527.57</v>
      </c>
      <c r="W83" s="205">
        <v>1</v>
      </c>
      <c r="X83" s="206">
        <f>W83*$L$24</f>
        <v>158527.57</v>
      </c>
      <c r="Y83" s="205">
        <v>1</v>
      </c>
      <c r="Z83" s="206">
        <f>Y83*$L$24</f>
        <v>158527.57</v>
      </c>
      <c r="AA83" s="551">
        <f t="shared" si="16"/>
        <v>1902330.8400000005</v>
      </c>
    </row>
    <row r="84" spans="2:29" x14ac:dyDescent="0.25">
      <c r="B84" s="267" t="s">
        <v>265</v>
      </c>
      <c r="C84" s="205">
        <v>2</v>
      </c>
      <c r="D84" s="206">
        <f>C84*$L$25</f>
        <v>146353.14000000001</v>
      </c>
      <c r="E84" s="205">
        <v>2</v>
      </c>
      <c r="F84" s="206">
        <f>E84*$L$25</f>
        <v>146353.14000000001</v>
      </c>
      <c r="G84" s="205">
        <v>2</v>
      </c>
      <c r="H84" s="206">
        <f>G84*$L$25</f>
        <v>146353.14000000001</v>
      </c>
      <c r="I84" s="205">
        <v>2</v>
      </c>
      <c r="J84" s="206">
        <f>I84*$L$25</f>
        <v>146353.14000000001</v>
      </c>
      <c r="K84" s="205">
        <v>2</v>
      </c>
      <c r="L84" s="206">
        <f>K84*$L$25</f>
        <v>146353.14000000001</v>
      </c>
      <c r="M84" s="205">
        <v>2</v>
      </c>
      <c r="N84" s="206">
        <f>M84*$L$25</f>
        <v>146353.14000000001</v>
      </c>
      <c r="O84" s="205">
        <v>2</v>
      </c>
      <c r="P84" s="206">
        <f>O84*$L$25</f>
        <v>146353.14000000001</v>
      </c>
      <c r="Q84" s="205">
        <v>2</v>
      </c>
      <c r="R84" s="206">
        <f>Q84*$L$25</f>
        <v>146353.14000000001</v>
      </c>
      <c r="S84" s="205">
        <v>2</v>
      </c>
      <c r="T84" s="206">
        <f>S84*$L$25</f>
        <v>146353.14000000001</v>
      </c>
      <c r="U84" s="205">
        <v>2</v>
      </c>
      <c r="V84" s="206">
        <f>U84*$L$25</f>
        <v>146353.14000000001</v>
      </c>
      <c r="W84" s="205">
        <v>2</v>
      </c>
      <c r="X84" s="206">
        <f>W84*$L$25</f>
        <v>146353.14000000001</v>
      </c>
      <c r="Y84" s="205">
        <v>2</v>
      </c>
      <c r="Z84" s="206">
        <f>Y84*$L$25</f>
        <v>146353.14000000001</v>
      </c>
      <c r="AA84" s="551">
        <f t="shared" si="16"/>
        <v>1756237.6800000006</v>
      </c>
    </row>
    <row r="85" spans="2:29" x14ac:dyDescent="0.25">
      <c r="B85" s="267" t="s">
        <v>266</v>
      </c>
      <c r="C85" s="205">
        <v>1</v>
      </c>
      <c r="D85" s="206">
        <f>C85*$L$26</f>
        <v>60983.57</v>
      </c>
      <c r="E85" s="205">
        <v>1</v>
      </c>
      <c r="F85" s="206">
        <f>E85*$L$26</f>
        <v>60983.57</v>
      </c>
      <c r="G85" s="205">
        <v>1</v>
      </c>
      <c r="H85" s="206">
        <f>G85*$L$26</f>
        <v>60983.57</v>
      </c>
      <c r="I85" s="205">
        <v>1</v>
      </c>
      <c r="J85" s="206">
        <f>I85*$L$26</f>
        <v>60983.57</v>
      </c>
      <c r="K85" s="205">
        <v>1</v>
      </c>
      <c r="L85" s="206">
        <f>K85*$L$26</f>
        <v>60983.57</v>
      </c>
      <c r="M85" s="205">
        <v>1</v>
      </c>
      <c r="N85" s="206">
        <f>M85*$L$26</f>
        <v>60983.57</v>
      </c>
      <c r="O85" s="205">
        <v>1</v>
      </c>
      <c r="P85" s="206">
        <f>O85*$L$26</f>
        <v>60983.57</v>
      </c>
      <c r="Q85" s="205">
        <v>1</v>
      </c>
      <c r="R85" s="206">
        <f>Q85*$L$26</f>
        <v>60983.57</v>
      </c>
      <c r="S85" s="205">
        <v>1</v>
      </c>
      <c r="T85" s="206">
        <f>S85*$L$26</f>
        <v>60983.57</v>
      </c>
      <c r="U85" s="205">
        <v>1</v>
      </c>
      <c r="V85" s="206">
        <f>U85*$L$26</f>
        <v>60983.57</v>
      </c>
      <c r="W85" s="205">
        <v>1</v>
      </c>
      <c r="X85" s="206">
        <f>W85*$L$26</f>
        <v>60983.57</v>
      </c>
      <c r="Y85" s="205">
        <v>1</v>
      </c>
      <c r="Z85" s="206">
        <f>Y85*$L$26</f>
        <v>60983.57</v>
      </c>
      <c r="AA85" s="551">
        <f t="shared" si="16"/>
        <v>731802.83999999985</v>
      </c>
    </row>
    <row r="86" spans="2:29" x14ac:dyDescent="0.25">
      <c r="B86" s="267" t="s">
        <v>267</v>
      </c>
      <c r="C86" s="205">
        <v>1</v>
      </c>
      <c r="D86" s="206">
        <f>C86*$L$27</f>
        <v>121948.57</v>
      </c>
      <c r="E86" s="205">
        <v>1</v>
      </c>
      <c r="F86" s="206">
        <f>E86*$L$27</f>
        <v>121948.57</v>
      </c>
      <c r="G86" s="205">
        <v>1</v>
      </c>
      <c r="H86" s="206">
        <f>G86*$L$27</f>
        <v>121948.57</v>
      </c>
      <c r="I86" s="205">
        <v>1</v>
      </c>
      <c r="J86" s="206">
        <f>I86*$L$27</f>
        <v>121948.57</v>
      </c>
      <c r="K86" s="205">
        <v>1</v>
      </c>
      <c r="L86" s="206">
        <f>K86*$L$27</f>
        <v>121948.57</v>
      </c>
      <c r="M86" s="205">
        <v>1</v>
      </c>
      <c r="N86" s="206">
        <f>M86*$L$27</f>
        <v>121948.57</v>
      </c>
      <c r="O86" s="205">
        <v>1</v>
      </c>
      <c r="P86" s="206">
        <f>O86*$L$27</f>
        <v>121948.57</v>
      </c>
      <c r="Q86" s="205">
        <v>1</v>
      </c>
      <c r="R86" s="206">
        <f>Q86*$L$27</f>
        <v>121948.57</v>
      </c>
      <c r="S86" s="205">
        <v>1</v>
      </c>
      <c r="T86" s="206">
        <f>S86*$L$27</f>
        <v>121948.57</v>
      </c>
      <c r="U86" s="205">
        <v>1</v>
      </c>
      <c r="V86" s="206">
        <f>U86*$L$27</f>
        <v>121948.57</v>
      </c>
      <c r="W86" s="205">
        <v>1</v>
      </c>
      <c r="X86" s="206">
        <f>W86*$L$27</f>
        <v>121948.57</v>
      </c>
      <c r="Y86" s="205">
        <v>1</v>
      </c>
      <c r="Z86" s="206">
        <f>Y86*$L$27</f>
        <v>121948.57</v>
      </c>
      <c r="AA86" s="551">
        <f t="shared" si="16"/>
        <v>1463382.8400000005</v>
      </c>
      <c r="AC86" s="17"/>
    </row>
    <row r="87" spans="2:29" x14ac:dyDescent="0.25">
      <c r="B87" s="267" t="s">
        <v>258</v>
      </c>
      <c r="C87" s="205">
        <v>1</v>
      </c>
      <c r="D87" s="206">
        <f>C87*$L$28</f>
        <v>219492.57</v>
      </c>
      <c r="E87" s="205">
        <v>1</v>
      </c>
      <c r="F87" s="206">
        <f>E87*$L$28</f>
        <v>219492.57</v>
      </c>
      <c r="G87" s="205">
        <v>1</v>
      </c>
      <c r="H87" s="206">
        <f>G87*$L$28</f>
        <v>219492.57</v>
      </c>
      <c r="I87" s="205">
        <v>1</v>
      </c>
      <c r="J87" s="206">
        <f>I87*$L$28</f>
        <v>219492.57</v>
      </c>
      <c r="K87" s="205">
        <v>1</v>
      </c>
      <c r="L87" s="206">
        <f>K87*$L$28</f>
        <v>219492.57</v>
      </c>
      <c r="M87" s="205">
        <v>1</v>
      </c>
      <c r="N87" s="206">
        <f>M87*$L$28</f>
        <v>219492.57</v>
      </c>
      <c r="O87" s="205">
        <v>1</v>
      </c>
      <c r="P87" s="206">
        <f>O87*$L$28</f>
        <v>219492.57</v>
      </c>
      <c r="Q87" s="205">
        <v>1</v>
      </c>
      <c r="R87" s="206">
        <f>Q87*$L$28</f>
        <v>219492.57</v>
      </c>
      <c r="S87" s="205">
        <v>1</v>
      </c>
      <c r="T87" s="206">
        <f>S87*$L$28</f>
        <v>219492.57</v>
      </c>
      <c r="U87" s="205">
        <v>1</v>
      </c>
      <c r="V87" s="206">
        <f>U87*$L$28</f>
        <v>219492.57</v>
      </c>
      <c r="W87" s="205">
        <v>1</v>
      </c>
      <c r="X87" s="206">
        <f>W87*$L$28</f>
        <v>219492.57</v>
      </c>
      <c r="Y87" s="205">
        <v>1</v>
      </c>
      <c r="Z87" s="206">
        <f>Y87*$L$28</f>
        <v>219492.57</v>
      </c>
      <c r="AA87" s="551">
        <f t="shared" si="16"/>
        <v>2633910.84</v>
      </c>
    </row>
    <row r="88" spans="2:29" x14ac:dyDescent="0.25">
      <c r="B88" s="267" t="s">
        <v>260</v>
      </c>
      <c r="C88" s="205">
        <v>1</v>
      </c>
      <c r="D88" s="206">
        <f>C88*$L$29</f>
        <v>97562.57</v>
      </c>
      <c r="E88" s="205">
        <v>1</v>
      </c>
      <c r="F88" s="206">
        <f>E88*$L$29</f>
        <v>97562.57</v>
      </c>
      <c r="G88" s="205">
        <v>1</v>
      </c>
      <c r="H88" s="206">
        <f>G88*$L$29</f>
        <v>97562.57</v>
      </c>
      <c r="I88" s="205">
        <v>1</v>
      </c>
      <c r="J88" s="206">
        <f>I88*$L$29</f>
        <v>97562.57</v>
      </c>
      <c r="K88" s="205">
        <v>1</v>
      </c>
      <c r="L88" s="206">
        <f>K88*$L$29</f>
        <v>97562.57</v>
      </c>
      <c r="M88" s="205">
        <v>1</v>
      </c>
      <c r="N88" s="206">
        <f>M88*$L$29</f>
        <v>97562.57</v>
      </c>
      <c r="O88" s="205">
        <v>1</v>
      </c>
      <c r="P88" s="206">
        <f>O88*$L$29</f>
        <v>97562.57</v>
      </c>
      <c r="Q88" s="205">
        <v>1</v>
      </c>
      <c r="R88" s="206">
        <f>Q88*$L$29</f>
        <v>97562.57</v>
      </c>
      <c r="S88" s="205">
        <v>1</v>
      </c>
      <c r="T88" s="206">
        <f>S88*$L$29</f>
        <v>97562.57</v>
      </c>
      <c r="U88" s="205">
        <v>1</v>
      </c>
      <c r="V88" s="206">
        <f>U88*$L$29</f>
        <v>97562.57</v>
      </c>
      <c r="W88" s="205">
        <v>1</v>
      </c>
      <c r="X88" s="206">
        <f>W88*$L$29</f>
        <v>97562.57</v>
      </c>
      <c r="Y88" s="205">
        <v>1</v>
      </c>
      <c r="Z88" s="206">
        <f>Y88*$L$29</f>
        <v>97562.57</v>
      </c>
      <c r="AA88" s="551">
        <f t="shared" si="16"/>
        <v>1170750.8400000003</v>
      </c>
    </row>
    <row r="89" spans="2:29" x14ac:dyDescent="0.25">
      <c r="B89" s="267" t="s">
        <v>259</v>
      </c>
      <c r="C89" s="205">
        <v>2</v>
      </c>
      <c r="D89" s="206">
        <f>C89*$L$30</f>
        <v>121967.14</v>
      </c>
      <c r="E89" s="205">
        <v>2</v>
      </c>
      <c r="F89" s="206">
        <f>E89*$L$30</f>
        <v>121967.14</v>
      </c>
      <c r="G89" s="205">
        <v>2</v>
      </c>
      <c r="H89" s="206">
        <f>G89*$L$30</f>
        <v>121967.14</v>
      </c>
      <c r="I89" s="205">
        <v>2</v>
      </c>
      <c r="J89" s="206">
        <f>I89*$L$30</f>
        <v>121967.14</v>
      </c>
      <c r="K89" s="205">
        <v>2</v>
      </c>
      <c r="L89" s="206">
        <f>K89*$L$30</f>
        <v>121967.14</v>
      </c>
      <c r="M89" s="205">
        <v>2</v>
      </c>
      <c r="N89" s="206">
        <f>M89*$L$30</f>
        <v>121967.14</v>
      </c>
      <c r="O89" s="205">
        <v>2</v>
      </c>
      <c r="P89" s="206">
        <f>O89*$L$30</f>
        <v>121967.14</v>
      </c>
      <c r="Q89" s="205">
        <v>2</v>
      </c>
      <c r="R89" s="206">
        <f>Q89*$L$30</f>
        <v>121967.14</v>
      </c>
      <c r="S89" s="205">
        <v>2</v>
      </c>
      <c r="T89" s="206">
        <f>S89*$L$30</f>
        <v>121967.14</v>
      </c>
      <c r="U89" s="205">
        <v>2</v>
      </c>
      <c r="V89" s="206">
        <f>U89*$L$30</f>
        <v>121967.14</v>
      </c>
      <c r="W89" s="205">
        <v>2</v>
      </c>
      <c r="X89" s="206">
        <f>W89*$L$30</f>
        <v>121967.14</v>
      </c>
      <c r="Y89" s="205">
        <v>2</v>
      </c>
      <c r="Z89" s="206">
        <f>Y89*$L$30</f>
        <v>121967.14</v>
      </c>
      <c r="AA89" s="551">
        <f t="shared" si="16"/>
        <v>1463605.6799999997</v>
      </c>
    </row>
    <row r="90" spans="2:29" x14ac:dyDescent="0.25">
      <c r="B90" s="266" t="s">
        <v>261</v>
      </c>
      <c r="C90" s="205">
        <v>22</v>
      </c>
      <c r="D90" s="206">
        <f>C90*$L$31</f>
        <v>1073392.54</v>
      </c>
      <c r="E90" s="205">
        <v>22</v>
      </c>
      <c r="F90" s="206">
        <f>E90*$L$31</f>
        <v>1073392.54</v>
      </c>
      <c r="G90" s="205">
        <v>22</v>
      </c>
      <c r="H90" s="206">
        <f>G90*$L$31</f>
        <v>1073392.54</v>
      </c>
      <c r="I90" s="205">
        <v>22</v>
      </c>
      <c r="J90" s="206">
        <f>I90*$L$31</f>
        <v>1073392.54</v>
      </c>
      <c r="K90" s="205">
        <v>22</v>
      </c>
      <c r="L90" s="206">
        <f>K90*$L$31</f>
        <v>1073392.54</v>
      </c>
      <c r="M90" s="205">
        <v>22</v>
      </c>
      <c r="N90" s="206">
        <f>M90*$L$31</f>
        <v>1073392.54</v>
      </c>
      <c r="O90" s="205">
        <v>22</v>
      </c>
      <c r="P90" s="206">
        <f>O90*$L$31</f>
        <v>1073392.54</v>
      </c>
      <c r="Q90" s="205">
        <v>22</v>
      </c>
      <c r="R90" s="206">
        <f>Q90*$L$31</f>
        <v>1073392.54</v>
      </c>
      <c r="S90" s="205">
        <v>22</v>
      </c>
      <c r="T90" s="206">
        <f>S90*$L$31</f>
        <v>1073392.54</v>
      </c>
      <c r="U90" s="205">
        <v>22</v>
      </c>
      <c r="V90" s="206">
        <f>U90*$L$31</f>
        <v>1073392.54</v>
      </c>
      <c r="W90" s="205">
        <v>22</v>
      </c>
      <c r="X90" s="206">
        <f>W90*$L$31</f>
        <v>1073392.54</v>
      </c>
      <c r="Y90" s="205">
        <v>22</v>
      </c>
      <c r="Z90" s="206">
        <f>Y90*$L$31</f>
        <v>1073392.54</v>
      </c>
      <c r="AA90" s="551">
        <f t="shared" si="16"/>
        <v>12880710.479999997</v>
      </c>
    </row>
    <row r="91" spans="2:29" ht="16.5" thickBot="1" x14ac:dyDescent="0.3">
      <c r="B91" s="552" t="s">
        <v>138</v>
      </c>
      <c r="C91" s="553">
        <f t="shared" ref="C91:AA91" si="17">SUM(C73:C90)</f>
        <v>41</v>
      </c>
      <c r="D91" s="554">
        <f t="shared" si="17"/>
        <v>3170941.3700000006</v>
      </c>
      <c r="E91" s="553">
        <f t="shared" si="17"/>
        <v>41</v>
      </c>
      <c r="F91" s="554">
        <f t="shared" si="17"/>
        <v>3170941.3700000006</v>
      </c>
      <c r="G91" s="553">
        <f t="shared" si="17"/>
        <v>41</v>
      </c>
      <c r="H91" s="554">
        <f t="shared" si="17"/>
        <v>3170941.3700000006</v>
      </c>
      <c r="I91" s="553">
        <f t="shared" si="17"/>
        <v>41</v>
      </c>
      <c r="J91" s="554">
        <f t="shared" si="17"/>
        <v>3170941.3700000006</v>
      </c>
      <c r="K91" s="553">
        <f t="shared" si="17"/>
        <v>41</v>
      </c>
      <c r="L91" s="554">
        <f t="shared" si="17"/>
        <v>3170941.3700000006</v>
      </c>
      <c r="M91" s="553">
        <f t="shared" si="17"/>
        <v>41</v>
      </c>
      <c r="N91" s="554">
        <f t="shared" si="17"/>
        <v>3170941.3700000006</v>
      </c>
      <c r="O91" s="553">
        <f t="shared" si="17"/>
        <v>41</v>
      </c>
      <c r="P91" s="554">
        <f t="shared" si="17"/>
        <v>3170941.3700000006</v>
      </c>
      <c r="Q91" s="553">
        <f t="shared" si="17"/>
        <v>41</v>
      </c>
      <c r="R91" s="554">
        <f t="shared" si="17"/>
        <v>3170941.3700000006</v>
      </c>
      <c r="S91" s="553">
        <f t="shared" si="17"/>
        <v>41</v>
      </c>
      <c r="T91" s="554">
        <f t="shared" si="17"/>
        <v>3170941.3700000006</v>
      </c>
      <c r="U91" s="553">
        <f t="shared" si="17"/>
        <v>41</v>
      </c>
      <c r="V91" s="554">
        <f t="shared" si="17"/>
        <v>3170941.3700000006</v>
      </c>
      <c r="W91" s="553">
        <f t="shared" si="17"/>
        <v>41</v>
      </c>
      <c r="X91" s="554">
        <f t="shared" si="17"/>
        <v>3170941.3700000006</v>
      </c>
      <c r="Y91" s="553">
        <f t="shared" si="17"/>
        <v>41</v>
      </c>
      <c r="Z91" s="554">
        <f t="shared" si="17"/>
        <v>3170941.3700000006</v>
      </c>
      <c r="AA91" s="268">
        <f t="shared" si="17"/>
        <v>38051296.439999998</v>
      </c>
    </row>
    <row r="94" spans="2:29" x14ac:dyDescent="0.25">
      <c r="X94" s="17">
        <f>X90*12</f>
        <v>12880710.48</v>
      </c>
    </row>
    <row r="95" spans="2:29" x14ac:dyDescent="0.25">
      <c r="U95" s="17"/>
      <c r="W95" s="17"/>
      <c r="X95" s="17"/>
      <c r="Y95" s="17"/>
      <c r="Z95" s="17"/>
    </row>
  </sheetData>
  <mergeCells count="58">
    <mergeCell ref="B22:B23"/>
    <mergeCell ref="B24:B27"/>
    <mergeCell ref="B52:AA52"/>
    <mergeCell ref="B53:B54"/>
    <mergeCell ref="C53:D53"/>
    <mergeCell ref="E53:F53"/>
    <mergeCell ref="G53:H53"/>
    <mergeCell ref="I53:J53"/>
    <mergeCell ref="K53:L53"/>
    <mergeCell ref="M53:N53"/>
    <mergeCell ref="AA53:AA54"/>
    <mergeCell ref="O53:P53"/>
    <mergeCell ref="Q53:R53"/>
    <mergeCell ref="S53:T53"/>
    <mergeCell ref="U53:V53"/>
    <mergeCell ref="W53:X53"/>
    <mergeCell ref="B36:B37"/>
    <mergeCell ref="B35:AA35"/>
    <mergeCell ref="AA36:AA37"/>
    <mergeCell ref="M36:N36"/>
    <mergeCell ref="O36:P36"/>
    <mergeCell ref="Q36:R36"/>
    <mergeCell ref="S36:T36"/>
    <mergeCell ref="U36:V36"/>
    <mergeCell ref="W36:X36"/>
    <mergeCell ref="Y36:Z36"/>
    <mergeCell ref="Y53:Z53"/>
    <mergeCell ref="Y71:Z71"/>
    <mergeCell ref="K12:K13"/>
    <mergeCell ref="L12:L13"/>
    <mergeCell ref="B11:L11"/>
    <mergeCell ref="C36:D36"/>
    <mergeCell ref="E36:F36"/>
    <mergeCell ref="G36:H36"/>
    <mergeCell ref="I36:J36"/>
    <mergeCell ref="K36:L36"/>
    <mergeCell ref="B15:B19"/>
    <mergeCell ref="B20:B21"/>
    <mergeCell ref="B28:B31"/>
    <mergeCell ref="D12:D13"/>
    <mergeCell ref="C12:C13"/>
    <mergeCell ref="B12:B13"/>
    <mergeCell ref="AA71:AA72"/>
    <mergeCell ref="B4:D4"/>
    <mergeCell ref="H4:J4"/>
    <mergeCell ref="B70:AA70"/>
    <mergeCell ref="B71:B72"/>
    <mergeCell ref="C71:D71"/>
    <mergeCell ref="E71:F71"/>
    <mergeCell ref="G71:H71"/>
    <mergeCell ref="I71:J71"/>
    <mergeCell ref="K71:L71"/>
    <mergeCell ref="M71:N71"/>
    <mergeCell ref="O71:P71"/>
    <mergeCell ref="Q71:R71"/>
    <mergeCell ref="S71:T71"/>
    <mergeCell ref="U71:V71"/>
    <mergeCell ref="W71:X7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19</vt:i4>
      </vt:variant>
    </vt:vector>
  </HeadingPairs>
  <TitlesOfParts>
    <vt:vector size="19" baseType="lpstr">
      <vt:lpstr>Portada</vt:lpstr>
      <vt:lpstr>Indice</vt:lpstr>
      <vt:lpstr>Hipótesis</vt:lpstr>
      <vt:lpstr>Proy. ventas</vt:lpstr>
      <vt:lpstr>Anexo capacidad operativa</vt:lpstr>
      <vt:lpstr>Mod. ingresos</vt:lpstr>
      <vt:lpstr>Costos fijos</vt:lpstr>
      <vt:lpstr>Costos variables</vt:lpstr>
      <vt:lpstr>Costos RRHH</vt:lpstr>
      <vt:lpstr>Mod. egresos</vt:lpstr>
      <vt:lpstr>Mod. inversión</vt:lpstr>
      <vt:lpstr>Amortizaciones</vt:lpstr>
      <vt:lpstr>Presupuesto financiero</vt:lpstr>
      <vt:lpstr>Matriz riesgo</vt:lpstr>
      <vt:lpstr>Escenario 1</vt:lpstr>
      <vt:lpstr>Escenario 2</vt:lpstr>
      <vt:lpstr>Escenario 3</vt:lpstr>
      <vt:lpstr>Plan de contingencia</vt:lpstr>
      <vt:lpstr>Hoja auxiliar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Analía</dc:creator>
  <cp:lastModifiedBy>Roberto Piombi</cp:lastModifiedBy>
  <dcterms:created xsi:type="dcterms:W3CDTF">2019-08-27T12:23:32Z</dcterms:created>
  <dcterms:modified xsi:type="dcterms:W3CDTF">2021-01-18T16:02:46Z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e6ec04e2-c8fa-4551-8fa2-23c19de93189</vt:lpwstr>
  </property>
</Properties>
</file>