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H:\Projects-1\"/>
    </mc:Choice>
  </mc:AlternateContent>
  <xr:revisionPtr revIDLastSave="0" documentId="13_ncr:1_{DE635BAA-550E-4FD0-A97E-B0049904A5F7}" xr6:coauthVersionLast="47" xr6:coauthVersionMax="47" xr10:uidLastSave="{00000000-0000-0000-0000-000000000000}"/>
  <bookViews>
    <workbookView xWindow="21480" yWindow="12660" windowWidth="29040" windowHeight="15840" xr2:uid="{00000000-000D-0000-FFFF-FFFF00000000}"/>
  </bookViews>
  <sheets>
    <sheet name="Instructions" sheetId="27" r:id="rId1"/>
    <sheet name="Executive Summary" sheetId="18" r:id="rId2"/>
    <sheet name="Sales Summary" sheetId="25" r:id="rId3"/>
    <sheet name="General Mgr" sheetId="19" r:id="rId4"/>
    <sheet name="Engineer" sheetId="3" r:id="rId5"/>
    <sheet name="Dir of Sales" sheetId="10" r:id="rId6"/>
    <sheet name="Sales Candice" sheetId="16" r:id="rId7"/>
    <sheet name="Sales Keyli" sheetId="21" r:id="rId8"/>
    <sheet name="Sales Rachel" sheetId="20" r:id="rId9"/>
    <sheet name="Sales Carrie" sheetId="22" r:id="rId10"/>
    <sheet name="Sales 5" sheetId="23" state="hidden" r:id="rId11"/>
    <sheet name="Exec Chef" sheetId="6" r:id="rId12"/>
    <sheet name="Outlets Mgr." sheetId="11" r:id="rId13"/>
    <sheet name="HR Director" sheetId="26" r:id="rId14"/>
  </sheets>
  <definedNames>
    <definedName name="gatekeeper_threshold">'Executive Summary'!$E$23:$F$26</definedName>
    <definedName name="_xlnm.Print_Area" localSheetId="5">'Dir of Sales'!$B$1:$J$40</definedName>
    <definedName name="_xlnm.Print_Area" localSheetId="4">Engineer!$B$1:$J$45</definedName>
    <definedName name="_xlnm.Print_Area" localSheetId="11">'Exec Chef'!$B$1:$K$53</definedName>
    <definedName name="_xlnm.Print_Area" localSheetId="3">'General Mgr'!$B$1:$J$46</definedName>
    <definedName name="_xlnm.Print_Area" localSheetId="13">'HR Director'!$B$1:$J$39</definedName>
    <definedName name="_xlnm.Print_Area" localSheetId="12">'Outlets Mgr.'!$B$1:$K$53</definedName>
    <definedName name="_xlnm.Print_Area" localSheetId="10">'Sales 5'!$A$1:$I$43</definedName>
    <definedName name="_xlnm.Print_Area" localSheetId="6">'Sales Candice'!$B$1:$J$39</definedName>
    <definedName name="_xlnm.Print_Area" localSheetId="9">'Sales Carrie'!$B$1:$J$39</definedName>
    <definedName name="_xlnm.Print_Area" localSheetId="7">'Sales Keyli'!$B$1:$J$39</definedName>
    <definedName name="_xlnm.Print_Area" localSheetId="8">'Sales Rachel'!$B$1:$J$39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8" l="1"/>
  <c r="C13" i="18"/>
  <c r="C12" i="18"/>
  <c r="C11" i="18"/>
  <c r="C9" i="18"/>
  <c r="C10" i="18"/>
  <c r="C8" i="18"/>
  <c r="C7" i="18"/>
  <c r="C6" i="18"/>
  <c r="C5" i="18"/>
  <c r="F19" i="26"/>
  <c r="C14" i="26"/>
  <c r="F13" i="26" s="1"/>
  <c r="F34" i="26"/>
  <c r="C28" i="26"/>
  <c r="F27" i="26" s="1"/>
  <c r="C21" i="26"/>
  <c r="F20" i="26" s="1"/>
  <c r="C5" i="26"/>
  <c r="D4" i="26"/>
  <c r="E4" i="26" s="1"/>
  <c r="F33" i="26" s="1"/>
  <c r="C5" i="11"/>
  <c r="C5" i="6"/>
  <c r="C34" i="22"/>
  <c r="C33" i="22"/>
  <c r="C27" i="22"/>
  <c r="C26" i="22"/>
  <c r="C20" i="22"/>
  <c r="C19" i="22"/>
  <c r="C13" i="22"/>
  <c r="C12" i="22"/>
  <c r="C5" i="22"/>
  <c r="C5" i="20"/>
  <c r="C5" i="21"/>
  <c r="C5" i="16"/>
  <c r="C5" i="10"/>
  <c r="C5" i="3"/>
  <c r="C5" i="19"/>
  <c r="C34" i="20"/>
  <c r="C33" i="20"/>
  <c r="C27" i="20"/>
  <c r="C26" i="20"/>
  <c r="C20" i="20"/>
  <c r="C19" i="20"/>
  <c r="C13" i="20"/>
  <c r="C12" i="20"/>
  <c r="C34" i="21"/>
  <c r="C33" i="21"/>
  <c r="C27" i="21"/>
  <c r="C26" i="21"/>
  <c r="C20" i="21"/>
  <c r="C19" i="21"/>
  <c r="C13" i="21"/>
  <c r="C12" i="21"/>
  <c r="C34" i="16"/>
  <c r="C33" i="16"/>
  <c r="C27" i="16"/>
  <c r="C26" i="16"/>
  <c r="C20" i="16"/>
  <c r="C19" i="16"/>
  <c r="C13" i="16"/>
  <c r="C12" i="16"/>
  <c r="G19" i="25"/>
  <c r="C35" i="10"/>
  <c r="C34" i="10"/>
  <c r="C28" i="10"/>
  <c r="C27" i="10"/>
  <c r="C20" i="10"/>
  <c r="C19" i="10"/>
  <c r="G13" i="25"/>
  <c r="C13" i="10"/>
  <c r="C12" i="10"/>
  <c r="D4" i="19"/>
  <c r="E4" i="19" s="1"/>
  <c r="F12" i="26" l="1"/>
  <c r="F26" i="26"/>
  <c r="C41" i="6"/>
  <c r="C40" i="6"/>
  <c r="C41" i="11" l="1"/>
  <c r="C40" i="11"/>
  <c r="C19" i="11"/>
  <c r="C18" i="11"/>
  <c r="D31" i="11"/>
  <c r="D32" i="11" s="1"/>
  <c r="C31" i="11"/>
  <c r="D31" i="6"/>
  <c r="D32" i="6" s="1"/>
  <c r="C31" i="6"/>
  <c r="C19" i="6"/>
  <c r="C18" i="6"/>
  <c r="C35" i="3"/>
  <c r="C32" i="11" l="1"/>
  <c r="C32" i="6"/>
  <c r="C33" i="6" s="1"/>
  <c r="C13" i="11"/>
  <c r="C13" i="6"/>
  <c r="B39" i="23"/>
  <c r="B40" i="23" s="1"/>
  <c r="E38" i="23" s="1"/>
  <c r="B32" i="23"/>
  <c r="B33" i="23" s="1"/>
  <c r="E31" i="23" s="1"/>
  <c r="B25" i="23"/>
  <c r="B26" i="23" s="1"/>
  <c r="E24" i="23" s="1"/>
  <c r="B18" i="23"/>
  <c r="B19" i="23" s="1"/>
  <c r="E17" i="23" s="1"/>
  <c r="C4" i="23"/>
  <c r="D4" i="23" s="1"/>
  <c r="C35" i="22"/>
  <c r="C36" i="22" s="1"/>
  <c r="F34" i="22" s="1"/>
  <c r="C28" i="22"/>
  <c r="C29" i="22" s="1"/>
  <c r="F27" i="22" s="1"/>
  <c r="C21" i="22"/>
  <c r="C22" i="22" s="1"/>
  <c r="F20" i="22" s="1"/>
  <c r="C14" i="22"/>
  <c r="C15" i="22" s="1"/>
  <c r="F13" i="22" s="1"/>
  <c r="D4" i="22"/>
  <c r="E4" i="22" s="1"/>
  <c r="F26" i="22" s="1"/>
  <c r="C35" i="21"/>
  <c r="C36" i="21" s="1"/>
  <c r="F34" i="21" s="1"/>
  <c r="C28" i="21"/>
  <c r="C29" i="21" s="1"/>
  <c r="F27" i="21" s="1"/>
  <c r="C21" i="21"/>
  <c r="C22" i="21" s="1"/>
  <c r="F20" i="21" s="1"/>
  <c r="C14" i="21"/>
  <c r="C15" i="21" s="1"/>
  <c r="F13" i="21" s="1"/>
  <c r="D4" i="21"/>
  <c r="E4" i="21" s="1"/>
  <c r="F19" i="21" s="1"/>
  <c r="C35" i="20"/>
  <c r="C36" i="20" s="1"/>
  <c r="F34" i="20" s="1"/>
  <c r="C28" i="20"/>
  <c r="C29" i="20" s="1"/>
  <c r="F27" i="20" s="1"/>
  <c r="C21" i="20"/>
  <c r="C22" i="20" s="1"/>
  <c r="F20" i="20" s="1"/>
  <c r="C14" i="20"/>
  <c r="C15" i="20" s="1"/>
  <c r="F13" i="20" s="1"/>
  <c r="D4" i="20"/>
  <c r="E4" i="20" s="1"/>
  <c r="F12" i="20" s="1"/>
  <c r="F18" i="19"/>
  <c r="I25" i="19"/>
  <c r="I24" i="19"/>
  <c r="E20" i="18" l="1"/>
  <c r="C7" i="26" s="1"/>
  <c r="E23" i="23"/>
  <c r="E16" i="23"/>
  <c r="E37" i="23"/>
  <c r="E30" i="23"/>
  <c r="F26" i="21"/>
  <c r="F33" i="21"/>
  <c r="F12" i="21"/>
  <c r="F19" i="20"/>
  <c r="F26" i="20"/>
  <c r="F33" i="20"/>
  <c r="F33" i="22"/>
  <c r="F12" i="22"/>
  <c r="F15" i="22" s="1"/>
  <c r="F19" i="22"/>
  <c r="B12" i="23"/>
  <c r="D10" i="23" s="1"/>
  <c r="E39" i="23" s="1"/>
  <c r="F35" i="26" l="1"/>
  <c r="F36" i="26" s="1"/>
  <c r="F28" i="26"/>
  <c r="F29" i="26" s="1"/>
  <c r="F21" i="26"/>
  <c r="F22" i="26" s="1"/>
  <c r="F14" i="26"/>
  <c r="F15" i="26" s="1"/>
  <c r="C7" i="11"/>
  <c r="C7" i="6"/>
  <c r="C7" i="21"/>
  <c r="F21" i="21" s="1"/>
  <c r="F22" i="21" s="1"/>
  <c r="C7" i="20"/>
  <c r="F21" i="20" s="1"/>
  <c r="F22" i="20" s="1"/>
  <c r="C7" i="22"/>
  <c r="F35" i="22" s="1"/>
  <c r="F36" i="22" s="1"/>
  <c r="C7" i="10"/>
  <c r="C7" i="16"/>
  <c r="C7" i="19"/>
  <c r="C8" i="3"/>
  <c r="E40" i="23"/>
  <c r="E25" i="23"/>
  <c r="E26" i="23" s="1"/>
  <c r="E32" i="23"/>
  <c r="E33" i="23" s="1"/>
  <c r="E18" i="23"/>
  <c r="E19" i="23" s="1"/>
  <c r="C41" i="3"/>
  <c r="C39" i="3"/>
  <c r="C33" i="3"/>
  <c r="C19" i="3"/>
  <c r="C12" i="3"/>
  <c r="C49" i="11"/>
  <c r="C49" i="6"/>
  <c r="C43" i="19"/>
  <c r="C38" i="19"/>
  <c r="C44" i="19" s="1"/>
  <c r="F35" i="19" s="1"/>
  <c r="C31" i="19"/>
  <c r="F29" i="19" s="1"/>
  <c r="C25" i="19"/>
  <c r="F24" i="19" s="1"/>
  <c r="C14" i="19"/>
  <c r="F12" i="19" s="1"/>
  <c r="F39" i="26" l="1"/>
  <c r="D14" i="18" s="1"/>
  <c r="F14" i="18" s="1"/>
  <c r="F28" i="20"/>
  <c r="F29" i="20" s="1"/>
  <c r="F28" i="21"/>
  <c r="F29" i="21" s="1"/>
  <c r="F14" i="20"/>
  <c r="F15" i="20" s="1"/>
  <c r="F35" i="21"/>
  <c r="F36" i="21" s="1"/>
  <c r="F14" i="21"/>
  <c r="F15" i="21" s="1"/>
  <c r="F39" i="21" s="1"/>
  <c r="D10" i="18" s="1"/>
  <c r="F10" i="18" s="1"/>
  <c r="F21" i="22"/>
  <c r="F22" i="22" s="1"/>
  <c r="F28" i="22"/>
  <c r="F29" i="22" s="1"/>
  <c r="F14" i="22"/>
  <c r="F35" i="20"/>
  <c r="F36" i="20" s="1"/>
  <c r="F34" i="19"/>
  <c r="F28" i="19"/>
  <c r="F17" i="19"/>
  <c r="F11" i="19"/>
  <c r="E43" i="23"/>
  <c r="G33" i="11"/>
  <c r="G19" i="11"/>
  <c r="G13" i="11"/>
  <c r="G41" i="11"/>
  <c r="G49" i="11"/>
  <c r="G41" i="6"/>
  <c r="G33" i="6"/>
  <c r="G20" i="6"/>
  <c r="G49" i="6"/>
  <c r="G13" i="6"/>
  <c r="F14" i="16"/>
  <c r="F35" i="16"/>
  <c r="F28" i="16"/>
  <c r="F21" i="16"/>
  <c r="F21" i="10"/>
  <c r="F14" i="10"/>
  <c r="F36" i="10"/>
  <c r="F29" i="10"/>
  <c r="F21" i="3"/>
  <c r="F41" i="3"/>
  <c r="F15" i="3"/>
  <c r="F28" i="3"/>
  <c r="F35" i="3"/>
  <c r="F36" i="19"/>
  <c r="F30" i="19"/>
  <c r="F19" i="19"/>
  <c r="F13" i="19"/>
  <c r="F39" i="22" l="1"/>
  <c r="F39" i="20"/>
  <c r="D13" i="18" s="1"/>
  <c r="F13" i="18" s="1"/>
  <c r="F20" i="19"/>
  <c r="F31" i="19"/>
  <c r="F37" i="19"/>
  <c r="F14" i="19"/>
  <c r="C14" i="16"/>
  <c r="C15" i="16" s="1"/>
  <c r="D8" i="18" l="1"/>
  <c r="F8" i="18" s="1"/>
  <c r="F46" i="19"/>
  <c r="C35" i="16"/>
  <c r="C36" i="16" s="1"/>
  <c r="C28" i="16"/>
  <c r="C21" i="16"/>
  <c r="D12" i="18" l="1"/>
  <c r="F12" i="18" s="1"/>
  <c r="C29" i="16"/>
  <c r="F27" i="16" s="1"/>
  <c r="C22" i="16"/>
  <c r="F20" i="16" s="1"/>
  <c r="F34" i="16"/>
  <c r="F13" i="16"/>
  <c r="D4" i="16"/>
  <c r="E4" i="16" s="1"/>
  <c r="C29" i="3"/>
  <c r="C30" i="3" s="1"/>
  <c r="C22" i="3"/>
  <c r="C23" i="3" s="1"/>
  <c r="E12" i="18" l="1"/>
  <c r="F12" i="16"/>
  <c r="F15" i="16" s="1"/>
  <c r="F33" i="16"/>
  <c r="F26" i="16"/>
  <c r="F19" i="16"/>
  <c r="F22" i="16" s="1"/>
  <c r="F29" i="16"/>
  <c r="F36" i="16"/>
  <c r="G48" i="11"/>
  <c r="C42" i="11"/>
  <c r="C33" i="11"/>
  <c r="G32" i="11" s="1"/>
  <c r="C20" i="11"/>
  <c r="C21" i="11" s="1"/>
  <c r="G12" i="11"/>
  <c r="D4" i="11"/>
  <c r="E4" i="11" s="1"/>
  <c r="G48" i="6"/>
  <c r="C42" i="6"/>
  <c r="C20" i="6"/>
  <c r="C21" i="6" s="1"/>
  <c r="D4" i="6"/>
  <c r="E4" i="6" s="1"/>
  <c r="G32" i="6"/>
  <c r="C36" i="10"/>
  <c r="C29" i="10"/>
  <c r="C30" i="10" s="1"/>
  <c r="F28" i="10" s="1"/>
  <c r="C21" i="10"/>
  <c r="C14" i="10"/>
  <c r="D4" i="10"/>
  <c r="F34" i="3"/>
  <c r="F40" i="3"/>
  <c r="F27" i="3"/>
  <c r="F20" i="3"/>
  <c r="C15" i="3"/>
  <c r="C16" i="3" s="1"/>
  <c r="G47" i="11" l="1"/>
  <c r="G39" i="11"/>
  <c r="G31" i="11"/>
  <c r="G34" i="11" s="1"/>
  <c r="G17" i="11"/>
  <c r="G11" i="11"/>
  <c r="G14" i="11" s="1"/>
  <c r="G47" i="6"/>
  <c r="G50" i="6" s="1"/>
  <c r="G39" i="6"/>
  <c r="G31" i="6"/>
  <c r="G34" i="6" s="1"/>
  <c r="G18" i="6"/>
  <c r="G11" i="6"/>
  <c r="G50" i="11"/>
  <c r="C43" i="11"/>
  <c r="G40" i="11" s="1"/>
  <c r="G42" i="11" s="1"/>
  <c r="C15" i="10"/>
  <c r="F13" i="10" s="1"/>
  <c r="C22" i="10"/>
  <c r="F20" i="10" s="1"/>
  <c r="C43" i="6"/>
  <c r="G40" i="6" s="1"/>
  <c r="G42" i="6" s="1"/>
  <c r="C37" i="10"/>
  <c r="F35" i="10" s="1"/>
  <c r="E4" i="10"/>
  <c r="G19" i="6"/>
  <c r="F14" i="3"/>
  <c r="G18" i="11"/>
  <c r="F39" i="16"/>
  <c r="D7" i="18" s="1"/>
  <c r="F7" i="18" s="1"/>
  <c r="G21" i="6" l="1"/>
  <c r="G20" i="11"/>
  <c r="G53" i="11" s="1"/>
  <c r="D11" i="18" s="1"/>
  <c r="F27" i="10"/>
  <c r="F30" i="10" s="1"/>
  <c r="F19" i="10"/>
  <c r="F22" i="10" s="1"/>
  <c r="F12" i="10"/>
  <c r="F15" i="10" s="1"/>
  <c r="F34" i="10"/>
  <c r="F37" i="10" s="1"/>
  <c r="E10" i="18"/>
  <c r="E7" i="18"/>
  <c r="E14" i="18"/>
  <c r="D4" i="3"/>
  <c r="E4" i="3" s="1"/>
  <c r="G12" i="6"/>
  <c r="G14" i="6" s="1"/>
  <c r="E11" i="18" l="1"/>
  <c r="F11" i="18"/>
  <c r="F39" i="3"/>
  <c r="F42" i="3" s="1"/>
  <c r="F13" i="3"/>
  <c r="F16" i="3" s="1"/>
  <c r="F33" i="3"/>
  <c r="F36" i="3" s="1"/>
  <c r="F26" i="3"/>
  <c r="F29" i="3" s="1"/>
  <c r="F19" i="3"/>
  <c r="F22" i="3" s="1"/>
  <c r="F40" i="10"/>
  <c r="D9" i="18" s="1"/>
  <c r="F9" i="18" s="1"/>
  <c r="G53" i="6"/>
  <c r="E8" i="18"/>
  <c r="D5" i="18" l="1"/>
  <c r="F45" i="3"/>
  <c r="D6" i="18" s="1"/>
  <c r="F6" i="18" s="1"/>
  <c r="E9" i="18"/>
  <c r="C15" i="18"/>
  <c r="E13" i="18"/>
  <c r="E5" i="18" l="1"/>
  <c r="F5" i="18"/>
  <c r="E6" i="18"/>
  <c r="F15" i="18" l="1"/>
  <c r="E15" i="18"/>
  <c r="D15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tc={D49C5DB8-A739-4E51-A7F5-849F1D55F481}</author>
  </authors>
  <commentList>
    <comment ref="D8" authorId="0" shapeId="0" xr:uid="{D49C5DB8-A739-4E51-A7F5-849F1D55F481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 the *0 when she is eligible.</t>
      </text>
    </comment>
  </commentList>
</comments>
</file>

<file path=xl/sharedStrings.xml><?xml version="1.0" encoding="utf-8"?>
<sst xmlns="http://schemas.openxmlformats.org/spreadsheetml/2006/main" count="829" uniqueCount="195">
  <si>
    <t>Budget</t>
  </si>
  <si>
    <t>Actual</t>
  </si>
  <si>
    <t>Salt Scores</t>
  </si>
  <si>
    <t>Quality Audit</t>
  </si>
  <si>
    <t>Score</t>
  </si>
  <si>
    <t>Earned Bonus</t>
  </si>
  <si>
    <t>Percentage Earned</t>
  </si>
  <si>
    <t>Bonus %</t>
  </si>
  <si>
    <t>Max. Bonus</t>
  </si>
  <si>
    <t>Earned Percentage</t>
  </si>
  <si>
    <t>Bonus Score</t>
  </si>
  <si>
    <t>Total Bonus</t>
  </si>
  <si>
    <t>Labor</t>
  </si>
  <si>
    <t>Percentage</t>
  </si>
  <si>
    <t>Bonus Potential</t>
  </si>
  <si>
    <t>Utilities</t>
  </si>
  <si>
    <t>Engineer</t>
  </si>
  <si>
    <t>Salary</t>
  </si>
  <si>
    <t>Controllables</t>
  </si>
  <si>
    <t>Sales Team</t>
  </si>
  <si>
    <t>Max Bonus</t>
  </si>
  <si>
    <t>Rev. Par Index</t>
  </si>
  <si>
    <t>Rooms- RevPar</t>
  </si>
  <si>
    <t xml:space="preserve">Budget </t>
  </si>
  <si>
    <t>Controllables.</t>
  </si>
  <si>
    <t xml:space="preserve">Salary </t>
  </si>
  <si>
    <t xml:space="preserve">Bi Annual </t>
  </si>
  <si>
    <t>GOP</t>
  </si>
  <si>
    <t>Flow-Thru</t>
  </si>
  <si>
    <t>Gross Revenue</t>
  </si>
  <si>
    <t>Difference</t>
  </si>
  <si>
    <t>Ecosure Inspection</t>
  </si>
  <si>
    <t>Group &amp; BT</t>
  </si>
  <si>
    <t>Catering Sales</t>
  </si>
  <si>
    <t>Group ADR</t>
  </si>
  <si>
    <t>Exceeding Mkt. Share</t>
  </si>
  <si>
    <t>Catering  Team Sales</t>
  </si>
  <si>
    <t>Bi- Annual</t>
  </si>
  <si>
    <t>Dir. Of Sales</t>
  </si>
  <si>
    <t>Outlets Mgr.</t>
  </si>
  <si>
    <t>Chef is scored off all outlets and banquets</t>
  </si>
  <si>
    <t>Bi Annual</t>
  </si>
  <si>
    <t xml:space="preserve">Food  </t>
  </si>
  <si>
    <t>Beverage</t>
  </si>
  <si>
    <t>Consolidated Score</t>
  </si>
  <si>
    <t>Outlets Manager is scored only on Outlets</t>
  </si>
  <si>
    <t>General Manager</t>
  </si>
  <si>
    <t>Exec Chef</t>
  </si>
  <si>
    <t>Alejandro Diaz</t>
  </si>
  <si>
    <t>Providence</t>
  </si>
  <si>
    <t>Bill Vorbeck</t>
  </si>
  <si>
    <t>Employee</t>
  </si>
  <si>
    <t>Bonus Earned</t>
  </si>
  <si>
    <t xml:space="preserve">Bonus Potential </t>
  </si>
  <si>
    <t xml:space="preserve">Alejandro Diaz </t>
  </si>
  <si>
    <t>Unrealized Bonus</t>
  </si>
  <si>
    <t>6 Month Salary + Bonus</t>
  </si>
  <si>
    <t xml:space="preserve">Labor = </t>
  </si>
  <si>
    <t xml:space="preserve">Labor ratio = </t>
  </si>
  <si>
    <t>Prov Kitchen Supervisor, Exec Chef, Sous Chef, Grill Cook</t>
  </si>
  <si>
    <t>Walnut Room</t>
  </si>
  <si>
    <t>Dishwasher Attendant, exec chef, Grill Cook</t>
  </si>
  <si>
    <t>Banquet</t>
  </si>
  <si>
    <t>Banq Kitchen Supervisor, dishwasher attendant, exec chef, sous chef, grill cooks</t>
  </si>
  <si>
    <t>IRD</t>
  </si>
  <si>
    <t>Grill Cook</t>
  </si>
  <si>
    <t>back of house labor / total revenue</t>
  </si>
  <si>
    <t xml:space="preserve">Controllables = </t>
  </si>
  <si>
    <t>all FB operating expenses (all departments)</t>
  </si>
  <si>
    <t>front of house less banquets / total revenue less banquets</t>
  </si>
  <si>
    <t>Rest. Management, Rest. Supervisor, greeter, server, bartender</t>
  </si>
  <si>
    <t>Rest. Management, bus person, servers, host</t>
  </si>
  <si>
    <t>Coffee Shop</t>
  </si>
  <si>
    <t>Attendant</t>
  </si>
  <si>
    <t>Server</t>
  </si>
  <si>
    <t>Controllables =</t>
  </si>
  <si>
    <t>all operating expenses less banquets / total revenue less banquets</t>
  </si>
  <si>
    <t>Totals</t>
  </si>
  <si>
    <t>Date Ending</t>
  </si>
  <si>
    <t>GOP Gatekeeper</t>
  </si>
  <si>
    <t xml:space="preserve">Gatekeeper Multiplier </t>
  </si>
  <si>
    <t>0-94.99%</t>
  </si>
  <si>
    <t>95.00-99.99%</t>
  </si>
  <si>
    <t>100%+</t>
  </si>
  <si>
    <t>Bonus Potential is limited by the GOP gatekeeper modifier per management</t>
  </si>
  <si>
    <t>0-96.99%</t>
  </si>
  <si>
    <t>97-100.99%</t>
  </si>
  <si>
    <t>101-105</t>
  </si>
  <si>
    <t>105%+</t>
  </si>
  <si>
    <t>0-62.99</t>
  </si>
  <si>
    <t>63-66.99</t>
  </si>
  <si>
    <t>67-100</t>
  </si>
  <si>
    <t>0-87.99</t>
  </si>
  <si>
    <t>88-93.99</t>
  </si>
  <si>
    <t>Dollar Value Earned</t>
  </si>
  <si>
    <t>94+</t>
  </si>
  <si>
    <t>Total Hotel Revenue</t>
  </si>
  <si>
    <t>0-97.99</t>
  </si>
  <si>
    <t>98-100.99</t>
  </si>
  <si>
    <t>101-105%</t>
  </si>
  <si>
    <t>0-39.99%</t>
  </si>
  <si>
    <t>40-49.99%</t>
  </si>
  <si>
    <t>50%+</t>
  </si>
  <si>
    <t>Total Bonus Earned</t>
  </si>
  <si>
    <t>&gt;105%</t>
  </si>
  <si>
    <t>101%-105%</t>
  </si>
  <si>
    <t>&gt;100%</t>
  </si>
  <si>
    <t>98%-100%</t>
  </si>
  <si>
    <t>&lt;98%</t>
  </si>
  <si>
    <t>67+</t>
  </si>
  <si>
    <t>F &amp; B Cost (COGS/Rev)</t>
  </si>
  <si>
    <t>Beverage 40%</t>
  </si>
  <si>
    <t>&lt;19%</t>
  </si>
  <si>
    <t>19-20.5%</t>
  </si>
  <si>
    <t>&gt;20.5%</t>
  </si>
  <si>
    <t>Food 60%</t>
  </si>
  <si>
    <t>&gt;31.5%</t>
  </si>
  <si>
    <t>30%-31.5%</t>
  </si>
  <si>
    <t>&lt;30%</t>
  </si>
  <si>
    <t>&lt;80</t>
  </si>
  <si>
    <t>80-89.99</t>
  </si>
  <si>
    <t>90+</t>
  </si>
  <si>
    <t>98-100%</t>
  </si>
  <si>
    <t>0-79.99</t>
  </si>
  <si>
    <t>Yes</t>
  </si>
  <si>
    <t>No</t>
  </si>
  <si>
    <t>Was there a QA during the period?</t>
  </si>
  <si>
    <t># of QA events expected for Calendar Year</t>
  </si>
  <si>
    <t>***KPI weights update depending on QA event</t>
  </si>
  <si>
    <t>***Weighted [Food Score * 0.6 +Beverage Score * 0.4]</t>
  </si>
  <si>
    <t>***Payable once annually. Not subject to Gatekeeper as of 02/22/19</t>
  </si>
  <si>
    <t>Gatekeeper</t>
  </si>
  <si>
    <t>Salt Score - Overall Exp</t>
  </si>
  <si>
    <t>GOP Gatekeeper for the period</t>
  </si>
  <si>
    <t>Manager Bonus Assessment : 6 month</t>
  </si>
  <si>
    <t>Flow-Thru % of excess profit (Values must beat budget for non-zero value)</t>
  </si>
  <si>
    <t>Comp Set</t>
  </si>
  <si>
    <t>***Note: uses EOM May data Star report</t>
  </si>
  <si>
    <t>Danica Tolen</t>
  </si>
  <si>
    <t>Robert Herschede</t>
  </si>
  <si>
    <t>Keyli Kamin</t>
  </si>
  <si>
    <t>Candice Barton</t>
  </si>
  <si>
    <t>Matt Mccormack</t>
  </si>
  <si>
    <t xml:space="preserve"> </t>
  </si>
  <si>
    <t>Candice</t>
  </si>
  <si>
    <t>Carrie</t>
  </si>
  <si>
    <t>NOT ELIGBLE until 2nd half of 2022</t>
  </si>
  <si>
    <t>Rachel Kelly</t>
  </si>
  <si>
    <t>Matt McCormack</t>
  </si>
  <si>
    <t>Philip Strnad</t>
  </si>
  <si>
    <t>Thresholds</t>
  </si>
  <si>
    <t>Multiplier</t>
  </si>
  <si>
    <t>Period:  01/01/2022-06/30/2022</t>
  </si>
  <si>
    <t>As of: 06/15/2022</t>
  </si>
  <si>
    <t>GOP Performance</t>
  </si>
  <si>
    <t>Controllables. (Sales Director)</t>
  </si>
  <si>
    <t>Sales Metrics</t>
  </si>
  <si>
    <t>0-32.999</t>
  </si>
  <si>
    <t>33-34.000</t>
  </si>
  <si>
    <t>34.001-35.000</t>
  </si>
  <si>
    <t>35.001+</t>
  </si>
  <si>
    <t>HR Director</t>
  </si>
  <si>
    <t>Robert H.</t>
  </si>
  <si>
    <t>Cost Per Hire</t>
  </si>
  <si>
    <t>Recuitment Expense</t>
  </si>
  <si>
    <t>Total Hires</t>
  </si>
  <si>
    <t>Cost per Hire</t>
  </si>
  <si>
    <t>METRICS NEEDED</t>
  </si>
  <si>
    <t>Turnover Rate</t>
  </si>
  <si>
    <t># of Separations</t>
  </si>
  <si>
    <t># of EE's (Start of Period)</t>
  </si>
  <si>
    <t>Time to Fill</t>
  </si>
  <si>
    <t>Number of Roles to fill</t>
  </si>
  <si>
    <t>Sum time to fill: Days</t>
  </si>
  <si>
    <t>Avg time to fill: Days / Role</t>
  </si>
  <si>
    <t>Training</t>
  </si>
  <si>
    <t>QA Training Score</t>
  </si>
  <si>
    <t>Turnover rate</t>
  </si>
  <si>
    <t>Eligible?</t>
  </si>
  <si>
    <t>START HERE</t>
  </si>
  <si>
    <t>At all times, the only cells that should be changed are filled in gray</t>
  </si>
  <si>
    <t>The sheet is left unprotected to provide for updates in the future</t>
  </si>
  <si>
    <t>On Executive Summary Page</t>
  </si>
  <si>
    <t>Fill in the GOP % and the date in the boxes provided</t>
  </si>
  <si>
    <t>Ensure the thresholds are still valid</t>
  </si>
  <si>
    <t xml:space="preserve">There is a vlookup that calculates the gatekeeper and flows to ALL sheets. </t>
  </si>
  <si>
    <t>trigger the next step in the gatekeeper</t>
  </si>
  <si>
    <t>To alter the threshold, the threshold value should be the FIRST VALUE that would</t>
  </si>
  <si>
    <t>On Sales Summary Page</t>
  </si>
  <si>
    <t>Fill in required metrics in boxes provided</t>
  </si>
  <si>
    <t>This will filter down to all sales sheets</t>
  </si>
  <si>
    <t>For the rest of the sheets</t>
  </si>
  <si>
    <t>Associates with unique metrics will have their boxes shaded gray, prompting</t>
  </si>
  <si>
    <t>for a value to be manually entered.</t>
  </si>
  <si>
    <t xml:space="preserve">Rev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</si>
</sst>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0.0%"/>
    <numFmt numFmtId="165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0" applyNumberFormat="0" applyBorder="0" applyAlignment="0" applyProtection="0"/>
  </cellStyleXfs>
  <cellXfs count="318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9" xfId="0" applyFont="1" applyFill="1" applyBorder="1"/>
    <xf numFmtId="0" fontId="8" fillId="0" borderId="0" xfId="0" applyFont="1"/>
    <xf numFmtId="0" fontId="2" fillId="0" borderId="0" xfId="0" applyFont="1" applyFill="1" applyBorder="1" applyProtection="1">
      <protection locked="0"/>
    </xf>
    <xf numFmtId="0" fontId="0" fillId="0" borderId="0" xfId="0" applyFont="1" applyFill="1" applyBorder="1" applyProtection="1">
      <protection locked="0"/>
    </xf>
    <xf numFmtId="0" fontId="0" fillId="0" borderId="0" xfId="0" applyFill="1"/>
    <xf numFmtId="0" fontId="8" fillId="0" borderId="0" xfId="0" applyFont="1" applyFill="1"/>
    <xf numFmtId="0" fontId="0" fillId="0" borderId="0" xfId="0" applyFill="1" applyProtection="1">
      <protection locked="0"/>
    </xf>
    <xf numFmtId="0" fontId="8" fillId="0" borderId="0" xfId="0" applyFont="1" applyFill="1" applyBorder="1"/>
    <xf numFmtId="0" fontId="0" fillId="0" borderId="8" xfId="0" applyFont="1" applyBorder="1" applyAlignment="1">
      <alignment vertical="top"/>
    </xf>
    <xf numFmtId="44" fontId="0" fillId="0" borderId="8" xfId="0" applyNumberFormat="1" applyFont="1" applyBorder="1" applyAlignment="1">
      <alignment vertical="top"/>
    </xf>
    <xf numFmtId="0" fontId="0" fillId="0" borderId="8" xfId="0" applyFill="1" applyBorder="1"/>
    <xf numFmtId="44" fontId="0" fillId="0" borderId="8" xfId="0" applyNumberFormat="1" applyFill="1" applyBorder="1"/>
    <xf numFmtId="44" fontId="0" fillId="0" borderId="8" xfId="1" applyFont="1" applyFill="1" applyBorder="1"/>
    <xf numFmtId="0" fontId="0" fillId="0" borderId="8" xfId="0" applyBorder="1"/>
    <xf numFmtId="44" fontId="0" fillId="0" borderId="8" xfId="0" applyNumberFormat="1" applyBorder="1"/>
    <xf numFmtId="44" fontId="2" fillId="0" borderId="0" xfId="0" applyNumberFormat="1" applyFont="1"/>
    <xf numFmtId="44" fontId="2" fillId="0" borderId="0" xfId="1" applyFont="1" applyFill="1"/>
    <xf numFmtId="0" fontId="0" fillId="0" borderId="8" xfId="0" applyFont="1" applyFill="1" applyBorder="1"/>
    <xf numFmtId="0" fontId="6" fillId="0" borderId="0" xfId="0" applyFont="1" applyFill="1"/>
    <xf numFmtId="0" fontId="3" fillId="0" borderId="0" xfId="0" applyFont="1" applyFill="1"/>
    <xf numFmtId="0" fontId="2" fillId="0" borderId="0" xfId="0" applyFont="1" applyFill="1"/>
    <xf numFmtId="0" fontId="9" fillId="0" borderId="0" xfId="0" applyFont="1" applyFill="1" applyAlignment="1">
      <alignment horizontal="center"/>
    </xf>
    <xf numFmtId="44" fontId="2" fillId="0" borderId="0" xfId="0" applyNumberFormat="1" applyFont="1" applyFill="1" applyBorder="1"/>
    <xf numFmtId="0" fontId="0" fillId="0" borderId="0" xfId="0" applyFill="1" applyAlignment="1">
      <alignment horizontal="center"/>
    </xf>
    <xf numFmtId="0" fontId="9" fillId="0" borderId="0" xfId="0" applyFont="1" applyFill="1"/>
    <xf numFmtId="0" fontId="7" fillId="0" borderId="0" xfId="0" applyFont="1" applyFill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2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Border="1" applyProtection="1"/>
    <xf numFmtId="0" fontId="0" fillId="0" borderId="0" xfId="0" applyFont="1" applyFill="1" applyProtection="1">
      <protection locked="0"/>
    </xf>
    <xf numFmtId="0" fontId="0" fillId="0" borderId="0" xfId="0" applyFill="1" applyBorder="1" applyProtection="1">
      <protection locked="0"/>
    </xf>
    <xf numFmtId="44" fontId="0" fillId="0" borderId="8" xfId="0" applyNumberFormat="1" applyFont="1" applyFill="1" applyBorder="1" applyProtection="1"/>
    <xf numFmtId="9" fontId="0" fillId="0" borderId="8" xfId="0" applyNumberFormat="1" applyFont="1" applyFill="1" applyBorder="1" applyProtection="1"/>
    <xf numFmtId="0" fontId="0" fillId="0" borderId="8" xfId="0" applyFont="1" applyFill="1" applyBorder="1" applyProtection="1"/>
    <xf numFmtId="44" fontId="2" fillId="0" borderId="0" xfId="1" applyFont="1" applyFill="1" applyBorder="1" applyProtection="1"/>
    <xf numFmtId="0" fontId="3" fillId="0" borderId="0" xfId="0" applyFont="1" applyFill="1" applyProtection="1">
      <protection locked="0"/>
    </xf>
    <xf numFmtId="0" fontId="4" fillId="0" borderId="0" xfId="0" applyFont="1" applyFill="1"/>
    <xf numFmtId="44" fontId="0" fillId="0" borderId="8" xfId="0" applyNumberFormat="1" applyFont="1" applyFill="1" applyBorder="1" applyAlignment="1">
      <alignment horizontal="center"/>
    </xf>
    <xf numFmtId="9" fontId="0" fillId="0" borderId="8" xfId="0" applyNumberFormat="1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9" fontId="0" fillId="0" borderId="8" xfId="2" applyFont="1" applyFill="1" applyBorder="1" applyAlignment="1">
      <alignment horizontal="center"/>
    </xf>
    <xf numFmtId="9" fontId="0" fillId="0" borderId="8" xfId="2" applyFont="1" applyFill="1" applyBorder="1"/>
    <xf numFmtId="9" fontId="0" fillId="0" borderId="8" xfId="0" applyNumberFormat="1" applyFill="1" applyBorder="1" applyAlignment="1">
      <alignment horizontal="center"/>
    </xf>
    <xf numFmtId="44" fontId="0" fillId="0" borderId="8" xfId="0" applyNumberFormat="1" applyFill="1" applyBorder="1" applyAlignment="1">
      <alignment horizontal="center"/>
    </xf>
    <xf numFmtId="0" fontId="0" fillId="0" borderId="13" xfId="0" applyFont="1" applyFill="1" applyBorder="1"/>
    <xf numFmtId="0" fontId="11" fillId="0" borderId="0" xfId="0" applyFont="1" applyFill="1"/>
    <xf numFmtId="0" fontId="10" fillId="0" borderId="0" xfId="0" applyFont="1" applyFill="1"/>
    <xf numFmtId="0" fontId="12" fillId="0" borderId="2" xfId="0" applyFont="1" applyFill="1" applyBorder="1"/>
    <xf numFmtId="9" fontId="0" fillId="0" borderId="0" xfId="0" applyNumberFormat="1" applyFont="1" applyFill="1" applyBorder="1"/>
    <xf numFmtId="0" fontId="0" fillId="3" borderId="9" xfId="0" applyFont="1" applyFill="1" applyBorder="1"/>
    <xf numFmtId="44" fontId="1" fillId="3" borderId="8" xfId="1" applyFont="1" applyFill="1" applyBorder="1"/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right"/>
    </xf>
    <xf numFmtId="0" fontId="10" fillId="0" borderId="0" xfId="0" applyFont="1" applyFill="1" applyBorder="1"/>
    <xf numFmtId="0" fontId="0" fillId="0" borderId="5" xfId="0" applyFont="1" applyFill="1" applyBorder="1"/>
    <xf numFmtId="44" fontId="1" fillId="0" borderId="15" xfId="1" applyFont="1" applyFill="1" applyBorder="1" applyProtection="1">
      <protection locked="0"/>
    </xf>
    <xf numFmtId="0" fontId="0" fillId="0" borderId="15" xfId="0" applyFont="1" applyFill="1" applyBorder="1"/>
    <xf numFmtId="0" fontId="0" fillId="0" borderId="15" xfId="0" applyFont="1" applyFill="1" applyBorder="1" applyAlignment="1">
      <alignment horizontal="right"/>
    </xf>
    <xf numFmtId="44" fontId="1" fillId="0" borderId="15" xfId="1" applyFont="1" applyFill="1" applyBorder="1"/>
    <xf numFmtId="9" fontId="1" fillId="0" borderId="6" xfId="2" applyFont="1" applyFill="1" applyBorder="1"/>
    <xf numFmtId="9" fontId="1" fillId="0" borderId="8" xfId="2" applyFont="1" applyFill="1" applyBorder="1" applyAlignment="1">
      <alignment horizontal="right"/>
    </xf>
    <xf numFmtId="9" fontId="1" fillId="0" borderId="0" xfId="2" applyFont="1" applyFill="1" applyBorder="1"/>
    <xf numFmtId="9" fontId="1" fillId="4" borderId="3" xfId="2" applyFont="1" applyFill="1" applyBorder="1"/>
    <xf numFmtId="44" fontId="0" fillId="0" borderId="8" xfId="0" applyNumberFormat="1" applyFont="1" applyFill="1" applyBorder="1" applyAlignment="1">
      <alignment horizontal="right"/>
    </xf>
    <xf numFmtId="9" fontId="1" fillId="2" borderId="3" xfId="2" applyFont="1" applyFill="1" applyBorder="1"/>
    <xf numFmtId="9" fontId="1" fillId="5" borderId="3" xfId="2" applyFont="1" applyFill="1" applyBorder="1"/>
    <xf numFmtId="9" fontId="1" fillId="6" borderId="3" xfId="2" applyFont="1" applyFill="1" applyBorder="1"/>
    <xf numFmtId="0" fontId="13" fillId="0" borderId="4" xfId="0" applyFont="1" applyFill="1" applyBorder="1"/>
    <xf numFmtId="9" fontId="13" fillId="0" borderId="7" xfId="2" applyFont="1" applyFill="1" applyBorder="1" applyAlignment="1">
      <alignment horizontal="center"/>
    </xf>
    <xf numFmtId="0" fontId="13" fillId="0" borderId="7" xfId="0" applyFont="1" applyFill="1" applyBorder="1"/>
    <xf numFmtId="0" fontId="0" fillId="0" borderId="7" xfId="0" applyFont="1" applyFill="1" applyBorder="1" applyAlignment="1">
      <alignment horizontal="right"/>
    </xf>
    <xf numFmtId="0" fontId="0" fillId="0" borderId="7" xfId="0" applyFont="1" applyFill="1" applyBorder="1"/>
    <xf numFmtId="0" fontId="0" fillId="0" borderId="16" xfId="0" applyFont="1" applyFill="1" applyBorder="1"/>
    <xf numFmtId="0" fontId="0" fillId="0" borderId="3" xfId="0" applyFont="1" applyFill="1" applyBorder="1"/>
    <xf numFmtId="0" fontId="0" fillId="7" borderId="0" xfId="0" applyFont="1" applyFill="1"/>
    <xf numFmtId="0" fontId="0" fillId="3" borderId="8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3" borderId="8" xfId="0" applyFont="1" applyFill="1" applyBorder="1" applyAlignment="1">
      <alignment vertical="center"/>
    </xf>
    <xf numFmtId="44" fontId="1" fillId="0" borderId="8" xfId="1" applyFont="1" applyFill="1" applyBorder="1" applyAlignment="1">
      <alignment horizontal="right"/>
    </xf>
    <xf numFmtId="44" fontId="1" fillId="3" borderId="8" xfId="1" applyFont="1" applyFill="1" applyBorder="1" applyProtection="1">
      <protection locked="0"/>
    </xf>
    <xf numFmtId="9" fontId="1" fillId="0" borderId="15" xfId="2" applyFont="1" applyFill="1" applyBorder="1" applyAlignment="1">
      <alignment horizontal="center"/>
    </xf>
    <xf numFmtId="10" fontId="1" fillId="0" borderId="7" xfId="2" applyNumberFormat="1" applyFont="1" applyFill="1" applyBorder="1"/>
    <xf numFmtId="44" fontId="0" fillId="0" borderId="7" xfId="0" applyNumberFormat="1" applyFont="1" applyFill="1" applyBorder="1" applyAlignment="1">
      <alignment horizontal="right"/>
    </xf>
    <xf numFmtId="9" fontId="1" fillId="0" borderId="7" xfId="2" applyFont="1" applyFill="1" applyBorder="1"/>
    <xf numFmtId="9" fontId="1" fillId="0" borderId="16" xfId="2" applyFont="1" applyFill="1" applyBorder="1"/>
    <xf numFmtId="9" fontId="0" fillId="0" borderId="8" xfId="0" applyNumberFormat="1" applyFont="1" applyFill="1" applyBorder="1" applyAlignment="1">
      <alignment horizontal="right"/>
    </xf>
    <xf numFmtId="9" fontId="0" fillId="0" borderId="0" xfId="2" applyFont="1" applyFill="1" applyBorder="1"/>
    <xf numFmtId="14" fontId="0" fillId="0" borderId="0" xfId="0" applyNumberFormat="1" applyFill="1" applyBorder="1"/>
    <xf numFmtId="44" fontId="1" fillId="0" borderId="8" xfId="1" applyFont="1" applyFill="1" applyBorder="1"/>
    <xf numFmtId="10" fontId="1" fillId="0" borderId="8" xfId="2" applyNumberFormat="1" applyFont="1" applyFill="1" applyBorder="1"/>
    <xf numFmtId="44" fontId="2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44" fontId="2" fillId="0" borderId="0" xfId="1" applyFont="1" applyFill="1" applyBorder="1" applyProtection="1">
      <protection locked="0"/>
    </xf>
    <xf numFmtId="44" fontId="2" fillId="0" borderId="0" xfId="0" applyNumberFormat="1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44" fontId="1" fillId="0" borderId="0" xfId="1" applyFont="1" applyFill="1" applyBorder="1" applyProtection="1">
      <protection locked="0"/>
    </xf>
    <xf numFmtId="44" fontId="1" fillId="0" borderId="8" xfId="1" applyFont="1" applyFill="1" applyBorder="1" applyProtection="1">
      <protection locked="0"/>
    </xf>
    <xf numFmtId="0" fontId="10" fillId="0" borderId="15" xfId="0" applyFont="1" applyFill="1" applyBorder="1"/>
    <xf numFmtId="0" fontId="0" fillId="0" borderId="6" xfId="0" applyFill="1" applyBorder="1"/>
    <xf numFmtId="0" fontId="11" fillId="0" borderId="0" xfId="0" applyFont="1" applyFill="1" applyBorder="1" applyAlignment="1">
      <alignment horizontal="left"/>
    </xf>
    <xf numFmtId="0" fontId="0" fillId="0" borderId="3" xfId="0" applyFill="1" applyBorder="1"/>
    <xf numFmtId="0" fontId="0" fillId="0" borderId="7" xfId="0" applyFont="1" applyFill="1" applyBorder="1" applyAlignment="1">
      <alignment horizontal="center" wrapText="1"/>
    </xf>
    <xf numFmtId="0" fontId="10" fillId="0" borderId="7" xfId="0" applyFont="1" applyFill="1" applyBorder="1"/>
    <xf numFmtId="0" fontId="0" fillId="0" borderId="16" xfId="0" applyFill="1" applyBorder="1"/>
    <xf numFmtId="0" fontId="0" fillId="0" borderId="5" xfId="0" applyFill="1" applyBorder="1" applyProtection="1">
      <protection locked="0"/>
    </xf>
    <xf numFmtId="0" fontId="0" fillId="0" borderId="15" xfId="0" applyFill="1" applyBorder="1" applyProtection="1">
      <protection locked="0"/>
    </xf>
    <xf numFmtId="0" fontId="0" fillId="0" borderId="15" xfId="0" applyFill="1" applyBorder="1"/>
    <xf numFmtId="0" fontId="0" fillId="0" borderId="4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7" xfId="0" applyFill="1" applyBorder="1" applyProtection="1"/>
    <xf numFmtId="0" fontId="0" fillId="0" borderId="7" xfId="0" applyFill="1" applyBorder="1"/>
    <xf numFmtId="0" fontId="0" fillId="0" borderId="15" xfId="0" applyFill="1" applyBorder="1" applyProtection="1"/>
    <xf numFmtId="0" fontId="0" fillId="0" borderId="7" xfId="0" applyFont="1" applyFill="1" applyBorder="1" applyProtection="1">
      <protection locked="0"/>
    </xf>
    <xf numFmtId="44" fontId="2" fillId="0" borderId="7" xfId="1" applyFont="1" applyFill="1" applyBorder="1" applyProtection="1"/>
    <xf numFmtId="0" fontId="0" fillId="0" borderId="15" xfId="0" applyFont="1" applyFill="1" applyBorder="1" applyProtection="1"/>
    <xf numFmtId="0" fontId="5" fillId="0" borderId="4" xfId="0" applyFont="1" applyFill="1" applyBorder="1" applyProtection="1">
      <protection locked="0"/>
    </xf>
    <xf numFmtId="0" fontId="3" fillId="0" borderId="7" xfId="0" applyFont="1" applyFill="1" applyBorder="1" applyProtection="1">
      <protection locked="0"/>
    </xf>
    <xf numFmtId="44" fontId="0" fillId="0" borderId="7" xfId="0" applyNumberFormat="1" applyFill="1" applyBorder="1" applyProtection="1"/>
    <xf numFmtId="44" fontId="0" fillId="0" borderId="8" xfId="0" applyNumberFormat="1" applyFill="1" applyBorder="1" applyProtection="1"/>
    <xf numFmtId="9" fontId="0" fillId="0" borderId="8" xfId="0" applyNumberFormat="1" applyFill="1" applyBorder="1" applyProtection="1"/>
    <xf numFmtId="0" fontId="0" fillId="0" borderId="2" xfId="0" applyFont="1" applyFill="1" applyBorder="1" applyProtection="1">
      <protection locked="0"/>
    </xf>
    <xf numFmtId="0" fontId="0" fillId="3" borderId="9" xfId="0" applyFont="1" applyFill="1" applyBorder="1" applyProtection="1">
      <protection locked="0"/>
    </xf>
    <xf numFmtId="9" fontId="1" fillId="0" borderId="0" xfId="2" applyFont="1" applyFill="1" applyBorder="1" applyAlignment="1">
      <alignment horizontal="right"/>
    </xf>
    <xf numFmtId="9" fontId="0" fillId="0" borderId="0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center"/>
    </xf>
    <xf numFmtId="44" fontId="1" fillId="0" borderId="8" xfId="1" applyFont="1" applyFill="1" applyBorder="1" applyAlignment="1">
      <alignment horizontal="center"/>
    </xf>
    <xf numFmtId="44" fontId="1" fillId="0" borderId="12" xfId="1" applyFont="1" applyFill="1" applyBorder="1" applyAlignment="1">
      <alignment horizontal="center"/>
    </xf>
    <xf numFmtId="0" fontId="0" fillId="0" borderId="5" xfId="0" applyFill="1" applyBorder="1"/>
    <xf numFmtId="14" fontId="0" fillId="0" borderId="15" xfId="0" applyNumberFormat="1" applyFill="1" applyBorder="1"/>
    <xf numFmtId="44" fontId="2" fillId="0" borderId="15" xfId="0" applyNumberFormat="1" applyFont="1" applyFill="1" applyBorder="1"/>
    <xf numFmtId="0" fontId="5" fillId="0" borderId="4" xfId="0" applyFont="1" applyFill="1" applyBorder="1" applyAlignment="1"/>
    <xf numFmtId="0" fontId="2" fillId="0" borderId="7" xfId="0" applyFont="1" applyFill="1" applyBorder="1"/>
    <xf numFmtId="44" fontId="0" fillId="0" borderId="7" xfId="0" applyNumberForma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5" fillId="0" borderId="4" xfId="0" applyFont="1" applyFill="1" applyBorder="1"/>
    <xf numFmtId="9" fontId="0" fillId="0" borderId="7" xfId="2" applyFont="1" applyFill="1" applyBorder="1"/>
    <xf numFmtId="9" fontId="0" fillId="0" borderId="15" xfId="2" applyFont="1" applyFill="1" applyBorder="1"/>
    <xf numFmtId="0" fontId="0" fillId="0" borderId="7" xfId="0" applyFont="1" applyFill="1" applyBorder="1" applyProtection="1"/>
    <xf numFmtId="0" fontId="0" fillId="0" borderId="0" xfId="0" applyFont="1" applyFill="1" applyBorder="1" applyProtection="1"/>
    <xf numFmtId="0" fontId="3" fillId="0" borderId="7" xfId="0" applyFont="1" applyFill="1" applyBorder="1" applyProtection="1"/>
    <xf numFmtId="44" fontId="1" fillId="0" borderId="13" xfId="1" applyFont="1" applyFill="1" applyBorder="1" applyProtection="1">
      <protection locked="0"/>
    </xf>
    <xf numFmtId="0" fontId="0" fillId="3" borderId="8" xfId="0" applyFont="1" applyFill="1" applyBorder="1" applyAlignment="1">
      <alignment horizontal="center"/>
    </xf>
    <xf numFmtId="44" fontId="1" fillId="3" borderId="8" xfId="1" applyFont="1" applyFill="1" applyBorder="1" applyAlignment="1">
      <alignment horizontal="center"/>
    </xf>
    <xf numFmtId="0" fontId="0" fillId="0" borderId="15" xfId="0" applyFont="1" applyFill="1" applyBorder="1" applyProtection="1">
      <protection locked="0"/>
    </xf>
    <xf numFmtId="9" fontId="0" fillId="0" borderId="0" xfId="0" applyNumberFormat="1" applyFont="1" applyFill="1" applyBorder="1" applyProtection="1"/>
    <xf numFmtId="0" fontId="0" fillId="0" borderId="2" xfId="0" applyFont="1" applyFill="1" applyBorder="1" applyAlignment="1" applyProtection="1">
      <alignment horizontal="left"/>
      <protection locked="0"/>
    </xf>
    <xf numFmtId="0" fontId="0" fillId="0" borderId="4" xfId="0" applyFont="1" applyFill="1" applyBorder="1" applyProtection="1">
      <protection locked="0"/>
    </xf>
    <xf numFmtId="0" fontId="0" fillId="0" borderId="5" xfId="0" applyFont="1" applyFill="1" applyBorder="1" applyProtection="1">
      <protection locked="0"/>
    </xf>
    <xf numFmtId="14" fontId="0" fillId="0" borderId="0" xfId="0" applyNumberFormat="1" applyFont="1" applyFill="1" applyBorder="1" applyAlignment="1">
      <alignment horizontal="center"/>
    </xf>
    <xf numFmtId="44" fontId="2" fillId="0" borderId="15" xfId="0" applyNumberFormat="1" applyFont="1" applyFill="1" applyBorder="1" applyAlignment="1">
      <alignment horizontal="center"/>
    </xf>
    <xf numFmtId="44" fontId="0" fillId="0" borderId="7" xfId="0" applyNumberFormat="1" applyFont="1" applyFill="1" applyBorder="1"/>
    <xf numFmtId="44" fontId="0" fillId="0" borderId="15" xfId="0" applyNumberFormat="1" applyFont="1" applyFill="1" applyBorder="1"/>
    <xf numFmtId="9" fontId="0" fillId="0" borderId="0" xfId="0" applyNumberFormat="1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44" fontId="0" fillId="0" borderId="12" xfId="0" applyNumberFormat="1" applyFont="1" applyFill="1" applyBorder="1" applyAlignment="1">
      <alignment horizontal="center"/>
    </xf>
    <xf numFmtId="44" fontId="0" fillId="0" borderId="0" xfId="0" applyNumberFormat="1" applyFont="1" applyFill="1" applyBorder="1"/>
    <xf numFmtId="44" fontId="0" fillId="0" borderId="0" xfId="0" applyNumberFormat="1" applyFont="1" applyFill="1" applyBorder="1" applyAlignment="1">
      <alignment horizontal="center"/>
    </xf>
    <xf numFmtId="44" fontId="1" fillId="0" borderId="0" xfId="1" applyFont="1" applyFill="1" applyBorder="1" applyAlignment="1">
      <alignment horizontal="center"/>
    </xf>
    <xf numFmtId="9" fontId="1" fillId="0" borderId="8" xfId="2" applyFont="1" applyFill="1" applyBorder="1" applyAlignment="1">
      <alignment horizontal="center"/>
    </xf>
    <xf numFmtId="9" fontId="1" fillId="0" borderId="8" xfId="2" applyFont="1" applyFill="1" applyBorder="1" applyAlignment="1" applyProtection="1">
      <alignment horizontal="center"/>
      <protection locked="0"/>
    </xf>
    <xf numFmtId="44" fontId="0" fillId="0" borderId="8" xfId="0" applyNumberFormat="1" applyFont="1" applyFill="1" applyBorder="1"/>
    <xf numFmtId="44" fontId="0" fillId="0" borderId="8" xfId="1" applyFont="1" applyFill="1" applyBorder="1" applyAlignment="1">
      <alignment horizontal="left"/>
    </xf>
    <xf numFmtId="44" fontId="0" fillId="0" borderId="0" xfId="1" applyFont="1" applyFill="1" applyBorder="1" applyAlignment="1">
      <alignment horizontal="left"/>
    </xf>
    <xf numFmtId="9" fontId="0" fillId="4" borderId="3" xfId="2" applyFont="1" applyFill="1" applyBorder="1"/>
    <xf numFmtId="9" fontId="0" fillId="2" borderId="3" xfId="2" applyFont="1" applyFill="1" applyBorder="1"/>
    <xf numFmtId="9" fontId="0" fillId="5" borderId="3" xfId="2" applyFont="1" applyFill="1" applyBorder="1"/>
    <xf numFmtId="9" fontId="0" fillId="6" borderId="3" xfId="2" applyFont="1" applyFill="1" applyBorder="1"/>
    <xf numFmtId="0" fontId="6" fillId="0" borderId="0" xfId="0" applyFont="1" applyFill="1" applyProtection="1">
      <protection locked="0"/>
    </xf>
    <xf numFmtId="0" fontId="6" fillId="0" borderId="0" xfId="0" applyFont="1" applyFill="1" applyAlignment="1">
      <alignment horizontal="left"/>
    </xf>
    <xf numFmtId="9" fontId="0" fillId="0" borderId="0" xfId="0" applyNumberFormat="1" applyFont="1" applyFill="1" applyBorder="1" applyProtection="1">
      <protection locked="0"/>
    </xf>
    <xf numFmtId="44" fontId="0" fillId="0" borderId="0" xfId="0" applyNumberFormat="1" applyFont="1" applyFill="1" applyBorder="1" applyProtection="1">
      <protection locked="0"/>
    </xf>
    <xf numFmtId="14" fontId="0" fillId="3" borderId="8" xfId="0" applyNumberFormat="1" applyFill="1" applyBorder="1"/>
    <xf numFmtId="0" fontId="0" fillId="0" borderId="8" xfId="0" applyFont="1" applyFill="1" applyBorder="1" applyAlignment="1">
      <alignment wrapText="1"/>
    </xf>
    <xf numFmtId="0" fontId="0" fillId="0" borderId="10" xfId="0" applyFont="1" applyFill="1" applyBorder="1" applyAlignment="1">
      <alignment wrapText="1"/>
    </xf>
    <xf numFmtId="9" fontId="1" fillId="0" borderId="11" xfId="2" applyFont="1" applyFill="1" applyBorder="1"/>
    <xf numFmtId="0" fontId="0" fillId="0" borderId="8" xfId="0" applyFont="1" applyFill="1" applyBorder="1" applyAlignment="1" applyProtection="1">
      <alignment horizontal="center"/>
      <protection locked="0"/>
    </xf>
    <xf numFmtId="44" fontId="0" fillId="0" borderId="8" xfId="0" applyNumberFormat="1" applyFont="1" applyFill="1" applyBorder="1" applyProtection="1">
      <protection locked="0"/>
    </xf>
    <xf numFmtId="0" fontId="0" fillId="0" borderId="9" xfId="0" applyFont="1" applyFill="1" applyBorder="1" applyProtection="1">
      <protection locked="0"/>
    </xf>
    <xf numFmtId="9" fontId="1" fillId="0" borderId="8" xfId="2" applyNumberFormat="1" applyFont="1" applyFill="1" applyBorder="1" applyAlignment="1">
      <alignment horizontal="center"/>
    </xf>
    <xf numFmtId="44" fontId="1" fillId="0" borderId="8" xfId="1" applyNumberFormat="1" applyFont="1" applyFill="1" applyBorder="1" applyAlignment="1">
      <alignment horizontal="center"/>
    </xf>
    <xf numFmtId="44" fontId="1" fillId="0" borderId="0" xfId="1" applyFont="1" applyFill="1" applyBorder="1"/>
    <xf numFmtId="0" fontId="0" fillId="0" borderId="17" xfId="0" applyFont="1" applyFill="1" applyBorder="1"/>
    <xf numFmtId="0" fontId="0" fillId="0" borderId="14" xfId="0" applyFont="1" applyFill="1" applyBorder="1"/>
    <xf numFmtId="9" fontId="0" fillId="0" borderId="14" xfId="0" applyNumberFormat="1" applyFont="1" applyFill="1" applyBorder="1"/>
    <xf numFmtId="164" fontId="1" fillId="0" borderId="8" xfId="2" applyNumberFormat="1" applyFont="1" applyFill="1" applyBorder="1" applyAlignment="1">
      <alignment horizontal="center"/>
    </xf>
    <xf numFmtId="9" fontId="1" fillId="0" borderId="8" xfId="2" applyFont="1" applyFill="1" applyBorder="1" applyProtection="1">
      <protection locked="0"/>
    </xf>
    <xf numFmtId="0" fontId="8" fillId="0" borderId="2" xfId="0" applyFont="1" applyFill="1" applyBorder="1"/>
    <xf numFmtId="0" fontId="8" fillId="0" borderId="4" xfId="0" applyFont="1" applyFill="1" applyBorder="1"/>
    <xf numFmtId="0" fontId="8" fillId="0" borderId="7" xfId="0" applyFont="1" applyFill="1" applyBorder="1"/>
    <xf numFmtId="0" fontId="8" fillId="0" borderId="5" xfId="0" applyFont="1" applyFill="1" applyBorder="1"/>
    <xf numFmtId="0" fontId="8" fillId="0" borderId="15" xfId="0" applyFont="1" applyFill="1" applyBorder="1"/>
    <xf numFmtId="9" fontId="0" fillId="0" borderId="2" xfId="0" applyNumberFormat="1" applyFont="1" applyFill="1" applyBorder="1"/>
    <xf numFmtId="0" fontId="0" fillId="0" borderId="7" xfId="0" applyFont="1" applyFill="1" applyBorder="1" applyAlignment="1">
      <alignment horizontal="center"/>
    </xf>
    <xf numFmtId="3" fontId="0" fillId="0" borderId="0" xfId="0" applyNumberFormat="1" applyFont="1" applyFill="1" applyBorder="1"/>
    <xf numFmtId="10" fontId="1" fillId="3" borderId="8" xfId="2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0" xfId="0" applyFont="1"/>
    <xf numFmtId="0" fontId="0" fillId="0" borderId="18" xfId="0" applyFont="1" applyFill="1" applyBorder="1" applyAlignment="1">
      <alignment horizontal="center"/>
    </xf>
    <xf numFmtId="44" fontId="1" fillId="0" borderId="15" xfId="1" applyFont="1" applyFill="1" applyBorder="1" applyAlignment="1">
      <alignment horizontal="center"/>
    </xf>
    <xf numFmtId="44" fontId="0" fillId="0" borderId="15" xfId="0" applyNumberFormat="1" applyFont="1" applyFill="1" applyBorder="1" applyAlignment="1">
      <alignment horizontal="center"/>
    </xf>
    <xf numFmtId="0" fontId="0" fillId="0" borderId="0" xfId="0" applyFont="1" applyBorder="1"/>
    <xf numFmtId="0" fontId="0" fillId="0" borderId="7" xfId="0" applyFont="1" applyBorder="1"/>
    <xf numFmtId="0" fontId="0" fillId="0" borderId="15" xfId="0" applyFont="1" applyBorder="1"/>
    <xf numFmtId="9" fontId="0" fillId="0" borderId="0" xfId="0" applyNumberFormat="1" applyFont="1" applyBorder="1"/>
    <xf numFmtId="9" fontId="0" fillId="0" borderId="7" xfId="0" applyNumberFormat="1" applyFont="1" applyFill="1" applyBorder="1"/>
    <xf numFmtId="9" fontId="0" fillId="0" borderId="8" xfId="2" applyFont="1" applyFill="1" applyBorder="1" applyProtection="1">
      <protection locked="0"/>
    </xf>
    <xf numFmtId="10" fontId="0" fillId="3" borderId="8" xfId="2" applyNumberFormat="1" applyFont="1" applyFill="1" applyBorder="1" applyAlignment="1">
      <alignment horizontal="center"/>
    </xf>
    <xf numFmtId="9" fontId="0" fillId="0" borderId="18" xfId="2" applyFont="1" applyFill="1" applyBorder="1" applyProtection="1">
      <protection locked="0"/>
    </xf>
    <xf numFmtId="9" fontId="0" fillId="0" borderId="16" xfId="2" applyFont="1" applyFill="1" applyBorder="1"/>
    <xf numFmtId="0" fontId="8" fillId="0" borderId="0" xfId="0" applyFont="1" applyBorder="1"/>
    <xf numFmtId="44" fontId="0" fillId="0" borderId="13" xfId="1" applyFont="1" applyFill="1" applyBorder="1" applyAlignment="1">
      <alignment horizontal="left"/>
    </xf>
    <xf numFmtId="0" fontId="0" fillId="0" borderId="2" xfId="0" applyFont="1" applyFill="1" applyBorder="1" applyAlignment="1">
      <alignment horizontal="left" wrapText="1"/>
    </xf>
    <xf numFmtId="0" fontId="0" fillId="3" borderId="8" xfId="0" applyFont="1" applyFill="1" applyBorder="1" applyProtection="1">
      <protection locked="0"/>
    </xf>
    <xf numFmtId="44" fontId="0" fillId="0" borderId="8" xfId="1" applyNumberFormat="1" applyFont="1" applyBorder="1" applyAlignment="1">
      <alignment vertical="top" wrapText="1"/>
    </xf>
    <xf numFmtId="44" fontId="0" fillId="0" borderId="8" xfId="1" applyNumberFormat="1" applyFont="1" applyFill="1" applyBorder="1"/>
    <xf numFmtId="44" fontId="0" fillId="0" borderId="8" xfId="1" applyNumberFormat="1" applyFont="1" applyBorder="1"/>
    <xf numFmtId="44" fontId="1" fillId="3" borderId="8" xfId="2" applyNumberFormat="1" applyFont="1" applyFill="1" applyBorder="1" applyAlignment="1">
      <alignment horizontal="center"/>
    </xf>
    <xf numFmtId="10" fontId="0" fillId="3" borderId="18" xfId="2" applyNumberFormat="1" applyFont="1" applyFill="1" applyBorder="1" applyAlignment="1">
      <alignment horizontal="center"/>
    </xf>
    <xf numFmtId="10" fontId="0" fillId="0" borderId="8" xfId="0" applyNumberFormat="1" applyFont="1" applyFill="1" applyBorder="1" applyAlignment="1">
      <alignment horizontal="center"/>
    </xf>
    <xf numFmtId="10" fontId="1" fillId="0" borderId="8" xfId="2" applyNumberFormat="1" applyFont="1" applyFill="1" applyBorder="1" applyProtection="1"/>
    <xf numFmtId="10" fontId="1" fillId="0" borderId="8" xfId="2" applyNumberFormat="1" applyFont="1" applyFill="1" applyBorder="1" applyAlignment="1">
      <alignment horizontal="center"/>
    </xf>
    <xf numFmtId="0" fontId="0" fillId="0" borderId="0" xfId="0" applyBorder="1"/>
    <xf numFmtId="44" fontId="0" fillId="0" borderId="0" xfId="0" applyNumberFormat="1" applyBorder="1"/>
    <xf numFmtId="0" fontId="0" fillId="0" borderId="7" xfId="0" applyBorder="1"/>
    <xf numFmtId="0" fontId="0" fillId="3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44" fontId="0" fillId="0" borderId="0" xfId="0" applyNumberFormat="1" applyFont="1" applyBorder="1"/>
    <xf numFmtId="0" fontId="0" fillId="0" borderId="0" xfId="0" applyAlignment="1">
      <alignment horizontal="center"/>
    </xf>
    <xf numFmtId="9" fontId="1" fillId="0" borderId="0" xfId="2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9" fontId="15" fillId="0" borderId="19" xfId="2" applyFont="1" applyBorder="1" applyAlignment="1">
      <alignment horizontal="center"/>
    </xf>
    <xf numFmtId="9" fontId="15" fillId="0" borderId="20" xfId="2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9" fontId="0" fillId="3" borderId="8" xfId="0" applyNumberFormat="1" applyFont="1" applyFill="1" applyBorder="1" applyAlignment="1">
      <alignment horizontal="center"/>
    </xf>
    <xf numFmtId="9" fontId="1" fillId="0" borderId="3" xfId="2" applyFont="1" applyFill="1" applyBorder="1"/>
    <xf numFmtId="9" fontId="0" fillId="3" borderId="8" xfId="0" applyNumberFormat="1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44" fontId="0" fillId="0" borderId="8" xfId="1" applyNumberFormat="1" applyFont="1" applyFill="1" applyBorder="1" applyAlignment="1">
      <alignment horizontal="right"/>
    </xf>
    <xf numFmtId="1" fontId="0" fillId="0" borderId="7" xfId="0" applyNumberFormat="1" applyFont="1" applyFill="1" applyBorder="1" applyAlignment="1">
      <alignment horizontal="right"/>
    </xf>
    <xf numFmtId="0" fontId="0" fillId="0" borderId="7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10" fontId="0" fillId="0" borderId="0" xfId="2" applyNumberFormat="1" applyFont="1"/>
    <xf numFmtId="0" fontId="0" fillId="3" borderId="0" xfId="0" applyFill="1"/>
    <xf numFmtId="44" fontId="0" fillId="3" borderId="0" xfId="0" applyNumberFormat="1" applyFill="1"/>
    <xf numFmtId="0" fontId="0" fillId="0" borderId="1" xfId="0" applyFont="1" applyFill="1" applyBorder="1"/>
    <xf numFmtId="9" fontId="0" fillId="0" borderId="21" xfId="2" applyFont="1" applyFill="1" applyBorder="1"/>
    <xf numFmtId="10" fontId="1" fillId="3" borderId="20" xfId="2" applyNumberFormat="1" applyFont="1" applyFill="1" applyBorder="1"/>
    <xf numFmtId="44" fontId="1" fillId="3" borderId="22" xfId="1" applyFont="1" applyFill="1" applyBorder="1" applyProtection="1">
      <protection locked="0"/>
    </xf>
    <xf numFmtId="0" fontId="1" fillId="8" borderId="0" xfId="3" applyBorder="1" applyAlignment="1">
      <alignment horizontal="center"/>
    </xf>
    <xf numFmtId="0" fontId="1" fillId="0" borderId="0" xfId="3" applyFill="1" applyBorder="1" applyAlignment="1"/>
    <xf numFmtId="0" fontId="0" fillId="8" borderId="0" xfId="3" applyFont="1" applyBorder="1" applyAlignment="1">
      <alignment horizontal="center"/>
    </xf>
    <xf numFmtId="0" fontId="0" fillId="0" borderId="2" xfId="0" applyFill="1" applyBorder="1"/>
    <xf numFmtId="44" fontId="0" fillId="0" borderId="8" xfId="0" applyNumberFormat="1" applyFill="1" applyBorder="1" applyAlignment="1">
      <alignment horizontal="right"/>
    </xf>
    <xf numFmtId="9" fontId="0" fillId="0" borderId="8" xfId="0" applyNumberFormat="1" applyFill="1" applyBorder="1" applyAlignment="1">
      <alignment horizontal="right"/>
    </xf>
    <xf numFmtId="44" fontId="0" fillId="0" borderId="7" xfId="0" applyNumberFormat="1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9" fontId="1" fillId="0" borderId="8" xfId="2" applyNumberFormat="1" applyFont="1" applyFill="1" applyBorder="1" applyAlignment="1">
      <alignment horizontal="right"/>
    </xf>
    <xf numFmtId="44" fontId="0" fillId="0" borderId="8" xfId="1" applyFont="1" applyFill="1" applyBorder="1" applyAlignment="1">
      <alignment horizontal="right"/>
    </xf>
    <xf numFmtId="10" fontId="0" fillId="0" borderId="8" xfId="2" applyNumberFormat="1" applyFont="1" applyFill="1" applyBorder="1" applyAlignment="1">
      <alignment horizontal="right"/>
    </xf>
    <xf numFmtId="9" fontId="0" fillId="0" borderId="8" xfId="2" applyFont="1" applyFill="1" applyBorder="1" applyAlignment="1">
      <alignment horizontal="right"/>
    </xf>
    <xf numFmtId="2" fontId="0" fillId="0" borderId="8" xfId="1" applyNumberFormat="1" applyFont="1" applyFill="1" applyBorder="1" applyAlignment="1">
      <alignment horizontal="right"/>
    </xf>
    <xf numFmtId="9" fontId="0" fillId="0" borderId="8" xfId="2" applyFont="1" applyFill="1" applyBorder="1" applyAlignment="1" applyProtection="1">
      <alignment horizontal="right"/>
      <protection locked="0"/>
    </xf>
    <xf numFmtId="10" fontId="1" fillId="0" borderId="8" xfId="2" applyNumberFormat="1" applyFont="1" applyFill="1" applyBorder="1" applyAlignment="1">
      <alignment horizontal="right"/>
    </xf>
    <xf numFmtId="0" fontId="0" fillId="0" borderId="19" xfId="0" applyBorder="1"/>
    <xf numFmtId="14" fontId="0" fillId="3" borderId="1" xfId="0" applyNumberFormat="1" applyFill="1" applyBorder="1"/>
    <xf numFmtId="14" fontId="0" fillId="0" borderId="13" xfId="0" applyNumberFormat="1" applyFont="1" applyFill="1" applyBorder="1"/>
    <xf numFmtId="14" fontId="0" fillId="0" borderId="13" xfId="0" applyNumberFormat="1" applyFont="1" applyFill="1" applyBorder="1" applyProtection="1">
      <protection locked="0"/>
    </xf>
    <xf numFmtId="14" fontId="0" fillId="0" borderId="8" xfId="0" applyNumberFormat="1" applyFont="1" applyFill="1" applyBorder="1" applyAlignment="1">
      <alignment horizontal="right"/>
    </xf>
    <xf numFmtId="14" fontId="0" fillId="0" borderId="8" xfId="0" applyNumberFormat="1" applyFill="1" applyBorder="1"/>
    <xf numFmtId="9" fontId="1" fillId="0" borderId="21" xfId="2" applyFont="1" applyFill="1" applyBorder="1"/>
    <xf numFmtId="0" fontId="10" fillId="0" borderId="7" xfId="0" applyFont="1" applyFill="1" applyBorder="1" applyAlignment="1">
      <alignment horizontal="center"/>
    </xf>
    <xf numFmtId="14" fontId="0" fillId="0" borderId="8" xfId="0" applyNumberFormat="1" applyFont="1" applyFill="1" applyBorder="1"/>
    <xf numFmtId="9" fontId="0" fillId="3" borderId="8" xfId="0" applyNumberFormat="1" applyFont="1" applyFill="1" applyBorder="1"/>
    <xf numFmtId="44" fontId="1" fillId="0" borderId="8" xfId="1" applyNumberFormat="1" applyFont="1" applyFill="1" applyBorder="1" applyAlignment="1">
      <alignment horizontal="right"/>
    </xf>
    <xf numFmtId="44" fontId="1" fillId="0" borderId="7" xfId="1" applyFont="1" applyFill="1" applyBorder="1" applyAlignment="1">
      <alignment horizontal="right"/>
    </xf>
    <xf numFmtId="0" fontId="0" fillId="3" borderId="8" xfId="0" applyFont="1" applyFill="1" applyBorder="1" applyAlignment="1">
      <alignment horizontal="right"/>
    </xf>
    <xf numFmtId="0" fontId="0" fillId="0" borderId="2" xfId="0" applyFont="1" applyBorder="1"/>
    <xf numFmtId="14" fontId="0" fillId="0" borderId="13" xfId="0" applyNumberFormat="1" applyFont="1" applyFill="1" applyBorder="1" applyAlignment="1">
      <alignment horizontal="right"/>
    </xf>
    <xf numFmtId="44" fontId="0" fillId="0" borderId="7" xfId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17" fillId="0" borderId="0" xfId="0" applyFont="1" applyBorder="1"/>
    <xf numFmtId="0" fontId="17" fillId="0" borderId="0" xfId="0" applyFont="1" applyFill="1" applyBorder="1"/>
    <xf numFmtId="165" fontId="0" fillId="3" borderId="8" xfId="2" applyNumberFormat="1" applyFont="1" applyFill="1" applyBorder="1" applyAlignment="1">
      <alignment horizontal="center" vertical="center"/>
    </xf>
    <xf numFmtId="9" fontId="0" fillId="3" borderId="8" xfId="0" applyNumberFormat="1" applyFont="1" applyFill="1" applyBorder="1" applyAlignment="1">
      <alignment horizontal="right" vertical="center"/>
    </xf>
    <xf numFmtId="44" fontId="1" fillId="0" borderId="8" xfId="2" applyNumberFormat="1" applyFont="1" applyFill="1" applyBorder="1" applyAlignment="1">
      <alignment horizontal="right"/>
    </xf>
    <xf numFmtId="44" fontId="1" fillId="3" borderId="8" xfId="1" applyFont="1" applyFill="1" applyBorder="1" applyAlignment="1">
      <alignment horizontal="right"/>
    </xf>
    <xf numFmtId="1" fontId="1" fillId="3" borderId="8" xfId="1" applyNumberFormat="1" applyFont="1" applyFill="1" applyBorder="1" applyAlignment="1">
      <alignment horizontal="right"/>
    </xf>
    <xf numFmtId="0" fontId="0" fillId="9" borderId="0" xfId="0" applyFill="1" applyBorder="1"/>
    <xf numFmtId="0" fontId="14" fillId="0" borderId="0" xfId="0" applyFont="1" applyFill="1"/>
    <xf numFmtId="9" fontId="1" fillId="3" borderId="8" xfId="2" applyFont="1" applyFill="1" applyBorder="1" applyAlignment="1">
      <alignment horizontal="right"/>
    </xf>
    <xf numFmtId="2" fontId="1" fillId="0" borderId="8" xfId="2" applyNumberFormat="1" applyFont="1" applyFill="1" applyBorder="1" applyAlignment="1">
      <alignment horizontal="right"/>
    </xf>
    <xf numFmtId="0" fontId="0" fillId="0" borderId="8" xfId="1" applyNumberFormat="1" applyFont="1" applyFill="1" applyBorder="1"/>
    <xf numFmtId="0" fontId="10" fillId="0" borderId="0" xfId="0" applyFont="1" applyBorder="1"/>
    <xf numFmtId="0" fontId="10" fillId="0" borderId="0" xfId="0" applyFont="1" applyBorder="1" applyAlignment="1">
      <alignment wrapText="1"/>
    </xf>
    <xf numFmtId="44" fontId="0" fillId="3" borderId="8" xfId="0" applyNumberFormat="1" applyFill="1" applyBorder="1"/>
    <xf numFmtId="0" fontId="2" fillId="0" borderId="0" xfId="0" applyFont="1" applyAlignment="1">
      <alignment horizontal="center" vertical="center"/>
    </xf>
    <xf numFmtId="0" fontId="13" fillId="3" borderId="0" xfId="0" applyFont="1" applyFill="1"/>
    <xf numFmtId="14" fontId="0" fillId="0" borderId="0" xfId="0" applyNumberFormat="1"/>
  </cellXfs>
  <cellStyles count="4">
    <cellStyle name="20% - Accent1" xfId="3" builtinId="30"/>
    <cellStyle name="Currency" xfId="1" builtinId="4"/>
    <cellStyle name="Normal" xfId="0" builtinId="0"/>
    <cellStyle name="Percent" xfId="2" builtinId="5"/>
  </cellStyles>
  <dxfs count="6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1" defaultTableStyle="TableStyleMedium2" defaultPivotStyle="PivotStyleLight16">
    <tableStyle name="Invisible" pivot="0" table="0" count="0" xr9:uid="{92958B6A-9B44-41D5-B7E2-0CD35ABE80B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bert Daniels" id="{577A4D98-DA5D-4E71-B635-11ED5773AD0E}" userId="S-1-5-21-2124160490-1251364264-1888396296-545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2-06-15T21:39:41.91" personId="{577A4D98-DA5D-4E71-B635-11ED5773AD0E}" id="{D49C5DB8-A739-4E51-A7F5-849F1D55F481}">
    <text>remove the *0 when she is eligible.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C4D59-6FAF-4206-8B5A-1B751689CDBE}">
  <sheetPr>
    <tabColor rgb="FF00B050"/>
    <pageSetUpPr fitToPage="1"/>
  </sheetPr>
  <dimension ref="B2:J29"/>
  <sheetViews>
    <sheetView showGridLines="0" tabSelected="1" workbookViewId="0">
      <selection activeCell="G33" sqref="G33"/>
    </sheetView>
  </sheetViews>
  <sheetFormatPr defaultRowHeight="15" x14ac:dyDescent="0.25"/>
  <cols>
    <col min="3" max="3" width="9.7109375" bestFit="1" customWidth="1"/>
  </cols>
  <sheetData>
    <row r="2" spans="2:10" ht="15.75" thickBot="1" x14ac:dyDescent="0.3">
      <c r="B2" s="234" t="s">
        <v>179</v>
      </c>
      <c r="C2" s="234"/>
      <c r="D2" s="234"/>
      <c r="E2" s="234"/>
      <c r="F2" s="234"/>
      <c r="G2" s="234"/>
      <c r="H2" s="234"/>
      <c r="I2" s="234"/>
      <c r="J2" s="234"/>
    </row>
    <row r="4" spans="2:10" ht="18.75" x14ac:dyDescent="0.3">
      <c r="B4" s="316" t="s">
        <v>180</v>
      </c>
      <c r="C4" s="316"/>
      <c r="D4" s="316"/>
      <c r="E4" s="316"/>
      <c r="F4" s="316"/>
      <c r="G4" s="316"/>
      <c r="H4" s="316"/>
      <c r="I4" s="261"/>
      <c r="J4" s="261"/>
    </row>
    <row r="5" spans="2:10" x14ac:dyDescent="0.25">
      <c r="B5" t="s">
        <v>181</v>
      </c>
    </row>
    <row r="8" spans="2:10" ht="15.75" thickBot="1" x14ac:dyDescent="0.3">
      <c r="B8" s="234" t="s">
        <v>182</v>
      </c>
      <c r="C8" s="234"/>
      <c r="D8" s="234"/>
      <c r="E8" s="234"/>
    </row>
    <row r="10" spans="2:10" x14ac:dyDescent="0.25">
      <c r="B10" t="s">
        <v>183</v>
      </c>
    </row>
    <row r="11" spans="2:10" x14ac:dyDescent="0.25">
      <c r="B11" t="s">
        <v>184</v>
      </c>
    </row>
    <row r="12" spans="2:10" x14ac:dyDescent="0.25">
      <c r="C12" t="s">
        <v>185</v>
      </c>
    </row>
    <row r="13" spans="2:10" x14ac:dyDescent="0.25">
      <c r="C13" t="s">
        <v>187</v>
      </c>
    </row>
    <row r="14" spans="2:10" x14ac:dyDescent="0.25">
      <c r="C14" t="s">
        <v>186</v>
      </c>
    </row>
    <row r="17" spans="2:5" ht="15.75" thickBot="1" x14ac:dyDescent="0.3">
      <c r="B17" s="234" t="s">
        <v>188</v>
      </c>
      <c r="C17" s="234"/>
      <c r="D17" s="234"/>
      <c r="E17" s="234"/>
    </row>
    <row r="19" spans="2:5" x14ac:dyDescent="0.25">
      <c r="B19" t="s">
        <v>189</v>
      </c>
    </row>
    <row r="20" spans="2:5" x14ac:dyDescent="0.25">
      <c r="B20" t="s">
        <v>190</v>
      </c>
    </row>
    <row r="23" spans="2:5" ht="15.75" thickBot="1" x14ac:dyDescent="0.3">
      <c r="B23" s="234" t="s">
        <v>191</v>
      </c>
      <c r="C23" s="234"/>
      <c r="D23" s="234"/>
      <c r="E23" s="234"/>
    </row>
    <row r="25" spans="2:5" x14ac:dyDescent="0.25">
      <c r="B25" t="s">
        <v>192</v>
      </c>
    </row>
    <row r="26" spans="2:5" x14ac:dyDescent="0.25">
      <c r="B26" t="s">
        <v>193</v>
      </c>
    </row>
    <row r="29" spans="2:5" x14ac:dyDescent="0.25">
      <c r="B29" t="s">
        <v>194</v>
      </c>
      <c r="C29" s="317">
        <v>44727</v>
      </c>
    </row>
  </sheetData>
  <pageMargins left="0.7" right="0.7" top="0.75" bottom="0.75" header="0.3" footer="0.3"/>
  <pageSetup scale="98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  <pageSetUpPr fitToPage="1"/>
  </sheetPr>
  <dimension ref="B2:J43"/>
  <sheetViews>
    <sheetView workbookViewId="0">
      <selection activeCell="H6" sqref="H6"/>
    </sheetView>
  </sheetViews>
  <sheetFormatPr defaultRowHeight="15" x14ac:dyDescent="0.25"/>
  <cols>
    <col min="1" max="1" width="9.140625" style="9"/>
    <col min="2" max="4" width="15.5703125" style="9" customWidth="1"/>
    <col min="5" max="5" width="21.5703125" style="9" bestFit="1" customWidth="1"/>
    <col min="6" max="6" width="15.5703125" style="9" customWidth="1"/>
    <col min="7" max="7" width="7.42578125" style="9" customWidth="1"/>
    <col min="8" max="8" width="15.5703125" style="9" customWidth="1"/>
    <col min="9" max="9" width="9.140625" style="9"/>
    <col min="10" max="10" width="5" style="9" customWidth="1"/>
    <col min="11" max="16384" width="9.140625" style="9"/>
  </cols>
  <sheetData>
    <row r="2" spans="2:10" ht="21" x14ac:dyDescent="0.35">
      <c r="B2" s="23" t="s">
        <v>19</v>
      </c>
      <c r="C2" s="236" t="s">
        <v>145</v>
      </c>
      <c r="D2" s="236"/>
      <c r="E2" s="308" t="s">
        <v>146</v>
      </c>
      <c r="F2" s="308"/>
    </row>
    <row r="3" spans="2:10" x14ac:dyDescent="0.25">
      <c r="B3" s="49" t="s">
        <v>17</v>
      </c>
      <c r="C3" s="49" t="s">
        <v>7</v>
      </c>
      <c r="D3" s="135" t="s">
        <v>20</v>
      </c>
      <c r="E3" s="49" t="s">
        <v>41</v>
      </c>
    </row>
    <row r="4" spans="2:10" x14ac:dyDescent="0.25">
      <c r="B4" s="153">
        <v>42000</v>
      </c>
      <c r="C4" s="251">
        <v>0.3</v>
      </c>
      <c r="D4" s="137">
        <f>SUM(B4*C4)</f>
        <v>12600</v>
      </c>
      <c r="E4" s="47">
        <f>SUM(D4/2)</f>
        <v>6300</v>
      </c>
    </row>
    <row r="5" spans="2:10" x14ac:dyDescent="0.25">
      <c r="B5" s="15" t="s">
        <v>78</v>
      </c>
      <c r="C5" s="288">
        <f>'Executive Summary'!C21</f>
        <v>44742</v>
      </c>
      <c r="E5" s="27"/>
    </row>
    <row r="6" spans="2:10" ht="15.75" thickBot="1" x14ac:dyDescent="0.3">
      <c r="B6" s="4"/>
      <c r="C6" s="98"/>
      <c r="E6" s="27"/>
    </row>
    <row r="7" spans="2:10" x14ac:dyDescent="0.25">
      <c r="B7" s="64" t="s">
        <v>79</v>
      </c>
      <c r="C7" s="264">
        <f>'Executive Summary'!E20</f>
        <v>0.5</v>
      </c>
      <c r="D7" s="117"/>
      <c r="E7" s="140"/>
      <c r="F7" s="117"/>
      <c r="G7" s="117"/>
      <c r="H7" s="117"/>
      <c r="I7" s="117"/>
      <c r="J7" s="109"/>
    </row>
    <row r="8" spans="2:10" x14ac:dyDescent="0.25">
      <c r="B8" s="270"/>
      <c r="C8" s="4"/>
      <c r="D8" s="3"/>
      <c r="E8" s="63"/>
      <c r="F8" s="62"/>
      <c r="G8" s="3"/>
      <c r="H8" s="3"/>
      <c r="I8" s="3"/>
      <c r="J8" s="111"/>
    </row>
    <row r="9" spans="2:10" ht="15.75" thickBot="1" x14ac:dyDescent="0.3">
      <c r="B9" s="86" t="s">
        <v>84</v>
      </c>
      <c r="C9" s="81"/>
      <c r="D9" s="81"/>
      <c r="E9" s="112"/>
      <c r="F9" s="80"/>
      <c r="G9" s="113"/>
      <c r="H9" s="81"/>
      <c r="I9" s="81"/>
      <c r="J9" s="114"/>
    </row>
    <row r="10" spans="2:10" x14ac:dyDescent="0.25">
      <c r="B10" s="64"/>
      <c r="C10" s="66"/>
      <c r="D10" s="117"/>
      <c r="E10" s="140"/>
      <c r="F10" s="117"/>
      <c r="G10" s="117"/>
      <c r="H10" s="117"/>
      <c r="I10" s="117"/>
      <c r="J10" s="109"/>
    </row>
    <row r="11" spans="2:10" x14ac:dyDescent="0.25">
      <c r="B11" s="33" t="s">
        <v>34</v>
      </c>
      <c r="C11" s="134">
        <v>0.15</v>
      </c>
      <c r="D11" s="4"/>
      <c r="E11" s="3"/>
      <c r="F11" s="4"/>
      <c r="G11" s="4"/>
      <c r="H11" s="4"/>
      <c r="I11" s="4"/>
      <c r="J11" s="111"/>
    </row>
    <row r="12" spans="2:10" x14ac:dyDescent="0.25">
      <c r="B12" s="5" t="s">
        <v>1</v>
      </c>
      <c r="C12" s="136">
        <f>'Sales Summary'!G17</f>
        <v>123</v>
      </c>
      <c r="D12" s="4"/>
      <c r="E12" s="22" t="s">
        <v>14</v>
      </c>
      <c r="F12" s="271">
        <f>SUM($E$4*C11)</f>
        <v>945</v>
      </c>
      <c r="G12" s="4"/>
      <c r="H12" s="4" t="s">
        <v>85</v>
      </c>
      <c r="I12" s="97">
        <v>0</v>
      </c>
      <c r="J12" s="72"/>
    </row>
    <row r="13" spans="2:10" x14ac:dyDescent="0.25">
      <c r="B13" s="5" t="s">
        <v>0</v>
      </c>
      <c r="C13" s="136">
        <f>'Sales Summary'!G18</f>
        <v>125</v>
      </c>
      <c r="D13" s="4"/>
      <c r="E13" s="22" t="s">
        <v>4</v>
      </c>
      <c r="F13" s="272">
        <f>SUM(C15)</f>
        <v>0.5</v>
      </c>
      <c r="G13" s="4"/>
      <c r="H13" s="4" t="s">
        <v>86</v>
      </c>
      <c r="I13" s="97">
        <v>0.5</v>
      </c>
      <c r="J13" s="74"/>
    </row>
    <row r="14" spans="2:10" x14ac:dyDescent="0.25">
      <c r="B14" s="5" t="s">
        <v>13</v>
      </c>
      <c r="C14" s="189">
        <f>SUM(C12/C13)</f>
        <v>0.98399999999999999</v>
      </c>
      <c r="D14" s="4"/>
      <c r="E14" s="43" t="s">
        <v>131</v>
      </c>
      <c r="F14" s="272">
        <f>C7</f>
        <v>0.5</v>
      </c>
      <c r="G14" s="4"/>
      <c r="H14" s="4" t="s">
        <v>105</v>
      </c>
      <c r="I14" s="97">
        <v>1</v>
      </c>
      <c r="J14" s="75"/>
    </row>
    <row r="15" spans="2:10" x14ac:dyDescent="0.25">
      <c r="B15" s="5" t="s">
        <v>10</v>
      </c>
      <c r="C15" s="169">
        <f>IF(C14&lt;97%,0,IF(AND(C14&gt;=97%,C14&lt;=100%),50%,IF(AND(C14&gt;100%,C14&lt;=105%),100%,IF(C14&gt;105%,105%))))</f>
        <v>0.5</v>
      </c>
      <c r="D15" s="4"/>
      <c r="E15" s="22" t="s">
        <v>5</v>
      </c>
      <c r="F15" s="271">
        <f>SUM(F12*F13)</f>
        <v>472.5</v>
      </c>
      <c r="G15" s="4"/>
      <c r="H15" s="4" t="s">
        <v>104</v>
      </c>
      <c r="I15" s="97">
        <v>1.05</v>
      </c>
      <c r="J15" s="76"/>
    </row>
    <row r="16" spans="2:10" ht="15.75" thickBot="1" x14ac:dyDescent="0.3">
      <c r="B16" s="141"/>
      <c r="C16" s="81"/>
      <c r="D16" s="121"/>
      <c r="E16" s="81"/>
      <c r="F16" s="273"/>
      <c r="G16" s="121"/>
      <c r="H16" s="121"/>
      <c r="I16" s="121"/>
      <c r="J16" s="114"/>
    </row>
    <row r="17" spans="2:10" x14ac:dyDescent="0.25">
      <c r="B17" s="64"/>
      <c r="C17" s="66"/>
      <c r="D17" s="117"/>
      <c r="E17" s="66"/>
      <c r="F17" s="274"/>
      <c r="G17" s="117"/>
      <c r="H17" s="117"/>
      <c r="I17" s="117"/>
      <c r="J17" s="109"/>
    </row>
    <row r="18" spans="2:10" x14ac:dyDescent="0.25">
      <c r="B18" s="33" t="s">
        <v>32</v>
      </c>
      <c r="C18" s="134">
        <v>0.35</v>
      </c>
      <c r="D18" s="4"/>
      <c r="E18" s="3"/>
      <c r="F18" s="275"/>
      <c r="G18" s="4"/>
      <c r="H18" s="4"/>
      <c r="I18" s="4"/>
      <c r="J18" s="111"/>
    </row>
    <row r="19" spans="2:10" x14ac:dyDescent="0.25">
      <c r="B19" s="5" t="s">
        <v>1</v>
      </c>
      <c r="C19" s="136">
        <f>'Sales Summary'!C5</f>
        <v>1268973</v>
      </c>
      <c r="D19" s="4"/>
      <c r="E19" s="22" t="s">
        <v>14</v>
      </c>
      <c r="F19" s="271">
        <f>SUM($E$4*C18)</f>
        <v>2205</v>
      </c>
      <c r="G19" s="4"/>
      <c r="H19" s="4" t="s">
        <v>85</v>
      </c>
      <c r="I19" s="97">
        <v>0</v>
      </c>
      <c r="J19" s="72"/>
    </row>
    <row r="20" spans="2:10" x14ac:dyDescent="0.25">
      <c r="B20" s="5" t="s">
        <v>0</v>
      </c>
      <c r="C20" s="136">
        <f>'Sales Summary'!C6</f>
        <v>1357896</v>
      </c>
      <c r="D20" s="4"/>
      <c r="E20" s="22" t="s">
        <v>4</v>
      </c>
      <c r="F20" s="272">
        <f>SUM(C22)</f>
        <v>0</v>
      </c>
      <c r="G20" s="4"/>
      <c r="H20" s="4" t="s">
        <v>86</v>
      </c>
      <c r="I20" s="97">
        <v>0.5</v>
      </c>
      <c r="J20" s="74"/>
    </row>
    <row r="21" spans="2:10" x14ac:dyDescent="0.25">
      <c r="B21" s="5" t="s">
        <v>13</v>
      </c>
      <c r="C21" s="169">
        <f>SUM(C19/C20)</f>
        <v>0.9345141306845296</v>
      </c>
      <c r="D21" s="4"/>
      <c r="E21" s="43" t="s">
        <v>131</v>
      </c>
      <c r="F21" s="272">
        <f>C7</f>
        <v>0.5</v>
      </c>
      <c r="G21" s="4"/>
      <c r="H21" s="4" t="s">
        <v>99</v>
      </c>
      <c r="I21" s="97">
        <v>1</v>
      </c>
      <c r="J21" s="75"/>
    </row>
    <row r="22" spans="2:10" x14ac:dyDescent="0.25">
      <c r="B22" s="5" t="s">
        <v>10</v>
      </c>
      <c r="C22" s="169">
        <f>IF(C21&lt;97%,0,IF(AND(C21&gt;=97%,C21&lt;101%),50%,IF(AND(C21&gt;=101%,C21&lt;=105%),100%,IF(C21&gt;105%,105%))))</f>
        <v>0</v>
      </c>
      <c r="D22" s="4"/>
      <c r="E22" s="22" t="s">
        <v>5</v>
      </c>
      <c r="F22" s="271">
        <f>SUM(F19*F20*F21)</f>
        <v>0</v>
      </c>
      <c r="G22" s="4"/>
      <c r="H22" s="4" t="s">
        <v>104</v>
      </c>
      <c r="I22" s="97">
        <v>1.05</v>
      </c>
      <c r="J22" s="76"/>
    </row>
    <row r="23" spans="2:10" ht="15.75" thickBot="1" x14ac:dyDescent="0.3">
      <c r="B23" s="145"/>
      <c r="C23" s="81"/>
      <c r="D23" s="121"/>
      <c r="E23" s="81"/>
      <c r="F23" s="273"/>
      <c r="G23" s="121"/>
      <c r="H23" s="121"/>
      <c r="I23" s="121"/>
      <c r="J23" s="114"/>
    </row>
    <row r="24" spans="2:10" x14ac:dyDescent="0.25">
      <c r="B24" s="64"/>
      <c r="C24" s="66"/>
      <c r="D24" s="117"/>
      <c r="E24" s="66"/>
      <c r="F24" s="274"/>
      <c r="G24" s="117"/>
      <c r="H24" s="117"/>
      <c r="I24" s="117"/>
      <c r="J24" s="109"/>
    </row>
    <row r="25" spans="2:10" x14ac:dyDescent="0.25">
      <c r="B25" s="33" t="s">
        <v>22</v>
      </c>
      <c r="C25" s="134">
        <v>0.15</v>
      </c>
      <c r="D25" s="4"/>
      <c r="E25" s="3"/>
      <c r="F25" s="275"/>
      <c r="G25" s="4"/>
      <c r="H25" s="4"/>
      <c r="I25" s="4"/>
      <c r="J25" s="111"/>
    </row>
    <row r="26" spans="2:10" x14ac:dyDescent="0.25">
      <c r="B26" s="5" t="s">
        <v>1</v>
      </c>
      <c r="C26" s="136">
        <f>'Sales Summary'!G11</f>
        <v>89.9</v>
      </c>
      <c r="D26" s="4"/>
      <c r="E26" s="22" t="s">
        <v>14</v>
      </c>
      <c r="F26" s="271">
        <f>SUM($E$4*C25)</f>
        <v>945</v>
      </c>
      <c r="G26" s="4"/>
      <c r="H26" s="4" t="s">
        <v>85</v>
      </c>
      <c r="I26" s="97">
        <v>0</v>
      </c>
      <c r="J26" s="72"/>
    </row>
    <row r="27" spans="2:10" x14ac:dyDescent="0.25">
      <c r="B27" s="5" t="s">
        <v>0</v>
      </c>
      <c r="C27" s="136">
        <f>'Sales Summary'!G12</f>
        <v>90.3</v>
      </c>
      <c r="D27" s="4"/>
      <c r="E27" s="22" t="s">
        <v>4</v>
      </c>
      <c r="F27" s="272">
        <f>SUM(C29)</f>
        <v>0.5</v>
      </c>
      <c r="G27" s="4"/>
      <c r="H27" s="4" t="s">
        <v>86</v>
      </c>
      <c r="I27" s="97">
        <v>0.5</v>
      </c>
      <c r="J27" s="74"/>
    </row>
    <row r="28" spans="2:10" x14ac:dyDescent="0.25">
      <c r="B28" s="5" t="s">
        <v>13</v>
      </c>
      <c r="C28" s="169">
        <f>SUM(C26/C27)</f>
        <v>0.99557032115171662</v>
      </c>
      <c r="D28" s="4"/>
      <c r="E28" s="43" t="s">
        <v>131</v>
      </c>
      <c r="F28" s="272">
        <f>C7</f>
        <v>0.5</v>
      </c>
      <c r="G28" s="4"/>
      <c r="H28" s="4" t="s">
        <v>99</v>
      </c>
      <c r="I28" s="97">
        <v>1</v>
      </c>
      <c r="J28" s="75"/>
    </row>
    <row r="29" spans="2:10" x14ac:dyDescent="0.25">
      <c r="B29" s="5" t="s">
        <v>10</v>
      </c>
      <c r="C29" s="169">
        <f>IF(C28&lt;97%,0,IF(AND(C28&gt;=97%,C28&lt;=100.99%),50%,IF(AND(C28&gt;=101%,C28&lt;=105%),100%,IF(C28&gt;105%,105%))))</f>
        <v>0.5</v>
      </c>
      <c r="D29" s="4"/>
      <c r="E29" s="22" t="s">
        <v>5</v>
      </c>
      <c r="F29" s="271">
        <f>SUM(F26*F27*F28)</f>
        <v>236.25</v>
      </c>
      <c r="G29" s="4"/>
      <c r="H29" s="4" t="s">
        <v>104</v>
      </c>
      <c r="I29" s="97">
        <v>1.05</v>
      </c>
      <c r="J29" s="76"/>
    </row>
    <row r="30" spans="2:10" ht="15.75" thickBot="1" x14ac:dyDescent="0.3">
      <c r="B30" s="145"/>
      <c r="C30" s="81"/>
      <c r="D30" s="121"/>
      <c r="E30" s="81"/>
      <c r="F30" s="273"/>
      <c r="G30" s="121"/>
      <c r="H30" s="121"/>
      <c r="I30" s="146"/>
      <c r="J30" s="114"/>
    </row>
    <row r="31" spans="2:10" x14ac:dyDescent="0.25">
      <c r="B31" s="64"/>
      <c r="C31" s="66"/>
      <c r="D31" s="117"/>
      <c r="E31" s="66"/>
      <c r="F31" s="274"/>
      <c r="G31" s="117"/>
      <c r="H31" s="117"/>
      <c r="I31" s="147"/>
      <c r="J31" s="109"/>
    </row>
    <row r="32" spans="2:10" x14ac:dyDescent="0.25">
      <c r="B32" s="33" t="s">
        <v>33</v>
      </c>
      <c r="C32" s="134">
        <v>0.35</v>
      </c>
      <c r="D32" s="4"/>
      <c r="E32" s="3"/>
      <c r="F32" s="275"/>
      <c r="G32" s="4"/>
      <c r="H32" s="4"/>
      <c r="I32" s="97"/>
      <c r="J32" s="111"/>
    </row>
    <row r="33" spans="2:10" x14ac:dyDescent="0.25">
      <c r="B33" s="5" t="s">
        <v>1</v>
      </c>
      <c r="C33" s="136">
        <f>'Sales Summary'!C11</f>
        <v>417604</v>
      </c>
      <c r="D33" s="4"/>
      <c r="E33" s="22" t="s">
        <v>14</v>
      </c>
      <c r="F33" s="271">
        <f>SUM($E$4*C32)</f>
        <v>2205</v>
      </c>
      <c r="G33" s="4"/>
      <c r="H33" s="4" t="s">
        <v>85</v>
      </c>
      <c r="I33" s="97">
        <v>0</v>
      </c>
      <c r="J33" s="72"/>
    </row>
    <row r="34" spans="2:10" x14ac:dyDescent="0.25">
      <c r="B34" s="5" t="s">
        <v>0</v>
      </c>
      <c r="C34" s="136">
        <f>'Sales Summary'!C12</f>
        <v>418682</v>
      </c>
      <c r="D34" s="4"/>
      <c r="E34" s="22" t="s">
        <v>4</v>
      </c>
      <c r="F34" s="272">
        <f>SUM(C36)</f>
        <v>0.5</v>
      </c>
      <c r="G34" s="4"/>
      <c r="H34" s="4" t="s">
        <v>86</v>
      </c>
      <c r="I34" s="97">
        <v>0.5</v>
      </c>
      <c r="J34" s="74"/>
    </row>
    <row r="35" spans="2:10" x14ac:dyDescent="0.25">
      <c r="B35" s="5" t="s">
        <v>13</v>
      </c>
      <c r="C35" s="169">
        <f>SUM(C33/C34)</f>
        <v>0.99742525353370814</v>
      </c>
      <c r="D35" s="4"/>
      <c r="E35" s="43" t="s">
        <v>131</v>
      </c>
      <c r="F35" s="272">
        <f>C7</f>
        <v>0.5</v>
      </c>
      <c r="G35" s="4"/>
      <c r="H35" s="4" t="s">
        <v>99</v>
      </c>
      <c r="I35" s="97">
        <v>1</v>
      </c>
      <c r="J35" s="75"/>
    </row>
    <row r="36" spans="2:10" x14ac:dyDescent="0.25">
      <c r="B36" s="5" t="s">
        <v>10</v>
      </c>
      <c r="C36" s="169">
        <f>IF(C35&lt;97%,0,IF(AND(C35&gt;=97%,C35&lt;=100.99%),50%,IF(AND(C35&gt;=101%,C35&lt;=105%),100%,IF(C35&gt;105%,105%))))</f>
        <v>0.5</v>
      </c>
      <c r="D36" s="4"/>
      <c r="E36" s="22" t="s">
        <v>5</v>
      </c>
      <c r="F36" s="271">
        <f>SUM(F33*F34*F35)</f>
        <v>551.25</v>
      </c>
      <c r="G36" s="4"/>
      <c r="H36" s="4" t="s">
        <v>104</v>
      </c>
      <c r="I36" s="97">
        <v>1.05</v>
      </c>
      <c r="J36" s="76"/>
    </row>
    <row r="37" spans="2:10" ht="15.75" thickBot="1" x14ac:dyDescent="0.3">
      <c r="B37" s="145"/>
      <c r="C37" s="121"/>
      <c r="D37" s="121"/>
      <c r="E37" s="81"/>
      <c r="F37" s="143"/>
      <c r="G37" s="121"/>
      <c r="H37" s="121"/>
      <c r="I37" s="121"/>
      <c r="J37" s="114"/>
    </row>
    <row r="38" spans="2:10" x14ac:dyDescent="0.25">
      <c r="B38" s="4"/>
      <c r="E38" s="31"/>
      <c r="F38" s="28"/>
    </row>
    <row r="39" spans="2:10" x14ac:dyDescent="0.25">
      <c r="E39" s="22" t="s">
        <v>11</v>
      </c>
      <c r="F39" s="47">
        <f>SUM(F36+F29+F22+F15)</f>
        <v>1260</v>
      </c>
    </row>
    <row r="41" spans="2:10" x14ac:dyDescent="0.25">
      <c r="B41" s="10"/>
      <c r="C41" s="10"/>
      <c r="D41" s="10"/>
      <c r="E41" s="10"/>
      <c r="F41" s="10"/>
      <c r="G41" s="10"/>
    </row>
    <row r="42" spans="2:10" x14ac:dyDescent="0.25">
      <c r="B42" s="10"/>
      <c r="C42" s="10"/>
      <c r="D42" s="10"/>
      <c r="E42" s="10"/>
      <c r="F42" s="10"/>
      <c r="G42" s="10"/>
    </row>
    <row r="43" spans="2:10" x14ac:dyDescent="0.25">
      <c r="B43" s="10"/>
      <c r="C43" s="10"/>
      <c r="D43" s="10"/>
      <c r="E43" s="10"/>
      <c r="F43" s="10"/>
      <c r="G43" s="10"/>
    </row>
  </sheetData>
  <mergeCells count="1">
    <mergeCell ref="C2:D2"/>
  </mergeCells>
  <conditionalFormatting sqref="A41:XFD1048576 B40:D40 G40:XFD40 B14:D14 F14:XFD14 B21:D21 F21:XFD21 B28:D28 F28:XFD28 A36:XFD39 B35:D35 F35:XFD35 A1:XFD1 D8:XFD8 B7:XFD7 A7:A8 A9:XFD13 A15:XFD20 A22:XFD27 A29:XFD34 A3:XFD6 A2:C2 E2:XFD2">
    <cfRule type="containsErrors" dxfId="28" priority="6">
      <formula>ISERROR(A1)</formula>
    </cfRule>
  </conditionalFormatting>
  <conditionalFormatting sqref="E14">
    <cfRule type="containsErrors" dxfId="27" priority="4">
      <formula>ISERROR(E14)</formula>
    </cfRule>
  </conditionalFormatting>
  <conditionalFormatting sqref="E21">
    <cfRule type="containsErrors" dxfId="26" priority="3">
      <formula>ISERROR(E21)</formula>
    </cfRule>
  </conditionalFormatting>
  <conditionalFormatting sqref="E28">
    <cfRule type="containsErrors" dxfId="25" priority="2">
      <formula>ISERROR(E28)</formula>
    </cfRule>
  </conditionalFormatting>
  <conditionalFormatting sqref="E35">
    <cfRule type="containsErrors" dxfId="24" priority="1">
      <formula>ISERROR(E35)</formula>
    </cfRule>
  </conditionalFormatting>
  <pageMargins left="0.7" right="0.7" top="0.75" bottom="0.75" header="0.3" footer="0.3"/>
  <pageSetup scale="7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I47"/>
  <sheetViews>
    <sheetView workbookViewId="0">
      <selection activeCell="U11" sqref="U11"/>
    </sheetView>
  </sheetViews>
  <sheetFormatPr defaultRowHeight="15" x14ac:dyDescent="0.25"/>
  <cols>
    <col min="1" max="3" width="15.5703125" style="9" customWidth="1"/>
    <col min="4" max="4" width="21.5703125" style="9" bestFit="1" customWidth="1"/>
    <col min="5" max="5" width="15.5703125" style="9" customWidth="1"/>
    <col min="6" max="6" width="7.42578125" style="9" customWidth="1"/>
    <col min="7" max="7" width="15.5703125" style="9" customWidth="1"/>
    <col min="8" max="8" width="9.140625" style="9"/>
    <col min="9" max="9" width="5" style="9" customWidth="1"/>
    <col min="10" max="16384" width="9.140625" style="9"/>
  </cols>
  <sheetData>
    <row r="2" spans="1:9" ht="21" x14ac:dyDescent="0.35">
      <c r="A2" s="23" t="s">
        <v>19</v>
      </c>
      <c r="B2" s="37"/>
    </row>
    <row r="3" spans="1:9" x14ac:dyDescent="0.25">
      <c r="A3" s="49" t="s">
        <v>17</v>
      </c>
      <c r="B3" s="49" t="s">
        <v>7</v>
      </c>
      <c r="C3" s="135" t="s">
        <v>20</v>
      </c>
      <c r="D3" s="49" t="s">
        <v>41</v>
      </c>
    </row>
    <row r="4" spans="1:9" x14ac:dyDescent="0.25">
      <c r="A4" s="153">
        <v>0</v>
      </c>
      <c r="B4" s="48">
        <v>0.3</v>
      </c>
      <c r="C4" s="137">
        <f>SUM(A4*B4)</f>
        <v>0</v>
      </c>
      <c r="D4" s="47">
        <f>SUM(C4/2)</f>
        <v>0</v>
      </c>
    </row>
    <row r="5" spans="1:9" x14ac:dyDescent="0.25">
      <c r="A5" s="15" t="s">
        <v>78</v>
      </c>
      <c r="B5" s="182"/>
      <c r="D5" s="27"/>
    </row>
    <row r="6" spans="1:9" ht="15.75" thickBot="1" x14ac:dyDescent="0.3">
      <c r="A6" s="4"/>
      <c r="B6" s="98"/>
      <c r="D6" s="27"/>
    </row>
    <row r="7" spans="1:9" x14ac:dyDescent="0.25">
      <c r="A7" s="138"/>
      <c r="B7" s="139"/>
      <c r="C7" s="117"/>
      <c r="D7" s="140"/>
      <c r="E7" s="117"/>
      <c r="F7" s="117"/>
      <c r="G7" s="117"/>
      <c r="H7" s="117"/>
      <c r="I7" s="109"/>
    </row>
    <row r="8" spans="1:9" x14ac:dyDescent="0.25">
      <c r="A8" s="33" t="s">
        <v>79</v>
      </c>
      <c r="B8" s="3"/>
      <c r="C8" s="3"/>
      <c r="D8" s="63"/>
      <c r="E8" s="62"/>
      <c r="F8" s="3"/>
      <c r="G8" s="3"/>
      <c r="H8" s="3"/>
      <c r="I8" s="111"/>
    </row>
    <row r="9" spans="1:9" x14ac:dyDescent="0.25">
      <c r="A9" s="57" t="s">
        <v>27</v>
      </c>
      <c r="B9" s="58"/>
      <c r="C9" s="3"/>
      <c r="D9" s="110" t="s">
        <v>80</v>
      </c>
      <c r="E9" s="62"/>
      <c r="F9" s="3"/>
      <c r="G9" s="3" t="s">
        <v>81</v>
      </c>
      <c r="H9" s="58">
        <v>0</v>
      </c>
      <c r="I9" s="72"/>
    </row>
    <row r="10" spans="1:9" x14ac:dyDescent="0.25">
      <c r="A10" s="59" t="s">
        <v>1</v>
      </c>
      <c r="B10" s="60">
        <v>0</v>
      </c>
      <c r="C10" s="3"/>
      <c r="D10" s="51" t="e">
        <f>IF(B12 &lt; 95%, 0,IF(AND(B12&gt;=95%,B12&lt;100%),50%,100%))</f>
        <v>#DIV/0!</v>
      </c>
      <c r="E10" s="62"/>
      <c r="F10" s="3"/>
      <c r="G10" s="3" t="s">
        <v>82</v>
      </c>
      <c r="H10" s="58">
        <v>0.5</v>
      </c>
      <c r="I10" s="74"/>
    </row>
    <row r="11" spans="1:9" x14ac:dyDescent="0.25">
      <c r="A11" s="59" t="s">
        <v>0</v>
      </c>
      <c r="B11" s="60">
        <v>0</v>
      </c>
      <c r="C11" s="3"/>
      <c r="D11" s="63"/>
      <c r="E11" s="62"/>
      <c r="F11" s="3"/>
      <c r="G11" s="3" t="s">
        <v>83</v>
      </c>
      <c r="H11" s="58">
        <v>1</v>
      </c>
      <c r="I11" s="75"/>
    </row>
    <row r="12" spans="1:9" x14ac:dyDescent="0.25">
      <c r="A12" s="5" t="s">
        <v>13</v>
      </c>
      <c r="B12" s="100" t="e">
        <f>B10/B11</f>
        <v>#DIV/0!</v>
      </c>
      <c r="C12" s="3"/>
      <c r="D12" s="63"/>
      <c r="E12" s="62"/>
      <c r="F12" s="3"/>
      <c r="G12" s="3"/>
      <c r="H12" s="3"/>
      <c r="I12" s="111"/>
    </row>
    <row r="13" spans="1:9" ht="15.75" thickBot="1" x14ac:dyDescent="0.3">
      <c r="A13" s="86" t="s">
        <v>84</v>
      </c>
      <c r="B13" s="81"/>
      <c r="C13" s="81"/>
      <c r="D13" s="112"/>
      <c r="E13" s="80"/>
      <c r="F13" s="113"/>
      <c r="G13" s="81"/>
      <c r="H13" s="81"/>
      <c r="I13" s="114"/>
    </row>
    <row r="14" spans="1:9" x14ac:dyDescent="0.25">
      <c r="A14" s="64"/>
      <c r="B14" s="66"/>
      <c r="C14" s="117"/>
      <c r="D14" s="140"/>
      <c r="E14" s="117"/>
      <c r="F14" s="117"/>
      <c r="G14" s="117"/>
      <c r="H14" s="117"/>
      <c r="I14" s="109"/>
    </row>
    <row r="15" spans="1:9" x14ac:dyDescent="0.25">
      <c r="A15" s="33" t="s">
        <v>34</v>
      </c>
      <c r="B15" s="134">
        <v>0.15</v>
      </c>
      <c r="C15" s="4"/>
      <c r="D15" s="3"/>
      <c r="E15" s="4"/>
      <c r="F15" s="4"/>
      <c r="G15" s="4"/>
      <c r="H15" s="4"/>
      <c r="I15" s="111"/>
    </row>
    <row r="16" spans="1:9" x14ac:dyDescent="0.25">
      <c r="A16" s="59" t="s">
        <v>1</v>
      </c>
      <c r="B16" s="153">
        <v>0</v>
      </c>
      <c r="C16" s="4"/>
      <c r="D16" s="22" t="s">
        <v>14</v>
      </c>
      <c r="E16" s="53">
        <f>SUM($D$4*B15)</f>
        <v>0</v>
      </c>
      <c r="F16" s="4"/>
      <c r="G16" s="4" t="s">
        <v>85</v>
      </c>
      <c r="H16" s="97">
        <v>0</v>
      </c>
      <c r="I16" s="72"/>
    </row>
    <row r="17" spans="1:9" x14ac:dyDescent="0.25">
      <c r="A17" s="59" t="s">
        <v>0</v>
      </c>
      <c r="B17" s="153">
        <v>0</v>
      </c>
      <c r="C17" s="4"/>
      <c r="D17" s="22" t="s">
        <v>4</v>
      </c>
      <c r="E17" s="52" t="e">
        <f>SUM(B19)</f>
        <v>#DIV/0!</v>
      </c>
      <c r="F17" s="4"/>
      <c r="G17" s="4" t="s">
        <v>86</v>
      </c>
      <c r="H17" s="97">
        <v>0.5</v>
      </c>
      <c r="I17" s="74"/>
    </row>
    <row r="18" spans="1:9" x14ac:dyDescent="0.25">
      <c r="A18" s="5" t="s">
        <v>13</v>
      </c>
      <c r="B18" s="189" t="e">
        <f>SUM(B16/B17)</f>
        <v>#DIV/0!</v>
      </c>
      <c r="C18" s="4"/>
      <c r="D18" s="43" t="s">
        <v>131</v>
      </c>
      <c r="E18" s="52" t="e">
        <f>D10</f>
        <v>#DIV/0!</v>
      </c>
      <c r="F18" s="4"/>
      <c r="G18" s="4" t="s">
        <v>105</v>
      </c>
      <c r="H18" s="97">
        <v>1</v>
      </c>
      <c r="I18" s="75"/>
    </row>
    <row r="19" spans="1:9" x14ac:dyDescent="0.25">
      <c r="A19" s="5" t="s">
        <v>10</v>
      </c>
      <c r="B19" s="169" t="e">
        <f>IF(B18&lt;97%,0,IF(AND(B18&gt;=97%,B18&lt;=100%),50%,IF(AND(B18&gt;100%,B18&lt;=105%),100%,IF(B18&gt;105%,105%))))</f>
        <v>#DIV/0!</v>
      </c>
      <c r="C19" s="4"/>
      <c r="D19" s="22" t="s">
        <v>5</v>
      </c>
      <c r="E19" s="53" t="e">
        <f>SUM(E16*E17*E18)</f>
        <v>#DIV/0!</v>
      </c>
      <c r="F19" s="4"/>
      <c r="G19" s="4" t="s">
        <v>104</v>
      </c>
      <c r="H19" s="97">
        <v>1.05</v>
      </c>
      <c r="I19" s="76"/>
    </row>
    <row r="20" spans="1:9" ht="15.75" thickBot="1" x14ac:dyDescent="0.3">
      <c r="A20" s="141"/>
      <c r="B20" s="81"/>
      <c r="C20" s="121"/>
      <c r="D20" s="81"/>
      <c r="E20" s="143"/>
      <c r="F20" s="121"/>
      <c r="G20" s="121"/>
      <c r="H20" s="121"/>
      <c r="I20" s="114"/>
    </row>
    <row r="21" spans="1:9" x14ac:dyDescent="0.25">
      <c r="A21" s="64"/>
      <c r="B21" s="66"/>
      <c r="C21" s="117"/>
      <c r="D21" s="66"/>
      <c r="E21" s="144"/>
      <c r="F21" s="117"/>
      <c r="G21" s="117"/>
      <c r="H21" s="117"/>
      <c r="I21" s="109"/>
    </row>
    <row r="22" spans="1:9" x14ac:dyDescent="0.25">
      <c r="A22" s="33" t="s">
        <v>32</v>
      </c>
      <c r="B22" s="134">
        <v>0.35</v>
      </c>
      <c r="C22" s="4"/>
      <c r="D22" s="3"/>
      <c r="E22" s="36"/>
      <c r="F22" s="4"/>
      <c r="G22" s="4"/>
      <c r="H22" s="4"/>
      <c r="I22" s="111"/>
    </row>
    <row r="23" spans="1:9" x14ac:dyDescent="0.25">
      <c r="A23" s="59" t="s">
        <v>1</v>
      </c>
      <c r="B23" s="153">
        <v>0</v>
      </c>
      <c r="C23" s="4"/>
      <c r="D23" s="22" t="s">
        <v>14</v>
      </c>
      <c r="E23" s="53">
        <f>SUM($D$4*B22)</f>
        <v>0</v>
      </c>
      <c r="F23" s="4"/>
      <c r="G23" s="4" t="s">
        <v>85</v>
      </c>
      <c r="H23" s="97">
        <v>0</v>
      </c>
      <c r="I23" s="72"/>
    </row>
    <row r="24" spans="1:9" x14ac:dyDescent="0.25">
      <c r="A24" s="59" t="s">
        <v>0</v>
      </c>
      <c r="B24" s="153">
        <v>0</v>
      </c>
      <c r="C24" s="4"/>
      <c r="D24" s="22" t="s">
        <v>4</v>
      </c>
      <c r="E24" s="52" t="e">
        <f>SUM(B26)</f>
        <v>#DIV/0!</v>
      </c>
      <c r="F24" s="4"/>
      <c r="G24" s="4" t="s">
        <v>86</v>
      </c>
      <c r="H24" s="97">
        <v>0.5</v>
      </c>
      <c r="I24" s="74"/>
    </row>
    <row r="25" spans="1:9" x14ac:dyDescent="0.25">
      <c r="A25" s="5" t="s">
        <v>13</v>
      </c>
      <c r="B25" s="169" t="e">
        <f>SUM(B23/B24)</f>
        <v>#DIV/0!</v>
      </c>
      <c r="C25" s="4"/>
      <c r="D25" s="43" t="s">
        <v>131</v>
      </c>
      <c r="E25" s="52" t="e">
        <f>D10</f>
        <v>#DIV/0!</v>
      </c>
      <c r="F25" s="4"/>
      <c r="G25" s="4" t="s">
        <v>99</v>
      </c>
      <c r="H25" s="97">
        <v>1</v>
      </c>
      <c r="I25" s="75"/>
    </row>
    <row r="26" spans="1:9" x14ac:dyDescent="0.25">
      <c r="A26" s="5" t="s">
        <v>10</v>
      </c>
      <c r="B26" s="169" t="e">
        <f>IF(B25&lt;97%,0,IF(AND(B25&gt;=97%,B25&lt;101%),50%,IF(AND(B25&gt;=101%,B25&lt;=105%),100%,IF(B25&gt;105%,105%))))</f>
        <v>#DIV/0!</v>
      </c>
      <c r="C26" s="4"/>
      <c r="D26" s="22" t="s">
        <v>5</v>
      </c>
      <c r="E26" s="53" t="e">
        <f>SUM(E23*E24*E25)</f>
        <v>#DIV/0!</v>
      </c>
      <c r="F26" s="4"/>
      <c r="G26" s="4" t="s">
        <v>104</v>
      </c>
      <c r="H26" s="97">
        <v>1.05</v>
      </c>
      <c r="I26" s="76"/>
    </row>
    <row r="27" spans="1:9" ht="15.75" thickBot="1" x14ac:dyDescent="0.3">
      <c r="A27" s="145"/>
      <c r="B27" s="81"/>
      <c r="C27" s="121"/>
      <c r="D27" s="81"/>
      <c r="E27" s="143"/>
      <c r="F27" s="121"/>
      <c r="G27" s="121"/>
      <c r="H27" s="121"/>
      <c r="I27" s="114"/>
    </row>
    <row r="28" spans="1:9" x14ac:dyDescent="0.25">
      <c r="A28" s="64"/>
      <c r="B28" s="66"/>
      <c r="C28" s="117"/>
      <c r="D28" s="66"/>
      <c r="E28" s="144"/>
      <c r="F28" s="117"/>
      <c r="G28" s="117"/>
      <c r="H28" s="117"/>
      <c r="I28" s="109"/>
    </row>
    <row r="29" spans="1:9" x14ac:dyDescent="0.25">
      <c r="A29" s="33" t="s">
        <v>22</v>
      </c>
      <c r="B29" s="134">
        <v>0.15</v>
      </c>
      <c r="C29" s="4"/>
      <c r="D29" s="3"/>
      <c r="E29" s="36"/>
      <c r="F29" s="4"/>
      <c r="G29" s="4"/>
      <c r="H29" s="4"/>
      <c r="I29" s="111"/>
    </row>
    <row r="30" spans="1:9" x14ac:dyDescent="0.25">
      <c r="A30" s="59" t="s">
        <v>1</v>
      </c>
      <c r="B30" s="153">
        <v>0</v>
      </c>
      <c r="C30" s="4"/>
      <c r="D30" s="22" t="s">
        <v>14</v>
      </c>
      <c r="E30" s="53">
        <f>SUM($D$4*B29)</f>
        <v>0</v>
      </c>
      <c r="F30" s="4"/>
      <c r="G30" s="4" t="s">
        <v>85</v>
      </c>
      <c r="H30" s="97">
        <v>0</v>
      </c>
      <c r="I30" s="72"/>
    </row>
    <row r="31" spans="1:9" x14ac:dyDescent="0.25">
      <c r="A31" s="59" t="s">
        <v>0</v>
      </c>
      <c r="B31" s="153">
        <v>0</v>
      </c>
      <c r="C31" s="4"/>
      <c r="D31" s="22" t="s">
        <v>4</v>
      </c>
      <c r="E31" s="52" t="e">
        <f>SUM(B33)</f>
        <v>#DIV/0!</v>
      </c>
      <c r="F31" s="4"/>
      <c r="G31" s="4" t="s">
        <v>86</v>
      </c>
      <c r="H31" s="97">
        <v>0.5</v>
      </c>
      <c r="I31" s="74"/>
    </row>
    <row r="32" spans="1:9" x14ac:dyDescent="0.25">
      <c r="A32" s="5" t="s">
        <v>13</v>
      </c>
      <c r="B32" s="169" t="e">
        <f>SUM(B30/B31)</f>
        <v>#DIV/0!</v>
      </c>
      <c r="C32" s="4"/>
      <c r="D32" s="43" t="s">
        <v>131</v>
      </c>
      <c r="E32" s="52" t="e">
        <f>D10</f>
        <v>#DIV/0!</v>
      </c>
      <c r="F32" s="4"/>
      <c r="G32" s="4" t="s">
        <v>99</v>
      </c>
      <c r="H32" s="97">
        <v>1</v>
      </c>
      <c r="I32" s="75"/>
    </row>
    <row r="33" spans="1:9" x14ac:dyDescent="0.25">
      <c r="A33" s="5" t="s">
        <v>10</v>
      </c>
      <c r="B33" s="169" t="e">
        <f>IF(B32&lt;97%,0,IF(AND(B32&gt;=97%,B32&lt;=100.99%),50%,IF(AND(B32&gt;=101%,B32&lt;=105%),100%,IF(B32&gt;105%,105%))))</f>
        <v>#DIV/0!</v>
      </c>
      <c r="C33" s="4"/>
      <c r="D33" s="22" t="s">
        <v>5</v>
      </c>
      <c r="E33" s="53" t="e">
        <f>SUM(E30*E31*E32)</f>
        <v>#DIV/0!</v>
      </c>
      <c r="F33" s="4"/>
      <c r="G33" s="4" t="s">
        <v>104</v>
      </c>
      <c r="H33" s="97">
        <v>1.05</v>
      </c>
      <c r="I33" s="76"/>
    </row>
    <row r="34" spans="1:9" ht="15.75" thickBot="1" x14ac:dyDescent="0.3">
      <c r="A34" s="145"/>
      <c r="B34" s="81"/>
      <c r="C34" s="121"/>
      <c r="D34" s="81"/>
      <c r="E34" s="143"/>
      <c r="F34" s="121"/>
      <c r="G34" s="121"/>
      <c r="H34" s="146"/>
      <c r="I34" s="114"/>
    </row>
    <row r="35" spans="1:9" x14ac:dyDescent="0.25">
      <c r="A35" s="64"/>
      <c r="B35" s="66"/>
      <c r="C35" s="117"/>
      <c r="D35" s="66"/>
      <c r="E35" s="144"/>
      <c r="F35" s="117"/>
      <c r="G35" s="117"/>
      <c r="H35" s="147"/>
      <c r="I35" s="109"/>
    </row>
    <row r="36" spans="1:9" x14ac:dyDescent="0.25">
      <c r="A36" s="33" t="s">
        <v>33</v>
      </c>
      <c r="B36" s="134">
        <v>0.35</v>
      </c>
      <c r="C36" s="4"/>
      <c r="D36" s="3"/>
      <c r="E36" s="36"/>
      <c r="F36" s="4"/>
      <c r="G36" s="4"/>
      <c r="H36" s="97"/>
      <c r="I36" s="111"/>
    </row>
    <row r="37" spans="1:9" x14ac:dyDescent="0.25">
      <c r="A37" s="59" t="s">
        <v>1</v>
      </c>
      <c r="B37" s="153">
        <v>0</v>
      </c>
      <c r="C37" s="4"/>
      <c r="D37" s="22" t="s">
        <v>14</v>
      </c>
      <c r="E37" s="53">
        <f>SUM($D$4*B36)</f>
        <v>0</v>
      </c>
      <c r="F37" s="4"/>
      <c r="G37" s="4" t="s">
        <v>85</v>
      </c>
      <c r="H37" s="97">
        <v>0</v>
      </c>
      <c r="I37" s="72"/>
    </row>
    <row r="38" spans="1:9" x14ac:dyDescent="0.25">
      <c r="A38" s="59" t="s">
        <v>0</v>
      </c>
      <c r="B38" s="153">
        <v>0</v>
      </c>
      <c r="C38" s="4"/>
      <c r="D38" s="22" t="s">
        <v>4</v>
      </c>
      <c r="E38" s="52" t="e">
        <f>SUM(B40)</f>
        <v>#DIV/0!</v>
      </c>
      <c r="F38" s="4"/>
      <c r="G38" s="4" t="s">
        <v>86</v>
      </c>
      <c r="H38" s="97">
        <v>0.5</v>
      </c>
      <c r="I38" s="74"/>
    </row>
    <row r="39" spans="1:9" x14ac:dyDescent="0.25">
      <c r="A39" s="5" t="s">
        <v>13</v>
      </c>
      <c r="B39" s="169" t="e">
        <f>SUM(B37/B38)</f>
        <v>#DIV/0!</v>
      </c>
      <c r="C39" s="4"/>
      <c r="D39" s="43" t="s">
        <v>131</v>
      </c>
      <c r="E39" s="52" t="e">
        <f>D10</f>
        <v>#DIV/0!</v>
      </c>
      <c r="F39" s="4"/>
      <c r="G39" s="4" t="s">
        <v>99</v>
      </c>
      <c r="H39" s="97">
        <v>1</v>
      </c>
      <c r="I39" s="75"/>
    </row>
    <row r="40" spans="1:9" x14ac:dyDescent="0.25">
      <c r="A40" s="5" t="s">
        <v>10</v>
      </c>
      <c r="B40" s="169" t="e">
        <f>IF(B39&lt;97%,0,IF(AND(B39&gt;=97%,B39&lt;=100.99%),50%,IF(AND(B39&gt;=101%,B39&lt;=105%),100%,IF(B39&gt;105%,105%))))</f>
        <v>#DIV/0!</v>
      </c>
      <c r="C40" s="4"/>
      <c r="D40" s="22" t="s">
        <v>5</v>
      </c>
      <c r="E40" s="53" t="e">
        <f>SUM(E37*E38*E39)</f>
        <v>#DIV/0!</v>
      </c>
      <c r="F40" s="4"/>
      <c r="G40" s="4" t="s">
        <v>104</v>
      </c>
      <c r="H40" s="97">
        <v>1.05</v>
      </c>
      <c r="I40" s="76"/>
    </row>
    <row r="41" spans="1:9" ht="15.75" thickBot="1" x14ac:dyDescent="0.3">
      <c r="A41" s="145"/>
      <c r="B41" s="121"/>
      <c r="C41" s="121"/>
      <c r="D41" s="81"/>
      <c r="E41" s="143"/>
      <c r="F41" s="121"/>
      <c r="G41" s="121"/>
      <c r="H41" s="121"/>
      <c r="I41" s="114"/>
    </row>
    <row r="42" spans="1:9" x14ac:dyDescent="0.25">
      <c r="A42" s="4"/>
      <c r="D42" s="31"/>
      <c r="E42" s="28"/>
    </row>
    <row r="43" spans="1:9" x14ac:dyDescent="0.25">
      <c r="D43" s="22" t="s">
        <v>11</v>
      </c>
      <c r="E43" s="47" t="e">
        <f>SUM(E40+E33+E26+E19)</f>
        <v>#DIV/0!</v>
      </c>
    </row>
    <row r="45" spans="1:9" x14ac:dyDescent="0.25">
      <c r="A45" s="10"/>
      <c r="B45" s="10"/>
      <c r="C45" s="10"/>
      <c r="D45" s="10"/>
      <c r="E45" s="10"/>
      <c r="F45" s="10"/>
    </row>
    <row r="46" spans="1:9" x14ac:dyDescent="0.25">
      <c r="A46" s="10"/>
      <c r="B46" s="10"/>
      <c r="C46" s="10"/>
      <c r="D46" s="10"/>
      <c r="E46" s="10"/>
      <c r="F46" s="10"/>
    </row>
    <row r="47" spans="1:9" x14ac:dyDescent="0.25">
      <c r="A47" s="10"/>
      <c r="B47" s="10"/>
      <c r="C47" s="10"/>
      <c r="D47" s="10"/>
      <c r="E47" s="10"/>
      <c r="F47" s="10"/>
    </row>
  </sheetData>
  <conditionalFormatting sqref="A1:XFD8 A9:H11 J9:XFD11 A45:XFD1048576 A44:C44 F44:XFD44 A12:XFD17 A19:XFD24 A18:C18 E18:XFD18 A26:XFD31 A25:C25 E25:XFD25 A33:XFD38 A32:C32 E32:XFD32 A40:XFD43 A39:C39 E39:XFD39">
    <cfRule type="containsErrors" dxfId="23" priority="6">
      <formula>ISERROR(A1)</formula>
    </cfRule>
  </conditionalFormatting>
  <conditionalFormatting sqref="I9:I11">
    <cfRule type="containsErrors" dxfId="22" priority="5">
      <formula>ISERROR(I9)</formula>
    </cfRule>
  </conditionalFormatting>
  <conditionalFormatting sqref="D18">
    <cfRule type="containsErrors" dxfId="21" priority="4">
      <formula>ISERROR(D18)</formula>
    </cfRule>
  </conditionalFormatting>
  <conditionalFormatting sqref="D25">
    <cfRule type="containsErrors" dxfId="20" priority="3">
      <formula>ISERROR(D25)</formula>
    </cfRule>
  </conditionalFormatting>
  <conditionalFormatting sqref="D32">
    <cfRule type="containsErrors" dxfId="19" priority="2">
      <formula>ISERROR(D32)</formula>
    </cfRule>
  </conditionalFormatting>
  <conditionalFormatting sqref="D39">
    <cfRule type="containsErrors" dxfId="18" priority="1">
      <formula>ISERROR(D39)</formula>
    </cfRule>
  </conditionalFormatting>
  <pageMargins left="0.7" right="0.7" top="0.75" bottom="0.75" header="0.3" footer="0.3"/>
  <pageSetup scale="74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  <pageSetUpPr fitToPage="1"/>
  </sheetPr>
  <dimension ref="B2:O54"/>
  <sheetViews>
    <sheetView showGridLines="0" workbookViewId="0">
      <selection activeCell="N45" sqref="N45"/>
    </sheetView>
  </sheetViews>
  <sheetFormatPr defaultRowHeight="15" x14ac:dyDescent="0.25"/>
  <cols>
    <col min="1" max="1" width="9.140625" style="9"/>
    <col min="2" max="2" width="21" style="9" customWidth="1"/>
    <col min="3" max="4" width="15.5703125" style="9" customWidth="1"/>
    <col min="5" max="5" width="21.7109375" style="9" customWidth="1"/>
    <col min="6" max="6" width="21.5703125" style="9" bestFit="1" customWidth="1"/>
    <col min="7" max="7" width="15.5703125" style="28" customWidth="1"/>
    <col min="8" max="8" width="13.5703125" style="9" customWidth="1"/>
    <col min="9" max="9" width="12.42578125" style="9" bestFit="1" customWidth="1"/>
    <col min="10" max="10" width="9.140625" style="9"/>
    <col min="11" max="11" width="5.28515625" style="9" customWidth="1"/>
    <col min="12" max="16384" width="9.140625" style="9"/>
  </cols>
  <sheetData>
    <row r="2" spans="2:15" ht="21" x14ac:dyDescent="0.35">
      <c r="B2" s="30" t="s">
        <v>47</v>
      </c>
      <c r="C2" s="29" t="s">
        <v>48</v>
      </c>
    </row>
    <row r="3" spans="2:15" x14ac:dyDescent="0.25">
      <c r="B3" s="49" t="s">
        <v>25</v>
      </c>
      <c r="C3" s="49" t="s">
        <v>7</v>
      </c>
      <c r="D3" s="49" t="s">
        <v>8</v>
      </c>
      <c r="E3" s="49" t="s">
        <v>26</v>
      </c>
      <c r="F3" s="31"/>
      <c r="G3" s="32"/>
      <c r="H3" s="31"/>
      <c r="I3" s="31"/>
      <c r="J3" s="3"/>
      <c r="K3" s="3"/>
      <c r="L3" s="3"/>
      <c r="M3" s="3"/>
      <c r="N3" s="31"/>
      <c r="O3" s="31"/>
    </row>
    <row r="4" spans="2:15" x14ac:dyDescent="0.25">
      <c r="B4" s="60">
        <v>75059.039999999994</v>
      </c>
      <c r="C4" s="292">
        <v>0.2</v>
      </c>
      <c r="D4" s="99">
        <f>C4*B4</f>
        <v>15011.807999999999</v>
      </c>
      <c r="E4" s="171">
        <f>SUM(D4/2)</f>
        <v>7505.9039999999995</v>
      </c>
      <c r="F4" s="31"/>
      <c r="G4" s="32"/>
      <c r="H4" s="31"/>
      <c r="I4" s="31"/>
      <c r="J4" s="3"/>
      <c r="K4" s="3"/>
      <c r="L4" s="3"/>
      <c r="M4" s="3"/>
      <c r="N4" s="31"/>
      <c r="O4" s="31"/>
    </row>
    <row r="5" spans="2:15" x14ac:dyDescent="0.25">
      <c r="B5" s="17" t="s">
        <v>78</v>
      </c>
      <c r="C5" s="291">
        <f>'Executive Summary'!C21</f>
        <v>44742</v>
      </c>
      <c r="D5" s="191"/>
      <c r="E5" s="166"/>
      <c r="F5" s="31"/>
      <c r="G5" s="32"/>
      <c r="H5" s="31"/>
      <c r="I5" s="31"/>
      <c r="J5" s="3"/>
      <c r="K5" s="3"/>
      <c r="L5" s="3"/>
      <c r="M5" s="3"/>
      <c r="N5" s="31"/>
      <c r="O5" s="31"/>
    </row>
    <row r="6" spans="2:15" ht="15.75" thickBot="1" x14ac:dyDescent="0.3">
      <c r="B6" s="191"/>
      <c r="C6" s="58"/>
      <c r="D6" s="191"/>
      <c r="E6" s="3"/>
      <c r="F6" s="166"/>
      <c r="G6" s="32"/>
      <c r="H6" s="31"/>
      <c r="I6" s="31"/>
      <c r="J6" s="3"/>
      <c r="K6" s="3"/>
      <c r="L6" s="3"/>
      <c r="M6" s="3"/>
      <c r="N6" s="31"/>
      <c r="O6" s="31"/>
    </row>
    <row r="7" spans="2:15" x14ac:dyDescent="0.25">
      <c r="B7" s="64" t="s">
        <v>79</v>
      </c>
      <c r="C7" s="289">
        <f>'Executive Summary'!E20</f>
        <v>0.5</v>
      </c>
      <c r="D7" s="68"/>
      <c r="E7" s="66"/>
      <c r="F7" s="162"/>
      <c r="G7" s="164"/>
      <c r="H7" s="66"/>
      <c r="I7" s="66"/>
      <c r="J7" s="66"/>
      <c r="K7" s="87"/>
      <c r="L7" s="3"/>
      <c r="M7" s="3"/>
      <c r="N7" s="31"/>
      <c r="O7" s="31"/>
    </row>
    <row r="8" spans="2:15" x14ac:dyDescent="0.25">
      <c r="B8" s="270"/>
      <c r="C8" s="3"/>
      <c r="D8" s="3"/>
      <c r="E8" s="63"/>
      <c r="F8" s="62"/>
      <c r="G8" s="34"/>
      <c r="H8" s="3"/>
      <c r="I8" s="3"/>
      <c r="J8" s="3"/>
      <c r="K8" s="83"/>
      <c r="L8" s="3"/>
      <c r="M8" s="3"/>
      <c r="N8" s="31"/>
      <c r="O8" s="31"/>
    </row>
    <row r="9" spans="2:15" ht="15.75" thickBot="1" x14ac:dyDescent="0.3">
      <c r="B9" s="86" t="s">
        <v>84</v>
      </c>
      <c r="C9" s="81"/>
      <c r="D9" s="81"/>
      <c r="E9" s="112"/>
      <c r="F9" s="80"/>
      <c r="G9" s="290"/>
      <c r="H9" s="81"/>
      <c r="I9" s="81"/>
      <c r="J9" s="81"/>
      <c r="K9" s="82"/>
      <c r="L9" s="3"/>
      <c r="M9" s="3"/>
      <c r="N9" s="31"/>
      <c r="O9" s="31"/>
    </row>
    <row r="10" spans="2:15" x14ac:dyDescent="0.25">
      <c r="B10" s="64"/>
      <c r="C10" s="66"/>
      <c r="D10" s="66"/>
      <c r="E10" s="66"/>
      <c r="F10" s="66"/>
      <c r="G10" s="164"/>
      <c r="H10" s="66"/>
      <c r="I10" s="66"/>
      <c r="J10" s="66"/>
      <c r="K10" s="87"/>
      <c r="L10" s="3"/>
      <c r="M10" s="3"/>
      <c r="N10" s="31"/>
      <c r="O10" s="31"/>
    </row>
    <row r="11" spans="2:15" x14ac:dyDescent="0.25">
      <c r="B11" s="206" t="s">
        <v>2</v>
      </c>
      <c r="C11" s="134">
        <v>0.2</v>
      </c>
      <c r="D11" s="3"/>
      <c r="E11" s="3"/>
      <c r="F11" s="22" t="s">
        <v>14</v>
      </c>
      <c r="G11" s="277">
        <f>SUM(E4*C11)</f>
        <v>1501.1808000000001</v>
      </c>
      <c r="H11" s="4"/>
      <c r="I11" s="3" t="s">
        <v>89</v>
      </c>
      <c r="J11" s="3">
        <v>0</v>
      </c>
      <c r="K11" s="72"/>
      <c r="L11" s="3"/>
      <c r="M11" s="3"/>
      <c r="N11" s="31"/>
      <c r="O11" s="31"/>
    </row>
    <row r="12" spans="2:15" x14ac:dyDescent="0.25">
      <c r="B12" s="59" t="s">
        <v>1</v>
      </c>
      <c r="C12" s="152">
        <v>67.900000000000006</v>
      </c>
      <c r="D12" s="3"/>
      <c r="E12" s="3"/>
      <c r="F12" s="22" t="s">
        <v>4</v>
      </c>
      <c r="G12" s="96">
        <f>SUM(C13)</f>
        <v>1</v>
      </c>
      <c r="H12" s="4"/>
      <c r="I12" s="3" t="s">
        <v>90</v>
      </c>
      <c r="J12" s="58">
        <v>0.5</v>
      </c>
      <c r="K12" s="74"/>
      <c r="L12" s="3"/>
      <c r="M12" s="3"/>
      <c r="N12" s="31"/>
      <c r="O12" s="31"/>
    </row>
    <row r="13" spans="2:15" x14ac:dyDescent="0.25">
      <c r="B13" s="5" t="s">
        <v>10</v>
      </c>
      <c r="C13" s="170">
        <f>IF(C12&lt;=62.99,0,IF(AND(C12&gt;=63,C12&lt;=66.99),50%,IF(C12&gt;=67,100%)))</f>
        <v>1</v>
      </c>
      <c r="D13" s="3"/>
      <c r="E13" s="3"/>
      <c r="F13" s="43" t="s">
        <v>131</v>
      </c>
      <c r="G13" s="96">
        <f>C7</f>
        <v>0.5</v>
      </c>
      <c r="H13" s="4"/>
      <c r="I13" s="3" t="s">
        <v>109</v>
      </c>
      <c r="J13" s="58">
        <v>1</v>
      </c>
      <c r="K13" s="75"/>
      <c r="L13" s="3"/>
      <c r="M13" s="3"/>
      <c r="N13" s="31"/>
      <c r="O13" s="31"/>
    </row>
    <row r="14" spans="2:15" x14ac:dyDescent="0.25">
      <c r="B14" s="33"/>
      <c r="C14" s="3"/>
      <c r="D14" s="3"/>
      <c r="E14" s="3"/>
      <c r="F14" s="22" t="s">
        <v>5</v>
      </c>
      <c r="G14" s="293">
        <f>SUM(G11*G12*G13)</f>
        <v>750.59040000000005</v>
      </c>
      <c r="H14" s="3"/>
      <c r="I14" s="3"/>
      <c r="J14" s="3"/>
      <c r="K14" s="83"/>
      <c r="L14" s="3"/>
      <c r="M14" s="3"/>
      <c r="N14" s="31"/>
      <c r="O14" s="31"/>
    </row>
    <row r="15" spans="2:15" ht="15.75" thickBot="1" x14ac:dyDescent="0.3">
      <c r="B15" s="86"/>
      <c r="C15" s="81"/>
      <c r="D15" s="81"/>
      <c r="E15" s="81"/>
      <c r="F15" s="81"/>
      <c r="G15" s="294"/>
      <c r="H15" s="81"/>
      <c r="I15" s="81"/>
      <c r="J15" s="81"/>
      <c r="K15" s="82"/>
      <c r="L15" s="3"/>
      <c r="M15" s="3"/>
      <c r="N15" s="31"/>
      <c r="O15" s="31"/>
    </row>
    <row r="16" spans="2:15" x14ac:dyDescent="0.25">
      <c r="B16" s="64"/>
      <c r="C16" s="66"/>
      <c r="D16" s="66"/>
      <c r="E16" s="66"/>
      <c r="F16" s="66"/>
      <c r="G16" s="67"/>
      <c r="H16" s="66"/>
      <c r="I16" s="66"/>
      <c r="J16" s="66"/>
      <c r="K16" s="87"/>
      <c r="L16" s="3"/>
      <c r="M16" s="3"/>
      <c r="N16" s="31"/>
      <c r="O16" s="31"/>
    </row>
    <row r="17" spans="2:15" x14ac:dyDescent="0.25">
      <c r="B17" s="33" t="s">
        <v>12</v>
      </c>
      <c r="C17" s="134">
        <v>0.15</v>
      </c>
      <c r="D17" s="3"/>
      <c r="E17" s="3"/>
      <c r="F17" s="3"/>
      <c r="G17" s="62"/>
      <c r="H17" s="3"/>
      <c r="I17" s="3"/>
      <c r="J17" s="3"/>
      <c r="K17" s="83"/>
      <c r="L17" s="3"/>
      <c r="M17" s="3"/>
      <c r="N17" s="31"/>
      <c r="O17" s="31"/>
    </row>
    <row r="18" spans="2:15" x14ac:dyDescent="0.25">
      <c r="B18" s="59" t="s">
        <v>1</v>
      </c>
      <c r="C18" s="205">
        <f>(10107+8844+19695+42905+12247+8908+0+30210+18354+17549+7057+29627+0)/1646263</f>
        <v>0.12482999374947988</v>
      </c>
      <c r="D18" s="3"/>
      <c r="E18" s="3"/>
      <c r="F18" s="22" t="s">
        <v>14</v>
      </c>
      <c r="G18" s="277">
        <f>SUM($E$4*C17)</f>
        <v>1125.8855999999998</v>
      </c>
      <c r="H18" s="4"/>
      <c r="I18" s="3" t="s">
        <v>106</v>
      </c>
      <c r="J18" s="3">
        <v>0</v>
      </c>
      <c r="K18" s="72"/>
      <c r="L18" s="3"/>
      <c r="M18" s="3"/>
      <c r="N18" s="31"/>
      <c r="O18" s="31"/>
    </row>
    <row r="19" spans="2:15" x14ac:dyDescent="0.25">
      <c r="B19" s="59" t="s">
        <v>0</v>
      </c>
      <c r="C19" s="205">
        <f>(10800+8363+17561+52676+12274+8363+14831+17250+17500+16725+0+25571+767)/1515507</f>
        <v>0.13373808237111409</v>
      </c>
      <c r="D19" s="3"/>
      <c r="E19" s="3"/>
      <c r="F19" s="22" t="s">
        <v>4</v>
      </c>
      <c r="G19" s="96">
        <f>SUM(C21)</f>
        <v>1</v>
      </c>
      <c r="H19" s="4"/>
      <c r="I19" s="3" t="s">
        <v>107</v>
      </c>
      <c r="J19" s="58">
        <v>0.5</v>
      </c>
      <c r="K19" s="74"/>
      <c r="L19" s="3"/>
      <c r="M19" s="3"/>
      <c r="N19" s="31"/>
      <c r="O19" s="31"/>
    </row>
    <row r="20" spans="2:15" x14ac:dyDescent="0.25">
      <c r="B20" s="5" t="s">
        <v>13</v>
      </c>
      <c r="C20" s="195">
        <f>SUM(C18/C19)</f>
        <v>0.93339153318413171</v>
      </c>
      <c r="D20" s="3"/>
      <c r="E20" s="3"/>
      <c r="F20" s="43" t="s">
        <v>131</v>
      </c>
      <c r="G20" s="96">
        <f>C7</f>
        <v>0.5</v>
      </c>
      <c r="H20" s="4"/>
      <c r="I20" s="3" t="s">
        <v>108</v>
      </c>
      <c r="J20" s="58">
        <v>1</v>
      </c>
      <c r="K20" s="75"/>
      <c r="L20" s="3"/>
      <c r="M20" s="3"/>
      <c r="N20" s="31"/>
      <c r="O20" s="31"/>
    </row>
    <row r="21" spans="2:15" x14ac:dyDescent="0.25">
      <c r="B21" s="5" t="s">
        <v>10</v>
      </c>
      <c r="C21" s="170">
        <f>IF(C20&gt;=100%,0,IF(AND(C20&lt;100%,C20&gt;=98%),50%,IF(C20&lt;98%,100%)))</f>
        <v>1</v>
      </c>
      <c r="D21" s="3"/>
      <c r="E21" s="3"/>
      <c r="F21" s="22" t="s">
        <v>5</v>
      </c>
      <c r="G21" s="293">
        <f>SUM(G18*G19*G20)</f>
        <v>562.94279999999992</v>
      </c>
      <c r="H21" s="3"/>
      <c r="I21" s="3"/>
      <c r="J21" s="3"/>
      <c r="K21" s="83"/>
      <c r="L21" s="3"/>
      <c r="M21" s="3"/>
      <c r="N21" s="31"/>
      <c r="O21" s="31"/>
    </row>
    <row r="22" spans="2:15" x14ac:dyDescent="0.25">
      <c r="B22" s="197" t="s">
        <v>58</v>
      </c>
      <c r="C22" s="12" t="s">
        <v>66</v>
      </c>
      <c r="D22" s="3"/>
      <c r="E22" s="3"/>
      <c r="F22" s="3"/>
      <c r="G22" s="62"/>
      <c r="H22" s="3"/>
      <c r="I22" s="3"/>
      <c r="J22" s="3"/>
      <c r="K22" s="83"/>
      <c r="L22" s="3"/>
      <c r="M22" s="3"/>
      <c r="N22" s="31"/>
      <c r="O22" s="31"/>
    </row>
    <row r="23" spans="2:15" x14ac:dyDescent="0.25">
      <c r="B23" s="197" t="s">
        <v>49</v>
      </c>
      <c r="C23" s="12" t="s">
        <v>59</v>
      </c>
      <c r="D23" s="3"/>
      <c r="E23" s="3"/>
      <c r="F23" s="3"/>
      <c r="G23" s="62"/>
      <c r="H23" s="3"/>
      <c r="I23" s="3"/>
      <c r="J23" s="3"/>
      <c r="K23" s="83"/>
      <c r="L23" s="3"/>
      <c r="M23" s="3"/>
      <c r="N23" s="31"/>
      <c r="O23" s="31"/>
    </row>
    <row r="24" spans="2:15" x14ac:dyDescent="0.25">
      <c r="B24" s="197" t="s">
        <v>60</v>
      </c>
      <c r="C24" s="12" t="s">
        <v>61</v>
      </c>
      <c r="D24" s="3"/>
      <c r="E24" s="3"/>
      <c r="F24" s="3"/>
      <c r="G24" s="62"/>
      <c r="H24" s="3"/>
      <c r="I24" s="3"/>
      <c r="J24" s="3"/>
      <c r="K24" s="83"/>
      <c r="L24" s="3"/>
      <c r="M24" s="3"/>
      <c r="N24" s="31"/>
      <c r="O24" s="31"/>
    </row>
    <row r="25" spans="2:15" x14ac:dyDescent="0.25">
      <c r="B25" s="197" t="s">
        <v>62</v>
      </c>
      <c r="C25" s="12" t="s">
        <v>63</v>
      </c>
      <c r="D25" s="3"/>
      <c r="E25" s="3"/>
      <c r="F25" s="3"/>
      <c r="G25" s="62"/>
      <c r="H25" s="3"/>
      <c r="I25" s="3"/>
      <c r="J25" s="3"/>
      <c r="K25" s="83"/>
      <c r="L25" s="3"/>
      <c r="M25" s="3"/>
      <c r="N25" s="31"/>
      <c r="O25" s="31"/>
    </row>
    <row r="26" spans="2:15" x14ac:dyDescent="0.25">
      <c r="B26" s="197" t="s">
        <v>64</v>
      </c>
      <c r="C26" s="12" t="s">
        <v>65</v>
      </c>
      <c r="D26" s="3"/>
      <c r="E26" s="3"/>
      <c r="F26" s="3"/>
      <c r="G26" s="62"/>
      <c r="H26" s="3"/>
      <c r="I26" s="3"/>
      <c r="J26" s="3"/>
      <c r="K26" s="83"/>
      <c r="L26" s="3"/>
      <c r="M26" s="3"/>
      <c r="N26" s="31"/>
      <c r="O26" s="31"/>
    </row>
    <row r="27" spans="2:15" ht="15.75" thickBot="1" x14ac:dyDescent="0.3">
      <c r="B27" s="198"/>
      <c r="C27" s="199"/>
      <c r="D27" s="81"/>
      <c r="E27" s="81"/>
      <c r="F27" s="81"/>
      <c r="G27" s="80"/>
      <c r="H27" s="81"/>
      <c r="I27" s="81"/>
      <c r="J27" s="81"/>
      <c r="K27" s="82"/>
      <c r="L27" s="3"/>
      <c r="M27" s="3"/>
      <c r="N27" s="31"/>
      <c r="O27" s="31"/>
    </row>
    <row r="28" spans="2:15" x14ac:dyDescent="0.25">
      <c r="B28" s="200"/>
      <c r="C28" s="201"/>
      <c r="D28" s="66"/>
      <c r="E28" s="66"/>
      <c r="F28" s="66"/>
      <c r="G28" s="67"/>
      <c r="H28" s="66"/>
      <c r="I28" s="66"/>
      <c r="J28" s="66"/>
      <c r="K28" s="87"/>
      <c r="L28" s="3"/>
      <c r="M28" s="3"/>
      <c r="N28" s="31"/>
      <c r="O28" s="31"/>
    </row>
    <row r="29" spans="2:15" x14ac:dyDescent="0.25">
      <c r="B29" s="33" t="s">
        <v>110</v>
      </c>
      <c r="C29" s="58">
        <v>0.25</v>
      </c>
      <c r="D29" s="3"/>
      <c r="E29" s="3"/>
      <c r="F29" s="3"/>
      <c r="G29" s="62"/>
      <c r="H29" s="3"/>
      <c r="I29" s="3"/>
      <c r="J29" s="3"/>
      <c r="K29" s="83"/>
      <c r="L29" s="3"/>
      <c r="M29" s="3"/>
      <c r="N29" s="31"/>
      <c r="O29" s="31"/>
    </row>
    <row r="30" spans="2:15" x14ac:dyDescent="0.25">
      <c r="B30" s="5"/>
      <c r="C30" s="48" t="s">
        <v>42</v>
      </c>
      <c r="D30" s="49" t="s">
        <v>43</v>
      </c>
      <c r="E30" s="34"/>
      <c r="F30" s="3"/>
      <c r="G30" s="62"/>
      <c r="H30" s="3"/>
      <c r="I30" s="3"/>
      <c r="J30" s="3"/>
      <c r="K30" s="83"/>
      <c r="L30" s="3"/>
      <c r="M30" s="3"/>
      <c r="N30" s="31"/>
      <c r="O30" s="31"/>
    </row>
    <row r="31" spans="2:15" x14ac:dyDescent="0.25">
      <c r="B31" s="59" t="s">
        <v>1</v>
      </c>
      <c r="C31" s="217">
        <f>196747/843341</f>
        <v>0.23329471708359964</v>
      </c>
      <c r="D31" s="217">
        <f>112516/577762</f>
        <v>0.19474454879344782</v>
      </c>
      <c r="E31" s="3"/>
      <c r="F31" s="22" t="s">
        <v>14</v>
      </c>
      <c r="G31" s="73">
        <f>SUM($E$4*C29)</f>
        <v>1876.4759999999999</v>
      </c>
      <c r="H31" s="3" t="s">
        <v>111</v>
      </c>
      <c r="I31" s="3" t="s">
        <v>114</v>
      </c>
      <c r="J31" s="58">
        <v>0</v>
      </c>
      <c r="K31" s="72"/>
      <c r="L31" s="3"/>
      <c r="M31" s="3"/>
      <c r="N31" s="31"/>
      <c r="O31" s="31"/>
    </row>
    <row r="32" spans="2:15" x14ac:dyDescent="0.25">
      <c r="B32" s="5" t="s">
        <v>10</v>
      </c>
      <c r="C32" s="196">
        <f>IF(C31="",(1/0),IF(C31&lt;30,100%,IF(AND(C31&gt;=30,C31&lt;=31.5),50%,IF(C31&gt;31.5,0))))</f>
        <v>1</v>
      </c>
      <c r="D32" s="196">
        <f>IF(D31="",(1/0),IF(D31&lt;0.19,100%,IF(AND(D31&gt;=0.19,D31&lt;=0.205),50%,IF(D31&gt;0.205,0))))</f>
        <v>0.5</v>
      </c>
      <c r="E32" s="3"/>
      <c r="F32" s="22" t="s">
        <v>4</v>
      </c>
      <c r="G32" s="96">
        <f>C33</f>
        <v>0.8</v>
      </c>
      <c r="H32" s="3"/>
      <c r="I32" s="3" t="s">
        <v>113</v>
      </c>
      <c r="J32" s="58">
        <v>0.5</v>
      </c>
      <c r="K32" s="74"/>
      <c r="L32" s="3"/>
      <c r="M32" s="3"/>
      <c r="N32" s="31"/>
      <c r="O32" s="31"/>
    </row>
    <row r="33" spans="2:15" x14ac:dyDescent="0.25">
      <c r="B33" s="5" t="s">
        <v>44</v>
      </c>
      <c r="C33" s="169">
        <f>(C32*0.6)+(D32*0.4)</f>
        <v>0.8</v>
      </c>
      <c r="D33" s="34"/>
      <c r="E33" s="3"/>
      <c r="F33" s="43" t="s">
        <v>131</v>
      </c>
      <c r="G33" s="96">
        <f>C7</f>
        <v>0.5</v>
      </c>
      <c r="H33" s="192"/>
      <c r="I33" s="193" t="s">
        <v>112</v>
      </c>
      <c r="J33" s="194">
        <v>1</v>
      </c>
      <c r="K33" s="75"/>
      <c r="L33" s="3"/>
      <c r="M33" s="3"/>
      <c r="N33" s="31"/>
      <c r="O33" s="31"/>
    </row>
    <row r="34" spans="2:15" x14ac:dyDescent="0.25">
      <c r="B34" s="33" t="s">
        <v>129</v>
      </c>
      <c r="C34" s="3"/>
      <c r="D34" s="3"/>
      <c r="E34" s="3"/>
      <c r="F34" s="22" t="s">
        <v>5</v>
      </c>
      <c r="G34" s="73">
        <f>SUM(G31*G32*G33)</f>
        <v>750.59040000000005</v>
      </c>
      <c r="H34" s="3" t="s">
        <v>115</v>
      </c>
      <c r="I34" s="3" t="s">
        <v>116</v>
      </c>
      <c r="J34" s="58">
        <v>0</v>
      </c>
      <c r="K34" s="72"/>
      <c r="L34" s="3"/>
      <c r="M34" s="3"/>
      <c r="N34" s="31"/>
      <c r="O34" s="31"/>
    </row>
    <row r="35" spans="2:15" x14ac:dyDescent="0.25">
      <c r="B35" s="202"/>
      <c r="C35" s="3"/>
      <c r="D35" s="3"/>
      <c r="E35" s="3"/>
      <c r="F35" s="3"/>
      <c r="G35" s="62"/>
      <c r="H35" s="3"/>
      <c r="I35" s="3" t="s">
        <v>117</v>
      </c>
      <c r="J35" s="58">
        <v>0.5</v>
      </c>
      <c r="K35" s="74"/>
      <c r="L35" s="3"/>
      <c r="M35" s="3"/>
      <c r="N35" s="31"/>
      <c r="O35" s="31"/>
    </row>
    <row r="36" spans="2:15" x14ac:dyDescent="0.25">
      <c r="B36" s="33"/>
      <c r="C36" s="3"/>
      <c r="D36" s="3"/>
      <c r="E36" s="3"/>
      <c r="F36" s="3"/>
      <c r="G36" s="62"/>
      <c r="H36" s="3"/>
      <c r="I36" s="3" t="s">
        <v>118</v>
      </c>
      <c r="J36" s="58">
        <v>1</v>
      </c>
      <c r="K36" s="75"/>
      <c r="L36" s="3"/>
      <c r="M36" s="3"/>
      <c r="N36" s="31"/>
      <c r="O36" s="31"/>
    </row>
    <row r="37" spans="2:15" ht="15.75" thickBot="1" x14ac:dyDescent="0.3">
      <c r="B37" s="86"/>
      <c r="C37" s="81"/>
      <c r="D37" s="81"/>
      <c r="E37" s="81"/>
      <c r="F37" s="81"/>
      <c r="G37" s="80"/>
      <c r="H37" s="81"/>
      <c r="I37" s="81"/>
      <c r="J37" s="81"/>
      <c r="K37" s="82"/>
      <c r="L37" s="3"/>
      <c r="M37" s="3"/>
      <c r="N37" s="31"/>
      <c r="O37" s="31"/>
    </row>
    <row r="38" spans="2:15" x14ac:dyDescent="0.25">
      <c r="B38" s="64"/>
      <c r="C38" s="66"/>
      <c r="D38" s="66"/>
      <c r="E38" s="66"/>
      <c r="F38" s="66"/>
      <c r="G38" s="67"/>
      <c r="H38" s="66"/>
      <c r="I38" s="66"/>
      <c r="J38" s="66"/>
      <c r="K38" s="87"/>
      <c r="L38" s="3"/>
      <c r="M38" s="3"/>
      <c r="N38" s="31"/>
      <c r="O38" s="31"/>
    </row>
    <row r="39" spans="2:15" x14ac:dyDescent="0.25">
      <c r="B39" s="33" t="s">
        <v>18</v>
      </c>
      <c r="C39" s="134">
        <v>0.25</v>
      </c>
      <c r="D39" s="3"/>
      <c r="E39" s="3"/>
      <c r="F39" s="22" t="s">
        <v>14</v>
      </c>
      <c r="G39" s="73">
        <f>SUM($E$4*C39)</f>
        <v>1876.4759999999999</v>
      </c>
      <c r="H39" s="4"/>
      <c r="I39" s="3" t="s">
        <v>106</v>
      </c>
      <c r="J39" s="58">
        <v>0</v>
      </c>
      <c r="K39" s="72"/>
      <c r="L39" s="3"/>
      <c r="M39" s="3"/>
      <c r="N39" s="31"/>
      <c r="O39" s="31"/>
    </row>
    <row r="40" spans="2:15" x14ac:dyDescent="0.25">
      <c r="B40" s="59" t="s">
        <v>1</v>
      </c>
      <c r="C40" s="227">
        <f>147379</f>
        <v>147379</v>
      </c>
      <c r="D40" s="62"/>
      <c r="E40" s="3"/>
      <c r="F40" s="22" t="s">
        <v>4</v>
      </c>
      <c r="G40" s="279">
        <f>SUM(C43)</f>
        <v>1</v>
      </c>
      <c r="H40" s="4"/>
      <c r="I40" s="3" t="s">
        <v>107</v>
      </c>
      <c r="J40" s="58">
        <v>0.5</v>
      </c>
      <c r="K40" s="74"/>
      <c r="L40" s="3"/>
      <c r="M40" s="3"/>
      <c r="N40" s="31"/>
      <c r="O40" s="31"/>
    </row>
    <row r="41" spans="2:15" x14ac:dyDescent="0.25">
      <c r="B41" s="59" t="s">
        <v>0</v>
      </c>
      <c r="C41" s="227">
        <f>173156</f>
        <v>173156</v>
      </c>
      <c r="D41" s="204"/>
      <c r="E41" s="3"/>
      <c r="F41" s="43" t="s">
        <v>131</v>
      </c>
      <c r="G41" s="96">
        <f>C7</f>
        <v>0.5</v>
      </c>
      <c r="H41" s="4"/>
      <c r="I41" s="3" t="s">
        <v>108</v>
      </c>
      <c r="J41" s="58">
        <v>1</v>
      </c>
      <c r="K41" s="75"/>
      <c r="L41" s="3"/>
      <c r="M41" s="3"/>
      <c r="N41" s="31"/>
      <c r="O41" s="31"/>
    </row>
    <row r="42" spans="2:15" x14ac:dyDescent="0.25">
      <c r="B42" s="5" t="s">
        <v>13</v>
      </c>
      <c r="C42" s="231">
        <f>SUM(C40/C41)</f>
        <v>0.85113423733511973</v>
      </c>
      <c r="D42" s="3"/>
      <c r="E42" s="3"/>
      <c r="F42" s="22" t="s">
        <v>5</v>
      </c>
      <c r="G42" s="73">
        <f>SUM(G39*G40*G41)</f>
        <v>938.23799999999994</v>
      </c>
      <c r="H42" s="3"/>
      <c r="I42" s="3"/>
      <c r="J42" s="3"/>
      <c r="K42" s="83"/>
      <c r="L42" s="3"/>
      <c r="M42" s="3"/>
      <c r="N42" s="31"/>
      <c r="O42" s="31"/>
    </row>
    <row r="43" spans="2:15" x14ac:dyDescent="0.25">
      <c r="B43" s="5" t="s">
        <v>10</v>
      </c>
      <c r="C43" s="196">
        <f>IF(C42&gt;100%,0,IF(AND(C42&lt;=100%,C42&gt;=98%),50%,IF(C42&lt;98%,100%)))</f>
        <v>1</v>
      </c>
      <c r="D43" s="3"/>
      <c r="E43" s="3"/>
      <c r="F43" s="3"/>
      <c r="G43" s="62"/>
      <c r="H43" s="3"/>
      <c r="I43" s="3"/>
      <c r="J43" s="3"/>
      <c r="K43" s="83"/>
      <c r="L43" s="3"/>
      <c r="M43" s="3"/>
      <c r="N43" s="31"/>
      <c r="O43" s="31"/>
    </row>
    <row r="44" spans="2:15" x14ac:dyDescent="0.25">
      <c r="B44" s="33" t="s">
        <v>67</v>
      </c>
      <c r="C44" s="3" t="s">
        <v>68</v>
      </c>
      <c r="D44" s="3"/>
      <c r="E44" s="3"/>
      <c r="F44" s="3"/>
      <c r="G44" s="62"/>
      <c r="H44" s="3"/>
      <c r="I44" s="3"/>
      <c r="J44" s="3"/>
      <c r="K44" s="83"/>
      <c r="L44" s="3"/>
      <c r="M44" s="3"/>
      <c r="N44" s="31"/>
      <c r="O44" s="31"/>
    </row>
    <row r="45" spans="2:15" ht="15.75" thickBot="1" x14ac:dyDescent="0.3">
      <c r="B45" s="86"/>
      <c r="C45" s="81"/>
      <c r="D45" s="81"/>
      <c r="E45" s="81"/>
      <c r="F45" s="81"/>
      <c r="G45" s="80"/>
      <c r="H45" s="81"/>
      <c r="I45" s="81"/>
      <c r="J45" s="81"/>
      <c r="K45" s="82"/>
      <c r="L45" s="3"/>
      <c r="M45" s="3"/>
      <c r="N45" s="31"/>
      <c r="O45" s="31"/>
    </row>
    <row r="46" spans="2:15" x14ac:dyDescent="0.25">
      <c r="B46" s="64"/>
      <c r="C46" s="66"/>
      <c r="D46" s="66"/>
      <c r="E46" s="66"/>
      <c r="F46" s="66"/>
      <c r="G46" s="67"/>
      <c r="H46" s="66"/>
      <c r="I46" s="66"/>
      <c r="J46" s="66"/>
      <c r="K46" s="87"/>
      <c r="L46" s="3"/>
      <c r="M46" s="3"/>
      <c r="N46" s="31"/>
      <c r="O46" s="31"/>
    </row>
    <row r="47" spans="2:15" x14ac:dyDescent="0.25">
      <c r="B47" s="33" t="s">
        <v>31</v>
      </c>
      <c r="C47" s="134">
        <v>0.15</v>
      </c>
      <c r="D47" s="3"/>
      <c r="E47" s="3"/>
      <c r="F47" s="22" t="s">
        <v>14</v>
      </c>
      <c r="G47" s="73">
        <f>SUM($E$4*C47)</f>
        <v>1125.8855999999998</v>
      </c>
      <c r="H47" s="4"/>
      <c r="I47" s="3" t="s">
        <v>119</v>
      </c>
      <c r="J47" s="58">
        <v>0</v>
      </c>
      <c r="K47" s="72"/>
      <c r="L47" s="3"/>
      <c r="M47" s="3"/>
      <c r="N47" s="31"/>
      <c r="O47" s="31"/>
    </row>
    <row r="48" spans="2:15" x14ac:dyDescent="0.25">
      <c r="B48" s="59" t="s">
        <v>4</v>
      </c>
      <c r="C48" s="295">
        <v>94</v>
      </c>
      <c r="D48" s="3"/>
      <c r="E48" s="3"/>
      <c r="F48" s="22" t="s">
        <v>4</v>
      </c>
      <c r="G48" s="70">
        <f>SUM(C49)</f>
        <v>1</v>
      </c>
      <c r="H48" s="4"/>
      <c r="I48" s="3" t="s">
        <v>120</v>
      </c>
      <c r="J48" s="58">
        <v>0.5</v>
      </c>
      <c r="K48" s="74"/>
      <c r="L48" s="3"/>
      <c r="M48" s="3"/>
      <c r="N48" s="31"/>
      <c r="O48" s="31"/>
    </row>
    <row r="49" spans="2:15" x14ac:dyDescent="0.25">
      <c r="B49" s="5" t="s">
        <v>10</v>
      </c>
      <c r="C49" s="196">
        <f>IF(C48&lt;80,0%,IF(AND(C48&gt;=80,C48&lt;90),50%,IF(C48&gt;=90,100%)))</f>
        <v>1</v>
      </c>
      <c r="D49" s="3"/>
      <c r="E49" s="3"/>
      <c r="F49" s="43" t="s">
        <v>131</v>
      </c>
      <c r="G49" s="96">
        <f>C7</f>
        <v>0.5</v>
      </c>
      <c r="H49" s="4"/>
      <c r="I49" s="3" t="s">
        <v>121</v>
      </c>
      <c r="J49" s="3">
        <v>100</v>
      </c>
      <c r="K49" s="75"/>
      <c r="L49" s="3"/>
      <c r="M49" s="3"/>
      <c r="N49" s="31"/>
      <c r="O49" s="31"/>
    </row>
    <row r="50" spans="2:15" x14ac:dyDescent="0.25">
      <c r="B50" s="33"/>
      <c r="C50" s="3"/>
      <c r="D50" s="3"/>
      <c r="E50" s="3"/>
      <c r="F50" s="22" t="s">
        <v>5</v>
      </c>
      <c r="G50" s="73">
        <f>SUM(G47*G48*G49)</f>
        <v>562.94279999999992</v>
      </c>
      <c r="H50" s="3"/>
      <c r="I50" s="3"/>
      <c r="J50" s="3"/>
      <c r="K50" s="83"/>
      <c r="L50" s="3"/>
      <c r="M50" s="3"/>
      <c r="N50" s="31"/>
      <c r="O50" s="31"/>
    </row>
    <row r="51" spans="2:15" ht="15.75" thickBot="1" x14ac:dyDescent="0.3">
      <c r="B51" s="86"/>
      <c r="C51" s="81"/>
      <c r="D51" s="81"/>
      <c r="E51" s="81"/>
      <c r="F51" s="81"/>
      <c r="G51" s="203"/>
      <c r="H51" s="81"/>
      <c r="I51" s="81"/>
      <c r="J51" s="81"/>
      <c r="K51" s="82"/>
      <c r="L51" s="3"/>
      <c r="M51" s="3"/>
      <c r="N51" s="31"/>
      <c r="O51" s="31"/>
    </row>
    <row r="52" spans="2:15" x14ac:dyDescent="0.25">
      <c r="B52" s="31"/>
      <c r="C52" s="31"/>
      <c r="D52" s="31"/>
      <c r="E52" s="31"/>
      <c r="F52" s="31"/>
      <c r="G52" s="32"/>
      <c r="H52" s="31"/>
      <c r="I52" s="31"/>
      <c r="J52" s="3"/>
      <c r="K52" s="3"/>
      <c r="L52" s="3"/>
      <c r="M52" s="3"/>
      <c r="N52" s="31"/>
      <c r="O52" s="31"/>
    </row>
    <row r="53" spans="2:15" x14ac:dyDescent="0.25">
      <c r="B53" s="31" t="s">
        <v>40</v>
      </c>
      <c r="C53" s="31"/>
      <c r="D53" s="31"/>
      <c r="E53" s="31"/>
      <c r="F53" s="22" t="s">
        <v>11</v>
      </c>
      <c r="G53" s="47">
        <f>G50+G42+G34+G21+G14</f>
        <v>3565.3044</v>
      </c>
      <c r="H53" s="31"/>
      <c r="I53" s="31"/>
      <c r="J53" s="3"/>
      <c r="K53" s="3"/>
      <c r="L53" s="3"/>
      <c r="M53" s="3"/>
      <c r="N53" s="31"/>
      <c r="O53" s="31"/>
    </row>
    <row r="54" spans="2:15" x14ac:dyDescent="0.25">
      <c r="B54" s="25"/>
    </row>
  </sheetData>
  <conditionalFormatting sqref="A14:XFD19 B13:E13 G13:XFD13 A21:XFD32 B20:E20 G20:XFD20 A34:XFD40 B33:E33 G33:XFD33 A42:XFD48 B41:E41 G41:XFD41 A50:XFD1048576 B49:E49 G49:XFD49 A1:XFD6 C8:XFD8 A7:A8 B7:XFD7 A9:XFD12">
    <cfRule type="containsErrors" dxfId="17" priority="6">
      <formula>ISERROR(A1)</formula>
    </cfRule>
  </conditionalFormatting>
  <conditionalFormatting sqref="F13">
    <cfRule type="containsErrors" dxfId="16" priority="5">
      <formula>ISERROR(F13)</formula>
    </cfRule>
  </conditionalFormatting>
  <conditionalFormatting sqref="F20">
    <cfRule type="containsErrors" dxfId="15" priority="4">
      <formula>ISERROR(F20)</formula>
    </cfRule>
  </conditionalFormatting>
  <conditionalFormatting sqref="F33">
    <cfRule type="containsErrors" dxfId="14" priority="3">
      <formula>ISERROR(F33)</formula>
    </cfRule>
  </conditionalFormatting>
  <conditionalFormatting sqref="F41">
    <cfRule type="containsErrors" dxfId="13" priority="2">
      <formula>ISERROR(F41)</formula>
    </cfRule>
  </conditionalFormatting>
  <conditionalFormatting sqref="F49">
    <cfRule type="containsErrors" dxfId="12" priority="1">
      <formula>ISERROR(F49)</formula>
    </cfRule>
  </conditionalFormatting>
  <pageMargins left="0.7" right="0.7" top="0.75" bottom="0.75" header="0.3" footer="0.3"/>
  <pageSetup scale="5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  <pageSetUpPr fitToPage="1"/>
  </sheetPr>
  <dimension ref="B1:N53"/>
  <sheetViews>
    <sheetView showGridLines="0" workbookViewId="0">
      <selection activeCell="N44" sqref="N44"/>
    </sheetView>
  </sheetViews>
  <sheetFormatPr defaultRowHeight="15" x14ac:dyDescent="0.25"/>
  <cols>
    <col min="1" max="1" width="9.140625" style="207"/>
    <col min="2" max="2" width="20.28515625" style="207" customWidth="1"/>
    <col min="3" max="4" width="15.5703125" style="207" customWidth="1"/>
    <col min="5" max="6" width="21.5703125" style="207" bestFit="1" customWidth="1"/>
    <col min="7" max="7" width="13.140625" style="207" bestFit="1" customWidth="1"/>
    <col min="8" max="8" width="13.42578125" style="207" bestFit="1" customWidth="1"/>
    <col min="9" max="9" width="12.42578125" style="207" bestFit="1" customWidth="1"/>
    <col min="10" max="10" width="9.140625" style="207"/>
    <col min="11" max="11" width="5.5703125" style="207" customWidth="1"/>
    <col min="12" max="16384" width="9.140625" style="207"/>
  </cols>
  <sheetData>
    <row r="1" spans="2:12" x14ac:dyDescent="0.25"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2:12" ht="21" x14ac:dyDescent="0.35">
      <c r="B2" s="23" t="s">
        <v>39</v>
      </c>
      <c r="C2" s="26"/>
      <c r="D2" s="29" t="s">
        <v>148</v>
      </c>
      <c r="E2" s="31"/>
      <c r="F2" s="31"/>
      <c r="G2" s="31"/>
      <c r="H2" s="31"/>
      <c r="I2" s="31"/>
      <c r="J2" s="31"/>
      <c r="K2" s="31"/>
      <c r="L2" s="31"/>
    </row>
    <row r="3" spans="2:12" x14ac:dyDescent="0.25">
      <c r="B3" s="49" t="s">
        <v>25</v>
      </c>
      <c r="C3" s="49" t="s">
        <v>7</v>
      </c>
      <c r="D3" s="49" t="s">
        <v>8</v>
      </c>
      <c r="E3" s="49" t="s">
        <v>26</v>
      </c>
      <c r="F3" s="31"/>
      <c r="G3" s="31"/>
      <c r="H3" s="31"/>
      <c r="I3" s="31"/>
      <c r="J3" s="31"/>
      <c r="K3" s="31"/>
      <c r="L3" s="31"/>
    </row>
    <row r="4" spans="2:12" x14ac:dyDescent="0.25">
      <c r="B4" s="153">
        <v>56275.199999999997</v>
      </c>
      <c r="C4" s="251">
        <v>0.2</v>
      </c>
      <c r="D4" s="136">
        <f>C4*B4</f>
        <v>11255.04</v>
      </c>
      <c r="E4" s="47">
        <f>SUM(D4/2)</f>
        <v>5627.52</v>
      </c>
      <c r="F4" s="31"/>
      <c r="G4" s="31"/>
      <c r="H4" s="31"/>
      <c r="I4" s="31"/>
      <c r="J4" s="31"/>
      <c r="K4" s="31"/>
      <c r="L4" s="31"/>
    </row>
    <row r="5" spans="2:12" x14ac:dyDescent="0.25">
      <c r="B5" s="221" t="s">
        <v>78</v>
      </c>
      <c r="C5" s="297">
        <f>'Executive Summary'!C21</f>
        <v>44742</v>
      </c>
      <c r="D5" s="168"/>
      <c r="E5" s="167"/>
      <c r="F5" s="31"/>
      <c r="G5" s="31"/>
      <c r="H5" s="31"/>
      <c r="I5" s="31"/>
      <c r="J5" s="31"/>
      <c r="K5" s="31"/>
      <c r="L5" s="31"/>
    </row>
    <row r="6" spans="2:12" ht="15.75" thickBot="1" x14ac:dyDescent="0.3">
      <c r="B6" s="168"/>
      <c r="C6" s="163"/>
      <c r="D6" s="168"/>
      <c r="E6" s="167"/>
      <c r="F6" s="31"/>
      <c r="G6" s="31"/>
      <c r="H6" s="31"/>
      <c r="I6" s="31"/>
      <c r="J6" s="31"/>
      <c r="K6" s="31"/>
      <c r="L6" s="31"/>
    </row>
    <row r="7" spans="2:12" x14ac:dyDescent="0.25">
      <c r="B7" s="64" t="s">
        <v>79</v>
      </c>
      <c r="C7" s="289">
        <f>'Executive Summary'!E20</f>
        <v>0.5</v>
      </c>
      <c r="D7" s="209"/>
      <c r="E7" s="210"/>
      <c r="F7" s="66"/>
      <c r="G7" s="66"/>
      <c r="H7" s="66"/>
      <c r="I7" s="66"/>
      <c r="J7" s="66"/>
      <c r="K7" s="87"/>
      <c r="L7" s="31"/>
    </row>
    <row r="8" spans="2:12" x14ac:dyDescent="0.25">
      <c r="B8" s="296"/>
      <c r="C8" s="3"/>
      <c r="D8" s="3"/>
      <c r="E8" s="63"/>
      <c r="F8" s="62"/>
      <c r="G8" s="3"/>
      <c r="H8" s="3"/>
      <c r="I8" s="3"/>
      <c r="J8" s="3"/>
      <c r="K8" s="83"/>
      <c r="L8" s="31"/>
    </row>
    <row r="9" spans="2:12" ht="15.75" thickBot="1" x14ac:dyDescent="0.3">
      <c r="B9" s="86" t="s">
        <v>84</v>
      </c>
      <c r="C9" s="81"/>
      <c r="D9" s="81"/>
      <c r="E9" s="212"/>
      <c r="F9" s="112"/>
      <c r="G9" s="80"/>
      <c r="H9" s="113"/>
      <c r="I9" s="81"/>
      <c r="J9" s="81"/>
      <c r="K9" s="82"/>
      <c r="L9" s="31"/>
    </row>
    <row r="10" spans="2:12" x14ac:dyDescent="0.25">
      <c r="B10" s="64"/>
      <c r="C10" s="66"/>
      <c r="D10" s="66"/>
      <c r="E10" s="213"/>
      <c r="F10" s="66"/>
      <c r="G10" s="66"/>
      <c r="H10" s="66"/>
      <c r="I10" s="66"/>
      <c r="J10" s="66"/>
      <c r="K10" s="87"/>
      <c r="L10" s="31"/>
    </row>
    <row r="11" spans="2:12" x14ac:dyDescent="0.25">
      <c r="B11" s="206" t="s">
        <v>2</v>
      </c>
      <c r="C11" s="134">
        <v>0.2</v>
      </c>
      <c r="D11" s="3"/>
      <c r="E11" s="211"/>
      <c r="F11" s="22" t="s">
        <v>14</v>
      </c>
      <c r="G11" s="73">
        <f>SUM($E$4*C11)</f>
        <v>1125.5040000000001</v>
      </c>
      <c r="H11" s="3"/>
      <c r="I11" s="3" t="s">
        <v>89</v>
      </c>
      <c r="J11" s="58">
        <v>0</v>
      </c>
      <c r="K11" s="174"/>
      <c r="L11" s="31"/>
    </row>
    <row r="12" spans="2:12" x14ac:dyDescent="0.25">
      <c r="B12" s="59" t="s">
        <v>1</v>
      </c>
      <c r="C12" s="152">
        <v>67.900000000000006</v>
      </c>
      <c r="D12" s="3"/>
      <c r="E12" s="211"/>
      <c r="F12" s="22" t="s">
        <v>4</v>
      </c>
      <c r="G12" s="96">
        <f>SUM(C13)</f>
        <v>1</v>
      </c>
      <c r="H12" s="3"/>
      <c r="I12" s="3" t="s">
        <v>90</v>
      </c>
      <c r="J12" s="58">
        <v>0.5</v>
      </c>
      <c r="K12" s="175"/>
      <c r="L12" s="31"/>
    </row>
    <row r="13" spans="2:12" x14ac:dyDescent="0.25">
      <c r="B13" s="5" t="s">
        <v>10</v>
      </c>
      <c r="C13" s="216">
        <f>IF(C12&lt;=62.99,0,IF(AND(C12&gt;=63,C12&lt;=66.99),50%,IF(C12&gt;=67,100%)))</f>
        <v>1</v>
      </c>
      <c r="D13" s="3"/>
      <c r="E13" s="211"/>
      <c r="F13" s="43" t="s">
        <v>131</v>
      </c>
      <c r="G13" s="96">
        <f>C7</f>
        <v>0.5</v>
      </c>
      <c r="H13" s="3"/>
      <c r="I13" s="3" t="s">
        <v>109</v>
      </c>
      <c r="J13" s="58">
        <v>1</v>
      </c>
      <c r="K13" s="176"/>
      <c r="L13" s="31"/>
    </row>
    <row r="14" spans="2:12" x14ac:dyDescent="0.25">
      <c r="B14" s="33"/>
      <c r="C14" s="3"/>
      <c r="D14" s="3"/>
      <c r="E14" s="211"/>
      <c r="F14" s="22" t="s">
        <v>5</v>
      </c>
      <c r="G14" s="255">
        <f>SUM(G11*G12*G13)</f>
        <v>562.75200000000007</v>
      </c>
      <c r="H14" s="3"/>
      <c r="I14" s="3"/>
      <c r="J14" s="3"/>
      <c r="K14" s="83"/>
      <c r="L14" s="31"/>
    </row>
    <row r="15" spans="2:12" ht="15.75" thickBot="1" x14ac:dyDescent="0.3">
      <c r="B15" s="86"/>
      <c r="C15" s="81"/>
      <c r="D15" s="81"/>
      <c r="E15" s="212"/>
      <c r="F15" s="81"/>
      <c r="G15" s="298"/>
      <c r="H15" s="81"/>
      <c r="I15" s="81"/>
      <c r="J15" s="81"/>
      <c r="K15" s="82"/>
      <c r="L15" s="31"/>
    </row>
    <row r="16" spans="2:12" x14ac:dyDescent="0.25">
      <c r="B16" s="64"/>
      <c r="C16" s="66"/>
      <c r="D16" s="66"/>
      <c r="E16" s="213"/>
      <c r="F16" s="66"/>
      <c r="G16" s="67"/>
      <c r="H16" s="66"/>
      <c r="I16" s="66"/>
      <c r="J16" s="66"/>
      <c r="K16" s="87"/>
      <c r="L16" s="31"/>
    </row>
    <row r="17" spans="2:14" x14ac:dyDescent="0.25">
      <c r="B17" s="33" t="s">
        <v>12</v>
      </c>
      <c r="C17" s="134">
        <v>0.15</v>
      </c>
      <c r="D17" s="3"/>
      <c r="E17" s="211"/>
      <c r="F17" s="22" t="s">
        <v>14</v>
      </c>
      <c r="G17" s="73">
        <f>SUM($E$4*C17)</f>
        <v>844.12800000000004</v>
      </c>
      <c r="H17" s="211"/>
      <c r="I17" s="211" t="s">
        <v>106</v>
      </c>
      <c r="J17" s="214">
        <v>0</v>
      </c>
      <c r="K17" s="174"/>
      <c r="L17" s="10"/>
      <c r="M17" s="6"/>
      <c r="N17" s="6"/>
    </row>
    <row r="18" spans="2:14" x14ac:dyDescent="0.25">
      <c r="B18" s="59" t="s">
        <v>1</v>
      </c>
      <c r="C18" s="217">
        <f>(26664+17532+8355+18125+30971+19803+5017+13900+0+10401+20637)/(1646263-457798-159265-27794-98224-85761-6030)</f>
        <v>0.21124833773113086</v>
      </c>
      <c r="D18" s="3"/>
      <c r="E18" s="211"/>
      <c r="F18" s="22" t="s">
        <v>4</v>
      </c>
      <c r="G18" s="96">
        <f>SUM(C21)</f>
        <v>0.5</v>
      </c>
      <c r="H18" s="211"/>
      <c r="I18" s="211" t="s">
        <v>122</v>
      </c>
      <c r="J18" s="214">
        <v>0.5</v>
      </c>
      <c r="K18" s="175"/>
      <c r="L18" s="10"/>
      <c r="M18" s="6"/>
      <c r="N18" s="6"/>
    </row>
    <row r="19" spans="2:14" x14ac:dyDescent="0.25">
      <c r="B19" s="59" t="s">
        <v>0</v>
      </c>
      <c r="C19" s="217">
        <f>(25865+19287+8183+17644+27105+18529+3069+11763+5114+10996+18155)/(1515507-426000-149000-22750-64000-83933)</f>
        <v>0.21525699380637653</v>
      </c>
      <c r="D19" s="3"/>
      <c r="E19" s="211"/>
      <c r="F19" s="43" t="s">
        <v>131</v>
      </c>
      <c r="G19" s="96">
        <f>C7</f>
        <v>0.5</v>
      </c>
      <c r="H19" s="211"/>
      <c r="I19" s="211" t="s">
        <v>108</v>
      </c>
      <c r="J19" s="214">
        <v>1</v>
      </c>
      <c r="K19" s="176"/>
      <c r="L19" s="10"/>
      <c r="M19" s="6"/>
      <c r="N19" s="6"/>
    </row>
    <row r="20" spans="2:14" x14ac:dyDescent="0.25">
      <c r="B20" s="5" t="s">
        <v>13</v>
      </c>
      <c r="C20" s="229">
        <f>SUM(C18/C19)</f>
        <v>0.98137734805099319</v>
      </c>
      <c r="D20" s="3"/>
      <c r="E20" s="211"/>
      <c r="F20" s="22" t="s">
        <v>5</v>
      </c>
      <c r="G20" s="255">
        <f>SUM(G17*G18*G19)</f>
        <v>211.03200000000001</v>
      </c>
      <c r="H20" s="211"/>
      <c r="I20" s="211"/>
      <c r="J20" s="211"/>
      <c r="K20" s="83"/>
      <c r="L20" s="10"/>
      <c r="M20" s="6"/>
      <c r="N20" s="6"/>
    </row>
    <row r="21" spans="2:14" x14ac:dyDescent="0.25">
      <c r="B21" s="5" t="s">
        <v>10</v>
      </c>
      <c r="C21" s="216">
        <f>IF(C20&gt;100%,0,IF(AND(C20&lt;=100%,C20&gt;=98%),50%,IF(C20&lt;98,100%)))</f>
        <v>0.5</v>
      </c>
      <c r="D21" s="3"/>
      <c r="E21" s="211"/>
      <c r="F21" s="211"/>
      <c r="G21" s="299"/>
      <c r="H21" s="3"/>
      <c r="I21" s="211"/>
      <c r="J21" s="211"/>
      <c r="K21" s="83"/>
      <c r="L21" s="10"/>
      <c r="M21" s="6"/>
      <c r="N21" s="6"/>
    </row>
    <row r="22" spans="2:14" x14ac:dyDescent="0.25">
      <c r="B22" s="197" t="s">
        <v>57</v>
      </c>
      <c r="C22" s="12" t="s">
        <v>69</v>
      </c>
      <c r="D22" s="12"/>
      <c r="E22" s="220"/>
      <c r="F22" s="220"/>
      <c r="G22" s="299"/>
      <c r="H22" s="3"/>
      <c r="I22" s="3"/>
      <c r="J22" s="3"/>
      <c r="K22" s="83"/>
      <c r="L22" s="31"/>
    </row>
    <row r="23" spans="2:14" x14ac:dyDescent="0.25">
      <c r="B23" s="197" t="s">
        <v>49</v>
      </c>
      <c r="C23" s="12" t="s">
        <v>70</v>
      </c>
      <c r="D23" s="12"/>
      <c r="E23" s="220"/>
      <c r="F23" s="220"/>
      <c r="G23" s="299"/>
      <c r="H23" s="3"/>
      <c r="I23" s="3"/>
      <c r="J23" s="3"/>
      <c r="K23" s="83"/>
      <c r="L23" s="31"/>
    </row>
    <row r="24" spans="2:14" x14ac:dyDescent="0.25">
      <c r="B24" s="197" t="s">
        <v>60</v>
      </c>
      <c r="C24" s="12" t="s">
        <v>71</v>
      </c>
      <c r="D24" s="12"/>
      <c r="E24" s="220"/>
      <c r="F24" s="220"/>
      <c r="G24" s="299"/>
      <c r="H24" s="3"/>
      <c r="I24" s="3"/>
      <c r="J24" s="3"/>
      <c r="K24" s="83"/>
      <c r="L24" s="31"/>
    </row>
    <row r="25" spans="2:14" x14ac:dyDescent="0.25">
      <c r="B25" s="197" t="s">
        <v>72</v>
      </c>
      <c r="C25" s="12" t="s">
        <v>73</v>
      </c>
      <c r="D25" s="12"/>
      <c r="E25" s="220"/>
      <c r="F25" s="220"/>
      <c r="G25" s="299"/>
      <c r="H25" s="3"/>
      <c r="I25" s="3"/>
      <c r="J25" s="3"/>
      <c r="K25" s="83"/>
      <c r="L25" s="31"/>
    </row>
    <row r="26" spans="2:14" x14ac:dyDescent="0.25">
      <c r="B26" s="197" t="s">
        <v>64</v>
      </c>
      <c r="C26" s="12" t="s">
        <v>74</v>
      </c>
      <c r="D26" s="12"/>
      <c r="E26" s="220"/>
      <c r="F26" s="12"/>
      <c r="G26" s="62"/>
      <c r="H26" s="3"/>
      <c r="I26" s="3"/>
      <c r="J26" s="3"/>
      <c r="K26" s="83"/>
      <c r="L26" s="31"/>
    </row>
    <row r="27" spans="2:14" ht="15.75" thickBot="1" x14ac:dyDescent="0.3">
      <c r="B27" s="86"/>
      <c r="C27" s="81"/>
      <c r="D27" s="81"/>
      <c r="E27" s="212"/>
      <c r="F27" s="81"/>
      <c r="G27" s="80"/>
      <c r="H27" s="81"/>
      <c r="I27" s="81"/>
      <c r="J27" s="81"/>
      <c r="K27" s="82"/>
      <c r="L27" s="31"/>
    </row>
    <row r="28" spans="2:14" x14ac:dyDescent="0.25">
      <c r="B28" s="64"/>
      <c r="C28" s="66"/>
      <c r="D28" s="66"/>
      <c r="E28" s="213"/>
      <c r="F28" s="66"/>
      <c r="G28" s="67"/>
      <c r="H28" s="66"/>
      <c r="I28" s="66"/>
      <c r="J28" s="66"/>
      <c r="K28" s="87"/>
      <c r="L28" s="31"/>
    </row>
    <row r="29" spans="2:14" x14ac:dyDescent="0.25">
      <c r="B29" s="33" t="s">
        <v>110</v>
      </c>
      <c r="C29" s="134">
        <v>0.25</v>
      </c>
      <c r="D29" s="3"/>
      <c r="E29" s="211"/>
      <c r="F29" s="3"/>
      <c r="G29" s="62"/>
      <c r="H29" s="3"/>
      <c r="I29" s="3"/>
      <c r="J29" s="3"/>
      <c r="K29" s="83"/>
      <c r="L29" s="31"/>
    </row>
    <row r="30" spans="2:14" x14ac:dyDescent="0.25">
      <c r="B30" s="5"/>
      <c r="C30" s="48" t="s">
        <v>42</v>
      </c>
      <c r="D30" s="208" t="s">
        <v>43</v>
      </c>
      <c r="E30" s="211"/>
      <c r="F30" s="3"/>
      <c r="G30" s="62"/>
      <c r="H30" s="3"/>
      <c r="I30" s="3"/>
      <c r="J30" s="3"/>
      <c r="K30" s="83"/>
      <c r="L30" s="31"/>
    </row>
    <row r="31" spans="2:14" x14ac:dyDescent="0.25">
      <c r="B31" s="59" t="s">
        <v>1</v>
      </c>
      <c r="C31" s="217">
        <f>196747/843341</f>
        <v>0.23329471708359964</v>
      </c>
      <c r="D31" s="228">
        <f>112516/577762</f>
        <v>0.19474454879344782</v>
      </c>
      <c r="E31" s="211"/>
      <c r="F31" s="22" t="s">
        <v>14</v>
      </c>
      <c r="G31" s="73">
        <f>SUM(E4*C29)</f>
        <v>1406.88</v>
      </c>
      <c r="H31" s="3" t="s">
        <v>111</v>
      </c>
      <c r="I31" s="3" t="s">
        <v>114</v>
      </c>
      <c r="J31" s="58">
        <v>0</v>
      </c>
      <c r="K31" s="174"/>
      <c r="L31" s="31"/>
    </row>
    <row r="32" spans="2:14" x14ac:dyDescent="0.25">
      <c r="B32" s="5" t="s">
        <v>10</v>
      </c>
      <c r="C32" s="216">
        <f>IF(C31="",(1/0),IF(C31&lt;30,100%,IF(AND(C31&gt;=30,C31&lt;=31.5),50%,IF(C31&gt;31.5,0))))</f>
        <v>1</v>
      </c>
      <c r="D32" s="218">
        <f>IF(D31="",(1/0),IF(D31&lt;0.19,100%,IF(AND(D31&gt;=0.19,D31&lt;=0.205),50%,IF(D31&gt;0.205,0))))</f>
        <v>0.5</v>
      </c>
      <c r="E32" s="211"/>
      <c r="F32" s="22" t="s">
        <v>4</v>
      </c>
      <c r="G32" s="96">
        <f>SUM(C33)</f>
        <v>0.8</v>
      </c>
      <c r="H32" s="3"/>
      <c r="I32" s="3" t="s">
        <v>113</v>
      </c>
      <c r="J32" s="58">
        <v>0.5</v>
      </c>
      <c r="K32" s="175"/>
      <c r="L32" s="31"/>
    </row>
    <row r="33" spans="2:12" x14ac:dyDescent="0.25">
      <c r="B33" s="5" t="s">
        <v>44</v>
      </c>
      <c r="C33" s="50">
        <f>SUM(C32*0.6)+(D32*0.4)</f>
        <v>0.8</v>
      </c>
      <c r="D33" s="34"/>
      <c r="E33" s="211"/>
      <c r="F33" s="43" t="s">
        <v>131</v>
      </c>
      <c r="G33" s="96">
        <f>C7</f>
        <v>0.5</v>
      </c>
      <c r="H33" s="192"/>
      <c r="I33" s="193" t="s">
        <v>112</v>
      </c>
      <c r="J33" s="194">
        <v>1</v>
      </c>
      <c r="K33" s="176"/>
      <c r="L33" s="31"/>
    </row>
    <row r="34" spans="2:12" x14ac:dyDescent="0.25">
      <c r="B34" s="33" t="s">
        <v>129</v>
      </c>
      <c r="C34" s="3"/>
      <c r="D34" s="3"/>
      <c r="E34" s="211"/>
      <c r="F34" s="22" t="s">
        <v>5</v>
      </c>
      <c r="G34" s="73">
        <f>SUM(G31*G32*G33)</f>
        <v>562.75200000000007</v>
      </c>
      <c r="H34" s="3" t="s">
        <v>115</v>
      </c>
      <c r="I34" s="3" t="s">
        <v>116</v>
      </c>
      <c r="J34" s="58">
        <v>0</v>
      </c>
      <c r="K34" s="174"/>
      <c r="L34" s="31"/>
    </row>
    <row r="35" spans="2:12" x14ac:dyDescent="0.25">
      <c r="B35" s="202"/>
      <c r="C35" s="3"/>
      <c r="D35" s="3"/>
      <c r="E35" s="211"/>
      <c r="F35" s="3"/>
      <c r="G35" s="62"/>
      <c r="H35" s="3"/>
      <c r="I35" s="3" t="s">
        <v>117</v>
      </c>
      <c r="J35" s="58">
        <v>0.5</v>
      </c>
      <c r="K35" s="175"/>
      <c r="L35" s="31"/>
    </row>
    <row r="36" spans="2:12" x14ac:dyDescent="0.25">
      <c r="B36" s="33"/>
      <c r="C36" s="3"/>
      <c r="D36" s="3"/>
      <c r="E36" s="211"/>
      <c r="F36" s="3"/>
      <c r="G36" s="62"/>
      <c r="H36" s="3"/>
      <c r="I36" s="3" t="s">
        <v>118</v>
      </c>
      <c r="J36" s="58">
        <v>1</v>
      </c>
      <c r="K36" s="176"/>
      <c r="L36" s="31"/>
    </row>
    <row r="37" spans="2:12" ht="15.75" thickBot="1" x14ac:dyDescent="0.3">
      <c r="B37" s="86"/>
      <c r="C37" s="81"/>
      <c r="D37" s="81"/>
      <c r="E37" s="212"/>
      <c r="F37" s="81"/>
      <c r="G37" s="80"/>
      <c r="H37" s="81"/>
      <c r="I37" s="81"/>
      <c r="J37" s="215"/>
      <c r="K37" s="219"/>
      <c r="L37" s="31"/>
    </row>
    <row r="38" spans="2:12" x14ac:dyDescent="0.25">
      <c r="B38" s="64"/>
      <c r="C38" s="66"/>
      <c r="D38" s="66"/>
      <c r="E38" s="213"/>
      <c r="F38" s="66"/>
      <c r="G38" s="67"/>
      <c r="H38" s="66"/>
      <c r="I38" s="66"/>
      <c r="J38" s="66"/>
      <c r="K38" s="87"/>
      <c r="L38" s="31"/>
    </row>
    <row r="39" spans="2:12" x14ac:dyDescent="0.25">
      <c r="B39" s="33" t="s">
        <v>18</v>
      </c>
      <c r="C39" s="134">
        <v>0.25</v>
      </c>
      <c r="D39" s="3"/>
      <c r="E39" s="211"/>
      <c r="F39" s="22" t="s">
        <v>14</v>
      </c>
      <c r="G39" s="73">
        <f>SUM($E$4*C39)</f>
        <v>1406.88</v>
      </c>
      <c r="H39" s="211"/>
      <c r="I39" s="211" t="s">
        <v>106</v>
      </c>
      <c r="J39" s="214">
        <v>0</v>
      </c>
      <c r="K39" s="174"/>
    </row>
    <row r="40" spans="2:12" x14ac:dyDescent="0.25">
      <c r="B40" s="59" t="s">
        <v>1</v>
      </c>
      <c r="C40" s="217">
        <f>(147379-42437)/(1646263-457798-159265-27794-98224-85761-6030)</f>
        <v>0.12933591819480375</v>
      </c>
      <c r="D40" s="3"/>
      <c r="E40" s="211"/>
      <c r="F40" s="22" t="s">
        <v>4</v>
      </c>
      <c r="G40" s="279">
        <f>SUM(C43)</f>
        <v>1</v>
      </c>
      <c r="H40" s="3"/>
      <c r="I40" s="3" t="s">
        <v>122</v>
      </c>
      <c r="J40" s="58">
        <v>0.5</v>
      </c>
      <c r="K40" s="175"/>
      <c r="L40" s="31"/>
    </row>
    <row r="41" spans="2:12" x14ac:dyDescent="0.25">
      <c r="B41" s="59" t="s">
        <v>0</v>
      </c>
      <c r="C41" s="217">
        <f>(173156-48583)/(1515507-426000-149000-22750-64000-83933-0)</f>
        <v>0.16182010433553642</v>
      </c>
      <c r="D41" s="3"/>
      <c r="E41" s="211"/>
      <c r="F41" s="43" t="s">
        <v>131</v>
      </c>
      <c r="G41" s="96">
        <f>C7</f>
        <v>0.5</v>
      </c>
      <c r="H41" s="3"/>
      <c r="I41" s="3" t="s">
        <v>108</v>
      </c>
      <c r="J41" s="58">
        <v>1</v>
      </c>
      <c r="K41" s="176"/>
      <c r="L41" s="31"/>
    </row>
    <row r="42" spans="2:12" x14ac:dyDescent="0.25">
      <c r="B42" s="5" t="s">
        <v>13</v>
      </c>
      <c r="C42" s="50">
        <f>SUM(C40/C41)</f>
        <v>0.79925741443488241</v>
      </c>
      <c r="D42" s="3"/>
      <c r="E42" s="211"/>
      <c r="F42" s="22" t="s">
        <v>5</v>
      </c>
      <c r="G42" s="73">
        <f>SUM(G39*G40*G41)</f>
        <v>703.44</v>
      </c>
      <c r="H42" s="3"/>
      <c r="I42" s="3"/>
      <c r="J42" s="3"/>
      <c r="K42" s="83"/>
      <c r="L42" s="31"/>
    </row>
    <row r="43" spans="2:12" x14ac:dyDescent="0.25">
      <c r="B43" s="5" t="s">
        <v>10</v>
      </c>
      <c r="C43" s="216">
        <f>IF(C42&gt;100%,0,IF(AND(C42&lt;=100%,C42&gt;=98%),50%,IF(C42&lt;98,100%)))</f>
        <v>1</v>
      </c>
      <c r="D43" s="3"/>
      <c r="E43" s="211"/>
      <c r="F43" s="3"/>
      <c r="G43" s="62"/>
      <c r="H43" s="3"/>
      <c r="I43" s="3"/>
      <c r="J43" s="3"/>
      <c r="K43" s="83"/>
      <c r="L43" s="31"/>
    </row>
    <row r="44" spans="2:12" x14ac:dyDescent="0.25">
      <c r="B44" s="33" t="s">
        <v>75</v>
      </c>
      <c r="C44" s="3" t="s">
        <v>76</v>
      </c>
      <c r="D44" s="3"/>
      <c r="E44" s="211"/>
      <c r="F44" s="3"/>
      <c r="G44" s="62"/>
      <c r="H44" s="3"/>
      <c r="I44" s="3"/>
      <c r="J44" s="3"/>
      <c r="K44" s="83"/>
      <c r="L44" s="31"/>
    </row>
    <row r="45" spans="2:12" ht="15.75" thickBot="1" x14ac:dyDescent="0.3">
      <c r="B45" s="86"/>
      <c r="C45" s="81"/>
      <c r="D45" s="81"/>
      <c r="E45" s="212"/>
      <c r="F45" s="81"/>
      <c r="G45" s="80"/>
      <c r="H45" s="81"/>
      <c r="I45" s="81"/>
      <c r="J45" s="81"/>
      <c r="K45" s="82"/>
      <c r="L45" s="31"/>
    </row>
    <row r="46" spans="2:12" x14ac:dyDescent="0.25">
      <c r="B46" s="64"/>
      <c r="C46" s="66"/>
      <c r="D46" s="66"/>
      <c r="E46" s="213"/>
      <c r="F46" s="66"/>
      <c r="G46" s="67"/>
      <c r="H46" s="66"/>
      <c r="I46" s="66"/>
      <c r="J46" s="66"/>
      <c r="K46" s="87"/>
      <c r="L46" s="31"/>
    </row>
    <row r="47" spans="2:12" x14ac:dyDescent="0.25">
      <c r="B47" s="33" t="s">
        <v>31</v>
      </c>
      <c r="C47" s="134">
        <v>0.15</v>
      </c>
      <c r="D47" s="3"/>
      <c r="E47" s="211"/>
      <c r="F47" s="22" t="s">
        <v>14</v>
      </c>
      <c r="G47" s="73">
        <f>SUM($E$4*C47)</f>
        <v>844.12800000000004</v>
      </c>
      <c r="H47" s="3"/>
      <c r="I47" s="3" t="s">
        <v>123</v>
      </c>
      <c r="J47" s="58">
        <v>0</v>
      </c>
      <c r="K47" s="174"/>
      <c r="L47" s="31"/>
    </row>
    <row r="48" spans="2:12" x14ac:dyDescent="0.25">
      <c r="B48" s="59" t="s">
        <v>4</v>
      </c>
      <c r="C48" s="152">
        <v>94</v>
      </c>
      <c r="D48" s="3"/>
      <c r="E48" s="211"/>
      <c r="F48" s="22" t="s">
        <v>4</v>
      </c>
      <c r="G48" s="279">
        <f>SUM(C49)</f>
        <v>1</v>
      </c>
      <c r="H48" s="3"/>
      <c r="I48" s="3" t="s">
        <v>120</v>
      </c>
      <c r="J48" s="58">
        <v>0.5</v>
      </c>
      <c r="K48" s="175"/>
      <c r="L48" s="31"/>
    </row>
    <row r="49" spans="2:12" x14ac:dyDescent="0.25">
      <c r="B49" s="5" t="s">
        <v>10</v>
      </c>
      <c r="C49" s="216">
        <f>IF(C48&lt;80,0,IF(AND(C48&gt;=80,C48&lt;90),50%,IF(C48&gt;=90,100%)))</f>
        <v>1</v>
      </c>
      <c r="D49" s="3"/>
      <c r="E49" s="211"/>
      <c r="F49" s="43" t="s">
        <v>131</v>
      </c>
      <c r="G49" s="96">
        <f>C7</f>
        <v>0.5</v>
      </c>
      <c r="H49" s="3"/>
      <c r="I49" s="3" t="s">
        <v>121</v>
      </c>
      <c r="J49" s="58">
        <v>1</v>
      </c>
      <c r="K49" s="176"/>
      <c r="L49" s="31"/>
    </row>
    <row r="50" spans="2:12" x14ac:dyDescent="0.25">
      <c r="B50" s="33"/>
      <c r="C50" s="3"/>
      <c r="D50" s="3"/>
      <c r="E50" s="211"/>
      <c r="F50" s="22" t="s">
        <v>5</v>
      </c>
      <c r="G50" s="73">
        <f>SUM(G47*G48*G49)</f>
        <v>422.06400000000002</v>
      </c>
      <c r="H50" s="3"/>
      <c r="I50" s="3"/>
      <c r="J50" s="3"/>
      <c r="K50" s="83"/>
      <c r="L50" s="31"/>
    </row>
    <row r="51" spans="2:12" ht="15.75" thickBot="1" x14ac:dyDescent="0.3">
      <c r="B51" s="86"/>
      <c r="C51" s="81"/>
      <c r="D51" s="81"/>
      <c r="E51" s="212"/>
      <c r="F51" s="81"/>
      <c r="G51" s="81"/>
      <c r="H51" s="81"/>
      <c r="I51" s="81"/>
      <c r="J51" s="81"/>
      <c r="K51" s="82"/>
      <c r="L51" s="31"/>
    </row>
    <row r="52" spans="2:12" x14ac:dyDescent="0.25">
      <c r="B52" s="31"/>
      <c r="C52" s="31"/>
      <c r="D52" s="31"/>
      <c r="F52" s="31"/>
      <c r="G52" s="31"/>
      <c r="H52" s="31"/>
      <c r="I52" s="31"/>
      <c r="J52" s="31"/>
      <c r="K52" s="31"/>
      <c r="L52" s="31"/>
    </row>
    <row r="53" spans="2:12" x14ac:dyDescent="0.25">
      <c r="B53" s="31" t="s">
        <v>45</v>
      </c>
      <c r="C53" s="31"/>
      <c r="D53" s="31"/>
      <c r="F53" s="22" t="s">
        <v>11</v>
      </c>
      <c r="G53" s="171">
        <f>G50+G42+G34+G20+G14</f>
        <v>2462.0400000000004</v>
      </c>
      <c r="H53" s="31"/>
      <c r="I53" s="31"/>
      <c r="J53" s="31"/>
      <c r="K53" s="31"/>
      <c r="L53" s="31"/>
    </row>
  </sheetData>
  <conditionalFormatting sqref="A35:XFD40 C34:XFD34 A14:XFD18 B13:E13 G13:XFD13 A20:XFD32 B19:E19 G19:XFD19 B33:E33 G33:XFD33 A42:XFD48 B41:E41 G41:XFD41 A50:XFD1048576 B49:E49 G49:XFD49 A1:XFD6 C8:XFD8 A7:A8 B7:XFD7 A9:XFD12">
    <cfRule type="containsErrors" dxfId="11" priority="8">
      <formula>ISERROR(A1)</formula>
    </cfRule>
  </conditionalFormatting>
  <conditionalFormatting sqref="B34">
    <cfRule type="containsErrors" dxfId="10" priority="6">
      <formula>ISERROR(B34)</formula>
    </cfRule>
  </conditionalFormatting>
  <conditionalFormatting sqref="F13">
    <cfRule type="containsErrors" dxfId="9" priority="5">
      <formula>ISERROR(F13)</formula>
    </cfRule>
  </conditionalFormatting>
  <conditionalFormatting sqref="F19">
    <cfRule type="containsErrors" dxfId="8" priority="4">
      <formula>ISERROR(F19)</formula>
    </cfRule>
  </conditionalFormatting>
  <conditionalFormatting sqref="F33">
    <cfRule type="containsErrors" dxfId="7" priority="3">
      <formula>ISERROR(F33)</formula>
    </cfRule>
  </conditionalFormatting>
  <conditionalFormatting sqref="F41">
    <cfRule type="containsErrors" dxfId="6" priority="2">
      <formula>ISERROR(F41)</formula>
    </cfRule>
  </conditionalFormatting>
  <conditionalFormatting sqref="F49">
    <cfRule type="containsErrors" dxfId="5" priority="1">
      <formula>ISERROR(F49)</formula>
    </cfRule>
  </conditionalFormatting>
  <pageMargins left="0.7" right="0.7" top="0.75" bottom="0.75" header="0.3" footer="0.3"/>
  <pageSetup scale="6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D9B0-C372-4658-8C76-F0F5F75BACDA}">
  <sheetPr>
    <tabColor rgb="FF00B050"/>
    <pageSetUpPr fitToPage="1"/>
  </sheetPr>
  <dimension ref="B2:L48"/>
  <sheetViews>
    <sheetView showGridLines="0" workbookViewId="0">
      <selection activeCell="D21" sqref="D21"/>
    </sheetView>
  </sheetViews>
  <sheetFormatPr defaultRowHeight="15" x14ac:dyDescent="0.25"/>
  <cols>
    <col min="1" max="1" width="9.140625" style="9"/>
    <col min="2" max="2" width="25" style="9" customWidth="1"/>
    <col min="3" max="4" width="15.5703125" style="9" customWidth="1"/>
    <col min="5" max="5" width="21.5703125" style="9" bestFit="1" customWidth="1"/>
    <col min="6" max="6" width="15.5703125" style="9" customWidth="1"/>
    <col min="7" max="7" width="7.42578125" style="9" customWidth="1"/>
    <col min="8" max="8" width="15.5703125" style="9" customWidth="1"/>
    <col min="9" max="9" width="9.140625" style="9"/>
    <col min="10" max="10" width="5" style="9" customWidth="1"/>
    <col min="11" max="16384" width="9.140625" style="9"/>
  </cols>
  <sheetData>
    <row r="2" spans="2:12" ht="21" x14ac:dyDescent="0.35">
      <c r="B2" s="23" t="s">
        <v>161</v>
      </c>
      <c r="C2" s="236" t="s">
        <v>162</v>
      </c>
      <c r="D2" s="236"/>
    </row>
    <row r="3" spans="2:12" x14ac:dyDescent="0.25">
      <c r="B3" s="49" t="s">
        <v>17</v>
      </c>
      <c r="C3" s="49" t="s">
        <v>7</v>
      </c>
      <c r="D3" s="135" t="s">
        <v>20</v>
      </c>
      <c r="E3" s="49" t="s">
        <v>41</v>
      </c>
    </row>
    <row r="4" spans="2:12" x14ac:dyDescent="0.25">
      <c r="B4" s="153">
        <v>75000</v>
      </c>
      <c r="C4" s="251">
        <v>0.3</v>
      </c>
      <c r="D4" s="137">
        <f>SUM(B4*C4)</f>
        <v>22500</v>
      </c>
      <c r="E4" s="47">
        <f>SUM(D4/2)</f>
        <v>11250</v>
      </c>
    </row>
    <row r="5" spans="2:12" x14ac:dyDescent="0.25">
      <c r="B5" s="15" t="s">
        <v>78</v>
      </c>
      <c r="C5" s="288">
        <f>'Executive Summary'!C21</f>
        <v>44742</v>
      </c>
      <c r="E5" s="27"/>
    </row>
    <row r="6" spans="2:12" ht="15.75" thickBot="1" x14ac:dyDescent="0.3">
      <c r="B6" s="4"/>
      <c r="C6" s="98"/>
      <c r="E6" s="27"/>
    </row>
    <row r="7" spans="2:12" x14ac:dyDescent="0.25">
      <c r="B7" s="64" t="s">
        <v>79</v>
      </c>
      <c r="C7" s="264">
        <f>'Executive Summary'!E20</f>
        <v>0.5</v>
      </c>
      <c r="D7" s="117"/>
      <c r="E7" s="140"/>
      <c r="F7" s="117"/>
      <c r="G7" s="117"/>
      <c r="H7" s="117"/>
      <c r="I7" s="117"/>
      <c r="J7" s="109"/>
    </row>
    <row r="8" spans="2:12" x14ac:dyDescent="0.25">
      <c r="B8" s="270"/>
      <c r="C8" s="4"/>
      <c r="D8" s="3"/>
      <c r="E8" s="63"/>
      <c r="F8" s="62"/>
      <c r="G8" s="3"/>
      <c r="H8" s="3"/>
      <c r="I8" s="3"/>
      <c r="J8" s="111"/>
    </row>
    <row r="9" spans="2:12" ht="15.75" thickBot="1" x14ac:dyDescent="0.3">
      <c r="B9" s="86" t="s">
        <v>84</v>
      </c>
      <c r="C9" s="81"/>
      <c r="D9" s="81"/>
      <c r="E9" s="112"/>
      <c r="F9" s="80"/>
      <c r="G9" s="113"/>
      <c r="H9" s="81"/>
      <c r="I9" s="81"/>
      <c r="J9" s="114"/>
    </row>
    <row r="10" spans="2:12" x14ac:dyDescent="0.25">
      <c r="B10" s="64"/>
      <c r="C10" s="66"/>
      <c r="D10" s="117"/>
      <c r="E10" s="140"/>
      <c r="F10" s="117"/>
      <c r="G10" s="117"/>
      <c r="H10" s="117"/>
      <c r="I10" s="117"/>
      <c r="J10" s="109"/>
    </row>
    <row r="11" spans="2:12" x14ac:dyDescent="0.25">
      <c r="B11" s="33" t="s">
        <v>163</v>
      </c>
      <c r="C11" s="134">
        <v>0.25</v>
      </c>
      <c r="D11" s="4"/>
      <c r="E11" s="3"/>
      <c r="F11" s="4"/>
      <c r="G11" s="4"/>
      <c r="H11" s="4"/>
      <c r="I11" s="4"/>
      <c r="J11" s="111"/>
    </row>
    <row r="12" spans="2:12" x14ac:dyDescent="0.25">
      <c r="B12" s="59" t="s">
        <v>164</v>
      </c>
      <c r="C12" s="305"/>
      <c r="D12" s="4"/>
      <c r="E12" s="22" t="s">
        <v>14</v>
      </c>
      <c r="F12" s="271">
        <f>SUM($E$4*C11)</f>
        <v>2812.5</v>
      </c>
      <c r="G12" s="4"/>
      <c r="H12" s="307"/>
      <c r="I12" s="97">
        <v>0</v>
      </c>
      <c r="J12" s="72"/>
      <c r="L12" s="308" t="s">
        <v>167</v>
      </c>
    </row>
    <row r="13" spans="2:12" x14ac:dyDescent="0.25">
      <c r="B13" s="59" t="s">
        <v>165</v>
      </c>
      <c r="C13" s="306"/>
      <c r="D13" s="4"/>
      <c r="E13" s="22" t="s">
        <v>4</v>
      </c>
      <c r="F13" s="272">
        <f>SUM(C15)</f>
        <v>0</v>
      </c>
      <c r="G13" s="4"/>
      <c r="H13" s="307"/>
      <c r="I13" s="97">
        <v>0.5</v>
      </c>
      <c r="J13" s="74"/>
    </row>
    <row r="14" spans="2:12" x14ac:dyDescent="0.25">
      <c r="B14" s="5" t="s">
        <v>166</v>
      </c>
      <c r="C14" s="304" t="e">
        <f>C12/C13</f>
        <v>#DIV/0!</v>
      </c>
      <c r="D14" s="4"/>
      <c r="E14" s="43" t="s">
        <v>131</v>
      </c>
      <c r="F14" s="272">
        <f>C7</f>
        <v>0.5</v>
      </c>
      <c r="G14" s="4"/>
      <c r="H14" s="307"/>
      <c r="I14" s="97">
        <v>1</v>
      </c>
      <c r="J14" s="75"/>
    </row>
    <row r="15" spans="2:12" x14ac:dyDescent="0.25">
      <c r="B15" s="59" t="s">
        <v>10</v>
      </c>
      <c r="C15" s="309"/>
      <c r="D15" s="4"/>
      <c r="E15" s="22" t="s">
        <v>5</v>
      </c>
      <c r="F15" s="271">
        <f>SUM(F12*F13*F14)</f>
        <v>0</v>
      </c>
      <c r="G15" s="4"/>
      <c r="H15" s="307"/>
      <c r="I15" s="97">
        <v>1.05</v>
      </c>
      <c r="J15" s="76"/>
    </row>
    <row r="16" spans="2:12" ht="15.75" thickBot="1" x14ac:dyDescent="0.3">
      <c r="B16" s="141"/>
      <c r="C16" s="80"/>
      <c r="D16" s="121"/>
      <c r="E16" s="81"/>
      <c r="F16" s="273"/>
      <c r="G16" s="121"/>
      <c r="H16" s="121"/>
      <c r="I16" s="121"/>
      <c r="J16" s="114"/>
    </row>
    <row r="17" spans="2:12" x14ac:dyDescent="0.25">
      <c r="B17" s="64"/>
      <c r="C17" s="67"/>
      <c r="D17" s="117"/>
      <c r="E17" s="66"/>
      <c r="F17" s="274"/>
      <c r="G17" s="117"/>
      <c r="H17" s="117"/>
      <c r="I17" s="117"/>
      <c r="J17" s="109"/>
    </row>
    <row r="18" spans="2:12" x14ac:dyDescent="0.25">
      <c r="B18" s="33" t="s">
        <v>168</v>
      </c>
      <c r="C18" s="134">
        <v>0.25</v>
      </c>
      <c r="D18" s="4"/>
      <c r="E18" s="3"/>
      <c r="F18" s="275"/>
      <c r="G18" s="4"/>
      <c r="H18" s="4"/>
      <c r="I18" s="4"/>
      <c r="J18" s="111"/>
    </row>
    <row r="19" spans="2:12" x14ac:dyDescent="0.25">
      <c r="B19" s="59" t="s">
        <v>169</v>
      </c>
      <c r="C19" s="305"/>
      <c r="D19" s="4"/>
      <c r="E19" s="22" t="s">
        <v>14</v>
      </c>
      <c r="F19" s="271">
        <f>SUM($E$4*C18)</f>
        <v>2812.5</v>
      </c>
      <c r="G19" s="4"/>
      <c r="H19" s="307"/>
      <c r="I19" s="97">
        <v>0</v>
      </c>
      <c r="J19" s="72"/>
      <c r="L19" s="308" t="s">
        <v>167</v>
      </c>
    </row>
    <row r="20" spans="2:12" x14ac:dyDescent="0.25">
      <c r="B20" s="59" t="s">
        <v>170</v>
      </c>
      <c r="C20" s="305"/>
      <c r="D20" s="4"/>
      <c r="E20" s="22" t="s">
        <v>4</v>
      </c>
      <c r="F20" s="272">
        <f>SUM(C22)</f>
        <v>0</v>
      </c>
      <c r="G20" s="4"/>
      <c r="H20" s="307"/>
      <c r="I20" s="97">
        <v>0.5</v>
      </c>
      <c r="J20" s="74"/>
    </row>
    <row r="21" spans="2:12" x14ac:dyDescent="0.25">
      <c r="B21" s="5" t="s">
        <v>177</v>
      </c>
      <c r="C21" s="70" t="e">
        <f>SUM(C19/C20)</f>
        <v>#DIV/0!</v>
      </c>
      <c r="D21" s="4"/>
      <c r="E21" s="43" t="s">
        <v>131</v>
      </c>
      <c r="F21" s="272">
        <f>C7</f>
        <v>0.5</v>
      </c>
      <c r="G21" s="4"/>
      <c r="H21" s="307"/>
      <c r="I21" s="97">
        <v>1</v>
      </c>
      <c r="J21" s="75"/>
    </row>
    <row r="22" spans="2:12" x14ac:dyDescent="0.25">
      <c r="B22" s="59" t="s">
        <v>10</v>
      </c>
      <c r="C22" s="309"/>
      <c r="D22" s="4"/>
      <c r="E22" s="22" t="s">
        <v>5</v>
      </c>
      <c r="F22" s="271">
        <f>SUM(F19*F20*F21)</f>
        <v>0</v>
      </c>
      <c r="G22" s="4"/>
      <c r="H22" s="307"/>
      <c r="I22" s="97">
        <v>1.05</v>
      </c>
      <c r="J22" s="76"/>
    </row>
    <row r="23" spans="2:12" ht="15.75" thickBot="1" x14ac:dyDescent="0.3">
      <c r="B23" s="145"/>
      <c r="C23" s="80"/>
      <c r="D23" s="121"/>
      <c r="E23" s="81"/>
      <c r="F23" s="273"/>
      <c r="G23" s="121"/>
      <c r="H23" s="121"/>
      <c r="I23" s="121"/>
      <c r="J23" s="114"/>
    </row>
    <row r="24" spans="2:12" x14ac:dyDescent="0.25">
      <c r="B24" s="64"/>
      <c r="C24" s="67"/>
      <c r="D24" s="117"/>
      <c r="E24" s="66"/>
      <c r="F24" s="274"/>
      <c r="G24" s="117"/>
      <c r="H24" s="117"/>
      <c r="I24" s="117"/>
      <c r="J24" s="109"/>
    </row>
    <row r="25" spans="2:12" x14ac:dyDescent="0.25">
      <c r="B25" s="33" t="s">
        <v>171</v>
      </c>
      <c r="C25" s="134">
        <v>0.25</v>
      </c>
      <c r="D25" s="4"/>
      <c r="E25" s="3"/>
      <c r="F25" s="275"/>
      <c r="G25" s="4"/>
      <c r="H25" s="4"/>
      <c r="I25" s="4"/>
      <c r="J25" s="111"/>
    </row>
    <row r="26" spans="2:12" x14ac:dyDescent="0.25">
      <c r="B26" s="59" t="s">
        <v>173</v>
      </c>
      <c r="C26" s="305"/>
      <c r="D26" s="4"/>
      <c r="E26" s="22" t="s">
        <v>14</v>
      </c>
      <c r="F26" s="271">
        <f>SUM($E$4*C25)</f>
        <v>2812.5</v>
      </c>
      <c r="G26" s="4"/>
      <c r="H26" s="307"/>
      <c r="I26" s="97">
        <v>0</v>
      </c>
      <c r="J26" s="72"/>
      <c r="L26" s="308" t="s">
        <v>167</v>
      </c>
    </row>
    <row r="27" spans="2:12" x14ac:dyDescent="0.25">
      <c r="B27" s="59" t="s">
        <v>172</v>
      </c>
      <c r="C27" s="305"/>
      <c r="D27" s="4"/>
      <c r="E27" s="22" t="s">
        <v>4</v>
      </c>
      <c r="F27" s="272">
        <f>SUM(C29)</f>
        <v>0</v>
      </c>
      <c r="G27" s="4"/>
      <c r="H27" s="307"/>
      <c r="I27" s="97">
        <v>0.5</v>
      </c>
      <c r="J27" s="74"/>
    </row>
    <row r="28" spans="2:12" x14ac:dyDescent="0.25">
      <c r="B28" s="5" t="s">
        <v>174</v>
      </c>
      <c r="C28" s="310" t="e">
        <f>SUM(C26/C27)</f>
        <v>#DIV/0!</v>
      </c>
      <c r="D28" s="4"/>
      <c r="E28" s="43" t="s">
        <v>131</v>
      </c>
      <c r="F28" s="272">
        <f>C7</f>
        <v>0.5</v>
      </c>
      <c r="G28" s="4"/>
      <c r="H28" s="307"/>
      <c r="I28" s="97">
        <v>1</v>
      </c>
      <c r="J28" s="75"/>
    </row>
    <row r="29" spans="2:12" x14ac:dyDescent="0.25">
      <c r="B29" s="59" t="s">
        <v>10</v>
      </c>
      <c r="C29" s="309"/>
      <c r="D29" s="4"/>
      <c r="E29" s="22" t="s">
        <v>5</v>
      </c>
      <c r="F29" s="271">
        <f>SUM(F26*F27*F28)</f>
        <v>0</v>
      </c>
      <c r="G29" s="4"/>
      <c r="H29" s="307"/>
      <c r="I29" s="97">
        <v>1.05</v>
      </c>
      <c r="J29" s="76"/>
    </row>
    <row r="30" spans="2:12" ht="15.75" thickBot="1" x14ac:dyDescent="0.3">
      <c r="B30" s="145"/>
      <c r="C30" s="80"/>
      <c r="D30" s="121"/>
      <c r="E30" s="81"/>
      <c r="F30" s="273"/>
      <c r="G30" s="121"/>
      <c r="H30" s="121"/>
      <c r="I30" s="146"/>
      <c r="J30" s="114"/>
    </row>
    <row r="31" spans="2:12" x14ac:dyDescent="0.25">
      <c r="B31" s="64"/>
      <c r="C31" s="67"/>
      <c r="D31" s="117"/>
      <c r="E31" s="66"/>
      <c r="F31" s="274"/>
      <c r="G31" s="117"/>
      <c r="H31" s="117"/>
      <c r="I31" s="147"/>
      <c r="J31" s="109"/>
    </row>
    <row r="32" spans="2:12" x14ac:dyDescent="0.25">
      <c r="B32" s="33" t="s">
        <v>175</v>
      </c>
      <c r="C32" s="134">
        <v>0.25</v>
      </c>
      <c r="D32" s="4"/>
      <c r="E32" s="3"/>
      <c r="F32" s="275"/>
      <c r="G32" s="4"/>
      <c r="H32" s="4"/>
      <c r="I32" s="97"/>
      <c r="J32" s="111"/>
    </row>
    <row r="33" spans="2:12" x14ac:dyDescent="0.25">
      <c r="B33" s="59" t="s">
        <v>176</v>
      </c>
      <c r="C33" s="305"/>
      <c r="D33" s="4"/>
      <c r="E33" s="22" t="s">
        <v>14</v>
      </c>
      <c r="F33" s="271">
        <f>SUM($E$4*C32)</f>
        <v>2812.5</v>
      </c>
      <c r="G33" s="4"/>
      <c r="H33" s="307"/>
      <c r="I33" s="97">
        <v>0</v>
      </c>
      <c r="J33" s="72"/>
      <c r="L33" s="308" t="s">
        <v>167</v>
      </c>
    </row>
    <row r="34" spans="2:12" x14ac:dyDescent="0.25">
      <c r="B34" s="59" t="s">
        <v>10</v>
      </c>
      <c r="C34" s="309"/>
      <c r="D34" s="4"/>
      <c r="E34" s="22" t="s">
        <v>4</v>
      </c>
      <c r="F34" s="272">
        <f>SUM(C34)</f>
        <v>0</v>
      </c>
      <c r="G34" s="4"/>
      <c r="H34" s="307"/>
      <c r="I34" s="97">
        <v>0.5</v>
      </c>
      <c r="J34" s="74"/>
    </row>
    <row r="35" spans="2:12" x14ac:dyDescent="0.25">
      <c r="B35" s="33"/>
      <c r="C35" s="133"/>
      <c r="D35" s="4"/>
      <c r="E35" s="43" t="s">
        <v>131</v>
      </c>
      <c r="F35" s="272">
        <f>C7</f>
        <v>0.5</v>
      </c>
      <c r="G35" s="4"/>
      <c r="H35" s="307"/>
      <c r="I35" s="97">
        <v>1</v>
      </c>
      <c r="J35" s="75"/>
    </row>
    <row r="36" spans="2:12" x14ac:dyDescent="0.25">
      <c r="B36" s="270"/>
      <c r="C36" s="4"/>
      <c r="D36" s="4"/>
      <c r="E36" s="22" t="s">
        <v>5</v>
      </c>
      <c r="F36" s="271">
        <f>SUM(F33*F34*F35)</f>
        <v>0</v>
      </c>
      <c r="G36" s="4"/>
      <c r="H36" s="307"/>
      <c r="I36" s="97">
        <v>1.05</v>
      </c>
      <c r="J36" s="76"/>
    </row>
    <row r="37" spans="2:12" ht="15.75" thickBot="1" x14ac:dyDescent="0.3">
      <c r="B37" s="145"/>
      <c r="C37" s="121"/>
      <c r="D37" s="121"/>
      <c r="E37" s="81"/>
      <c r="F37" s="143"/>
      <c r="G37" s="121"/>
      <c r="H37" s="121"/>
      <c r="I37" s="121"/>
      <c r="J37" s="114"/>
    </row>
    <row r="38" spans="2:12" x14ac:dyDescent="0.25">
      <c r="B38" s="4"/>
      <c r="E38" s="31"/>
      <c r="F38" s="28"/>
    </row>
    <row r="39" spans="2:12" x14ac:dyDescent="0.25">
      <c r="E39" s="22" t="s">
        <v>11</v>
      </c>
      <c r="F39" s="47">
        <f>SUM(F36+F29+F22+F15)</f>
        <v>0</v>
      </c>
    </row>
    <row r="41" spans="2:12" x14ac:dyDescent="0.25">
      <c r="B41" s="10"/>
      <c r="C41" s="10"/>
      <c r="D41" s="10"/>
      <c r="E41" s="10"/>
      <c r="F41" s="10"/>
      <c r="G41" s="10"/>
    </row>
    <row r="42" spans="2:12" x14ac:dyDescent="0.25">
      <c r="B42" s="10"/>
      <c r="C42" s="10"/>
      <c r="D42" s="10"/>
      <c r="E42" s="10"/>
      <c r="F42" s="10"/>
      <c r="G42" s="10"/>
    </row>
    <row r="43" spans="2:12" x14ac:dyDescent="0.25">
      <c r="B43" s="10"/>
      <c r="C43" s="10"/>
      <c r="D43" s="10"/>
      <c r="E43" s="10"/>
      <c r="F43" s="10"/>
      <c r="G43" s="10"/>
    </row>
    <row r="48" spans="2:12" x14ac:dyDescent="0.25">
      <c r="K48" s="9" t="s">
        <v>143</v>
      </c>
    </row>
  </sheetData>
  <mergeCells count="1">
    <mergeCell ref="C2:D2"/>
  </mergeCells>
  <conditionalFormatting sqref="A41:XFD1048576 B40:D40 G40:XFD40 B14:D14 F14:XFD14 B21:D21 F21:XFD21 B28:D28 F28:XFD28 B35:D35 F35:XFD35 A1:XFD1 D8:XFD8 B7:XFD7 A7:A8 A9:XFD13 A3:XFD6 A2:C2 E2:XFD2 A15:XFD20 A22:XFD27 A37:XFD39 D36:XFD36 A29:XFD34 A36">
    <cfRule type="containsErrors" dxfId="4" priority="5">
      <formula>ISERROR(A1)</formula>
    </cfRule>
  </conditionalFormatting>
  <conditionalFormatting sqref="E14">
    <cfRule type="containsErrors" dxfId="3" priority="4">
      <formula>ISERROR(E14)</formula>
    </cfRule>
  </conditionalFormatting>
  <conditionalFormatting sqref="E21">
    <cfRule type="containsErrors" dxfId="2" priority="3">
      <formula>ISERROR(E21)</formula>
    </cfRule>
  </conditionalFormatting>
  <conditionalFormatting sqref="E28">
    <cfRule type="containsErrors" dxfId="1" priority="2">
      <formula>ISERROR(E28)</formula>
    </cfRule>
  </conditionalFormatting>
  <conditionalFormatting sqref="E35">
    <cfRule type="containsErrors" dxfId="0" priority="1">
      <formula>ISERROR(E35)</formula>
    </cfRule>
  </conditionalFormatting>
  <pageMargins left="0.7" right="0.7" top="0.75" bottom="0.75" header="0.3" footer="0.3"/>
  <pageSetup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K28"/>
  <sheetViews>
    <sheetView showGridLines="0" workbookViewId="0">
      <selection activeCell="E26" sqref="E26"/>
    </sheetView>
  </sheetViews>
  <sheetFormatPr defaultRowHeight="15" x14ac:dyDescent="0.25"/>
  <cols>
    <col min="2" max="2" width="26.42578125" customWidth="1"/>
    <col min="3" max="3" width="16.42578125" customWidth="1"/>
    <col min="4" max="4" width="15.5703125" bestFit="1" customWidth="1"/>
    <col min="5" max="5" width="16.7109375" bestFit="1" customWidth="1"/>
    <col min="6" max="6" width="21.5703125" bestFit="1" customWidth="1"/>
    <col min="7" max="7" width="5.85546875" customWidth="1"/>
    <col min="8" max="8" width="16.5703125" bestFit="1" customWidth="1"/>
    <col min="10" max="10" width="4.7109375" customWidth="1"/>
  </cols>
  <sheetData>
    <row r="1" spans="1:7" x14ac:dyDescent="0.25">
      <c r="B1" s="241" t="s">
        <v>134</v>
      </c>
      <c r="C1" s="241"/>
      <c r="D1" s="241"/>
      <c r="E1" s="241"/>
      <c r="F1" s="241"/>
    </row>
    <row r="2" spans="1:7" x14ac:dyDescent="0.25">
      <c r="B2" s="241" t="s">
        <v>152</v>
      </c>
      <c r="C2" s="241"/>
      <c r="D2" s="241"/>
      <c r="E2" s="241"/>
      <c r="F2" s="241"/>
    </row>
    <row r="4" spans="1:7" ht="30" x14ac:dyDescent="0.25">
      <c r="A4" s="315" t="s">
        <v>178</v>
      </c>
      <c r="B4" s="242" t="s">
        <v>51</v>
      </c>
      <c r="C4" s="242" t="s">
        <v>53</v>
      </c>
      <c r="D4" s="242" t="s">
        <v>52</v>
      </c>
      <c r="E4" s="242" t="s">
        <v>55</v>
      </c>
      <c r="F4" s="243" t="s">
        <v>56</v>
      </c>
    </row>
    <row r="5" spans="1:7" x14ac:dyDescent="0.25">
      <c r="A5" s="238" t="s">
        <v>124</v>
      </c>
      <c r="B5" s="15" t="s">
        <v>54</v>
      </c>
      <c r="C5" s="16">
        <f>IF(A5="yes",'Exec Chef'!E4,0)</f>
        <v>7505.9039999999995</v>
      </c>
      <c r="D5" s="16">
        <f>'Exec Chef'!G53</f>
        <v>3565.3044</v>
      </c>
      <c r="E5" s="16">
        <f>C5-D5</f>
        <v>3940.5995999999996</v>
      </c>
      <c r="F5" s="225">
        <f>D5+(0.5*'Exec Chef'!B4)</f>
        <v>41094.824399999998</v>
      </c>
    </row>
    <row r="6" spans="1:7" x14ac:dyDescent="0.25">
      <c r="A6" s="238" t="s">
        <v>124</v>
      </c>
      <c r="B6" s="15" t="s">
        <v>50</v>
      </c>
      <c r="C6" s="16">
        <f>IF(A6="Yes",Engineer!E4,0)</f>
        <v>2500</v>
      </c>
      <c r="D6" s="16" t="e">
        <f>Engineer!F45</f>
        <v>#DIV/0!</v>
      </c>
      <c r="E6" s="16" t="e">
        <f>C6-D6</f>
        <v>#DIV/0!</v>
      </c>
      <c r="F6" s="311" t="e">
        <f>D6+(0.5*Engineer!B4)</f>
        <v>#DIV/0!</v>
      </c>
    </row>
    <row r="7" spans="1:7" x14ac:dyDescent="0.25">
      <c r="A7" s="36" t="s">
        <v>124</v>
      </c>
      <c r="B7" s="18" t="s">
        <v>141</v>
      </c>
      <c r="C7" s="19">
        <f>IF(A7="Yes",'Sales Candice'!E4,0)</f>
        <v>9750</v>
      </c>
      <c r="D7" s="19">
        <f>'Sales Candice'!F39</f>
        <v>1584.375</v>
      </c>
      <c r="E7" s="19">
        <f>C7-D7</f>
        <v>8165.625</v>
      </c>
      <c r="F7" s="226">
        <f>D7+(0.5*'Sales Candice'!B4)</f>
        <v>34084.375</v>
      </c>
    </row>
    <row r="8" spans="1:7" x14ac:dyDescent="0.25">
      <c r="A8" s="36" t="s">
        <v>125</v>
      </c>
      <c r="B8" s="15" t="s">
        <v>145</v>
      </c>
      <c r="C8" s="16">
        <f>IF(A8="Yes",'Sales Carrie'!E4,0)</f>
        <v>0</v>
      </c>
      <c r="D8" s="314">
        <f>'Sales Carrie'!F39*0</f>
        <v>0</v>
      </c>
      <c r="E8" s="16">
        <f>C8-D8</f>
        <v>0</v>
      </c>
      <c r="F8" s="225">
        <f>D8+(0.5*'Sales Carrie'!B4)</f>
        <v>21000</v>
      </c>
    </row>
    <row r="9" spans="1:7" x14ac:dyDescent="0.25">
      <c r="A9" s="238" t="s">
        <v>124</v>
      </c>
      <c r="B9" s="13" t="s">
        <v>138</v>
      </c>
      <c r="C9" s="14">
        <f>IF(A9="Yes",'Dir of Sales'!E4,0)</f>
        <v>3750</v>
      </c>
      <c r="D9" s="14">
        <f>'Dir of Sales'!F40</f>
        <v>1101.5625</v>
      </c>
      <c r="E9" s="14">
        <f>C9-D9</f>
        <v>2648.4375</v>
      </c>
      <c r="F9" s="224">
        <f>D9+(0.5*'Dir of Sales'!B4)</f>
        <v>13601.5625</v>
      </c>
    </row>
    <row r="10" spans="1:7" x14ac:dyDescent="0.25">
      <c r="A10" s="238" t="s">
        <v>124</v>
      </c>
      <c r="B10" s="18" t="s">
        <v>140</v>
      </c>
      <c r="C10" s="19">
        <f>IF(A10="Yes",'Sales Keyli'!E4,0)</f>
        <v>8250</v>
      </c>
      <c r="D10" s="19">
        <f>'Sales Keyli'!F39</f>
        <v>1680.9375</v>
      </c>
      <c r="E10" s="16">
        <f>C10-D10</f>
        <v>6569.0625</v>
      </c>
      <c r="F10" s="226">
        <f>D10+(0.5*'Sales Keyli'!B4)</f>
        <v>29180.9375</v>
      </c>
    </row>
    <row r="11" spans="1:7" x14ac:dyDescent="0.25">
      <c r="A11" s="238" t="s">
        <v>124</v>
      </c>
      <c r="B11" s="18" t="s">
        <v>142</v>
      </c>
      <c r="C11" s="19">
        <f>IF(A11="Yes",'Outlets Mgr.'!E4,0)</f>
        <v>5627.52</v>
      </c>
      <c r="D11" s="19">
        <f>'Outlets Mgr.'!G53</f>
        <v>2462.0400000000004</v>
      </c>
      <c r="E11" s="19">
        <f>C11-D11</f>
        <v>3165.48</v>
      </c>
      <c r="F11" s="226">
        <f>D11+(0.5*'Outlets Mgr.'!B4)</f>
        <v>30599.64</v>
      </c>
      <c r="G11" s="9"/>
    </row>
    <row r="12" spans="1:7" x14ac:dyDescent="0.25">
      <c r="A12" s="238" t="s">
        <v>124</v>
      </c>
      <c r="B12" s="15" t="s">
        <v>149</v>
      </c>
      <c r="C12" s="16">
        <f>IF(A12="Yes",'General Mgr'!E4,0)</f>
        <v>3125</v>
      </c>
      <c r="D12" s="16" t="e">
        <f>'General Mgr'!F46</f>
        <v>#DIV/0!</v>
      </c>
      <c r="E12" s="16" t="e">
        <f>C12-D12</f>
        <v>#DIV/0!</v>
      </c>
      <c r="F12" s="311" t="e">
        <f>D12+(0.5*'General Mgr'!B4)</f>
        <v>#DIV/0!</v>
      </c>
      <c r="G12" s="9"/>
    </row>
    <row r="13" spans="1:7" x14ac:dyDescent="0.25">
      <c r="A13" s="238" t="s">
        <v>124</v>
      </c>
      <c r="B13" s="15" t="s">
        <v>147</v>
      </c>
      <c r="C13" s="16">
        <f>IF(A13="Yes",'Sales Rachel'!E4,0)</f>
        <v>7500</v>
      </c>
      <c r="D13" s="16">
        <f>'Sales Rachel'!F39</f>
        <v>1218.75</v>
      </c>
      <c r="E13" s="16">
        <f>C13-D13</f>
        <v>6281.25</v>
      </c>
      <c r="F13" s="225">
        <f>D13+(0.5*'Sales Rachel'!B4)</f>
        <v>26218.75</v>
      </c>
    </row>
    <row r="14" spans="1:7" x14ac:dyDescent="0.25">
      <c r="A14" s="238" t="s">
        <v>124</v>
      </c>
      <c r="B14" s="18" t="s">
        <v>139</v>
      </c>
      <c r="C14" s="19">
        <f>IF(A14="Yes",'HR Director'!E4,0)</f>
        <v>11250</v>
      </c>
      <c r="D14" s="19">
        <f>'HR Director'!F39</f>
        <v>0</v>
      </c>
      <c r="E14" s="19">
        <f>C14-D14</f>
        <v>11250</v>
      </c>
      <c r="F14" s="226">
        <f>D14+(0.5*'HR Director'!B4)</f>
        <v>37500</v>
      </c>
    </row>
    <row r="15" spans="1:7" x14ac:dyDescent="0.25">
      <c r="B15" s="2" t="s">
        <v>77</v>
      </c>
      <c r="C15" s="20">
        <f>SUM(C6:C14)</f>
        <v>51752.520000000004</v>
      </c>
      <c r="D15" s="20" t="e">
        <f>SUM(D6:D14)</f>
        <v>#DIV/0!</v>
      </c>
      <c r="E15" s="20" t="e">
        <f>SUM(E6:E14)</f>
        <v>#DIV/0!</v>
      </c>
      <c r="F15" s="21" t="e">
        <f>SUM(F6:F14)</f>
        <v>#DIV/0!</v>
      </c>
    </row>
    <row r="17" spans="2:11" ht="15.75" thickBot="1" x14ac:dyDescent="0.3">
      <c r="B17" s="250" t="s">
        <v>133</v>
      </c>
      <c r="C17" s="250"/>
      <c r="D17" s="250"/>
      <c r="E17" s="250"/>
      <c r="F17" s="250"/>
    </row>
    <row r="18" spans="2:11" x14ac:dyDescent="0.25">
      <c r="G18" s="232"/>
      <c r="H18" s="232"/>
      <c r="I18" s="232"/>
      <c r="J18" s="232"/>
      <c r="K18" s="232"/>
    </row>
    <row r="19" spans="2:11" ht="19.5" thickBot="1" x14ac:dyDescent="0.35">
      <c r="B19" s="247" t="s">
        <v>154</v>
      </c>
      <c r="C19" s="247"/>
      <c r="E19" s="244" t="s">
        <v>151</v>
      </c>
      <c r="F19" s="244"/>
      <c r="G19" s="3"/>
      <c r="H19" s="232"/>
      <c r="I19" s="232"/>
      <c r="J19" s="232"/>
      <c r="K19" s="232"/>
    </row>
    <row r="20" spans="2:11" ht="18.75" customHeight="1" thickBot="1" x14ac:dyDescent="0.35">
      <c r="B20" s="263" t="s">
        <v>13</v>
      </c>
      <c r="C20" s="265">
        <v>0.33800000000000002</v>
      </c>
      <c r="E20" s="248">
        <f>VLOOKUP(C20,gatekeeper_threshold,2,1)</f>
        <v>0.5</v>
      </c>
      <c r="F20" s="249"/>
      <c r="G20" s="3"/>
      <c r="H20" s="232"/>
      <c r="I20" s="232"/>
      <c r="J20" s="232"/>
      <c r="K20" s="232"/>
    </row>
    <row r="21" spans="2:11" ht="15.75" thickBot="1" x14ac:dyDescent="0.3">
      <c r="B21" s="283" t="s">
        <v>78</v>
      </c>
      <c r="C21" s="284">
        <v>44742</v>
      </c>
      <c r="E21" s="63"/>
      <c r="G21" s="3"/>
      <c r="H21" s="232"/>
      <c r="I21" s="232"/>
      <c r="J21" s="232"/>
      <c r="K21" s="232"/>
    </row>
    <row r="22" spans="2:11" x14ac:dyDescent="0.25">
      <c r="B22" s="232"/>
      <c r="C22" s="233"/>
      <c r="E22" s="34" t="s">
        <v>150</v>
      </c>
      <c r="F22" s="34" t="s">
        <v>131</v>
      </c>
      <c r="G22" s="3"/>
      <c r="H22" s="3"/>
      <c r="I22" s="3"/>
      <c r="J22" s="3"/>
      <c r="K22" s="232"/>
    </row>
    <row r="23" spans="2:11" x14ac:dyDescent="0.25">
      <c r="B23" s="312" t="s">
        <v>124</v>
      </c>
      <c r="C23" s="233"/>
      <c r="D23" s="300" t="s">
        <v>157</v>
      </c>
      <c r="E23" s="302">
        <v>0</v>
      </c>
      <c r="F23" s="303">
        <v>0</v>
      </c>
      <c r="G23" s="239"/>
      <c r="I23" s="232"/>
      <c r="J23" s="232"/>
      <c r="K23" s="232"/>
    </row>
    <row r="24" spans="2:11" x14ac:dyDescent="0.25">
      <c r="B24" s="313" t="s">
        <v>125</v>
      </c>
      <c r="C24" s="237"/>
      <c r="D24" s="300" t="s">
        <v>158</v>
      </c>
      <c r="E24" s="302">
        <v>0.33</v>
      </c>
      <c r="F24" s="303">
        <v>0.5</v>
      </c>
      <c r="G24" s="239"/>
      <c r="H24" s="232"/>
      <c r="I24" s="232"/>
      <c r="J24" s="232"/>
      <c r="K24" s="232"/>
    </row>
    <row r="25" spans="2:11" x14ac:dyDescent="0.25">
      <c r="B25" s="313"/>
      <c r="C25" s="237"/>
      <c r="D25" s="300" t="s">
        <v>159</v>
      </c>
      <c r="E25" s="302">
        <v>0.34010000000000001</v>
      </c>
      <c r="F25" s="303">
        <v>1</v>
      </c>
      <c r="G25" s="239"/>
      <c r="H25" s="232"/>
      <c r="I25" s="232"/>
      <c r="J25" s="232"/>
      <c r="K25" s="232"/>
    </row>
    <row r="26" spans="2:11" x14ac:dyDescent="0.25">
      <c r="B26" s="1" t="s">
        <v>153</v>
      </c>
      <c r="C26" s="232"/>
      <c r="D26" s="301" t="s">
        <v>160</v>
      </c>
      <c r="E26" s="302">
        <v>0.35000999999999999</v>
      </c>
      <c r="F26" s="303">
        <v>1.1000000000000001</v>
      </c>
      <c r="G26" s="240"/>
      <c r="H26" s="232"/>
      <c r="I26" s="232"/>
      <c r="J26" s="232"/>
      <c r="K26" s="232"/>
    </row>
    <row r="27" spans="2:11" x14ac:dyDescent="0.25">
      <c r="D27" s="232"/>
      <c r="E27" s="232"/>
      <c r="F27" s="232"/>
      <c r="G27" s="4"/>
      <c r="H27" s="232"/>
      <c r="I27" s="232"/>
      <c r="J27" s="232"/>
      <c r="K27" s="232"/>
    </row>
    <row r="28" spans="2:11" x14ac:dyDescent="0.25">
      <c r="D28" s="232"/>
      <c r="E28" s="232"/>
      <c r="F28" s="232"/>
      <c r="G28" s="232"/>
      <c r="H28" s="232"/>
      <c r="I28" s="232"/>
      <c r="J28" s="232"/>
      <c r="K28" s="232"/>
    </row>
  </sheetData>
  <sortState xmlns:xlrd2="http://schemas.microsoft.com/office/spreadsheetml/2017/richdata2" ref="B5:F14">
    <sortCondition ref="B5:B14"/>
  </sortState>
  <mergeCells count="6">
    <mergeCell ref="B17:F17"/>
    <mergeCell ref="E19:F19"/>
    <mergeCell ref="E20:F20"/>
    <mergeCell ref="B1:F1"/>
    <mergeCell ref="B2:F2"/>
    <mergeCell ref="B19:C19"/>
  </mergeCells>
  <conditionalFormatting sqref="B1:B2 B11:F11 H11:XFD11 B24:C25 C3:XFD3 B17 G17:XFD18 H22:J22 E22:G26 G19:G21 G1:XFD2 I23:XFD23 E19:E21 B19 K19:XFD22 B26 A4:XFD10 A24 C23:G23 B27:C27 A29 A31:A1048576 B29:C1048576 D24:XFD1048576 C28 B22:C22 B20:C20 A12:XFD16">
    <cfRule type="containsErrors" dxfId="59" priority="4">
      <formula>ISERROR(A1)</formula>
    </cfRule>
  </conditionalFormatting>
  <conditionalFormatting sqref="G23:G25">
    <cfRule type="containsErrors" dxfId="58" priority="2">
      <formula>ISERROR(G23)</formula>
    </cfRule>
  </conditionalFormatting>
  <dataValidations count="1">
    <dataValidation type="list" allowBlank="1" showInputMessage="1" showErrorMessage="1" sqref="A5:A14" xr:uid="{B36CF231-83D5-4FB1-955F-5EDBDB87FD18}">
      <formula1>$B$23:$B$24</formula1>
    </dataValidation>
  </dataValidations>
  <pageMargins left="0.7" right="0.7" top="0.75" bottom="0.75" header="0.3" footer="0.3"/>
  <pageSetup scale="8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B64FB-4F36-4E8E-8D25-08B59A7B9A80}">
  <sheetPr>
    <tabColor rgb="FF00B050"/>
    <pageSetUpPr fitToPage="1"/>
  </sheetPr>
  <dimension ref="B2:H22"/>
  <sheetViews>
    <sheetView topLeftCell="A2" workbookViewId="0">
      <selection activeCell="K17" sqref="K17"/>
    </sheetView>
  </sheetViews>
  <sheetFormatPr defaultRowHeight="15" x14ac:dyDescent="0.25"/>
  <cols>
    <col min="2" max="2" width="37.140625" bestFit="1" customWidth="1"/>
    <col min="3" max="3" width="14.28515625" bestFit="1" customWidth="1"/>
    <col min="6" max="6" width="16.5703125" customWidth="1"/>
    <col min="7" max="7" width="12.5703125" bestFit="1" customWidth="1"/>
  </cols>
  <sheetData>
    <row r="2" spans="2:8" x14ac:dyDescent="0.25">
      <c r="B2" s="269" t="s">
        <v>156</v>
      </c>
      <c r="C2" s="267"/>
      <c r="D2" s="268"/>
      <c r="E2" s="268"/>
      <c r="F2" s="268"/>
      <c r="G2" s="268"/>
      <c r="H2" s="268"/>
    </row>
    <row r="3" spans="2:8" x14ac:dyDescent="0.25">
      <c r="B3" s="245"/>
      <c r="C3" s="245"/>
    </row>
    <row r="4" spans="2:8" ht="15.75" thickBot="1" x14ac:dyDescent="0.3">
      <c r="B4" s="259" t="s">
        <v>32</v>
      </c>
      <c r="C4" s="259"/>
      <c r="F4" s="259" t="s">
        <v>155</v>
      </c>
      <c r="G4" s="259"/>
    </row>
    <row r="5" spans="2:8" x14ac:dyDescent="0.25">
      <c r="B5" s="261" t="s">
        <v>1</v>
      </c>
      <c r="C5" s="262">
        <v>1268973</v>
      </c>
      <c r="F5" s="261" t="s">
        <v>1</v>
      </c>
      <c r="G5" s="262">
        <v>68843</v>
      </c>
    </row>
    <row r="6" spans="2:8" x14ac:dyDescent="0.25">
      <c r="B6" s="261" t="s">
        <v>0</v>
      </c>
      <c r="C6" s="262">
        <v>1357896</v>
      </c>
      <c r="F6" s="261" t="s">
        <v>0</v>
      </c>
      <c r="G6" s="262">
        <v>103780</v>
      </c>
    </row>
    <row r="7" spans="2:8" x14ac:dyDescent="0.25">
      <c r="B7" t="s">
        <v>13</v>
      </c>
      <c r="C7" s="260">
        <v>0.9345141306845296</v>
      </c>
      <c r="F7" t="s">
        <v>13</v>
      </c>
      <c r="G7" s="260">
        <v>0.66335517440740022</v>
      </c>
    </row>
    <row r="8" spans="2:8" x14ac:dyDescent="0.25">
      <c r="G8" s="260"/>
    </row>
    <row r="10" spans="2:8" ht="15.75" thickBot="1" x14ac:dyDescent="0.3">
      <c r="B10" s="259" t="s">
        <v>36</v>
      </c>
      <c r="C10" s="259"/>
      <c r="F10" s="259" t="s">
        <v>22</v>
      </c>
      <c r="G10" s="259"/>
    </row>
    <row r="11" spans="2:8" x14ac:dyDescent="0.25">
      <c r="B11" s="261" t="s">
        <v>1</v>
      </c>
      <c r="C11" s="262">
        <v>417604</v>
      </c>
      <c r="F11" s="261" t="s">
        <v>1</v>
      </c>
      <c r="G11" s="262">
        <v>89.9</v>
      </c>
    </row>
    <row r="12" spans="2:8" x14ac:dyDescent="0.25">
      <c r="B12" s="261" t="s">
        <v>23</v>
      </c>
      <c r="C12" s="262">
        <v>418682</v>
      </c>
      <c r="F12" s="261" t="s">
        <v>0</v>
      </c>
      <c r="G12" s="262">
        <v>90.3</v>
      </c>
    </row>
    <row r="13" spans="2:8" x14ac:dyDescent="0.25">
      <c r="B13" t="s">
        <v>13</v>
      </c>
      <c r="C13" s="260">
        <v>0.99742525353370814</v>
      </c>
      <c r="F13" t="s">
        <v>13</v>
      </c>
      <c r="G13" s="260">
        <f>G11/G12</f>
        <v>0.99557032115171662</v>
      </c>
    </row>
    <row r="16" spans="2:8" ht="15.75" thickBot="1" x14ac:dyDescent="0.3">
      <c r="B16" s="259" t="s">
        <v>35</v>
      </c>
      <c r="C16" s="259"/>
      <c r="F16" s="259" t="s">
        <v>34</v>
      </c>
      <c r="G16" s="259"/>
    </row>
    <row r="17" spans="2:7" x14ac:dyDescent="0.25">
      <c r="B17" s="246" t="s">
        <v>21</v>
      </c>
      <c r="C17" s="246"/>
      <c r="F17" s="261" t="s">
        <v>1</v>
      </c>
      <c r="G17" s="261">
        <v>123</v>
      </c>
    </row>
    <row r="18" spans="2:7" x14ac:dyDescent="0.25">
      <c r="B18" s="261" t="s">
        <v>1</v>
      </c>
      <c r="C18" s="262">
        <v>89.59</v>
      </c>
      <c r="F18" s="261" t="s">
        <v>0</v>
      </c>
      <c r="G18" s="261">
        <v>125</v>
      </c>
    </row>
    <row r="19" spans="2:7" x14ac:dyDescent="0.25">
      <c r="B19" s="261" t="s">
        <v>136</v>
      </c>
      <c r="C19" s="262">
        <v>85.08</v>
      </c>
      <c r="F19" t="s">
        <v>13</v>
      </c>
      <c r="G19" s="260">
        <f>G17/G18</f>
        <v>0.98399999999999999</v>
      </c>
    </row>
    <row r="20" spans="2:7" x14ac:dyDescent="0.25">
      <c r="B20" t="s">
        <v>13</v>
      </c>
      <c r="C20" s="260">
        <v>1.0530089327691585</v>
      </c>
    </row>
    <row r="21" spans="2:7" x14ac:dyDescent="0.25">
      <c r="B21" s="258" t="s">
        <v>137</v>
      </c>
      <c r="C21" s="258"/>
    </row>
    <row r="22" spans="2:7" x14ac:dyDescent="0.25">
      <c r="B22" s="238"/>
      <c r="C22" s="238"/>
    </row>
  </sheetData>
  <mergeCells count="9">
    <mergeCell ref="B17:C17"/>
    <mergeCell ref="B21:C21"/>
    <mergeCell ref="F4:G4"/>
    <mergeCell ref="F10:G10"/>
    <mergeCell ref="F16:G16"/>
    <mergeCell ref="B2:C2"/>
    <mergeCell ref="B4:C4"/>
    <mergeCell ref="B10:C10"/>
    <mergeCell ref="B16:C16"/>
  </mergeCells>
  <conditionalFormatting sqref="C1:C23 C40:C1048576 G5:G9 G11:G15 G17:G19">
    <cfRule type="containsErrors" dxfId="57" priority="1">
      <formula>ISERROR(C1)</formula>
    </cfRule>
  </conditionalFormatting>
  <pageMargins left="0.7" right="0.7" top="0.75" bottom="0.75" header="0.3" footer="0.3"/>
  <pageSetup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B2:K48"/>
  <sheetViews>
    <sheetView showGridLines="0" zoomScaleNormal="100" workbookViewId="0">
      <selection activeCell="C5" sqref="C5"/>
    </sheetView>
  </sheetViews>
  <sheetFormatPr defaultRowHeight="15" x14ac:dyDescent="0.25"/>
  <cols>
    <col min="1" max="1" width="9.140625" style="31"/>
    <col min="2" max="2" width="22.7109375" style="31" customWidth="1"/>
    <col min="3" max="3" width="15.7109375" style="31" bestFit="1" customWidth="1"/>
    <col min="4" max="4" width="12.42578125" style="31" customWidth="1"/>
    <col min="5" max="5" width="20.140625" style="31" bestFit="1" customWidth="1"/>
    <col min="6" max="6" width="11.5703125" style="35" bestFit="1" customWidth="1"/>
    <col min="7" max="7" width="6.5703125" style="31" customWidth="1"/>
    <col min="8" max="8" width="11.85546875" style="31" bestFit="1" customWidth="1"/>
    <col min="9" max="9" width="11.5703125" style="31" bestFit="1" customWidth="1"/>
    <col min="10" max="10" width="3.5703125" style="31" customWidth="1"/>
    <col min="11" max="16384" width="9.140625" style="31"/>
  </cols>
  <sheetData>
    <row r="2" spans="2:10" ht="21" x14ac:dyDescent="0.35">
      <c r="B2" s="179" t="s">
        <v>46</v>
      </c>
      <c r="C2" s="236" t="s">
        <v>149</v>
      </c>
      <c r="D2" s="236"/>
      <c r="E2" s="236"/>
    </row>
    <row r="3" spans="2:10" x14ac:dyDescent="0.25">
      <c r="B3" s="49" t="s">
        <v>17</v>
      </c>
      <c r="C3" s="49" t="s">
        <v>7</v>
      </c>
      <c r="D3" s="49" t="s">
        <v>20</v>
      </c>
      <c r="E3" s="49" t="s">
        <v>37</v>
      </c>
    </row>
    <row r="4" spans="2:10" x14ac:dyDescent="0.25">
      <c r="B4" s="153">
        <v>25000</v>
      </c>
      <c r="C4" s="251">
        <v>0.25</v>
      </c>
      <c r="D4" s="171">
        <f>SUM(B4*C4)</f>
        <v>6250</v>
      </c>
      <c r="E4" s="47">
        <f>SUM(D4/2)</f>
        <v>3125</v>
      </c>
    </row>
    <row r="5" spans="2:10" x14ac:dyDescent="0.25">
      <c r="B5" s="54" t="s">
        <v>78</v>
      </c>
      <c r="C5" s="285">
        <f>'Executive Summary'!C21</f>
        <v>44742</v>
      </c>
      <c r="E5" s="55"/>
    </row>
    <row r="6" spans="2:10" ht="15.75" thickBot="1" x14ac:dyDescent="0.3">
      <c r="B6" s="3"/>
      <c r="C6" s="3"/>
      <c r="E6" s="56"/>
    </row>
    <row r="7" spans="2:10" x14ac:dyDescent="0.25">
      <c r="B7" s="64" t="s">
        <v>79</v>
      </c>
      <c r="C7" s="264">
        <f>'Executive Summary'!E20</f>
        <v>0.5</v>
      </c>
      <c r="D7" s="66"/>
      <c r="E7" s="108"/>
      <c r="F7" s="67"/>
      <c r="G7" s="66"/>
      <c r="H7" s="66"/>
      <c r="I7" s="66"/>
      <c r="J7" s="87"/>
    </row>
    <row r="8" spans="2:10" x14ac:dyDescent="0.25">
      <c r="B8" s="57"/>
      <c r="C8" s="58"/>
      <c r="D8" s="3"/>
      <c r="E8" s="110"/>
      <c r="F8" s="62"/>
      <c r="G8" s="3"/>
      <c r="H8" s="3"/>
      <c r="I8" s="58"/>
      <c r="J8" s="252"/>
    </row>
    <row r="9" spans="2:10" ht="15.75" thickBot="1" x14ac:dyDescent="0.3">
      <c r="B9" s="86" t="s">
        <v>84</v>
      </c>
      <c r="C9" s="81"/>
      <c r="D9" s="81"/>
      <c r="E9" s="112"/>
      <c r="F9" s="80"/>
      <c r="G9" s="113"/>
      <c r="H9" s="81"/>
      <c r="I9" s="81"/>
      <c r="J9" s="82"/>
    </row>
    <row r="10" spans="2:10" x14ac:dyDescent="0.25">
      <c r="B10" s="64"/>
      <c r="C10" s="65"/>
      <c r="D10" s="66"/>
      <c r="E10" s="66"/>
      <c r="F10" s="67"/>
      <c r="G10" s="66"/>
      <c r="H10" s="66"/>
      <c r="I10" s="68"/>
      <c r="J10" s="69"/>
    </row>
    <row r="11" spans="2:10" x14ac:dyDescent="0.25">
      <c r="B11" s="33" t="s">
        <v>27</v>
      </c>
      <c r="C11" s="133">
        <v>0.4</v>
      </c>
      <c r="D11" s="3"/>
      <c r="E11" s="22" t="s">
        <v>14</v>
      </c>
      <c r="F11" s="73">
        <f>C11*E4</f>
        <v>1250</v>
      </c>
      <c r="G11" s="3"/>
      <c r="H11" s="3" t="s">
        <v>85</v>
      </c>
      <c r="I11" s="71">
        <v>0</v>
      </c>
      <c r="J11" s="72"/>
    </row>
    <row r="12" spans="2:10" x14ac:dyDescent="0.25">
      <c r="B12" s="59" t="s">
        <v>1</v>
      </c>
      <c r="C12" s="60"/>
      <c r="D12" s="3"/>
      <c r="E12" s="22" t="s">
        <v>4</v>
      </c>
      <c r="F12" s="70" t="e">
        <f>IF(C14&lt;97%,0,IF(AND(C14&gt;=97%,C14&lt;101%),50%,IF(AND(C14&gt;=101%,C14&lt;=105%),100%,IF(C14&gt;105%,105%))))</f>
        <v>#DIV/0!</v>
      </c>
      <c r="G12" s="3"/>
      <c r="H12" s="3" t="s">
        <v>86</v>
      </c>
      <c r="I12" s="71">
        <v>0.5</v>
      </c>
      <c r="J12" s="74"/>
    </row>
    <row r="13" spans="2:10" x14ac:dyDescent="0.25">
      <c r="B13" s="59" t="s">
        <v>0</v>
      </c>
      <c r="C13" s="60"/>
      <c r="D13" s="3"/>
      <c r="E13" s="43" t="s">
        <v>131</v>
      </c>
      <c r="F13" s="96">
        <f>C7</f>
        <v>0.5</v>
      </c>
      <c r="G13" s="3"/>
      <c r="H13" s="3" t="s">
        <v>87</v>
      </c>
      <c r="I13" s="71">
        <v>1</v>
      </c>
      <c r="J13" s="75"/>
    </row>
    <row r="14" spans="2:10" x14ac:dyDescent="0.25">
      <c r="B14" s="5" t="s">
        <v>13</v>
      </c>
      <c r="C14" s="100" t="e">
        <f>C12/C13</f>
        <v>#DIV/0!</v>
      </c>
      <c r="D14" s="3"/>
      <c r="E14" s="22" t="s">
        <v>5</v>
      </c>
      <c r="F14" s="73" t="e">
        <f>SUM(F11*F12*F13)</f>
        <v>#DIV/0!</v>
      </c>
      <c r="G14" s="3"/>
      <c r="H14" s="3" t="s">
        <v>88</v>
      </c>
      <c r="I14" s="71">
        <v>1.05</v>
      </c>
      <c r="J14" s="76"/>
    </row>
    <row r="15" spans="2:10" ht="19.5" thickBot="1" x14ac:dyDescent="0.35">
      <c r="B15" s="77"/>
      <c r="C15" s="78"/>
      <c r="D15" s="79"/>
      <c r="E15" s="79"/>
      <c r="F15" s="80"/>
      <c r="G15" s="81"/>
      <c r="H15" s="81"/>
      <c r="I15" s="81"/>
      <c r="J15" s="82"/>
    </row>
    <row r="16" spans="2:10" x14ac:dyDescent="0.25">
      <c r="B16" s="64"/>
      <c r="C16" s="66"/>
      <c r="D16" s="66"/>
      <c r="E16" s="66"/>
      <c r="F16" s="67"/>
      <c r="G16" s="66"/>
      <c r="H16" s="66"/>
      <c r="I16" s="66"/>
      <c r="J16" s="87"/>
    </row>
    <row r="17" spans="2:11" x14ac:dyDescent="0.25">
      <c r="B17" s="222" t="s">
        <v>132</v>
      </c>
      <c r="C17" s="133">
        <v>0.2</v>
      </c>
      <c r="D17" s="3"/>
      <c r="E17" s="22" t="s">
        <v>14</v>
      </c>
      <c r="F17" s="73">
        <f>E4*C17</f>
        <v>625</v>
      </c>
      <c r="G17" s="3"/>
      <c r="H17" s="3"/>
      <c r="I17" s="3"/>
      <c r="J17" s="83"/>
      <c r="K17" s="84"/>
    </row>
    <row r="18" spans="2:11" x14ac:dyDescent="0.25">
      <c r="B18" s="59" t="s">
        <v>1</v>
      </c>
      <c r="C18" s="85"/>
      <c r="D18" s="3"/>
      <c r="E18" s="22" t="s">
        <v>4</v>
      </c>
      <c r="F18" s="70">
        <f>IF(C18&lt;63,0,IF(AND(C18&gt;=63,C18&lt;67),50%,IF(C18&gt;=67,100%)))</f>
        <v>0</v>
      </c>
      <c r="G18" s="3"/>
      <c r="H18" s="3" t="s">
        <v>89</v>
      </c>
      <c r="I18" s="58">
        <v>0</v>
      </c>
      <c r="J18" s="72"/>
    </row>
    <row r="19" spans="2:11" x14ac:dyDescent="0.25">
      <c r="B19" s="33"/>
      <c r="C19" s="3"/>
      <c r="D19" s="3"/>
      <c r="E19" s="43" t="s">
        <v>131</v>
      </c>
      <c r="F19" s="96">
        <f>C7</f>
        <v>0.5</v>
      </c>
      <c r="G19" s="3"/>
      <c r="H19" s="3" t="s">
        <v>90</v>
      </c>
      <c r="I19" s="71">
        <v>0.5</v>
      </c>
      <c r="J19" s="74"/>
    </row>
    <row r="20" spans="2:11" x14ac:dyDescent="0.25">
      <c r="B20" s="33"/>
      <c r="C20" s="3"/>
      <c r="D20" s="3"/>
      <c r="E20" s="22" t="s">
        <v>5</v>
      </c>
      <c r="F20" s="73">
        <f>SUM(F17*F18*F19)</f>
        <v>0</v>
      </c>
      <c r="G20" s="3"/>
      <c r="H20" s="3" t="s">
        <v>91</v>
      </c>
      <c r="I20" s="71">
        <v>1</v>
      </c>
      <c r="J20" s="75"/>
    </row>
    <row r="21" spans="2:11" ht="15.75" thickBot="1" x14ac:dyDescent="0.3">
      <c r="B21" s="86"/>
      <c r="C21" s="81"/>
      <c r="D21" s="81"/>
      <c r="E21" s="81"/>
      <c r="F21" s="80"/>
      <c r="G21" s="81"/>
      <c r="H21" s="81"/>
      <c r="I21" s="81"/>
      <c r="J21" s="82"/>
    </row>
    <row r="22" spans="2:11" x14ac:dyDescent="0.25">
      <c r="B22" s="33" t="s">
        <v>127</v>
      </c>
      <c r="C22" s="3"/>
      <c r="D22" s="235">
        <v>1</v>
      </c>
      <c r="E22" s="63">
        <v>1</v>
      </c>
      <c r="F22" s="62"/>
      <c r="G22" s="3"/>
      <c r="H22" s="3"/>
      <c r="I22" s="3"/>
      <c r="J22" s="83"/>
    </row>
    <row r="23" spans="2:11" x14ac:dyDescent="0.25">
      <c r="B23" s="206" t="s">
        <v>3</v>
      </c>
      <c r="C23" s="58"/>
      <c r="D23" s="63"/>
      <c r="E23" s="63">
        <v>2</v>
      </c>
      <c r="F23" s="62"/>
      <c r="G23" s="3"/>
      <c r="H23" s="3" t="s">
        <v>92</v>
      </c>
      <c r="I23" s="99">
        <v>0</v>
      </c>
      <c r="J23" s="72"/>
    </row>
    <row r="24" spans="2:11" x14ac:dyDescent="0.25">
      <c r="B24" s="59" t="s">
        <v>4</v>
      </c>
      <c r="C24" s="88"/>
      <c r="D24" s="63"/>
      <c r="E24" s="22" t="s">
        <v>5</v>
      </c>
      <c r="F24" s="89">
        <f>C25</f>
        <v>0</v>
      </c>
      <c r="G24" s="3"/>
      <c r="H24" s="3" t="s">
        <v>93</v>
      </c>
      <c r="I24" s="99">
        <f>IF(D22=1,5000,2500)</f>
        <v>5000</v>
      </c>
      <c r="J24" s="74"/>
    </row>
    <row r="25" spans="2:11" x14ac:dyDescent="0.25">
      <c r="B25" s="5" t="s">
        <v>94</v>
      </c>
      <c r="C25" s="107">
        <f>IF(C24&lt;88,I23,IF(AND(C24&gt;=88, C24&lt;94),I24,I25))</f>
        <v>0</v>
      </c>
      <c r="D25" s="63"/>
      <c r="E25" s="3"/>
      <c r="F25" s="62"/>
      <c r="G25" s="3"/>
      <c r="H25" s="3" t="s">
        <v>95</v>
      </c>
      <c r="I25" s="99">
        <f>IF(D22=2,5000,10000)</f>
        <v>10000</v>
      </c>
      <c r="J25" s="75"/>
    </row>
    <row r="26" spans="2:11" ht="15.75" thickBot="1" x14ac:dyDescent="0.3">
      <c r="B26" s="86" t="s">
        <v>130</v>
      </c>
      <c r="C26" s="81"/>
      <c r="D26" s="81"/>
      <c r="E26" s="81"/>
      <c r="F26" s="81"/>
      <c r="G26" s="81"/>
      <c r="H26" s="81"/>
      <c r="I26" s="81"/>
      <c r="J26" s="82"/>
    </row>
    <row r="27" spans="2:11" x14ac:dyDescent="0.25">
      <c r="B27" s="64"/>
      <c r="C27" s="91"/>
      <c r="D27" s="66"/>
      <c r="E27" s="66"/>
      <c r="F27" s="67"/>
      <c r="G27" s="66"/>
      <c r="H27" s="66"/>
      <c r="I27" s="66"/>
      <c r="J27" s="87"/>
    </row>
    <row r="28" spans="2:11" x14ac:dyDescent="0.25">
      <c r="B28" s="33" t="s">
        <v>96</v>
      </c>
      <c r="C28" s="133">
        <v>0.2</v>
      </c>
      <c r="D28" s="3"/>
      <c r="E28" s="22" t="s">
        <v>14</v>
      </c>
      <c r="F28" s="73">
        <f>C28*E4</f>
        <v>625</v>
      </c>
      <c r="G28" s="3"/>
      <c r="H28" s="3" t="s">
        <v>97</v>
      </c>
      <c r="I28" s="71">
        <v>0</v>
      </c>
      <c r="J28" s="72"/>
    </row>
    <row r="29" spans="2:11" x14ac:dyDescent="0.25">
      <c r="B29" s="59" t="s">
        <v>1</v>
      </c>
      <c r="C29" s="60"/>
      <c r="D29" s="3"/>
      <c r="E29" s="22" t="s">
        <v>4</v>
      </c>
      <c r="F29" s="70" t="e">
        <f>IF(C31&lt;98%,0,IF(AND(C31&gt;=98%,C31&lt;101%),50%,IF(AND(C31&gt;=101%,C31&lt;=105%),100%,IF(C31&gt;=105.01%,105%))))</f>
        <v>#DIV/0!</v>
      </c>
      <c r="G29" s="3"/>
      <c r="H29" s="3" t="s">
        <v>98</v>
      </c>
      <c r="I29" s="71">
        <v>0.5</v>
      </c>
      <c r="J29" s="74"/>
    </row>
    <row r="30" spans="2:11" x14ac:dyDescent="0.25">
      <c r="B30" s="59" t="s">
        <v>0</v>
      </c>
      <c r="C30" s="60"/>
      <c r="D30" s="3"/>
      <c r="E30" s="43" t="s">
        <v>131</v>
      </c>
      <c r="F30" s="96">
        <f>C7</f>
        <v>0.5</v>
      </c>
      <c r="G30" s="3"/>
      <c r="H30" s="3" t="s">
        <v>99</v>
      </c>
      <c r="I30" s="71">
        <v>1</v>
      </c>
      <c r="J30" s="75"/>
    </row>
    <row r="31" spans="2:11" x14ac:dyDescent="0.25">
      <c r="B31" s="5" t="s">
        <v>13</v>
      </c>
      <c r="C31" s="100" t="e">
        <f>SUM(C29/C30)</f>
        <v>#DIV/0!</v>
      </c>
      <c r="D31" s="3"/>
      <c r="E31" s="22" t="s">
        <v>5</v>
      </c>
      <c r="F31" s="73" t="e">
        <f>SUM(F28*F29*F30)</f>
        <v>#DIV/0!</v>
      </c>
      <c r="G31" s="3"/>
      <c r="H31" s="3" t="s">
        <v>88</v>
      </c>
      <c r="I31" s="71">
        <v>1.05</v>
      </c>
      <c r="J31" s="76"/>
    </row>
    <row r="32" spans="2:11" ht="15.75" thickBot="1" x14ac:dyDescent="0.3">
      <c r="B32" s="86"/>
      <c r="C32" s="92"/>
      <c r="D32" s="81"/>
      <c r="E32" s="81"/>
      <c r="F32" s="93"/>
      <c r="G32" s="81"/>
      <c r="H32" s="81"/>
      <c r="I32" s="94"/>
      <c r="J32" s="95"/>
    </row>
    <row r="33" spans="2:10" x14ac:dyDescent="0.25">
      <c r="B33" s="64"/>
      <c r="C33" s="66"/>
      <c r="D33" s="66"/>
      <c r="E33" s="66"/>
      <c r="F33" s="67"/>
      <c r="G33" s="66"/>
      <c r="H33" s="66"/>
      <c r="I33" s="66"/>
      <c r="J33" s="87"/>
    </row>
    <row r="34" spans="2:10" x14ac:dyDescent="0.25">
      <c r="B34" s="33" t="s">
        <v>28</v>
      </c>
      <c r="C34" s="134">
        <v>0.2</v>
      </c>
      <c r="D34" s="3"/>
      <c r="E34" s="22" t="s">
        <v>14</v>
      </c>
      <c r="F34" s="73">
        <f>C34*E4</f>
        <v>625</v>
      </c>
      <c r="G34" s="3"/>
      <c r="H34" s="3" t="s">
        <v>100</v>
      </c>
      <c r="I34" s="97">
        <v>0</v>
      </c>
      <c r="J34" s="72"/>
    </row>
    <row r="35" spans="2:10" x14ac:dyDescent="0.25">
      <c r="B35" s="5"/>
      <c r="C35" s="22" t="s">
        <v>27</v>
      </c>
      <c r="D35" s="3"/>
      <c r="E35" s="22" t="s">
        <v>4</v>
      </c>
      <c r="F35" s="70">
        <f>IF(C44&lt;40%,0,IF(AND(C44&gt;=40%,C44&lt;50%),50%,IF(C44&gt;=50%,100%)))</f>
        <v>0</v>
      </c>
      <c r="G35" s="3"/>
      <c r="H35" s="3" t="s">
        <v>101</v>
      </c>
      <c r="I35" s="97">
        <v>0.5</v>
      </c>
      <c r="J35" s="74"/>
    </row>
    <row r="36" spans="2:10" x14ac:dyDescent="0.25">
      <c r="B36" s="59" t="s">
        <v>1</v>
      </c>
      <c r="C36" s="60"/>
      <c r="D36" s="3"/>
      <c r="E36" s="43" t="s">
        <v>131</v>
      </c>
      <c r="F36" s="96">
        <f>C7</f>
        <v>0.5</v>
      </c>
      <c r="G36" s="3"/>
      <c r="H36" s="3" t="s">
        <v>102</v>
      </c>
      <c r="I36" s="97">
        <v>1</v>
      </c>
      <c r="J36" s="75"/>
    </row>
    <row r="37" spans="2:10" x14ac:dyDescent="0.25">
      <c r="B37" s="59" t="s">
        <v>0</v>
      </c>
      <c r="C37" s="60"/>
      <c r="D37" s="3"/>
      <c r="E37" s="22" t="s">
        <v>5</v>
      </c>
      <c r="F37" s="73">
        <f>SUM(F34*F35*F36)</f>
        <v>0</v>
      </c>
      <c r="G37" s="3"/>
      <c r="H37" s="3"/>
      <c r="I37" s="3"/>
      <c r="J37" s="83"/>
    </row>
    <row r="38" spans="2:10" x14ac:dyDescent="0.25">
      <c r="B38" s="5" t="s">
        <v>30</v>
      </c>
      <c r="C38" s="99">
        <f>SUM(C36-C37)</f>
        <v>0</v>
      </c>
      <c r="D38" s="3"/>
      <c r="G38" s="3"/>
      <c r="H38" s="3"/>
      <c r="I38" s="3"/>
      <c r="J38" s="83"/>
    </row>
    <row r="39" spans="2:10" x14ac:dyDescent="0.25">
      <c r="B39" s="5"/>
      <c r="C39" s="22"/>
      <c r="D39" s="3"/>
      <c r="E39" s="3"/>
      <c r="F39" s="3"/>
      <c r="G39" s="3"/>
      <c r="H39" s="3"/>
      <c r="I39" s="3"/>
      <c r="J39" s="83"/>
    </row>
    <row r="40" spans="2:10" x14ac:dyDescent="0.25">
      <c r="B40" s="5"/>
      <c r="C40" s="22" t="s">
        <v>29</v>
      </c>
      <c r="D40" s="3"/>
      <c r="E40" s="3"/>
      <c r="F40" s="3"/>
      <c r="G40" s="3"/>
      <c r="H40" s="3"/>
      <c r="I40" s="3"/>
      <c r="J40" s="83"/>
    </row>
    <row r="41" spans="2:10" x14ac:dyDescent="0.25">
      <c r="B41" s="59" t="s">
        <v>1</v>
      </c>
      <c r="C41" s="60"/>
      <c r="D41" s="3"/>
      <c r="E41" s="3"/>
      <c r="F41" s="62"/>
      <c r="G41" s="3"/>
      <c r="H41" s="3"/>
      <c r="I41" s="3"/>
      <c r="J41" s="83"/>
    </row>
    <row r="42" spans="2:10" x14ac:dyDescent="0.25">
      <c r="B42" s="59" t="s">
        <v>0</v>
      </c>
      <c r="C42" s="60"/>
      <c r="D42" s="3"/>
      <c r="E42" s="3"/>
      <c r="F42" s="62"/>
      <c r="G42" s="3"/>
      <c r="H42" s="3"/>
      <c r="I42" s="3"/>
      <c r="J42" s="83"/>
    </row>
    <row r="43" spans="2:10" x14ac:dyDescent="0.25">
      <c r="B43" s="5" t="s">
        <v>30</v>
      </c>
      <c r="C43" s="99">
        <f>SUM(C41-C42)</f>
        <v>0</v>
      </c>
      <c r="D43" s="3"/>
      <c r="E43" s="3"/>
      <c r="F43" s="62"/>
      <c r="G43" s="3"/>
      <c r="H43" s="3"/>
      <c r="I43" s="3"/>
      <c r="J43" s="83"/>
    </row>
    <row r="44" spans="2:10" ht="60.75" thickBot="1" x14ac:dyDescent="0.3">
      <c r="B44" s="184" t="s">
        <v>135</v>
      </c>
      <c r="C44" s="185">
        <f>IF(C38&gt;0,(C38/C43),0%)</f>
        <v>0</v>
      </c>
      <c r="D44" s="81"/>
      <c r="E44" s="81"/>
      <c r="F44" s="80"/>
      <c r="G44" s="81"/>
      <c r="H44" s="81"/>
      <c r="I44" s="81"/>
      <c r="J44" s="82"/>
    </row>
    <row r="45" spans="2:10" x14ac:dyDescent="0.25">
      <c r="B45" s="55"/>
      <c r="D45" s="3"/>
      <c r="F45" s="31"/>
    </row>
    <row r="46" spans="2:10" x14ac:dyDescent="0.25">
      <c r="E46" s="183" t="s">
        <v>103</v>
      </c>
      <c r="F46" s="171" t="e">
        <f>F20+F24+F14+F31+F37</f>
        <v>#DIV/0!</v>
      </c>
    </row>
    <row r="47" spans="2:10" x14ac:dyDescent="0.25">
      <c r="B47" s="55"/>
      <c r="F47" s="31"/>
    </row>
    <row r="48" spans="2:10" x14ac:dyDescent="0.25">
      <c r="F48" s="31"/>
    </row>
  </sheetData>
  <mergeCells count="1">
    <mergeCell ref="C2:E2"/>
  </mergeCells>
  <conditionalFormatting sqref="B2:C2 A1:XFD1 F2:XFD2 A3:XFD1048576">
    <cfRule type="containsErrors" dxfId="56" priority="7">
      <formula>ISERROR(A1)</formula>
    </cfRule>
  </conditionalFormatting>
  <conditionalFormatting sqref="J8">
    <cfRule type="containsErrors" dxfId="55" priority="6">
      <formula>ISERROR(J8)</formula>
    </cfRule>
  </conditionalFormatting>
  <conditionalFormatting sqref="E13">
    <cfRule type="containsErrors" dxfId="54" priority="5">
      <formula>ISERROR(E13)</formula>
    </cfRule>
  </conditionalFormatting>
  <conditionalFormatting sqref="E19">
    <cfRule type="containsErrors" dxfId="53" priority="4">
      <formula>ISERROR(E19)</formula>
    </cfRule>
  </conditionalFormatting>
  <conditionalFormatting sqref="E30">
    <cfRule type="containsErrors" dxfId="52" priority="3">
      <formula>ISERROR(E30)</formula>
    </cfRule>
  </conditionalFormatting>
  <conditionalFormatting sqref="E36">
    <cfRule type="containsErrors" dxfId="51" priority="2">
      <formula>ISERROR(E36)</formula>
    </cfRule>
  </conditionalFormatting>
  <conditionalFormatting sqref="B2:C2">
    <cfRule type="containsErrors" dxfId="50" priority="1">
      <formula>ISERROR(B2)</formula>
    </cfRule>
  </conditionalFormatting>
  <dataValidations count="1">
    <dataValidation type="list" allowBlank="1" showInputMessage="1" showErrorMessage="1" sqref="D22" xr:uid="{00000000-0002-0000-0100-000000000000}">
      <formula1>$E$22:$E$23</formula1>
    </dataValidation>
  </dataValidations>
  <pageMargins left="0.7" right="0.7" top="0.75" bottom="0.75" header="0.3" footer="0.3"/>
  <pageSetup scale="7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pageSetUpPr fitToPage="1"/>
  </sheetPr>
  <dimension ref="B2:J46"/>
  <sheetViews>
    <sheetView showGridLines="0" topLeftCell="A10" workbookViewId="0">
      <selection activeCell="C5" sqref="C5"/>
    </sheetView>
  </sheetViews>
  <sheetFormatPr defaultRowHeight="15" x14ac:dyDescent="0.25"/>
  <cols>
    <col min="1" max="1" width="9.140625" style="9"/>
    <col min="2" max="2" width="17.5703125" style="9" customWidth="1"/>
    <col min="3" max="4" width="15.5703125" style="9" customWidth="1"/>
    <col min="5" max="5" width="20.5703125" style="9" bestFit="1" customWidth="1"/>
    <col min="6" max="6" width="15.5703125" style="9" customWidth="1"/>
    <col min="7" max="7" width="7.85546875" style="9" customWidth="1"/>
    <col min="8" max="8" width="12.42578125" style="9" bestFit="1" customWidth="1"/>
    <col min="9" max="9" width="9.140625" style="9"/>
    <col min="10" max="10" width="4.5703125" style="9" customWidth="1"/>
    <col min="11" max="11" width="8.85546875" style="9" customWidth="1"/>
    <col min="12" max="16384" width="9.140625" style="9"/>
  </cols>
  <sheetData>
    <row r="2" spans="2:10" ht="21" x14ac:dyDescent="0.35">
      <c r="B2" s="178" t="s">
        <v>16</v>
      </c>
      <c r="C2" s="254" t="s">
        <v>50</v>
      </c>
      <c r="D2" s="254"/>
      <c r="E2" s="11"/>
      <c r="F2" s="11"/>
    </row>
    <row r="3" spans="2:10" x14ac:dyDescent="0.25">
      <c r="B3" s="186" t="s">
        <v>17</v>
      </c>
      <c r="C3" s="186" t="s">
        <v>7</v>
      </c>
      <c r="D3" s="186" t="s">
        <v>8</v>
      </c>
      <c r="E3" s="186" t="s">
        <v>41</v>
      </c>
      <c r="F3" s="105" t="s">
        <v>124</v>
      </c>
    </row>
    <row r="4" spans="2:10" x14ac:dyDescent="0.25">
      <c r="B4" s="90">
        <v>25000</v>
      </c>
      <c r="C4" s="253">
        <v>0.2</v>
      </c>
      <c r="D4" s="107">
        <f>SUM(B4*C4)</f>
        <v>5000</v>
      </c>
      <c r="E4" s="187">
        <f>SUM(D4/2)</f>
        <v>2500</v>
      </c>
      <c r="F4" s="105" t="s">
        <v>125</v>
      </c>
    </row>
    <row r="5" spans="2:10" x14ac:dyDescent="0.25">
      <c r="B5" s="151" t="s">
        <v>78</v>
      </c>
      <c r="C5" s="286">
        <f>'Executive Summary'!C21</f>
        <v>44742</v>
      </c>
      <c r="D5" s="103"/>
      <c r="E5" s="104"/>
      <c r="F5" s="11"/>
    </row>
    <row r="6" spans="2:10" ht="15.75" thickBot="1" x14ac:dyDescent="0.3">
      <c r="E6" s="104"/>
      <c r="F6" s="11"/>
    </row>
    <row r="7" spans="2:10" ht="15.75" thickBot="1" x14ac:dyDescent="0.3">
      <c r="B7" s="106" t="s">
        <v>126</v>
      </c>
      <c r="C7" s="180"/>
      <c r="D7" s="266" t="s">
        <v>124</v>
      </c>
      <c r="E7" s="181" t="s">
        <v>128</v>
      </c>
      <c r="F7" s="39"/>
      <c r="G7" s="31"/>
    </row>
    <row r="8" spans="2:10" x14ac:dyDescent="0.25">
      <c r="B8" s="64" t="s">
        <v>79</v>
      </c>
      <c r="C8" s="264">
        <f>'Executive Summary'!E20</f>
        <v>0.5</v>
      </c>
      <c r="D8" s="66"/>
      <c r="E8" s="108"/>
      <c r="F8" s="67"/>
      <c r="G8" s="66"/>
      <c r="H8" s="66"/>
      <c r="I8" s="66"/>
      <c r="J8" s="109"/>
    </row>
    <row r="9" spans="2:10" x14ac:dyDescent="0.25">
      <c r="B9" s="33"/>
      <c r="C9" s="97"/>
      <c r="D9" s="3"/>
      <c r="E9" s="63"/>
      <c r="F9" s="62"/>
      <c r="G9" s="3"/>
      <c r="H9" s="3"/>
      <c r="I9" s="3"/>
      <c r="J9" s="111"/>
    </row>
    <row r="10" spans="2:10" ht="15.75" thickBot="1" x14ac:dyDescent="0.3">
      <c r="B10" s="86" t="s">
        <v>84</v>
      </c>
      <c r="C10" s="81"/>
      <c r="D10" s="81"/>
      <c r="E10" s="112"/>
      <c r="F10" s="80"/>
      <c r="G10" s="113"/>
      <c r="H10" s="81"/>
      <c r="I10" s="81"/>
      <c r="J10" s="114"/>
    </row>
    <row r="11" spans="2:10" x14ac:dyDescent="0.25">
      <c r="B11" s="115"/>
      <c r="C11" s="154"/>
      <c r="D11" s="116"/>
      <c r="E11" s="116"/>
      <c r="F11" s="116"/>
      <c r="G11" s="117"/>
      <c r="H11" s="117"/>
      <c r="I11" s="117"/>
      <c r="J11" s="109"/>
    </row>
    <row r="12" spans="2:10" x14ac:dyDescent="0.25">
      <c r="B12" s="131" t="s">
        <v>12</v>
      </c>
      <c r="C12" s="155">
        <f>IF(D7 = "Yes",20%,25%)</f>
        <v>0.2</v>
      </c>
      <c r="D12" s="7"/>
      <c r="E12" s="4"/>
      <c r="F12" s="4"/>
      <c r="G12" s="4"/>
      <c r="H12" s="4"/>
      <c r="I12" s="4"/>
      <c r="J12" s="111"/>
    </row>
    <row r="13" spans="2:10" x14ac:dyDescent="0.25">
      <c r="B13" s="132" t="s">
        <v>1</v>
      </c>
      <c r="C13" s="90">
        <v>0</v>
      </c>
      <c r="D13" s="7"/>
      <c r="E13" s="43" t="s">
        <v>14</v>
      </c>
      <c r="F13" s="129">
        <f>SUM($E$4*C12)</f>
        <v>500</v>
      </c>
      <c r="G13" s="4"/>
      <c r="H13" s="4" t="s">
        <v>106</v>
      </c>
      <c r="I13" s="102">
        <v>0</v>
      </c>
      <c r="J13" s="72"/>
    </row>
    <row r="14" spans="2:10" x14ac:dyDescent="0.25">
      <c r="B14" s="132" t="s">
        <v>0</v>
      </c>
      <c r="C14" s="90">
        <v>0</v>
      </c>
      <c r="D14" s="7"/>
      <c r="E14" s="43" t="s">
        <v>4</v>
      </c>
      <c r="F14" s="130" t="e">
        <f>SUM(C16)</f>
        <v>#DIV/0!</v>
      </c>
      <c r="G14" s="4"/>
      <c r="H14" s="4" t="s">
        <v>122</v>
      </c>
      <c r="I14" s="102">
        <v>0.5</v>
      </c>
      <c r="J14" s="74"/>
    </row>
    <row r="15" spans="2:10" x14ac:dyDescent="0.25">
      <c r="B15" s="188" t="s">
        <v>13</v>
      </c>
      <c r="C15" s="230" t="e">
        <f>SUM(C13/C14)</f>
        <v>#DIV/0!</v>
      </c>
      <c r="D15" s="7"/>
      <c r="E15" s="43" t="s">
        <v>131</v>
      </c>
      <c r="F15" s="130">
        <f>C8</f>
        <v>0.5</v>
      </c>
      <c r="G15" s="4"/>
      <c r="H15" s="4" t="s">
        <v>108</v>
      </c>
      <c r="I15" s="102">
        <v>1</v>
      </c>
      <c r="J15" s="75"/>
    </row>
    <row r="16" spans="2:10" x14ac:dyDescent="0.25">
      <c r="B16" s="188" t="s">
        <v>10</v>
      </c>
      <c r="C16" s="196" t="e">
        <f>IF(C15&gt;100%,0,IF(AND(C15&lt;=100%,C15&gt;=98%),50%,IF(C15&lt;98%,100%)))</f>
        <v>#DIV/0!</v>
      </c>
      <c r="D16" s="7"/>
      <c r="E16" s="43" t="s">
        <v>5</v>
      </c>
      <c r="F16" s="129" t="e">
        <f>SUM(F13*F14*F15)</f>
        <v>#DIV/0!</v>
      </c>
      <c r="G16" s="4"/>
      <c r="H16" s="4"/>
      <c r="I16" s="4"/>
      <c r="J16" s="111"/>
    </row>
    <row r="17" spans="2:10" ht="15.75" thickBot="1" x14ac:dyDescent="0.3">
      <c r="B17" s="118"/>
      <c r="C17" s="123"/>
      <c r="D17" s="119"/>
      <c r="E17" s="148"/>
      <c r="F17" s="120"/>
      <c r="G17" s="121"/>
      <c r="H17" s="121"/>
      <c r="I17" s="121"/>
      <c r="J17" s="114"/>
    </row>
    <row r="18" spans="2:10" x14ac:dyDescent="0.25">
      <c r="B18" s="115"/>
      <c r="C18" s="154"/>
      <c r="D18" s="116"/>
      <c r="E18" s="125"/>
      <c r="F18" s="122"/>
      <c r="G18" s="117"/>
      <c r="H18" s="117"/>
      <c r="I18" s="117"/>
      <c r="J18" s="109"/>
    </row>
    <row r="19" spans="2:10" x14ac:dyDescent="0.25">
      <c r="B19" s="131" t="s">
        <v>15</v>
      </c>
      <c r="C19" s="155">
        <f>IF(D7 ="Yes", 15%,20%)</f>
        <v>0.15</v>
      </c>
      <c r="D19" s="40"/>
      <c r="E19" s="43" t="s">
        <v>14</v>
      </c>
      <c r="F19" s="129">
        <f>SUM($E$4*C19)</f>
        <v>375</v>
      </c>
      <c r="G19" s="4"/>
      <c r="H19" s="4" t="s">
        <v>106</v>
      </c>
      <c r="I19" s="102">
        <v>0</v>
      </c>
      <c r="J19" s="72"/>
    </row>
    <row r="20" spans="2:10" x14ac:dyDescent="0.25">
      <c r="B20" s="132" t="s">
        <v>1</v>
      </c>
      <c r="C20" s="90">
        <v>0</v>
      </c>
      <c r="D20" s="40"/>
      <c r="E20" s="43" t="s">
        <v>4</v>
      </c>
      <c r="F20" s="130" t="e">
        <f>SUM(C23)</f>
        <v>#DIV/0!</v>
      </c>
      <c r="G20" s="4"/>
      <c r="H20" s="4" t="s">
        <v>122</v>
      </c>
      <c r="I20" s="102">
        <v>0.5</v>
      </c>
      <c r="J20" s="74"/>
    </row>
    <row r="21" spans="2:10" x14ac:dyDescent="0.25">
      <c r="B21" s="132" t="s">
        <v>0</v>
      </c>
      <c r="C21" s="90">
        <v>0</v>
      </c>
      <c r="D21" s="40"/>
      <c r="E21" s="43" t="s">
        <v>131</v>
      </c>
      <c r="F21" s="130">
        <f>C8</f>
        <v>0.5</v>
      </c>
      <c r="G21" s="4"/>
      <c r="H21" s="4" t="s">
        <v>108</v>
      </c>
      <c r="I21" s="102">
        <v>1</v>
      </c>
      <c r="J21" s="75"/>
    </row>
    <row r="22" spans="2:10" x14ac:dyDescent="0.25">
      <c r="B22" s="188" t="s">
        <v>13</v>
      </c>
      <c r="C22" s="230" t="e">
        <f>SUM(C20/C21)</f>
        <v>#DIV/0!</v>
      </c>
      <c r="D22" s="40"/>
      <c r="E22" s="43" t="s">
        <v>5</v>
      </c>
      <c r="F22" s="129" t="e">
        <f>SUM(F19*F20*C8)</f>
        <v>#DIV/0!</v>
      </c>
      <c r="G22" s="4"/>
      <c r="H22" s="4"/>
      <c r="I22" s="4"/>
      <c r="J22" s="111"/>
    </row>
    <row r="23" spans="2:10" x14ac:dyDescent="0.25">
      <c r="B23" s="188" t="s">
        <v>10</v>
      </c>
      <c r="C23" s="196" t="e">
        <f>IF(C22&gt;100%,0,IF(AND(C22&lt;=100%,C22&gt;=98%),50%,IF(C22&lt;98%,100%)))</f>
        <v>#DIV/0!</v>
      </c>
      <c r="D23" s="40"/>
      <c r="E23" s="149"/>
      <c r="F23" s="38"/>
      <c r="G23" s="4"/>
      <c r="H23" s="4"/>
      <c r="I23" s="4"/>
      <c r="J23" s="111"/>
    </row>
    <row r="24" spans="2:10" ht="15.75" thickBot="1" x14ac:dyDescent="0.3">
      <c r="B24" s="118"/>
      <c r="C24" s="123"/>
      <c r="D24" s="123"/>
      <c r="E24" s="148"/>
      <c r="F24" s="120"/>
      <c r="G24" s="121"/>
      <c r="H24" s="121"/>
      <c r="I24" s="121"/>
      <c r="J24" s="114"/>
    </row>
    <row r="25" spans="2:10" x14ac:dyDescent="0.25">
      <c r="B25" s="115"/>
      <c r="C25" s="154"/>
      <c r="D25" s="116"/>
      <c r="E25" s="125"/>
      <c r="F25" s="122"/>
      <c r="G25" s="117"/>
      <c r="H25" s="117"/>
      <c r="I25" s="117"/>
      <c r="J25" s="109"/>
    </row>
    <row r="26" spans="2:10" x14ac:dyDescent="0.25">
      <c r="B26" s="131" t="s">
        <v>18</v>
      </c>
      <c r="C26" s="155">
        <v>0.25</v>
      </c>
      <c r="D26" s="40"/>
      <c r="E26" s="43" t="s">
        <v>14</v>
      </c>
      <c r="F26" s="41">
        <f>SUM($E$4*C26)</f>
        <v>625</v>
      </c>
      <c r="G26" s="4"/>
      <c r="H26" s="4" t="s">
        <v>106</v>
      </c>
      <c r="I26" s="102">
        <v>0</v>
      </c>
      <c r="J26" s="72"/>
    </row>
    <row r="27" spans="2:10" x14ac:dyDescent="0.25">
      <c r="B27" s="132" t="s">
        <v>1</v>
      </c>
      <c r="C27" s="90">
        <v>0</v>
      </c>
      <c r="D27" s="40"/>
      <c r="E27" s="43" t="s">
        <v>4</v>
      </c>
      <c r="F27" s="42" t="e">
        <f>SUM(C30)</f>
        <v>#DIV/0!</v>
      </c>
      <c r="G27" s="4"/>
      <c r="H27" s="4" t="s">
        <v>122</v>
      </c>
      <c r="I27" s="102">
        <v>0.5</v>
      </c>
      <c r="J27" s="74"/>
    </row>
    <row r="28" spans="2:10" x14ac:dyDescent="0.25">
      <c r="B28" s="132" t="s">
        <v>0</v>
      </c>
      <c r="C28" s="90">
        <v>0</v>
      </c>
      <c r="D28" s="40"/>
      <c r="E28" s="43" t="s">
        <v>131</v>
      </c>
      <c r="F28" s="42">
        <f>C8</f>
        <v>0.5</v>
      </c>
      <c r="G28" s="4"/>
      <c r="H28" s="4" t="s">
        <v>108</v>
      </c>
      <c r="I28" s="102">
        <v>1</v>
      </c>
      <c r="J28" s="75"/>
    </row>
    <row r="29" spans="2:10" x14ac:dyDescent="0.25">
      <c r="B29" s="188" t="s">
        <v>13</v>
      </c>
      <c r="C29" s="230" t="e">
        <f>SUM(C27/C28)</f>
        <v>#DIV/0!</v>
      </c>
      <c r="D29" s="40"/>
      <c r="E29" s="43" t="s">
        <v>5</v>
      </c>
      <c r="F29" s="41" t="e">
        <f>SUM(F26*F27*C8)</f>
        <v>#DIV/0!</v>
      </c>
      <c r="G29" s="4"/>
      <c r="H29" s="4"/>
      <c r="I29" s="4"/>
      <c r="J29" s="111"/>
    </row>
    <row r="30" spans="2:10" x14ac:dyDescent="0.25">
      <c r="B30" s="188" t="s">
        <v>10</v>
      </c>
      <c r="C30" s="196" t="e">
        <f>IF(C29&gt;100%,0,IF(AND(C29&lt;=100%,C29&gt;=98%),50%,IF(C29&lt;98%,100%)))</f>
        <v>#DIV/0!</v>
      </c>
      <c r="D30" s="40"/>
      <c r="E30" s="149"/>
      <c r="F30" s="44"/>
      <c r="G30" s="4"/>
      <c r="H30" s="4"/>
      <c r="I30" s="4"/>
      <c r="J30" s="111"/>
    </row>
    <row r="31" spans="2:10" ht="15.75" thickBot="1" x14ac:dyDescent="0.3">
      <c r="B31" s="118"/>
      <c r="C31" s="123"/>
      <c r="D31" s="119"/>
      <c r="E31" s="148"/>
      <c r="F31" s="124"/>
      <c r="G31" s="121"/>
      <c r="H31" s="121"/>
      <c r="I31" s="121"/>
      <c r="J31" s="114"/>
    </row>
    <row r="32" spans="2:10" x14ac:dyDescent="0.25">
      <c r="B32" s="115"/>
      <c r="C32" s="154"/>
      <c r="D32" s="116"/>
      <c r="E32" s="125"/>
      <c r="F32" s="125"/>
      <c r="G32" s="117"/>
      <c r="H32" s="117"/>
      <c r="I32" s="117"/>
      <c r="J32" s="109"/>
    </row>
    <row r="33" spans="2:10" x14ac:dyDescent="0.25">
      <c r="B33" s="156" t="s">
        <v>2</v>
      </c>
      <c r="C33" s="155">
        <f>IF(D7 = "Yes", 20%, 30%)</f>
        <v>0.2</v>
      </c>
      <c r="D33" s="8"/>
      <c r="E33" s="43" t="s">
        <v>14</v>
      </c>
      <c r="F33" s="41">
        <f>SUM($E$4*C33)</f>
        <v>500</v>
      </c>
      <c r="G33" s="4"/>
      <c r="H33" s="4" t="s">
        <v>89</v>
      </c>
      <c r="I33" s="102">
        <v>0</v>
      </c>
      <c r="J33" s="72"/>
    </row>
    <row r="34" spans="2:10" x14ac:dyDescent="0.25">
      <c r="B34" s="132" t="s">
        <v>1</v>
      </c>
      <c r="C34" s="223">
        <v>0</v>
      </c>
      <c r="D34" s="8"/>
      <c r="E34" s="43" t="s">
        <v>4</v>
      </c>
      <c r="F34" s="42">
        <f>SUM(C35)</f>
        <v>0</v>
      </c>
      <c r="G34" s="4"/>
      <c r="H34" s="4" t="s">
        <v>90</v>
      </c>
      <c r="I34" s="102">
        <v>0.5</v>
      </c>
      <c r="J34" s="74"/>
    </row>
    <row r="35" spans="2:10" x14ac:dyDescent="0.25">
      <c r="B35" s="188" t="s">
        <v>10</v>
      </c>
      <c r="C35" s="216">
        <f>IF(C34&lt;=62.99,0,IF(AND(C34&gt;=63,C34&lt;=66.99),50%,IF(C34&gt;67,100%,0)))</f>
        <v>0</v>
      </c>
      <c r="D35" s="8"/>
      <c r="E35" s="43" t="s">
        <v>131</v>
      </c>
      <c r="F35" s="42">
        <f>C8</f>
        <v>0.5</v>
      </c>
      <c r="G35" s="4"/>
      <c r="H35" s="4" t="s">
        <v>109</v>
      </c>
      <c r="I35" s="102">
        <v>1</v>
      </c>
      <c r="J35" s="75"/>
    </row>
    <row r="36" spans="2:10" x14ac:dyDescent="0.25">
      <c r="B36" s="131"/>
      <c r="C36" s="8"/>
      <c r="D36" s="8"/>
      <c r="E36" s="43" t="s">
        <v>5</v>
      </c>
      <c r="F36" s="41">
        <f>SUM(F33*F34*F35)</f>
        <v>0</v>
      </c>
      <c r="G36" s="4"/>
      <c r="H36" s="4"/>
      <c r="I36" s="4"/>
      <c r="J36" s="111"/>
    </row>
    <row r="37" spans="2:10" ht="15.75" thickBot="1" x14ac:dyDescent="0.3">
      <c r="B37" s="157"/>
      <c r="C37" s="123"/>
      <c r="D37" s="123"/>
      <c r="E37" s="148"/>
      <c r="F37" s="124"/>
      <c r="G37" s="121"/>
      <c r="H37" s="121"/>
      <c r="I37" s="121"/>
      <c r="J37" s="114"/>
    </row>
    <row r="38" spans="2:10" x14ac:dyDescent="0.25">
      <c r="B38" s="158"/>
      <c r="C38" s="154"/>
      <c r="D38" s="154"/>
      <c r="E38" s="125"/>
      <c r="F38" s="125"/>
      <c r="G38" s="117"/>
      <c r="H38" s="117"/>
      <c r="I38" s="117"/>
      <c r="J38" s="109"/>
    </row>
    <row r="39" spans="2:10" x14ac:dyDescent="0.25">
      <c r="B39" s="156" t="s">
        <v>3</v>
      </c>
      <c r="C39" s="155">
        <f>IF(D7 = "Yes",20%,0%)</f>
        <v>0.2</v>
      </c>
      <c r="D39" s="8"/>
      <c r="E39" s="43" t="s">
        <v>14</v>
      </c>
      <c r="F39" s="41">
        <f>SUM($E$4*C39)</f>
        <v>500</v>
      </c>
      <c r="G39" s="4"/>
      <c r="H39" s="4" t="s">
        <v>123</v>
      </c>
      <c r="I39" s="102">
        <v>0</v>
      </c>
      <c r="J39" s="72"/>
    </row>
    <row r="40" spans="2:10" x14ac:dyDescent="0.25">
      <c r="B40" s="132" t="s">
        <v>4</v>
      </c>
      <c r="C40" s="223">
        <v>0</v>
      </c>
      <c r="D40" s="8"/>
      <c r="E40" s="43" t="s">
        <v>9</v>
      </c>
      <c r="F40" s="42">
        <f>SUM(C41)</f>
        <v>0</v>
      </c>
      <c r="G40" s="4"/>
      <c r="H40" s="4" t="s">
        <v>120</v>
      </c>
      <c r="I40" s="102">
        <v>0.5</v>
      </c>
      <c r="J40" s="74"/>
    </row>
    <row r="41" spans="2:10" x14ac:dyDescent="0.25">
      <c r="B41" s="188" t="s">
        <v>6</v>
      </c>
      <c r="C41" s="216">
        <f>IF(C40&lt;80,0,IF(AND(C40&gt;=80,C40&lt;90),50%,IF(C40&gt;=90,100%)))</f>
        <v>0</v>
      </c>
      <c r="D41" s="8"/>
      <c r="E41" s="43" t="s">
        <v>131</v>
      </c>
      <c r="F41" s="42">
        <f>C8</f>
        <v>0.5</v>
      </c>
      <c r="G41" s="4"/>
      <c r="H41" s="4" t="s">
        <v>121</v>
      </c>
      <c r="I41" s="102">
        <v>1</v>
      </c>
      <c r="J41" s="75"/>
    </row>
    <row r="42" spans="2:10" x14ac:dyDescent="0.25">
      <c r="B42" s="131"/>
      <c r="C42" s="8"/>
      <c r="D42" s="8"/>
      <c r="E42" s="43" t="s">
        <v>5</v>
      </c>
      <c r="F42" s="41">
        <f>SUM(F39*F40*F41)</f>
        <v>0</v>
      </c>
      <c r="G42" s="4"/>
      <c r="H42" s="4"/>
      <c r="I42" s="4"/>
      <c r="J42" s="111"/>
    </row>
    <row r="43" spans="2:10" ht="18" thickBot="1" x14ac:dyDescent="0.35">
      <c r="B43" s="126"/>
      <c r="C43" s="127"/>
      <c r="D43" s="127"/>
      <c r="E43" s="150"/>
      <c r="F43" s="128"/>
      <c r="G43" s="121"/>
      <c r="H43" s="121"/>
      <c r="I43" s="121"/>
      <c r="J43" s="114"/>
    </row>
    <row r="44" spans="2:10" ht="17.25" x14ac:dyDescent="0.3">
      <c r="B44" s="45"/>
      <c r="C44" s="45"/>
      <c r="D44" s="45"/>
      <c r="E44" s="31"/>
    </row>
    <row r="45" spans="2:10" ht="17.25" x14ac:dyDescent="0.3">
      <c r="B45" s="24"/>
      <c r="C45" s="24"/>
      <c r="D45" s="24"/>
      <c r="E45" s="43" t="s">
        <v>11</v>
      </c>
      <c r="F45" s="41" t="e">
        <f>F42+F36+F29+F22+F16</f>
        <v>#DIV/0!</v>
      </c>
    </row>
    <row r="46" spans="2:10" ht="17.25" x14ac:dyDescent="0.3">
      <c r="B46" s="24"/>
      <c r="D46" s="46"/>
    </row>
  </sheetData>
  <mergeCells count="1">
    <mergeCell ref="C2:D2"/>
  </mergeCells>
  <conditionalFormatting sqref="B12:D16 E13:F16 A3:XFD5 E6:XFD6 G16:XFD16 G12:G15 K12:XFD15 H13:J15 B44:D44 G44:XFD44 A45:XFD1048576 A17:XFD43 B2:C2 E2:XFD2 A7:XFD11">
    <cfRule type="containsErrors" dxfId="49" priority="3">
      <formula>ISERROR(A2)</formula>
    </cfRule>
  </conditionalFormatting>
  <dataValidations count="1">
    <dataValidation type="list" allowBlank="1" showInputMessage="1" showErrorMessage="1" sqref="D7" xr:uid="{00000000-0002-0000-0300-000000000000}">
      <formula1>$F$3:$F$4</formula1>
    </dataValidation>
  </dataValidations>
  <pageMargins left="0.7" right="0.7" top="0.75" bottom="0.75" header="0.3" footer="0.3"/>
  <pageSetup scale="7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B2:K40"/>
  <sheetViews>
    <sheetView showGridLines="0" workbookViewId="0">
      <selection activeCell="C5" sqref="C5"/>
    </sheetView>
  </sheetViews>
  <sheetFormatPr defaultRowHeight="15" x14ac:dyDescent="0.25"/>
  <cols>
    <col min="1" max="1" width="9.140625" style="31"/>
    <col min="2" max="2" width="19.5703125" style="31" customWidth="1"/>
    <col min="3" max="3" width="16.5703125" style="31" customWidth="1"/>
    <col min="4" max="4" width="15.5703125" style="31" customWidth="1"/>
    <col min="5" max="5" width="21.5703125" style="31" bestFit="1" customWidth="1"/>
    <col min="6" max="6" width="12.85546875" style="31" customWidth="1"/>
    <col min="7" max="7" width="8.5703125" style="31" customWidth="1"/>
    <col min="8" max="8" width="13.5703125" style="31" bestFit="1" customWidth="1"/>
    <col min="9" max="9" width="9.140625" style="31"/>
    <col min="10" max="10" width="5.5703125" style="31" customWidth="1"/>
    <col min="11" max="16384" width="9.140625" style="31"/>
  </cols>
  <sheetData>
    <row r="2" spans="2:11" ht="21" x14ac:dyDescent="0.35">
      <c r="B2" s="23" t="s">
        <v>38</v>
      </c>
      <c r="C2" s="236" t="s">
        <v>138</v>
      </c>
      <c r="D2" s="236"/>
    </row>
    <row r="3" spans="2:11" x14ac:dyDescent="0.25">
      <c r="B3" s="49" t="s">
        <v>17</v>
      </c>
      <c r="C3" s="49" t="s">
        <v>7</v>
      </c>
      <c r="D3" s="135" t="s">
        <v>8</v>
      </c>
      <c r="E3" s="49" t="s">
        <v>41</v>
      </c>
    </row>
    <row r="4" spans="2:11" x14ac:dyDescent="0.25">
      <c r="B4" s="153">
        <v>25000</v>
      </c>
      <c r="C4" s="251">
        <v>0.3</v>
      </c>
      <c r="D4" s="165">
        <f>SUM(B4*C4)</f>
        <v>7500</v>
      </c>
      <c r="E4" s="171">
        <f>D4/2</f>
        <v>3750</v>
      </c>
    </row>
    <row r="5" spans="2:11" x14ac:dyDescent="0.25">
      <c r="B5" s="172" t="s">
        <v>78</v>
      </c>
      <c r="C5" s="287">
        <f>'Executive Summary'!C21</f>
        <v>44742</v>
      </c>
      <c r="D5" s="101"/>
      <c r="E5" s="27"/>
      <c r="I5" s="3"/>
      <c r="J5" s="3"/>
      <c r="K5" s="3"/>
    </row>
    <row r="6" spans="2:11" ht="15.75" thickBot="1" x14ac:dyDescent="0.3">
      <c r="B6" s="173"/>
      <c r="C6" s="159"/>
      <c r="D6" s="101"/>
      <c r="E6" s="27"/>
      <c r="I6" s="3"/>
      <c r="J6" s="3"/>
      <c r="K6" s="3"/>
    </row>
    <row r="7" spans="2:11" x14ac:dyDescent="0.25">
      <c r="B7" s="64" t="s">
        <v>79</v>
      </c>
      <c r="C7" s="264">
        <f>'Executive Summary'!E20</f>
        <v>0.5</v>
      </c>
      <c r="D7" s="160"/>
      <c r="E7" s="140"/>
      <c r="F7" s="66"/>
      <c r="G7" s="66"/>
      <c r="H7" s="66"/>
      <c r="I7" s="66"/>
      <c r="J7" s="87"/>
      <c r="K7" s="3"/>
    </row>
    <row r="8" spans="2:11" x14ac:dyDescent="0.25">
      <c r="B8" s="33"/>
      <c r="C8" s="3"/>
      <c r="D8" s="3"/>
      <c r="E8" s="61"/>
      <c r="F8" s="62"/>
      <c r="G8" s="63"/>
      <c r="H8" s="3"/>
      <c r="I8" s="3"/>
      <c r="J8" s="83"/>
      <c r="K8" s="3"/>
    </row>
    <row r="9" spans="2:11" ht="15.75" thickBot="1" x14ac:dyDescent="0.3">
      <c r="B9" s="86" t="s">
        <v>84</v>
      </c>
      <c r="C9" s="81"/>
      <c r="D9" s="81"/>
      <c r="E9" s="161"/>
      <c r="F9" s="81"/>
      <c r="G9" s="81"/>
      <c r="H9" s="81"/>
      <c r="I9" s="81"/>
      <c r="J9" s="82"/>
      <c r="K9" s="3"/>
    </row>
    <row r="10" spans="2:11" x14ac:dyDescent="0.25">
      <c r="B10" s="64"/>
      <c r="C10" s="66"/>
      <c r="D10" s="66"/>
      <c r="E10" s="162"/>
      <c r="F10" s="66"/>
      <c r="G10" s="66"/>
      <c r="H10" s="66"/>
      <c r="I10" s="66"/>
      <c r="J10" s="87"/>
      <c r="K10" s="3"/>
    </row>
    <row r="11" spans="2:11" x14ac:dyDescent="0.25">
      <c r="B11" s="33" t="s">
        <v>32</v>
      </c>
      <c r="C11" s="134">
        <v>0.3</v>
      </c>
      <c r="D11" s="3"/>
      <c r="E11" s="3"/>
      <c r="F11" s="3"/>
      <c r="G11" s="3"/>
      <c r="H11" s="3"/>
      <c r="I11" s="3"/>
      <c r="J11" s="83"/>
      <c r="K11" s="3"/>
    </row>
    <row r="12" spans="2:11" x14ac:dyDescent="0.25">
      <c r="B12" s="5" t="s">
        <v>1</v>
      </c>
      <c r="C12" s="277">
        <f>'Sales Summary'!C5</f>
        <v>1268973</v>
      </c>
      <c r="D12" s="3"/>
      <c r="E12" s="22" t="s">
        <v>14</v>
      </c>
      <c r="F12" s="73">
        <f>SUM($E$4*C11)</f>
        <v>1125</v>
      </c>
      <c r="G12" s="3"/>
      <c r="H12" s="3" t="s">
        <v>85</v>
      </c>
      <c r="I12" s="97">
        <v>0</v>
      </c>
      <c r="J12" s="174"/>
      <c r="K12" s="3"/>
    </row>
    <row r="13" spans="2:11" x14ac:dyDescent="0.25">
      <c r="B13" s="5" t="s">
        <v>0</v>
      </c>
      <c r="C13" s="277">
        <f>'Sales Summary'!C6</f>
        <v>1357896</v>
      </c>
      <c r="D13" s="3"/>
      <c r="E13" s="22" t="s">
        <v>4</v>
      </c>
      <c r="F13" s="96">
        <f>SUM(C15)</f>
        <v>0</v>
      </c>
      <c r="G13" s="3"/>
      <c r="H13" s="3" t="s">
        <v>86</v>
      </c>
      <c r="I13" s="97">
        <v>0.5</v>
      </c>
      <c r="J13" s="175"/>
      <c r="K13" s="3"/>
    </row>
    <row r="14" spans="2:11" x14ac:dyDescent="0.25">
      <c r="B14" s="5" t="s">
        <v>13</v>
      </c>
      <c r="C14" s="278">
        <f>SUM(C12/C13)</f>
        <v>0.9345141306845296</v>
      </c>
      <c r="D14" s="3"/>
      <c r="E14" s="43" t="s">
        <v>131</v>
      </c>
      <c r="F14" s="96">
        <f>C7</f>
        <v>0.5</v>
      </c>
      <c r="G14" s="3"/>
      <c r="H14" s="3" t="s">
        <v>105</v>
      </c>
      <c r="I14" s="97">
        <v>1</v>
      </c>
      <c r="J14" s="176"/>
      <c r="K14" s="3"/>
    </row>
    <row r="15" spans="2:11" x14ac:dyDescent="0.25">
      <c r="B15" s="5" t="s">
        <v>10</v>
      </c>
      <c r="C15" s="279">
        <f>IF(C14&lt;97%,0,IF(AND(C14&gt;=97%,C14&lt;=100.99%),50%,IF(AND(C14&gt;=101%,C14&lt;=105%),100%,IF(C14&gt;105%,105%))))</f>
        <v>0</v>
      </c>
      <c r="D15" s="3"/>
      <c r="E15" s="22" t="s">
        <v>5</v>
      </c>
      <c r="F15" s="255">
        <f>SUM(F12*F13*F14)</f>
        <v>0</v>
      </c>
      <c r="G15" s="3"/>
      <c r="H15" s="3" t="s">
        <v>104</v>
      </c>
      <c r="I15" s="97">
        <v>1.05</v>
      </c>
      <c r="J15" s="177"/>
      <c r="K15" s="3"/>
    </row>
    <row r="16" spans="2:11" ht="15.75" thickBot="1" x14ac:dyDescent="0.3">
      <c r="B16" s="86"/>
      <c r="C16" s="80"/>
      <c r="D16" s="81"/>
      <c r="E16" s="81"/>
      <c r="F16" s="256"/>
      <c r="G16" s="81"/>
      <c r="H16" s="81"/>
      <c r="I16" s="81"/>
      <c r="J16" s="82"/>
      <c r="K16" s="3"/>
    </row>
    <row r="17" spans="2:11" x14ac:dyDescent="0.25">
      <c r="B17" s="64"/>
      <c r="C17" s="67"/>
      <c r="D17" s="66"/>
      <c r="E17" s="66"/>
      <c r="F17" s="67"/>
      <c r="G17" s="66"/>
      <c r="H17" s="66"/>
      <c r="I17" s="66"/>
      <c r="J17" s="87"/>
      <c r="K17" s="3"/>
    </row>
    <row r="18" spans="2:11" x14ac:dyDescent="0.25">
      <c r="B18" s="33" t="s">
        <v>36</v>
      </c>
      <c r="C18" s="134">
        <v>0.25</v>
      </c>
      <c r="D18" s="3"/>
      <c r="E18" s="3"/>
      <c r="F18" s="62"/>
      <c r="G18" s="3"/>
      <c r="H18" s="3"/>
      <c r="I18" s="3"/>
      <c r="J18" s="83"/>
      <c r="K18" s="3"/>
    </row>
    <row r="19" spans="2:11" x14ac:dyDescent="0.25">
      <c r="B19" s="5" t="s">
        <v>1</v>
      </c>
      <c r="C19" s="277">
        <f>'Sales Summary'!C11</f>
        <v>417604</v>
      </c>
      <c r="D19" s="3"/>
      <c r="E19" s="22" t="s">
        <v>14</v>
      </c>
      <c r="F19" s="73">
        <f>SUM($E$4*C18)</f>
        <v>937.5</v>
      </c>
      <c r="G19" s="3"/>
      <c r="H19" s="3" t="s">
        <v>85</v>
      </c>
      <c r="I19" s="97">
        <v>0</v>
      </c>
      <c r="J19" s="174"/>
      <c r="K19" s="3"/>
    </row>
    <row r="20" spans="2:11" x14ac:dyDescent="0.25">
      <c r="B20" s="5" t="s">
        <v>23</v>
      </c>
      <c r="C20" s="277">
        <f>'Sales Summary'!C12</f>
        <v>418682</v>
      </c>
      <c r="D20" s="3"/>
      <c r="E20" s="22" t="s">
        <v>4</v>
      </c>
      <c r="F20" s="96">
        <f>SUM(C22)</f>
        <v>0.5</v>
      </c>
      <c r="G20" s="3"/>
      <c r="H20" s="3" t="s">
        <v>86</v>
      </c>
      <c r="I20" s="97">
        <v>0.5</v>
      </c>
      <c r="J20" s="175"/>
      <c r="K20" s="3"/>
    </row>
    <row r="21" spans="2:11" x14ac:dyDescent="0.25">
      <c r="B21" s="5" t="s">
        <v>13</v>
      </c>
      <c r="C21" s="278">
        <f>SUM(C19/C20)</f>
        <v>0.99742525353370814</v>
      </c>
      <c r="D21" s="3"/>
      <c r="E21" s="43" t="s">
        <v>131</v>
      </c>
      <c r="F21" s="96">
        <f>C7</f>
        <v>0.5</v>
      </c>
      <c r="G21" s="3"/>
      <c r="H21" s="3" t="s">
        <v>105</v>
      </c>
      <c r="I21" s="97">
        <v>1</v>
      </c>
      <c r="J21" s="176"/>
      <c r="K21" s="3"/>
    </row>
    <row r="22" spans="2:11" x14ac:dyDescent="0.25">
      <c r="B22" s="5" t="s">
        <v>10</v>
      </c>
      <c r="C22" s="279">
        <f>IF(C21&lt;97%,0,IF(AND(C21&gt;=97%,C21&lt;=100.99%),50%,IF(AND(C21&gt;=101%,C21&lt;=105%),100%,IF(C21&gt;105%,105%))))</f>
        <v>0.5</v>
      </c>
      <c r="D22" s="3"/>
      <c r="E22" s="22" t="s">
        <v>5</v>
      </c>
      <c r="F22" s="73">
        <f>SUM(F19*F20*F21)</f>
        <v>234.375</v>
      </c>
      <c r="G22" s="3"/>
      <c r="H22" s="3" t="s">
        <v>104</v>
      </c>
      <c r="I22" s="97">
        <v>1.05</v>
      </c>
      <c r="J22" s="177"/>
      <c r="K22" s="3"/>
    </row>
    <row r="23" spans="2:11" ht="15.75" thickBot="1" x14ac:dyDescent="0.3">
      <c r="B23" s="86"/>
      <c r="C23" s="80"/>
      <c r="D23" s="81"/>
      <c r="E23" s="81"/>
      <c r="F23" s="256"/>
      <c r="G23" s="81"/>
      <c r="H23" s="81"/>
      <c r="I23" s="81"/>
      <c r="J23" s="82"/>
      <c r="K23" s="3"/>
    </row>
    <row r="24" spans="2:11" x14ac:dyDescent="0.25">
      <c r="B24" s="64"/>
      <c r="C24" s="67"/>
      <c r="D24" s="66"/>
      <c r="E24" s="66"/>
      <c r="F24" s="67"/>
      <c r="G24" s="66"/>
      <c r="H24" s="66"/>
      <c r="I24" s="66"/>
      <c r="J24" s="87"/>
      <c r="K24" s="3"/>
    </row>
    <row r="25" spans="2:11" x14ac:dyDescent="0.25">
      <c r="B25" s="33" t="s">
        <v>35</v>
      </c>
      <c r="C25" s="62"/>
      <c r="D25" s="3"/>
      <c r="E25" s="3"/>
      <c r="F25" s="62"/>
      <c r="G25" s="3"/>
      <c r="H25" s="3"/>
      <c r="I25" s="3"/>
      <c r="J25" s="83"/>
      <c r="K25" s="3"/>
    </row>
    <row r="26" spans="2:11" x14ac:dyDescent="0.25">
      <c r="B26" s="33" t="s">
        <v>21</v>
      </c>
      <c r="C26" s="134">
        <v>0.25</v>
      </c>
      <c r="D26" s="3"/>
      <c r="E26" s="3"/>
      <c r="F26" s="62"/>
      <c r="G26" s="3"/>
      <c r="H26" s="3"/>
      <c r="I26" s="3"/>
      <c r="J26" s="83"/>
    </row>
    <row r="27" spans="2:11" x14ac:dyDescent="0.25">
      <c r="B27" s="5" t="s">
        <v>1</v>
      </c>
      <c r="C27" s="280">
        <f>'Sales Summary'!C18</f>
        <v>89.59</v>
      </c>
      <c r="D27" s="3"/>
      <c r="E27" s="22" t="s">
        <v>14</v>
      </c>
      <c r="F27" s="73">
        <f>SUM($E$4*C26)</f>
        <v>937.5</v>
      </c>
      <c r="G27" s="3"/>
      <c r="H27" s="3" t="s">
        <v>85</v>
      </c>
      <c r="I27" s="97">
        <v>0</v>
      </c>
      <c r="J27" s="174"/>
      <c r="K27" s="3"/>
    </row>
    <row r="28" spans="2:11" x14ac:dyDescent="0.25">
      <c r="B28" s="5" t="s">
        <v>136</v>
      </c>
      <c r="C28" s="280">
        <f>'Sales Summary'!C19</f>
        <v>85.08</v>
      </c>
      <c r="D28" s="3"/>
      <c r="E28" s="22" t="s">
        <v>4</v>
      </c>
      <c r="F28" s="96">
        <f>C30</f>
        <v>1.05</v>
      </c>
      <c r="G28" s="3"/>
      <c r="H28" s="3" t="s">
        <v>86</v>
      </c>
      <c r="I28" s="97">
        <v>0.5</v>
      </c>
      <c r="J28" s="175"/>
      <c r="K28" s="3"/>
    </row>
    <row r="29" spans="2:11" x14ac:dyDescent="0.25">
      <c r="B29" s="5" t="s">
        <v>13</v>
      </c>
      <c r="C29" s="278">
        <f>SUM(C27/C28)</f>
        <v>1.0530089327691585</v>
      </c>
      <c r="D29" s="3"/>
      <c r="E29" s="43" t="s">
        <v>131</v>
      </c>
      <c r="F29" s="96">
        <f>C7</f>
        <v>0.5</v>
      </c>
      <c r="G29" s="3"/>
      <c r="H29" s="3" t="s">
        <v>105</v>
      </c>
      <c r="I29" s="97">
        <v>1</v>
      </c>
      <c r="J29" s="176"/>
      <c r="K29" s="3"/>
    </row>
    <row r="30" spans="2:11" x14ac:dyDescent="0.25">
      <c r="B30" s="5" t="s">
        <v>10</v>
      </c>
      <c r="C30" s="279">
        <f>IF(C29&lt;97%,0,IF(AND(C29&gt;=97%,C29&lt;=100.99%),50%,IF(AND(C29&gt;=101%,C29&lt;=105%),100%,IF(C29&gt;105%,105%))))</f>
        <v>1.05</v>
      </c>
      <c r="D30" s="3"/>
      <c r="E30" s="22" t="s">
        <v>5</v>
      </c>
      <c r="F30" s="255">
        <f>SUM(F27*F28*F29)</f>
        <v>492.1875</v>
      </c>
      <c r="G30" s="3"/>
      <c r="H30" s="3" t="s">
        <v>104</v>
      </c>
      <c r="I30" s="97">
        <v>1.05</v>
      </c>
      <c r="J30" s="177"/>
      <c r="K30" s="3"/>
    </row>
    <row r="31" spans="2:11" ht="15.75" thickBot="1" x14ac:dyDescent="0.3">
      <c r="B31" s="86" t="s">
        <v>137</v>
      </c>
      <c r="C31" s="80"/>
      <c r="D31" s="81"/>
      <c r="E31" s="81"/>
      <c r="F31" s="257"/>
      <c r="G31" s="81"/>
      <c r="H31" s="81"/>
      <c r="I31" s="81"/>
      <c r="J31" s="82"/>
      <c r="K31" s="3"/>
    </row>
    <row r="32" spans="2:11" x14ac:dyDescent="0.25">
      <c r="B32" s="64"/>
      <c r="C32" s="67"/>
      <c r="D32" s="66"/>
      <c r="E32" s="66"/>
      <c r="F32" s="67"/>
      <c r="G32" s="66"/>
      <c r="H32" s="66"/>
      <c r="I32" s="66"/>
      <c r="J32" s="87"/>
      <c r="K32" s="3"/>
    </row>
    <row r="33" spans="2:11" x14ac:dyDescent="0.25">
      <c r="B33" s="33" t="s">
        <v>24</v>
      </c>
      <c r="C33" s="134">
        <v>0.2</v>
      </c>
      <c r="D33" s="3"/>
      <c r="E33" s="3"/>
      <c r="F33" s="62"/>
      <c r="G33" s="3"/>
      <c r="H33" s="3"/>
      <c r="I33" s="3"/>
      <c r="J33" s="83"/>
      <c r="K33" s="3"/>
    </row>
    <row r="34" spans="2:11" x14ac:dyDescent="0.25">
      <c r="B34" s="5" t="s">
        <v>1</v>
      </c>
      <c r="C34" s="277">
        <f>'Sales Summary'!G5</f>
        <v>68843</v>
      </c>
      <c r="D34" s="3"/>
      <c r="E34" s="22" t="s">
        <v>14</v>
      </c>
      <c r="F34" s="73">
        <f>SUM($E$4*C33)</f>
        <v>750</v>
      </c>
      <c r="G34" s="3"/>
      <c r="H34" s="3" t="s">
        <v>106</v>
      </c>
      <c r="I34" s="58">
        <v>0</v>
      </c>
      <c r="J34" s="174"/>
      <c r="K34" s="3"/>
    </row>
    <row r="35" spans="2:11" x14ac:dyDescent="0.25">
      <c r="B35" s="5" t="s">
        <v>0</v>
      </c>
      <c r="C35" s="277">
        <f>'Sales Summary'!G6</f>
        <v>103780</v>
      </c>
      <c r="D35" s="3"/>
      <c r="E35" s="22" t="s">
        <v>4</v>
      </c>
      <c r="F35" s="96">
        <f>SUM(C37)</f>
        <v>1</v>
      </c>
      <c r="G35" s="3"/>
      <c r="H35" s="3" t="s">
        <v>107</v>
      </c>
      <c r="I35" s="58">
        <v>0.5</v>
      </c>
      <c r="J35" s="175"/>
      <c r="K35" s="3"/>
    </row>
    <row r="36" spans="2:11" x14ac:dyDescent="0.25">
      <c r="B36" s="5" t="s">
        <v>13</v>
      </c>
      <c r="C36" s="278">
        <f>SUM(C34/C35)</f>
        <v>0.66335517440740022</v>
      </c>
      <c r="D36" s="3"/>
      <c r="E36" s="43" t="s">
        <v>131</v>
      </c>
      <c r="F36" s="96">
        <f>C7</f>
        <v>0.5</v>
      </c>
      <c r="G36" s="3"/>
      <c r="H36" s="3" t="s">
        <v>108</v>
      </c>
      <c r="I36" s="58">
        <v>1</v>
      </c>
      <c r="J36" s="176"/>
      <c r="K36" s="3"/>
    </row>
    <row r="37" spans="2:11" x14ac:dyDescent="0.25">
      <c r="B37" s="5" t="s">
        <v>10</v>
      </c>
      <c r="C37" s="281">
        <f>IF(C36&gt;100%,0%,IF(AND(C36&lt;=100%,C36&gt;=98%),50%,100%))</f>
        <v>1</v>
      </c>
      <c r="D37" s="3"/>
      <c r="E37" s="22" t="s">
        <v>5</v>
      </c>
      <c r="F37" s="255">
        <f>SUM(F34*F35*F36)</f>
        <v>375</v>
      </c>
      <c r="G37" s="3"/>
      <c r="H37" s="3"/>
      <c r="I37" s="3"/>
      <c r="J37" s="83"/>
      <c r="K37" s="3"/>
    </row>
    <row r="38" spans="2:11" ht="15.75" thickBot="1" x14ac:dyDescent="0.3">
      <c r="B38" s="86"/>
      <c r="C38" s="81"/>
      <c r="D38" s="81"/>
      <c r="E38" s="142"/>
      <c r="F38" s="257"/>
      <c r="G38" s="81"/>
      <c r="H38" s="81"/>
      <c r="I38" s="81"/>
      <c r="J38" s="82"/>
      <c r="K38" s="3"/>
    </row>
    <row r="39" spans="2:11" x14ac:dyDescent="0.25">
      <c r="F39" s="32"/>
      <c r="I39" s="3"/>
      <c r="J39" s="3"/>
      <c r="K39" s="3"/>
    </row>
    <row r="40" spans="2:11" x14ac:dyDescent="0.25">
      <c r="E40" s="22" t="s">
        <v>11</v>
      </c>
      <c r="F40" s="190">
        <f>SUM(F37+F30+F22+F15)</f>
        <v>1101.5625</v>
      </c>
    </row>
  </sheetData>
  <mergeCells count="1">
    <mergeCell ref="C2:D2"/>
  </mergeCells>
  <conditionalFormatting sqref="A1:XFD1 A15:XFD20 B14:D14 F14:XFD14 B21:D21 F21:XFD21 B29:D29 F29:XFD29 A37:XFD1048576 B36:D36 F36:XFD36 A22:XFD25 A27:XFD28 B26:J26 L26:XFD26 A30:XFD35 B2:C2 E2:XFD2 A3:XFD7 A10:XFD13 C8:XFD8 B9:XFD9 A8:A9">
    <cfRule type="containsErrors" dxfId="48" priority="5">
      <formula>ISERROR(A1)</formula>
    </cfRule>
  </conditionalFormatting>
  <conditionalFormatting sqref="E14">
    <cfRule type="containsErrors" dxfId="47" priority="4">
      <formula>ISERROR(E14)</formula>
    </cfRule>
  </conditionalFormatting>
  <conditionalFormatting sqref="E21">
    <cfRule type="containsErrors" dxfId="46" priority="3">
      <formula>ISERROR(E21)</formula>
    </cfRule>
  </conditionalFormatting>
  <conditionalFormatting sqref="E29">
    <cfRule type="containsErrors" dxfId="45" priority="2">
      <formula>ISERROR(E29)</formula>
    </cfRule>
  </conditionalFormatting>
  <conditionalFormatting sqref="E36">
    <cfRule type="containsErrors" dxfId="44" priority="1">
      <formula>ISERROR(E36)</formula>
    </cfRule>
  </conditionalFormatting>
  <pageMargins left="0.7" right="0.7" top="0.75" bottom="0.75" header="0.3" footer="0.3"/>
  <pageSetup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  <pageSetUpPr fitToPage="1"/>
  </sheetPr>
  <dimension ref="B2:J43"/>
  <sheetViews>
    <sheetView showGridLines="0" workbookViewId="0">
      <selection activeCell="C2" sqref="C2:D2"/>
    </sheetView>
  </sheetViews>
  <sheetFormatPr defaultRowHeight="15" x14ac:dyDescent="0.25"/>
  <cols>
    <col min="1" max="1" width="9.140625" style="9"/>
    <col min="2" max="4" width="15.5703125" style="9" customWidth="1"/>
    <col min="5" max="5" width="21.5703125" style="9" bestFit="1" customWidth="1"/>
    <col min="6" max="6" width="15.5703125" style="9" customWidth="1"/>
    <col min="7" max="7" width="7.42578125" style="9" customWidth="1"/>
    <col min="8" max="8" width="15.5703125" style="9" customWidth="1"/>
    <col min="9" max="9" width="9.140625" style="9"/>
    <col min="10" max="10" width="5" style="9" customWidth="1"/>
    <col min="11" max="16384" width="9.140625" style="9"/>
  </cols>
  <sheetData>
    <row r="2" spans="2:10" ht="21" x14ac:dyDescent="0.35">
      <c r="B2" s="23" t="s">
        <v>19</v>
      </c>
      <c r="C2" s="236" t="s">
        <v>144</v>
      </c>
      <c r="D2" s="236"/>
    </row>
    <row r="3" spans="2:10" x14ac:dyDescent="0.25">
      <c r="B3" s="49" t="s">
        <v>17</v>
      </c>
      <c r="C3" s="49" t="s">
        <v>7</v>
      </c>
      <c r="D3" s="135" t="s">
        <v>20</v>
      </c>
      <c r="E3" s="49" t="s">
        <v>41</v>
      </c>
    </row>
    <row r="4" spans="2:10" x14ac:dyDescent="0.25">
      <c r="B4" s="153">
        <v>65000</v>
      </c>
      <c r="C4" s="251">
        <v>0.3</v>
      </c>
      <c r="D4" s="137">
        <f>SUM(B4*C4)</f>
        <v>19500</v>
      </c>
      <c r="E4" s="47">
        <f>SUM(D4/2)</f>
        <v>9750</v>
      </c>
    </row>
    <row r="5" spans="2:10" x14ac:dyDescent="0.25">
      <c r="B5" s="15" t="s">
        <v>78</v>
      </c>
      <c r="C5" s="288">
        <f>'Executive Summary'!C21</f>
        <v>44742</v>
      </c>
      <c r="E5" s="27"/>
    </row>
    <row r="6" spans="2:10" ht="15.75" thickBot="1" x14ac:dyDescent="0.3">
      <c r="B6" s="4"/>
      <c r="C6" s="98"/>
      <c r="E6" s="27"/>
    </row>
    <row r="7" spans="2:10" x14ac:dyDescent="0.25">
      <c r="B7" s="64" t="s">
        <v>79</v>
      </c>
      <c r="C7" s="264">
        <f>'Executive Summary'!E20</f>
        <v>0.5</v>
      </c>
      <c r="D7" s="117"/>
      <c r="E7" s="140"/>
      <c r="F7" s="117"/>
      <c r="G7" s="117"/>
      <c r="H7" s="117"/>
      <c r="I7" s="117"/>
      <c r="J7" s="109"/>
    </row>
    <row r="8" spans="2:10" x14ac:dyDescent="0.25">
      <c r="B8" s="33"/>
      <c r="C8" s="97"/>
      <c r="D8" s="4"/>
      <c r="E8" s="27"/>
      <c r="F8" s="4"/>
      <c r="G8" s="4"/>
      <c r="H8" s="4"/>
      <c r="I8" s="4"/>
      <c r="J8" s="111"/>
    </row>
    <row r="9" spans="2:10" ht="15.75" thickBot="1" x14ac:dyDescent="0.3">
      <c r="B9" s="86" t="s">
        <v>84</v>
      </c>
      <c r="C9" s="81"/>
      <c r="D9" s="81"/>
      <c r="E9" s="112"/>
      <c r="F9" s="80"/>
      <c r="G9" s="113"/>
      <c r="H9" s="81"/>
      <c r="I9" s="81"/>
      <c r="J9" s="114"/>
    </row>
    <row r="10" spans="2:10" x14ac:dyDescent="0.25">
      <c r="B10" s="64"/>
      <c r="C10" s="66"/>
      <c r="D10" s="117"/>
      <c r="E10" s="140"/>
      <c r="F10" s="117"/>
      <c r="G10" s="117"/>
      <c r="H10" s="117"/>
      <c r="I10" s="117"/>
      <c r="J10" s="109"/>
    </row>
    <row r="11" spans="2:10" x14ac:dyDescent="0.25">
      <c r="B11" s="33" t="s">
        <v>34</v>
      </c>
      <c r="C11" s="134">
        <v>0.15</v>
      </c>
      <c r="D11" s="4"/>
      <c r="E11" s="3"/>
      <c r="F11" s="4"/>
      <c r="G11" s="4"/>
      <c r="H11" s="4"/>
      <c r="I11" s="4"/>
      <c r="J11" s="111"/>
    </row>
    <row r="12" spans="2:10" x14ac:dyDescent="0.25">
      <c r="B12" s="5" t="s">
        <v>1</v>
      </c>
      <c r="C12" s="89">
        <f>'Sales Summary'!G17</f>
        <v>123</v>
      </c>
      <c r="D12" s="4"/>
      <c r="E12" s="22" t="s">
        <v>14</v>
      </c>
      <c r="F12" s="271">
        <f>SUM($E$4*C11)</f>
        <v>1462.5</v>
      </c>
      <c r="G12" s="4"/>
      <c r="H12" s="4" t="s">
        <v>85</v>
      </c>
      <c r="I12" s="97">
        <v>0</v>
      </c>
      <c r="J12" s="72"/>
    </row>
    <row r="13" spans="2:10" x14ac:dyDescent="0.25">
      <c r="B13" s="5" t="s">
        <v>0</v>
      </c>
      <c r="C13" s="89">
        <f>'Sales Summary'!G18</f>
        <v>125</v>
      </c>
      <c r="D13" s="4"/>
      <c r="E13" s="22" t="s">
        <v>4</v>
      </c>
      <c r="F13" s="272">
        <f>SUM(C15)</f>
        <v>0.5</v>
      </c>
      <c r="G13" s="4"/>
      <c r="H13" s="4" t="s">
        <v>86</v>
      </c>
      <c r="I13" s="97">
        <v>0.5</v>
      </c>
      <c r="J13" s="74"/>
    </row>
    <row r="14" spans="2:10" x14ac:dyDescent="0.25">
      <c r="B14" s="5" t="s">
        <v>13</v>
      </c>
      <c r="C14" s="282">
        <f>SUM(C12/C13)</f>
        <v>0.98399999999999999</v>
      </c>
      <c r="D14" s="4"/>
      <c r="E14" s="43" t="s">
        <v>131</v>
      </c>
      <c r="F14" s="272">
        <f>C7</f>
        <v>0.5</v>
      </c>
      <c r="G14" s="4"/>
      <c r="H14" s="4" t="s">
        <v>105</v>
      </c>
      <c r="I14" s="97">
        <v>1</v>
      </c>
      <c r="J14" s="75"/>
    </row>
    <row r="15" spans="2:10" x14ac:dyDescent="0.25">
      <c r="B15" s="5" t="s">
        <v>10</v>
      </c>
      <c r="C15" s="70">
        <f>IF(C14&lt;97%,0,IF(AND(C14&gt;=97%,C14&lt;=100%),50%,IF(AND(C14&gt;100%,C14&lt;=105%),100%,IF(C14&gt;105%,105%))))</f>
        <v>0.5</v>
      </c>
      <c r="D15" s="4"/>
      <c r="E15" s="22" t="s">
        <v>5</v>
      </c>
      <c r="F15" s="271">
        <f>SUM(F12*F13*F14)</f>
        <v>365.625</v>
      </c>
      <c r="G15" s="4"/>
      <c r="H15" s="4" t="s">
        <v>104</v>
      </c>
      <c r="I15" s="97">
        <v>1.05</v>
      </c>
      <c r="J15" s="76"/>
    </row>
    <row r="16" spans="2:10" ht="15.75" thickBot="1" x14ac:dyDescent="0.3">
      <c r="B16" s="141"/>
      <c r="C16" s="80"/>
      <c r="D16" s="121"/>
      <c r="E16" s="81"/>
      <c r="F16" s="273"/>
      <c r="G16" s="121"/>
      <c r="H16" s="121"/>
      <c r="I16" s="121"/>
      <c r="J16" s="114"/>
    </row>
    <row r="17" spans="2:10" x14ac:dyDescent="0.25">
      <c r="B17" s="64"/>
      <c r="C17" s="67"/>
      <c r="D17" s="117"/>
      <c r="E17" s="66"/>
      <c r="F17" s="274"/>
      <c r="G17" s="117"/>
      <c r="H17" s="117"/>
      <c r="I17" s="117"/>
      <c r="J17" s="109"/>
    </row>
    <row r="18" spans="2:10" x14ac:dyDescent="0.25">
      <c r="B18" s="33" t="s">
        <v>32</v>
      </c>
      <c r="C18" s="134">
        <v>0.35</v>
      </c>
      <c r="D18" s="4"/>
      <c r="E18" s="3"/>
      <c r="F18" s="275"/>
      <c r="G18" s="4"/>
      <c r="H18" s="4"/>
      <c r="I18" s="4"/>
      <c r="J18" s="111"/>
    </row>
    <row r="19" spans="2:10" x14ac:dyDescent="0.25">
      <c r="B19" s="5" t="s">
        <v>1</v>
      </c>
      <c r="C19" s="89">
        <f>'Sales Summary'!C5</f>
        <v>1268973</v>
      </c>
      <c r="D19" s="4"/>
      <c r="E19" s="22" t="s">
        <v>14</v>
      </c>
      <c r="F19" s="271">
        <f>SUM($E$4*C18)</f>
        <v>3412.5</v>
      </c>
      <c r="G19" s="4"/>
      <c r="H19" s="4" t="s">
        <v>85</v>
      </c>
      <c r="I19" s="97">
        <v>0</v>
      </c>
      <c r="J19" s="72"/>
    </row>
    <row r="20" spans="2:10" x14ac:dyDescent="0.25">
      <c r="B20" s="5" t="s">
        <v>0</v>
      </c>
      <c r="C20" s="89">
        <f>'Sales Summary'!C6</f>
        <v>1357896</v>
      </c>
      <c r="D20" s="4"/>
      <c r="E20" s="22" t="s">
        <v>4</v>
      </c>
      <c r="F20" s="272">
        <f>SUM(C22)</f>
        <v>0</v>
      </c>
      <c r="G20" s="4"/>
      <c r="H20" s="4" t="s">
        <v>86</v>
      </c>
      <c r="I20" s="97">
        <v>0.5</v>
      </c>
      <c r="J20" s="74"/>
    </row>
    <row r="21" spans="2:10" x14ac:dyDescent="0.25">
      <c r="B21" s="5" t="s">
        <v>13</v>
      </c>
      <c r="C21" s="282">
        <f>SUM(C19/C20)</f>
        <v>0.9345141306845296</v>
      </c>
      <c r="D21" s="4"/>
      <c r="E21" s="43" t="s">
        <v>131</v>
      </c>
      <c r="F21" s="272">
        <f>C7</f>
        <v>0.5</v>
      </c>
      <c r="G21" s="4"/>
      <c r="H21" s="4" t="s">
        <v>99</v>
      </c>
      <c r="I21" s="97">
        <v>1</v>
      </c>
      <c r="J21" s="75"/>
    </row>
    <row r="22" spans="2:10" x14ac:dyDescent="0.25">
      <c r="B22" s="5" t="s">
        <v>10</v>
      </c>
      <c r="C22" s="70">
        <f>IF(C21&lt;97%,0,IF(AND(C21&gt;=97%,C21&lt;101%),50%,IF(AND(C21&gt;=101%,C21&lt;=105%),100%,IF(C21&gt;105%,105%))))</f>
        <v>0</v>
      </c>
      <c r="D22" s="4"/>
      <c r="E22" s="22" t="s">
        <v>5</v>
      </c>
      <c r="F22" s="271">
        <f>SUM(F19*F20*F21)</f>
        <v>0</v>
      </c>
      <c r="G22" s="4"/>
      <c r="H22" s="4" t="s">
        <v>104</v>
      </c>
      <c r="I22" s="97">
        <v>1.05</v>
      </c>
      <c r="J22" s="76"/>
    </row>
    <row r="23" spans="2:10" ht="15.75" thickBot="1" x14ac:dyDescent="0.3">
      <c r="B23" s="145"/>
      <c r="C23" s="80"/>
      <c r="D23" s="121"/>
      <c r="E23" s="81"/>
      <c r="F23" s="273"/>
      <c r="G23" s="121"/>
      <c r="H23" s="121"/>
      <c r="I23" s="121"/>
      <c r="J23" s="114"/>
    </row>
    <row r="24" spans="2:10" x14ac:dyDescent="0.25">
      <c r="B24" s="64"/>
      <c r="C24" s="67"/>
      <c r="D24" s="117"/>
      <c r="E24" s="66"/>
      <c r="F24" s="274"/>
      <c r="G24" s="117"/>
      <c r="H24" s="117"/>
      <c r="I24" s="117"/>
      <c r="J24" s="109"/>
    </row>
    <row r="25" spans="2:10" x14ac:dyDescent="0.25">
      <c r="B25" s="33" t="s">
        <v>22</v>
      </c>
      <c r="C25" s="134">
        <v>0.15</v>
      </c>
      <c r="D25" s="4"/>
      <c r="E25" s="3"/>
      <c r="F25" s="275"/>
      <c r="G25" s="4"/>
      <c r="H25" s="4"/>
      <c r="I25" s="4"/>
      <c r="J25" s="111"/>
    </row>
    <row r="26" spans="2:10" x14ac:dyDescent="0.25">
      <c r="B26" s="5" t="s">
        <v>1</v>
      </c>
      <c r="C26" s="89">
        <f>'Sales Summary'!G11</f>
        <v>89.9</v>
      </c>
      <c r="D26" s="4"/>
      <c r="E26" s="22" t="s">
        <v>14</v>
      </c>
      <c r="F26" s="271">
        <f>SUM($E$4*C25)</f>
        <v>1462.5</v>
      </c>
      <c r="G26" s="4"/>
      <c r="H26" s="4" t="s">
        <v>85</v>
      </c>
      <c r="I26" s="97">
        <v>0</v>
      </c>
      <c r="J26" s="72"/>
    </row>
    <row r="27" spans="2:10" x14ac:dyDescent="0.25">
      <c r="B27" s="5" t="s">
        <v>0</v>
      </c>
      <c r="C27" s="89">
        <f>'Sales Summary'!G12</f>
        <v>90.3</v>
      </c>
      <c r="D27" s="4"/>
      <c r="E27" s="22" t="s">
        <v>4</v>
      </c>
      <c r="F27" s="272">
        <f>SUM(C29)</f>
        <v>0.5</v>
      </c>
      <c r="G27" s="4"/>
      <c r="H27" s="4" t="s">
        <v>86</v>
      </c>
      <c r="I27" s="97">
        <v>0.5</v>
      </c>
      <c r="J27" s="74"/>
    </row>
    <row r="28" spans="2:10" x14ac:dyDescent="0.25">
      <c r="B28" s="5" t="s">
        <v>13</v>
      </c>
      <c r="C28" s="282">
        <f>SUM(C26/C27)</f>
        <v>0.99557032115171662</v>
      </c>
      <c r="D28" s="4"/>
      <c r="E28" s="43" t="s">
        <v>131</v>
      </c>
      <c r="F28" s="272">
        <f>C7</f>
        <v>0.5</v>
      </c>
      <c r="G28" s="4"/>
      <c r="H28" s="4" t="s">
        <v>99</v>
      </c>
      <c r="I28" s="97">
        <v>1</v>
      </c>
      <c r="J28" s="75"/>
    </row>
    <row r="29" spans="2:10" x14ac:dyDescent="0.25">
      <c r="B29" s="5" t="s">
        <v>10</v>
      </c>
      <c r="C29" s="70">
        <f>IF(C28&lt;97%,0,IF(AND(C28&gt;=97%,C28&lt;=100.99%),50%,IF(AND(C28&gt;=101%,C28&lt;=105%),100%,IF(C28&gt;105%,105%))))</f>
        <v>0.5</v>
      </c>
      <c r="D29" s="4"/>
      <c r="E29" s="22" t="s">
        <v>5</v>
      </c>
      <c r="F29" s="271">
        <f>SUM(F26*F27*F28)</f>
        <v>365.625</v>
      </c>
      <c r="G29" s="4"/>
      <c r="H29" s="4" t="s">
        <v>104</v>
      </c>
      <c r="I29" s="97">
        <v>1.05</v>
      </c>
      <c r="J29" s="76"/>
    </row>
    <row r="30" spans="2:10" ht="15.75" thickBot="1" x14ac:dyDescent="0.3">
      <c r="B30" s="145"/>
      <c r="C30" s="80"/>
      <c r="D30" s="121"/>
      <c r="E30" s="81"/>
      <c r="F30" s="273"/>
      <c r="G30" s="121"/>
      <c r="H30" s="121"/>
      <c r="I30" s="146"/>
      <c r="J30" s="114"/>
    </row>
    <row r="31" spans="2:10" x14ac:dyDescent="0.25">
      <c r="B31" s="64"/>
      <c r="C31" s="67"/>
      <c r="D31" s="117"/>
      <c r="E31" s="66"/>
      <c r="F31" s="274"/>
      <c r="G31" s="117"/>
      <c r="H31" s="117"/>
      <c r="I31" s="147"/>
      <c r="J31" s="109"/>
    </row>
    <row r="32" spans="2:10" x14ac:dyDescent="0.25">
      <c r="B32" s="33" t="s">
        <v>33</v>
      </c>
      <c r="C32" s="134">
        <v>0.35</v>
      </c>
      <c r="D32" s="4"/>
      <c r="E32" s="3"/>
      <c r="F32" s="275"/>
      <c r="G32" s="4"/>
      <c r="H32" s="4"/>
      <c r="I32" s="97"/>
      <c r="J32" s="111"/>
    </row>
    <row r="33" spans="2:10" x14ac:dyDescent="0.25">
      <c r="B33" s="5" t="s">
        <v>1</v>
      </c>
      <c r="C33" s="89">
        <f>'Sales Summary'!C11</f>
        <v>417604</v>
      </c>
      <c r="D33" s="4"/>
      <c r="E33" s="22" t="s">
        <v>14</v>
      </c>
      <c r="F33" s="271">
        <f>SUM($E$4*C32)</f>
        <v>3412.5</v>
      </c>
      <c r="G33" s="4"/>
      <c r="H33" s="4" t="s">
        <v>85</v>
      </c>
      <c r="I33" s="97">
        <v>0</v>
      </c>
      <c r="J33" s="72"/>
    </row>
    <row r="34" spans="2:10" x14ac:dyDescent="0.25">
      <c r="B34" s="5" t="s">
        <v>0</v>
      </c>
      <c r="C34" s="89">
        <f>'Sales Summary'!C12</f>
        <v>418682</v>
      </c>
      <c r="D34" s="4"/>
      <c r="E34" s="22" t="s">
        <v>4</v>
      </c>
      <c r="F34" s="272">
        <f>SUM(C36)</f>
        <v>0.5</v>
      </c>
      <c r="G34" s="4"/>
      <c r="H34" s="4" t="s">
        <v>86</v>
      </c>
      <c r="I34" s="97">
        <v>0.5</v>
      </c>
      <c r="J34" s="74"/>
    </row>
    <row r="35" spans="2:10" x14ac:dyDescent="0.25">
      <c r="B35" s="5" t="s">
        <v>13</v>
      </c>
      <c r="C35" s="282">
        <f>SUM(C33/C34)</f>
        <v>0.99742525353370814</v>
      </c>
      <c r="D35" s="4"/>
      <c r="E35" s="43" t="s">
        <v>131</v>
      </c>
      <c r="F35" s="272">
        <f>C7</f>
        <v>0.5</v>
      </c>
      <c r="G35" s="4"/>
      <c r="H35" s="4" t="s">
        <v>99</v>
      </c>
      <c r="I35" s="97">
        <v>1</v>
      </c>
      <c r="J35" s="75"/>
    </row>
    <row r="36" spans="2:10" x14ac:dyDescent="0.25">
      <c r="B36" s="5" t="s">
        <v>10</v>
      </c>
      <c r="C36" s="70">
        <f>IF(C35&lt;97%,0,IF(AND(C35&gt;=97%,C35&lt;=100.99%),50%,IF(AND(C35&gt;=101%,C35&lt;=105%),100%,IF(C35&gt;105%,105%))))</f>
        <v>0.5</v>
      </c>
      <c r="D36" s="4"/>
      <c r="E36" s="22" t="s">
        <v>5</v>
      </c>
      <c r="F36" s="271">
        <f>SUM(F33*F34*F35)</f>
        <v>853.125</v>
      </c>
      <c r="G36" s="4"/>
      <c r="H36" s="4" t="s">
        <v>104</v>
      </c>
      <c r="I36" s="97">
        <v>1.05</v>
      </c>
      <c r="J36" s="76"/>
    </row>
    <row r="37" spans="2:10" ht="15.75" thickBot="1" x14ac:dyDescent="0.3">
      <c r="B37" s="145"/>
      <c r="C37" s="121"/>
      <c r="D37" s="121"/>
      <c r="E37" s="81"/>
      <c r="F37" s="143"/>
      <c r="G37" s="121"/>
      <c r="H37" s="121"/>
      <c r="I37" s="121"/>
      <c r="J37" s="114"/>
    </row>
    <row r="38" spans="2:10" x14ac:dyDescent="0.25">
      <c r="B38" s="4"/>
      <c r="E38" s="31"/>
      <c r="F38" s="28"/>
    </row>
    <row r="39" spans="2:10" x14ac:dyDescent="0.25">
      <c r="E39" s="22" t="s">
        <v>11</v>
      </c>
      <c r="F39" s="47">
        <f>SUM(F36+F29+F22+F15)</f>
        <v>1584.375</v>
      </c>
    </row>
    <row r="41" spans="2:10" x14ac:dyDescent="0.25">
      <c r="B41" s="10"/>
      <c r="C41" s="10"/>
      <c r="D41" s="10"/>
      <c r="E41" s="10"/>
      <c r="F41" s="10"/>
      <c r="G41" s="10"/>
    </row>
    <row r="42" spans="2:10" x14ac:dyDescent="0.25">
      <c r="B42" s="10"/>
      <c r="C42" s="10"/>
      <c r="D42" s="10"/>
      <c r="E42" s="10"/>
      <c r="F42" s="10"/>
      <c r="G42" s="10"/>
    </row>
    <row r="43" spans="2:10" x14ac:dyDescent="0.25">
      <c r="B43" s="10"/>
      <c r="C43" s="10"/>
      <c r="D43" s="10"/>
      <c r="E43" s="10"/>
      <c r="F43" s="10"/>
      <c r="G43" s="10"/>
    </row>
  </sheetData>
  <mergeCells count="1">
    <mergeCell ref="C2:D2"/>
  </mergeCells>
  <conditionalFormatting sqref="A41:XFD1048576 B40:D40 G40:XFD40 B14:D14 F14:XFD14 B21:D21 F21:XFD21 B28:D28 F28:XFD28 A36:XFD39 B35:D35 F35:XFD35 A1:XFD1 A15:XFD20 A22:XFD27 A29:XFD34 A3:XFD13 A2:C2 E2:XFD2">
    <cfRule type="containsErrors" dxfId="43" priority="6">
      <formula>ISERROR(A1)</formula>
    </cfRule>
  </conditionalFormatting>
  <conditionalFormatting sqref="E14">
    <cfRule type="containsErrors" dxfId="42" priority="4">
      <formula>ISERROR(E14)</formula>
    </cfRule>
  </conditionalFormatting>
  <conditionalFormatting sqref="E21">
    <cfRule type="containsErrors" dxfId="41" priority="3">
      <formula>ISERROR(E21)</formula>
    </cfRule>
  </conditionalFormatting>
  <conditionalFormatting sqref="E28">
    <cfRule type="containsErrors" dxfId="40" priority="2">
      <formula>ISERROR(E28)</formula>
    </cfRule>
  </conditionalFormatting>
  <conditionalFormatting sqref="E35">
    <cfRule type="containsErrors" dxfId="39" priority="1">
      <formula>ISERROR(E35)</formula>
    </cfRule>
  </conditionalFormatting>
  <pageMargins left="0.7" right="0.7" top="0.75" bottom="0.75" header="0.3" footer="0.3"/>
  <pageSetup scale="7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  <pageSetUpPr fitToPage="1"/>
  </sheetPr>
  <dimension ref="B2:J43"/>
  <sheetViews>
    <sheetView showGridLines="0" workbookViewId="0">
      <selection activeCell="F3" sqref="F3"/>
    </sheetView>
  </sheetViews>
  <sheetFormatPr defaultRowHeight="15" x14ac:dyDescent="0.25"/>
  <cols>
    <col min="1" max="1" width="9.140625" style="9"/>
    <col min="2" max="4" width="15.5703125" style="9" customWidth="1"/>
    <col min="5" max="5" width="21.5703125" style="9" bestFit="1" customWidth="1"/>
    <col min="6" max="6" width="15.5703125" style="9" customWidth="1"/>
    <col min="7" max="7" width="7.42578125" style="9" customWidth="1"/>
    <col min="8" max="8" width="15.5703125" style="9" customWidth="1"/>
    <col min="9" max="9" width="9.140625" style="9"/>
    <col min="10" max="10" width="5" style="9" customWidth="1"/>
    <col min="11" max="16384" width="9.140625" style="9"/>
  </cols>
  <sheetData>
    <row r="2" spans="2:10" ht="21" x14ac:dyDescent="0.35">
      <c r="B2" s="23" t="s">
        <v>19</v>
      </c>
      <c r="C2" s="236" t="s">
        <v>140</v>
      </c>
      <c r="D2" s="236"/>
    </row>
    <row r="3" spans="2:10" x14ac:dyDescent="0.25">
      <c r="B3" s="49" t="s">
        <v>17</v>
      </c>
      <c r="C3" s="49" t="s">
        <v>7</v>
      </c>
      <c r="D3" s="135" t="s">
        <v>20</v>
      </c>
      <c r="E3" s="49" t="s">
        <v>41</v>
      </c>
    </row>
    <row r="4" spans="2:10" x14ac:dyDescent="0.25">
      <c r="B4" s="153">
        <v>55000</v>
      </c>
      <c r="C4" s="251">
        <v>0.3</v>
      </c>
      <c r="D4" s="137">
        <f>SUM(B4*C4)</f>
        <v>16500</v>
      </c>
      <c r="E4" s="47">
        <f>SUM(D4/2)</f>
        <v>8250</v>
      </c>
    </row>
    <row r="5" spans="2:10" x14ac:dyDescent="0.25">
      <c r="B5" s="15" t="s">
        <v>78</v>
      </c>
      <c r="C5" s="288">
        <f>'Executive Summary'!C21</f>
        <v>44742</v>
      </c>
      <c r="E5" s="27"/>
    </row>
    <row r="6" spans="2:10" ht="15.75" thickBot="1" x14ac:dyDescent="0.3">
      <c r="B6" s="4"/>
      <c r="C6" s="98"/>
      <c r="E6" s="27"/>
    </row>
    <row r="7" spans="2:10" x14ac:dyDescent="0.25">
      <c r="B7" s="64" t="s">
        <v>79</v>
      </c>
      <c r="C7" s="264">
        <f>'Executive Summary'!E20</f>
        <v>0.5</v>
      </c>
      <c r="D7" s="117"/>
      <c r="E7" s="140"/>
      <c r="F7" s="117"/>
      <c r="G7" s="117"/>
      <c r="H7" s="117"/>
      <c r="I7" s="117"/>
      <c r="J7" s="109"/>
    </row>
    <row r="8" spans="2:10" x14ac:dyDescent="0.25">
      <c r="B8" s="270"/>
      <c r="C8" s="3"/>
      <c r="D8" s="3"/>
      <c r="E8" s="63"/>
      <c r="F8" s="62"/>
      <c r="G8" s="3"/>
      <c r="H8" s="3"/>
      <c r="I8" s="3"/>
      <c r="J8" s="111"/>
    </row>
    <row r="9" spans="2:10" ht="15.75" thickBot="1" x14ac:dyDescent="0.3">
      <c r="B9" s="86" t="s">
        <v>84</v>
      </c>
      <c r="C9" s="81"/>
      <c r="D9" s="81"/>
      <c r="E9" s="112"/>
      <c r="F9" s="80"/>
      <c r="G9" s="113"/>
      <c r="H9" s="81"/>
      <c r="I9" s="81"/>
      <c r="J9" s="114"/>
    </row>
    <row r="10" spans="2:10" x14ac:dyDescent="0.25">
      <c r="B10" s="64"/>
      <c r="C10" s="66"/>
      <c r="D10" s="117"/>
      <c r="E10" s="140"/>
      <c r="F10" s="117"/>
      <c r="G10" s="117"/>
      <c r="H10" s="117"/>
      <c r="I10" s="117"/>
      <c r="J10" s="109"/>
    </row>
    <row r="11" spans="2:10" x14ac:dyDescent="0.25">
      <c r="B11" s="33" t="s">
        <v>34</v>
      </c>
      <c r="C11" s="134">
        <v>0.15</v>
      </c>
      <c r="D11" s="4"/>
      <c r="E11" s="3"/>
      <c r="F11" s="4"/>
      <c r="G11" s="4"/>
      <c r="H11" s="4"/>
      <c r="I11" s="4"/>
      <c r="J11" s="111"/>
    </row>
    <row r="12" spans="2:10" x14ac:dyDescent="0.25">
      <c r="B12" s="5" t="s">
        <v>1</v>
      </c>
      <c r="C12" s="89">
        <f>'Sales Summary'!G17</f>
        <v>123</v>
      </c>
      <c r="D12" s="4"/>
      <c r="E12" s="22" t="s">
        <v>14</v>
      </c>
      <c r="F12" s="271">
        <f>SUM($E$4*C11)</f>
        <v>1237.5</v>
      </c>
      <c r="G12" s="4"/>
      <c r="H12" s="4" t="s">
        <v>85</v>
      </c>
      <c r="I12" s="97">
        <v>0</v>
      </c>
      <c r="J12" s="72"/>
    </row>
    <row r="13" spans="2:10" x14ac:dyDescent="0.25">
      <c r="B13" s="5" t="s">
        <v>0</v>
      </c>
      <c r="C13" s="89">
        <f>'Sales Summary'!G18</f>
        <v>125</v>
      </c>
      <c r="D13" s="4"/>
      <c r="E13" s="22" t="s">
        <v>4</v>
      </c>
      <c r="F13" s="272">
        <f>SUM(C15)</f>
        <v>0.5</v>
      </c>
      <c r="G13" s="4"/>
      <c r="H13" s="4" t="s">
        <v>86</v>
      </c>
      <c r="I13" s="97">
        <v>0.5</v>
      </c>
      <c r="J13" s="74"/>
    </row>
    <row r="14" spans="2:10" x14ac:dyDescent="0.25">
      <c r="B14" s="5" t="s">
        <v>13</v>
      </c>
      <c r="C14" s="276">
        <f>SUM(C12/C13)</f>
        <v>0.98399999999999999</v>
      </c>
      <c r="D14" s="4"/>
      <c r="E14" s="43" t="s">
        <v>131</v>
      </c>
      <c r="F14" s="272">
        <f>C7</f>
        <v>0.5</v>
      </c>
      <c r="G14" s="4"/>
      <c r="H14" s="4" t="s">
        <v>105</v>
      </c>
      <c r="I14" s="97">
        <v>1</v>
      </c>
      <c r="J14" s="75"/>
    </row>
    <row r="15" spans="2:10" x14ac:dyDescent="0.25">
      <c r="B15" s="5" t="s">
        <v>10</v>
      </c>
      <c r="C15" s="70">
        <f>IF(C14&lt;97%,0,IF(AND(C14&gt;=97%,C14&lt;=100%),50%,IF(AND(C14&gt;100%,C14&lt;=105%),100%,IF(C14&gt;105%,105%))))</f>
        <v>0.5</v>
      </c>
      <c r="D15" s="4"/>
      <c r="E15" s="22" t="s">
        <v>5</v>
      </c>
      <c r="F15" s="271">
        <f>SUM(F12*F13*F14)</f>
        <v>309.375</v>
      </c>
      <c r="G15" s="4"/>
      <c r="H15" s="4" t="s">
        <v>104</v>
      </c>
      <c r="I15" s="97">
        <v>1.05</v>
      </c>
      <c r="J15" s="76"/>
    </row>
    <row r="16" spans="2:10" ht="15.75" thickBot="1" x14ac:dyDescent="0.3">
      <c r="B16" s="141"/>
      <c r="C16" s="80"/>
      <c r="D16" s="121"/>
      <c r="E16" s="81"/>
      <c r="F16" s="273"/>
      <c r="G16" s="121"/>
      <c r="H16" s="121"/>
      <c r="I16" s="121"/>
      <c r="J16" s="114"/>
    </row>
    <row r="17" spans="2:10" x14ac:dyDescent="0.25">
      <c r="B17" s="64"/>
      <c r="C17" s="67"/>
      <c r="D17" s="117"/>
      <c r="E17" s="66"/>
      <c r="F17" s="274"/>
      <c r="G17" s="117"/>
      <c r="H17" s="117"/>
      <c r="I17" s="117"/>
      <c r="J17" s="109"/>
    </row>
    <row r="18" spans="2:10" x14ac:dyDescent="0.25">
      <c r="B18" s="33" t="s">
        <v>32</v>
      </c>
      <c r="C18" s="134">
        <v>0.35</v>
      </c>
      <c r="D18" s="4"/>
      <c r="E18" s="3"/>
      <c r="F18" s="275"/>
      <c r="G18" s="4"/>
      <c r="H18" s="4"/>
      <c r="I18" s="4"/>
      <c r="J18" s="111"/>
    </row>
    <row r="19" spans="2:10" x14ac:dyDescent="0.25">
      <c r="B19" s="5" t="s">
        <v>1</v>
      </c>
      <c r="C19" s="89">
        <f>'Sales Summary'!C5</f>
        <v>1268973</v>
      </c>
      <c r="D19" s="4"/>
      <c r="E19" s="22" t="s">
        <v>14</v>
      </c>
      <c r="F19" s="271">
        <f>SUM($E$4*C18)</f>
        <v>2887.5</v>
      </c>
      <c r="G19" s="4"/>
      <c r="H19" s="4" t="s">
        <v>85</v>
      </c>
      <c r="I19" s="97">
        <v>0</v>
      </c>
      <c r="J19" s="72"/>
    </row>
    <row r="20" spans="2:10" x14ac:dyDescent="0.25">
      <c r="B20" s="5" t="s">
        <v>0</v>
      </c>
      <c r="C20" s="89">
        <f>'Sales Summary'!C6</f>
        <v>1357896</v>
      </c>
      <c r="D20" s="4"/>
      <c r="E20" s="22" t="s">
        <v>4</v>
      </c>
      <c r="F20" s="272">
        <f>SUM(C22)</f>
        <v>0</v>
      </c>
      <c r="G20" s="4"/>
      <c r="H20" s="4" t="s">
        <v>86</v>
      </c>
      <c r="I20" s="97">
        <v>0.5</v>
      </c>
      <c r="J20" s="74"/>
    </row>
    <row r="21" spans="2:10" x14ac:dyDescent="0.25">
      <c r="B21" s="5" t="s">
        <v>13</v>
      </c>
      <c r="C21" s="70">
        <f>SUM(C19/C20)</f>
        <v>0.9345141306845296</v>
      </c>
      <c r="D21" s="4"/>
      <c r="E21" s="43" t="s">
        <v>131</v>
      </c>
      <c r="F21" s="272">
        <f>C7</f>
        <v>0.5</v>
      </c>
      <c r="G21" s="4"/>
      <c r="H21" s="4" t="s">
        <v>99</v>
      </c>
      <c r="I21" s="97">
        <v>1</v>
      </c>
      <c r="J21" s="75"/>
    </row>
    <row r="22" spans="2:10" x14ac:dyDescent="0.25">
      <c r="B22" s="5" t="s">
        <v>10</v>
      </c>
      <c r="C22" s="70">
        <f>IF(C21&lt;97%,0,IF(AND(C21&gt;=97%,C21&lt;101%),50%,IF(AND(C21&gt;=101%,C21&lt;=105%),100%,IF(C21&gt;105%,105%))))</f>
        <v>0</v>
      </c>
      <c r="D22" s="4"/>
      <c r="E22" s="22" t="s">
        <v>5</v>
      </c>
      <c r="F22" s="271">
        <f>SUM(F19*F20*F21)</f>
        <v>0</v>
      </c>
      <c r="G22" s="4"/>
      <c r="H22" s="4" t="s">
        <v>104</v>
      </c>
      <c r="I22" s="97">
        <v>1.05</v>
      </c>
      <c r="J22" s="76"/>
    </row>
    <row r="23" spans="2:10" ht="15.75" thickBot="1" x14ac:dyDescent="0.3">
      <c r="B23" s="145"/>
      <c r="C23" s="80"/>
      <c r="D23" s="121"/>
      <c r="E23" s="81"/>
      <c r="F23" s="273"/>
      <c r="G23" s="121"/>
      <c r="H23" s="121"/>
      <c r="I23" s="121"/>
      <c r="J23" s="114"/>
    </row>
    <row r="24" spans="2:10" x14ac:dyDescent="0.25">
      <c r="B24" s="64"/>
      <c r="C24" s="67"/>
      <c r="D24" s="117"/>
      <c r="E24" s="66"/>
      <c r="F24" s="274"/>
      <c r="G24" s="117"/>
      <c r="H24" s="117"/>
      <c r="I24" s="117"/>
      <c r="J24" s="109"/>
    </row>
    <row r="25" spans="2:10" x14ac:dyDescent="0.25">
      <c r="B25" s="33" t="s">
        <v>22</v>
      </c>
      <c r="C25" s="134">
        <v>0.15</v>
      </c>
      <c r="D25" s="4"/>
      <c r="E25" s="3"/>
      <c r="F25" s="275"/>
      <c r="G25" s="4"/>
      <c r="H25" s="4"/>
      <c r="I25" s="4"/>
      <c r="J25" s="111"/>
    </row>
    <row r="26" spans="2:10" x14ac:dyDescent="0.25">
      <c r="B26" s="5" t="s">
        <v>1</v>
      </c>
      <c r="C26" s="89">
        <f>'Sales Summary'!C18</f>
        <v>89.59</v>
      </c>
      <c r="D26" s="4"/>
      <c r="E26" s="22" t="s">
        <v>14</v>
      </c>
      <c r="F26" s="271">
        <f>SUM($E$4*C25)</f>
        <v>1237.5</v>
      </c>
      <c r="G26" s="4"/>
      <c r="H26" s="4" t="s">
        <v>85</v>
      </c>
      <c r="I26" s="97">
        <v>0</v>
      </c>
      <c r="J26" s="72"/>
    </row>
    <row r="27" spans="2:10" x14ac:dyDescent="0.25">
      <c r="B27" s="5" t="s">
        <v>0</v>
      </c>
      <c r="C27" s="89">
        <f>'Sales Summary'!C19</f>
        <v>85.08</v>
      </c>
      <c r="D27" s="4"/>
      <c r="E27" s="22" t="s">
        <v>4</v>
      </c>
      <c r="F27" s="272">
        <f>SUM(C29)</f>
        <v>1.05</v>
      </c>
      <c r="G27" s="4"/>
      <c r="H27" s="4" t="s">
        <v>86</v>
      </c>
      <c r="I27" s="97">
        <v>0.5</v>
      </c>
      <c r="J27" s="74"/>
    </row>
    <row r="28" spans="2:10" x14ac:dyDescent="0.25">
      <c r="B28" s="5" t="s">
        <v>13</v>
      </c>
      <c r="C28" s="70">
        <f>SUM(C26/C27)</f>
        <v>1.0530089327691585</v>
      </c>
      <c r="D28" s="4"/>
      <c r="E28" s="43" t="s">
        <v>131</v>
      </c>
      <c r="F28" s="272">
        <f>C7</f>
        <v>0.5</v>
      </c>
      <c r="G28" s="4"/>
      <c r="H28" s="4" t="s">
        <v>99</v>
      </c>
      <c r="I28" s="97">
        <v>1</v>
      </c>
      <c r="J28" s="75"/>
    </row>
    <row r="29" spans="2:10" x14ac:dyDescent="0.25">
      <c r="B29" s="5" t="s">
        <v>10</v>
      </c>
      <c r="C29" s="70">
        <f>IF(C28&lt;97%,0,IF(AND(C28&gt;=97%,C28&lt;=100.99%),50%,IF(AND(C28&gt;=101%,C28&lt;=105%),100%,IF(C28&gt;105%,105%))))</f>
        <v>1.05</v>
      </c>
      <c r="D29" s="4"/>
      <c r="E29" s="22" t="s">
        <v>5</v>
      </c>
      <c r="F29" s="271">
        <f>SUM(F26*F27*F28)</f>
        <v>649.6875</v>
      </c>
      <c r="G29" s="4"/>
      <c r="H29" s="4" t="s">
        <v>104</v>
      </c>
      <c r="I29" s="97">
        <v>1.05</v>
      </c>
      <c r="J29" s="76"/>
    </row>
    <row r="30" spans="2:10" ht="15.75" thickBot="1" x14ac:dyDescent="0.3">
      <c r="B30" s="145"/>
      <c r="C30" s="80"/>
      <c r="D30" s="121"/>
      <c r="E30" s="81"/>
      <c r="F30" s="273"/>
      <c r="G30" s="121"/>
      <c r="H30" s="121"/>
      <c r="I30" s="146"/>
      <c r="J30" s="114"/>
    </row>
    <row r="31" spans="2:10" x14ac:dyDescent="0.25">
      <c r="B31" s="64"/>
      <c r="C31" s="67"/>
      <c r="D31" s="117"/>
      <c r="E31" s="66"/>
      <c r="F31" s="274"/>
      <c r="G31" s="117"/>
      <c r="H31" s="117"/>
      <c r="I31" s="147"/>
      <c r="J31" s="109"/>
    </row>
    <row r="32" spans="2:10" x14ac:dyDescent="0.25">
      <c r="B32" s="33" t="s">
        <v>33</v>
      </c>
      <c r="C32" s="134">
        <v>0.35</v>
      </c>
      <c r="D32" s="4"/>
      <c r="E32" s="3"/>
      <c r="F32" s="275"/>
      <c r="G32" s="4"/>
      <c r="H32" s="4"/>
      <c r="I32" s="97"/>
      <c r="J32" s="111"/>
    </row>
    <row r="33" spans="2:10" x14ac:dyDescent="0.25">
      <c r="B33" s="5" t="s">
        <v>1</v>
      </c>
      <c r="C33" s="89">
        <f>'Sales Summary'!C11</f>
        <v>417604</v>
      </c>
      <c r="D33" s="4"/>
      <c r="E33" s="22" t="s">
        <v>14</v>
      </c>
      <c r="F33" s="271">
        <f>SUM($E$4*C32)</f>
        <v>2887.5</v>
      </c>
      <c r="G33" s="4"/>
      <c r="H33" s="4" t="s">
        <v>85</v>
      </c>
      <c r="I33" s="97">
        <v>0</v>
      </c>
      <c r="J33" s="72"/>
    </row>
    <row r="34" spans="2:10" x14ac:dyDescent="0.25">
      <c r="B34" s="5" t="s">
        <v>0</v>
      </c>
      <c r="C34" s="89">
        <f>'Sales Summary'!C12</f>
        <v>418682</v>
      </c>
      <c r="D34" s="4"/>
      <c r="E34" s="22" t="s">
        <v>4</v>
      </c>
      <c r="F34" s="272">
        <f>SUM(C36)</f>
        <v>0.5</v>
      </c>
      <c r="G34" s="4"/>
      <c r="H34" s="4" t="s">
        <v>86</v>
      </c>
      <c r="I34" s="97">
        <v>0.5</v>
      </c>
      <c r="J34" s="74"/>
    </row>
    <row r="35" spans="2:10" x14ac:dyDescent="0.25">
      <c r="B35" s="5" t="s">
        <v>13</v>
      </c>
      <c r="C35" s="70">
        <f>SUM(C33/C34)</f>
        <v>0.99742525353370814</v>
      </c>
      <c r="D35" s="4"/>
      <c r="E35" s="43" t="s">
        <v>131</v>
      </c>
      <c r="F35" s="272">
        <f>C7</f>
        <v>0.5</v>
      </c>
      <c r="G35" s="4"/>
      <c r="H35" s="4" t="s">
        <v>99</v>
      </c>
      <c r="I35" s="97">
        <v>1</v>
      </c>
      <c r="J35" s="75"/>
    </row>
    <row r="36" spans="2:10" x14ac:dyDescent="0.25">
      <c r="B36" s="5" t="s">
        <v>10</v>
      </c>
      <c r="C36" s="70">
        <f>IF(C35&lt;97%,0,IF(AND(C35&gt;=97%,C35&lt;=100.99%),50%,IF(AND(C35&gt;=101%,C35&lt;=105%),100%,IF(C35&gt;105%,105%))))</f>
        <v>0.5</v>
      </c>
      <c r="D36" s="4"/>
      <c r="E36" s="22" t="s">
        <v>5</v>
      </c>
      <c r="F36" s="271">
        <f>SUM(F33*F34*F35)</f>
        <v>721.875</v>
      </c>
      <c r="G36" s="4"/>
      <c r="H36" s="4" t="s">
        <v>104</v>
      </c>
      <c r="I36" s="97">
        <v>1.05</v>
      </c>
      <c r="J36" s="76"/>
    </row>
    <row r="37" spans="2:10" ht="15.75" thickBot="1" x14ac:dyDescent="0.3">
      <c r="B37" s="145"/>
      <c r="C37" s="121"/>
      <c r="D37" s="121"/>
      <c r="E37" s="81"/>
      <c r="F37" s="143"/>
      <c r="G37" s="121"/>
      <c r="H37" s="121"/>
      <c r="I37" s="121"/>
      <c r="J37" s="114"/>
    </row>
    <row r="38" spans="2:10" x14ac:dyDescent="0.25">
      <c r="B38" s="4"/>
      <c r="E38" s="31"/>
      <c r="F38" s="28"/>
    </row>
    <row r="39" spans="2:10" x14ac:dyDescent="0.25">
      <c r="E39" s="22" t="s">
        <v>11</v>
      </c>
      <c r="F39" s="47">
        <f>SUM(F36+F29+F22+F15)</f>
        <v>1680.9375</v>
      </c>
    </row>
    <row r="41" spans="2:10" x14ac:dyDescent="0.25">
      <c r="B41" s="10"/>
      <c r="C41" s="10"/>
      <c r="D41" s="10"/>
      <c r="E41" s="10"/>
      <c r="F41" s="10"/>
      <c r="G41" s="10"/>
    </row>
    <row r="42" spans="2:10" x14ac:dyDescent="0.25">
      <c r="B42" s="10"/>
      <c r="C42" s="10"/>
      <c r="D42" s="10"/>
      <c r="E42" s="10"/>
      <c r="F42" s="10"/>
      <c r="G42" s="10"/>
    </row>
    <row r="43" spans="2:10" x14ac:dyDescent="0.25">
      <c r="B43" s="10"/>
      <c r="C43" s="10"/>
      <c r="D43" s="10"/>
      <c r="E43" s="10"/>
      <c r="F43" s="10"/>
      <c r="G43" s="10"/>
    </row>
  </sheetData>
  <mergeCells count="1">
    <mergeCell ref="C2:D2"/>
  </mergeCells>
  <conditionalFormatting sqref="A41:XFD1048576 B40:D40 G40:XFD40 B14:D14 F14:XFD14 B21:D21 F21:XFD21 B28:D28 F28:XFD28 A36:XFD39 B35:D35 F35:XFD35 A1:XFD1 C8:XFD8 A7:A8 B7:XFD7 A9:XFD13 A15:XFD20 A22:XFD27 A29:XFD34 A3:XFD6 A2:C2 E2:XFD2">
    <cfRule type="containsErrors" dxfId="38" priority="6">
      <formula>ISERROR(A1)</formula>
    </cfRule>
  </conditionalFormatting>
  <conditionalFormatting sqref="E14">
    <cfRule type="containsErrors" dxfId="37" priority="4">
      <formula>ISERROR(E14)</formula>
    </cfRule>
  </conditionalFormatting>
  <conditionalFormatting sqref="E21">
    <cfRule type="containsErrors" dxfId="36" priority="3">
      <formula>ISERROR(E21)</formula>
    </cfRule>
  </conditionalFormatting>
  <conditionalFormatting sqref="E28">
    <cfRule type="containsErrors" dxfId="35" priority="2">
      <formula>ISERROR(E28)</formula>
    </cfRule>
  </conditionalFormatting>
  <conditionalFormatting sqref="E35">
    <cfRule type="containsErrors" dxfId="34" priority="1">
      <formula>ISERROR(E35)</formula>
    </cfRule>
  </conditionalFormatting>
  <pageMargins left="0.7" right="0.7" top="0.75" bottom="0.75" header="0.3" footer="0.3"/>
  <pageSetup scale="7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pageSetUpPr fitToPage="1"/>
  </sheetPr>
  <dimension ref="B2:K48"/>
  <sheetViews>
    <sheetView showGridLines="0" topLeftCell="A16" workbookViewId="0">
      <selection activeCell="C2" sqref="C2:D2"/>
    </sheetView>
  </sheetViews>
  <sheetFormatPr defaultRowHeight="15" x14ac:dyDescent="0.25"/>
  <cols>
    <col min="1" max="1" width="9.140625" style="9"/>
    <col min="2" max="4" width="15.5703125" style="9" customWidth="1"/>
    <col min="5" max="5" width="21.5703125" style="9" bestFit="1" customWidth="1"/>
    <col min="6" max="6" width="15.5703125" style="9" customWidth="1"/>
    <col min="7" max="7" width="7.42578125" style="9" customWidth="1"/>
    <col min="8" max="8" width="15.5703125" style="9" customWidth="1"/>
    <col min="9" max="9" width="9.140625" style="9"/>
    <col min="10" max="10" width="5" style="9" customWidth="1"/>
    <col min="11" max="16384" width="9.140625" style="9"/>
  </cols>
  <sheetData>
    <row r="2" spans="2:10" ht="21" x14ac:dyDescent="0.35">
      <c r="B2" s="23" t="s">
        <v>19</v>
      </c>
      <c r="C2" s="236" t="s">
        <v>147</v>
      </c>
      <c r="D2" s="236"/>
    </row>
    <row r="3" spans="2:10" x14ac:dyDescent="0.25">
      <c r="B3" s="49" t="s">
        <v>17</v>
      </c>
      <c r="C3" s="49" t="s">
        <v>7</v>
      </c>
      <c r="D3" s="135" t="s">
        <v>20</v>
      </c>
      <c r="E3" s="49" t="s">
        <v>41</v>
      </c>
    </row>
    <row r="4" spans="2:10" x14ac:dyDescent="0.25">
      <c r="B4" s="153">
        <v>50000</v>
      </c>
      <c r="C4" s="251">
        <v>0.3</v>
      </c>
      <c r="D4" s="137">
        <f>SUM(B4*C4)</f>
        <v>15000</v>
      </c>
      <c r="E4" s="47">
        <f>SUM(D4/2)</f>
        <v>7500</v>
      </c>
    </row>
    <row r="5" spans="2:10" x14ac:dyDescent="0.25">
      <c r="B5" s="15" t="s">
        <v>78</v>
      </c>
      <c r="C5" s="288">
        <f>'Executive Summary'!C21</f>
        <v>44742</v>
      </c>
      <c r="E5" s="27"/>
    </row>
    <row r="6" spans="2:10" ht="15.75" thickBot="1" x14ac:dyDescent="0.3">
      <c r="B6" s="4"/>
      <c r="C6" s="98"/>
      <c r="E6" s="27"/>
    </row>
    <row r="7" spans="2:10" x14ac:dyDescent="0.25">
      <c r="B7" s="64" t="s">
        <v>79</v>
      </c>
      <c r="C7" s="264">
        <f>'Executive Summary'!E20</f>
        <v>0.5</v>
      </c>
      <c r="D7" s="117"/>
      <c r="E7" s="140"/>
      <c r="F7" s="117"/>
      <c r="G7" s="117"/>
      <c r="H7" s="117"/>
      <c r="I7" s="117"/>
      <c r="J7" s="109"/>
    </row>
    <row r="8" spans="2:10" x14ac:dyDescent="0.25">
      <c r="B8" s="270"/>
      <c r="C8" s="4"/>
      <c r="D8" s="3"/>
      <c r="E8" s="63"/>
      <c r="F8" s="62"/>
      <c r="G8" s="3"/>
      <c r="H8" s="3"/>
      <c r="I8" s="3"/>
      <c r="J8" s="111"/>
    </row>
    <row r="9" spans="2:10" ht="15.75" thickBot="1" x14ac:dyDescent="0.3">
      <c r="B9" s="86" t="s">
        <v>84</v>
      </c>
      <c r="C9" s="81"/>
      <c r="D9" s="81"/>
      <c r="E9" s="112"/>
      <c r="F9" s="80"/>
      <c r="G9" s="113"/>
      <c r="H9" s="81"/>
      <c r="I9" s="81"/>
      <c r="J9" s="114"/>
    </row>
    <row r="10" spans="2:10" x14ac:dyDescent="0.25">
      <c r="B10" s="64"/>
      <c r="C10" s="66"/>
      <c r="D10" s="117"/>
      <c r="E10" s="140"/>
      <c r="F10" s="117"/>
      <c r="G10" s="117"/>
      <c r="H10" s="117"/>
      <c r="I10" s="117"/>
      <c r="J10" s="109"/>
    </row>
    <row r="11" spans="2:10" x14ac:dyDescent="0.25">
      <c r="B11" s="33" t="s">
        <v>34</v>
      </c>
      <c r="C11" s="134">
        <v>0.15</v>
      </c>
      <c r="D11" s="4"/>
      <c r="E11" s="3"/>
      <c r="F11" s="4"/>
      <c r="G11" s="4"/>
      <c r="H11" s="4"/>
      <c r="I11" s="4"/>
      <c r="J11" s="111"/>
    </row>
    <row r="12" spans="2:10" x14ac:dyDescent="0.25">
      <c r="B12" s="5" t="s">
        <v>1</v>
      </c>
      <c r="C12" s="136">
        <f>'Sales Summary'!G17</f>
        <v>123</v>
      </c>
      <c r="D12" s="4"/>
      <c r="E12" s="22" t="s">
        <v>14</v>
      </c>
      <c r="F12" s="271">
        <f>SUM($E$4*C11)</f>
        <v>1125</v>
      </c>
      <c r="G12" s="4"/>
      <c r="H12" s="4" t="s">
        <v>85</v>
      </c>
      <c r="I12" s="97">
        <v>0</v>
      </c>
      <c r="J12" s="72"/>
    </row>
    <row r="13" spans="2:10" x14ac:dyDescent="0.25">
      <c r="B13" s="5" t="s">
        <v>0</v>
      </c>
      <c r="C13" s="136">
        <f>'Sales Summary'!G18</f>
        <v>125</v>
      </c>
      <c r="D13" s="4"/>
      <c r="E13" s="22" t="s">
        <v>4</v>
      </c>
      <c r="F13" s="272">
        <f>SUM(C15)</f>
        <v>0.5</v>
      </c>
      <c r="G13" s="4"/>
      <c r="H13" s="4" t="s">
        <v>86</v>
      </c>
      <c r="I13" s="97">
        <v>0.5</v>
      </c>
      <c r="J13" s="74"/>
    </row>
    <row r="14" spans="2:10" x14ac:dyDescent="0.25">
      <c r="B14" s="5" t="s">
        <v>13</v>
      </c>
      <c r="C14" s="189">
        <f>SUM(C12/C13)</f>
        <v>0.98399999999999999</v>
      </c>
      <c r="D14" s="4"/>
      <c r="E14" s="43" t="s">
        <v>131</v>
      </c>
      <c r="F14" s="272">
        <f>C7</f>
        <v>0.5</v>
      </c>
      <c r="G14" s="4"/>
      <c r="H14" s="4" t="s">
        <v>105</v>
      </c>
      <c r="I14" s="97">
        <v>1</v>
      </c>
      <c r="J14" s="75"/>
    </row>
    <row r="15" spans="2:10" x14ac:dyDescent="0.25">
      <c r="B15" s="5" t="s">
        <v>10</v>
      </c>
      <c r="C15" s="169">
        <f>IF(C14&lt;97%,0,IF(AND(C14&gt;=97%,C14&lt;=100%),50%,IF(AND(C14&gt;100%,C14&lt;=105%),100%,IF(C14&gt;105%,105%))))</f>
        <v>0.5</v>
      </c>
      <c r="D15" s="4"/>
      <c r="E15" s="22" t="s">
        <v>5</v>
      </c>
      <c r="F15" s="271">
        <f>SUM(F12*F13*F14)</f>
        <v>281.25</v>
      </c>
      <c r="G15" s="4"/>
      <c r="H15" s="4" t="s">
        <v>104</v>
      </c>
      <c r="I15" s="97">
        <v>1.05</v>
      </c>
      <c r="J15" s="76"/>
    </row>
    <row r="16" spans="2:10" ht="15.75" thickBot="1" x14ac:dyDescent="0.3">
      <c r="B16" s="141"/>
      <c r="C16" s="81"/>
      <c r="D16" s="121"/>
      <c r="E16" s="81"/>
      <c r="F16" s="273"/>
      <c r="G16" s="121"/>
      <c r="H16" s="121"/>
      <c r="I16" s="121"/>
      <c r="J16" s="114"/>
    </row>
    <row r="17" spans="2:10" x14ac:dyDescent="0.25">
      <c r="B17" s="64"/>
      <c r="C17" s="66"/>
      <c r="D17" s="117"/>
      <c r="E17" s="66"/>
      <c r="F17" s="274"/>
      <c r="G17" s="117"/>
      <c r="H17" s="117"/>
      <c r="I17" s="117"/>
      <c r="J17" s="109"/>
    </row>
    <row r="18" spans="2:10" x14ac:dyDescent="0.25">
      <c r="B18" s="33" t="s">
        <v>32</v>
      </c>
      <c r="C18" s="134">
        <v>0.35</v>
      </c>
      <c r="D18" s="4"/>
      <c r="E18" s="3"/>
      <c r="F18" s="275"/>
      <c r="G18" s="4"/>
      <c r="H18" s="4"/>
      <c r="I18" s="4"/>
      <c r="J18" s="111"/>
    </row>
    <row r="19" spans="2:10" x14ac:dyDescent="0.25">
      <c r="B19" s="5" t="s">
        <v>1</v>
      </c>
      <c r="C19" s="136">
        <f>'Sales Summary'!C5</f>
        <v>1268973</v>
      </c>
      <c r="D19" s="4"/>
      <c r="E19" s="22" t="s">
        <v>14</v>
      </c>
      <c r="F19" s="271">
        <f>SUM($E$4*C18)</f>
        <v>2625</v>
      </c>
      <c r="G19" s="4"/>
      <c r="H19" s="4" t="s">
        <v>85</v>
      </c>
      <c r="I19" s="97">
        <v>0</v>
      </c>
      <c r="J19" s="72"/>
    </row>
    <row r="20" spans="2:10" x14ac:dyDescent="0.25">
      <c r="B20" s="5" t="s">
        <v>0</v>
      </c>
      <c r="C20" s="136">
        <f>'Sales Summary'!C6</f>
        <v>1357896</v>
      </c>
      <c r="D20" s="4"/>
      <c r="E20" s="22" t="s">
        <v>4</v>
      </c>
      <c r="F20" s="272">
        <f>SUM(C22)</f>
        <v>0</v>
      </c>
      <c r="G20" s="4"/>
      <c r="H20" s="4" t="s">
        <v>86</v>
      </c>
      <c r="I20" s="97">
        <v>0.5</v>
      </c>
      <c r="J20" s="74"/>
    </row>
    <row r="21" spans="2:10" x14ac:dyDescent="0.25">
      <c r="B21" s="5" t="s">
        <v>13</v>
      </c>
      <c r="C21" s="169">
        <f>SUM(C19/C20)</f>
        <v>0.9345141306845296</v>
      </c>
      <c r="D21" s="4"/>
      <c r="E21" s="43" t="s">
        <v>131</v>
      </c>
      <c r="F21" s="272">
        <f>C7</f>
        <v>0.5</v>
      </c>
      <c r="G21" s="4"/>
      <c r="H21" s="4" t="s">
        <v>99</v>
      </c>
      <c r="I21" s="97">
        <v>1</v>
      </c>
      <c r="J21" s="75"/>
    </row>
    <row r="22" spans="2:10" x14ac:dyDescent="0.25">
      <c r="B22" s="5" t="s">
        <v>10</v>
      </c>
      <c r="C22" s="169">
        <f>IF(C21&lt;97%,0,IF(AND(C21&gt;=97%,C21&lt;101%),50%,IF(AND(C21&gt;=101%,C21&lt;=105%),100%,IF(C21&gt;105%,105%))))</f>
        <v>0</v>
      </c>
      <c r="D22" s="4"/>
      <c r="E22" s="22" t="s">
        <v>5</v>
      </c>
      <c r="F22" s="271">
        <f>SUM(F19*F20*F21)</f>
        <v>0</v>
      </c>
      <c r="G22" s="4"/>
      <c r="H22" s="4" t="s">
        <v>104</v>
      </c>
      <c r="I22" s="97">
        <v>1.05</v>
      </c>
      <c r="J22" s="76"/>
    </row>
    <row r="23" spans="2:10" ht="15.75" thickBot="1" x14ac:dyDescent="0.3">
      <c r="B23" s="145"/>
      <c r="C23" s="81"/>
      <c r="D23" s="121"/>
      <c r="E23" s="81"/>
      <c r="F23" s="273"/>
      <c r="G23" s="121"/>
      <c r="H23" s="121"/>
      <c r="I23" s="121"/>
      <c r="J23" s="114"/>
    </row>
    <row r="24" spans="2:10" x14ac:dyDescent="0.25">
      <c r="B24" s="64"/>
      <c r="C24" s="66"/>
      <c r="D24" s="117"/>
      <c r="E24" s="66"/>
      <c r="F24" s="274"/>
      <c r="G24" s="117"/>
      <c r="H24" s="117"/>
      <c r="I24" s="117"/>
      <c r="J24" s="109"/>
    </row>
    <row r="25" spans="2:10" x14ac:dyDescent="0.25">
      <c r="B25" s="33" t="s">
        <v>22</v>
      </c>
      <c r="C25" s="134">
        <v>0.15</v>
      </c>
      <c r="D25" s="4"/>
      <c r="E25" s="3"/>
      <c r="F25" s="275"/>
      <c r="G25" s="4"/>
      <c r="H25" s="4"/>
      <c r="I25" s="4"/>
      <c r="J25" s="111"/>
    </row>
    <row r="26" spans="2:10" x14ac:dyDescent="0.25">
      <c r="B26" s="5" t="s">
        <v>1</v>
      </c>
      <c r="C26" s="136">
        <f>'Sales Summary'!G11</f>
        <v>89.9</v>
      </c>
      <c r="D26" s="4"/>
      <c r="E26" s="22" t="s">
        <v>14</v>
      </c>
      <c r="F26" s="271">
        <f>SUM($E$4*C25)</f>
        <v>1125</v>
      </c>
      <c r="G26" s="4"/>
      <c r="H26" s="4" t="s">
        <v>85</v>
      </c>
      <c r="I26" s="97">
        <v>0</v>
      </c>
      <c r="J26" s="72"/>
    </row>
    <row r="27" spans="2:10" x14ac:dyDescent="0.25">
      <c r="B27" s="5" t="s">
        <v>0</v>
      </c>
      <c r="C27" s="136">
        <f>'Sales Summary'!G12</f>
        <v>90.3</v>
      </c>
      <c r="D27" s="4"/>
      <c r="E27" s="22" t="s">
        <v>4</v>
      </c>
      <c r="F27" s="272">
        <f>SUM(C29)</f>
        <v>0.5</v>
      </c>
      <c r="G27" s="4"/>
      <c r="H27" s="4" t="s">
        <v>86</v>
      </c>
      <c r="I27" s="97">
        <v>0.5</v>
      </c>
      <c r="J27" s="74"/>
    </row>
    <row r="28" spans="2:10" x14ac:dyDescent="0.25">
      <c r="B28" s="5" t="s">
        <v>13</v>
      </c>
      <c r="C28" s="169">
        <f>SUM(C26/C27)</f>
        <v>0.99557032115171662</v>
      </c>
      <c r="D28" s="4"/>
      <c r="E28" s="43" t="s">
        <v>131</v>
      </c>
      <c r="F28" s="272">
        <f>C7</f>
        <v>0.5</v>
      </c>
      <c r="G28" s="4"/>
      <c r="H28" s="4" t="s">
        <v>99</v>
      </c>
      <c r="I28" s="97">
        <v>1</v>
      </c>
      <c r="J28" s="75"/>
    </row>
    <row r="29" spans="2:10" x14ac:dyDescent="0.25">
      <c r="B29" s="5" t="s">
        <v>10</v>
      </c>
      <c r="C29" s="169">
        <f>IF(C28&lt;97%,0,IF(AND(C28&gt;=97%,C28&lt;=100.99%),50%,IF(AND(C28&gt;=101%,C28&lt;=105%),100%,IF(C28&gt;105%,105%))))</f>
        <v>0.5</v>
      </c>
      <c r="D29" s="4"/>
      <c r="E29" s="22" t="s">
        <v>5</v>
      </c>
      <c r="F29" s="271">
        <f>SUM(F26*F27*F28)</f>
        <v>281.25</v>
      </c>
      <c r="G29" s="4"/>
      <c r="H29" s="4" t="s">
        <v>104</v>
      </c>
      <c r="I29" s="97">
        <v>1.05</v>
      </c>
      <c r="J29" s="76"/>
    </row>
    <row r="30" spans="2:10" ht="15.75" thickBot="1" x14ac:dyDescent="0.3">
      <c r="B30" s="145"/>
      <c r="C30" s="81"/>
      <c r="D30" s="121"/>
      <c r="E30" s="81"/>
      <c r="F30" s="273"/>
      <c r="G30" s="121"/>
      <c r="H30" s="121"/>
      <c r="I30" s="146"/>
      <c r="J30" s="114"/>
    </row>
    <row r="31" spans="2:10" x14ac:dyDescent="0.25">
      <c r="B31" s="64"/>
      <c r="C31" s="66"/>
      <c r="D31" s="117"/>
      <c r="E31" s="66"/>
      <c r="F31" s="274"/>
      <c r="G31" s="117"/>
      <c r="H31" s="117"/>
      <c r="I31" s="147"/>
      <c r="J31" s="109"/>
    </row>
    <row r="32" spans="2:10" x14ac:dyDescent="0.25">
      <c r="B32" s="33" t="s">
        <v>33</v>
      </c>
      <c r="C32" s="134">
        <v>0.35</v>
      </c>
      <c r="D32" s="4"/>
      <c r="E32" s="3"/>
      <c r="F32" s="275"/>
      <c r="G32" s="4"/>
      <c r="H32" s="4"/>
      <c r="I32" s="97"/>
      <c r="J32" s="111"/>
    </row>
    <row r="33" spans="2:11" x14ac:dyDescent="0.25">
      <c r="B33" s="5" t="s">
        <v>1</v>
      </c>
      <c r="C33" s="136">
        <f>'Sales Summary'!C11</f>
        <v>417604</v>
      </c>
      <c r="D33" s="4"/>
      <c r="E33" s="22" t="s">
        <v>14</v>
      </c>
      <c r="F33" s="271">
        <f>SUM($E$4*C32)</f>
        <v>2625</v>
      </c>
      <c r="G33" s="4"/>
      <c r="H33" s="4" t="s">
        <v>85</v>
      </c>
      <c r="I33" s="97">
        <v>0</v>
      </c>
      <c r="J33" s="72"/>
    </row>
    <row r="34" spans="2:11" x14ac:dyDescent="0.25">
      <c r="B34" s="5" t="s">
        <v>0</v>
      </c>
      <c r="C34" s="136">
        <f>'Sales Summary'!C12</f>
        <v>418682</v>
      </c>
      <c r="D34" s="4"/>
      <c r="E34" s="22" t="s">
        <v>4</v>
      </c>
      <c r="F34" s="272">
        <f>SUM(C36)</f>
        <v>0.5</v>
      </c>
      <c r="G34" s="4"/>
      <c r="H34" s="4" t="s">
        <v>86</v>
      </c>
      <c r="I34" s="97">
        <v>0.5</v>
      </c>
      <c r="J34" s="74"/>
    </row>
    <row r="35" spans="2:11" x14ac:dyDescent="0.25">
      <c r="B35" s="5" t="s">
        <v>13</v>
      </c>
      <c r="C35" s="169">
        <f>SUM(C33/C34)</f>
        <v>0.99742525353370814</v>
      </c>
      <c r="D35" s="4"/>
      <c r="E35" s="43" t="s">
        <v>131</v>
      </c>
      <c r="F35" s="272">
        <f>C7</f>
        <v>0.5</v>
      </c>
      <c r="G35" s="4"/>
      <c r="H35" s="4" t="s">
        <v>99</v>
      </c>
      <c r="I35" s="97">
        <v>1</v>
      </c>
      <c r="J35" s="75"/>
    </row>
    <row r="36" spans="2:11" x14ac:dyDescent="0.25">
      <c r="B36" s="5" t="s">
        <v>10</v>
      </c>
      <c r="C36" s="169">
        <f>IF(C35&lt;97%,0,IF(AND(C35&gt;=97%,C35&lt;=100.99%),50%,IF(AND(C35&gt;=101%,C35&lt;=105%),100%,IF(C35&gt;105%,105%))))</f>
        <v>0.5</v>
      </c>
      <c r="D36" s="4"/>
      <c r="E36" s="22" t="s">
        <v>5</v>
      </c>
      <c r="F36" s="271">
        <f>SUM(F33*F34*F35)</f>
        <v>656.25</v>
      </c>
      <c r="G36" s="4"/>
      <c r="H36" s="4" t="s">
        <v>104</v>
      </c>
      <c r="I36" s="97">
        <v>1.05</v>
      </c>
      <c r="J36" s="76"/>
    </row>
    <row r="37" spans="2:11" ht="15.75" thickBot="1" x14ac:dyDescent="0.3">
      <c r="B37" s="145"/>
      <c r="C37" s="121"/>
      <c r="D37" s="121"/>
      <c r="E37" s="81"/>
      <c r="F37" s="143"/>
      <c r="G37" s="121"/>
      <c r="H37" s="121"/>
      <c r="I37" s="121"/>
      <c r="J37" s="114"/>
    </row>
    <row r="38" spans="2:11" x14ac:dyDescent="0.25">
      <c r="B38" s="4"/>
      <c r="E38" s="31"/>
      <c r="F38" s="28"/>
    </row>
    <row r="39" spans="2:11" x14ac:dyDescent="0.25">
      <c r="E39" s="22" t="s">
        <v>11</v>
      </c>
      <c r="F39" s="47">
        <f>SUM(F36+F29+F22+F15)</f>
        <v>1218.75</v>
      </c>
    </row>
    <row r="41" spans="2:11" x14ac:dyDescent="0.25">
      <c r="B41" s="10"/>
      <c r="C41" s="10"/>
      <c r="D41" s="10"/>
      <c r="E41" s="10"/>
      <c r="F41" s="10"/>
      <c r="G41" s="10"/>
    </row>
    <row r="42" spans="2:11" x14ac:dyDescent="0.25">
      <c r="B42" s="10"/>
      <c r="C42" s="10"/>
      <c r="D42" s="10"/>
      <c r="E42" s="10"/>
      <c r="F42" s="10"/>
      <c r="G42" s="10"/>
    </row>
    <row r="43" spans="2:11" x14ac:dyDescent="0.25">
      <c r="B43" s="10"/>
      <c r="C43" s="10"/>
      <c r="D43" s="10"/>
      <c r="E43" s="10"/>
      <c r="F43" s="10"/>
      <c r="G43" s="10"/>
    </row>
    <row r="48" spans="2:11" x14ac:dyDescent="0.25">
      <c r="K48" s="9" t="s">
        <v>143</v>
      </c>
    </row>
  </sheetData>
  <mergeCells count="1">
    <mergeCell ref="C2:D2"/>
  </mergeCells>
  <conditionalFormatting sqref="A41:XFD1048576 B40:D40 G40:XFD40 B14:D14 F14:XFD14 B21:D21 F21:XFD21 B28:D28 F28:XFD28 A36:XFD39 B35:D35 F35:XFD35 A1:XFD1 D8:XFD8 B7:XFD7 A7:A8 A9:XFD13 A15:XFD20 A22:XFD27 A29:XFD34 A3:XFD6 A2:C2 E2:XFD2">
    <cfRule type="containsErrors" dxfId="33" priority="6">
      <formula>ISERROR(A1)</formula>
    </cfRule>
  </conditionalFormatting>
  <conditionalFormatting sqref="E14">
    <cfRule type="containsErrors" dxfId="32" priority="4">
      <formula>ISERROR(E14)</formula>
    </cfRule>
  </conditionalFormatting>
  <conditionalFormatting sqref="E21">
    <cfRule type="containsErrors" dxfId="31" priority="3">
      <formula>ISERROR(E21)</formula>
    </cfRule>
  </conditionalFormatting>
  <conditionalFormatting sqref="E28">
    <cfRule type="containsErrors" dxfId="30" priority="2">
      <formula>ISERROR(E28)</formula>
    </cfRule>
  </conditionalFormatting>
  <conditionalFormatting sqref="E35">
    <cfRule type="containsErrors" dxfId="29" priority="1">
      <formula>ISERROR(E35)</formula>
    </cfRule>
  </conditionalFormatting>
  <pageMargins left="0.7" right="0.7" top="0.75" bottom="0.75" header="0.3" footer="0.3"/>
  <pageSetup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Instructions</vt:lpstr>
      <vt:lpstr>Executive Summary</vt:lpstr>
      <vt:lpstr>Sales Summary</vt:lpstr>
      <vt:lpstr>General Mgr</vt:lpstr>
      <vt:lpstr>Engineer</vt:lpstr>
      <vt:lpstr>Dir of Sales</vt:lpstr>
      <vt:lpstr>Sales Candice</vt:lpstr>
      <vt:lpstr>Sales Keyli</vt:lpstr>
      <vt:lpstr>Sales Rachel</vt:lpstr>
      <vt:lpstr>Sales Carrie</vt:lpstr>
      <vt:lpstr>Sales 5</vt:lpstr>
      <vt:lpstr>Exec Chef</vt:lpstr>
      <vt:lpstr>Outlets Mgr.</vt:lpstr>
      <vt:lpstr>HR Director</vt:lpstr>
      <vt:lpstr>gatekeeper_threshold</vt:lpstr>
      <vt:lpstr>'Dir of Sales'!Print_Area</vt:lpstr>
      <vt:lpstr>Engineer!Print_Area</vt:lpstr>
      <vt:lpstr>'Exec Chef'!Print_Area</vt:lpstr>
      <vt:lpstr>'General Mgr'!Print_Area</vt:lpstr>
      <vt:lpstr>'HR Director'!Print_Area</vt:lpstr>
      <vt:lpstr>'Outlets Mgr.'!Print_Area</vt:lpstr>
      <vt:lpstr>'Sales 5'!Print_Area</vt:lpstr>
      <vt:lpstr>'Sales Candice'!Print_Area</vt:lpstr>
      <vt:lpstr>'Sales Carrie'!Print_Area</vt:lpstr>
      <vt:lpstr>'Sales Keyli'!Print_Area</vt:lpstr>
      <vt:lpstr>'Sales Rachel'!Print_Area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D. Jury</dc:creator>
  <cp:lastModifiedBy>Robert Daniels</cp:lastModifiedBy>
  <cp:lastPrinted>2022-06-15T21:48:16Z</cp:lastPrinted>
  <dcterms:created xsi:type="dcterms:W3CDTF">2016-05-06T15:30:23Z</dcterms:created>
  <dcterms:modified xsi:type="dcterms:W3CDTF">2022-06-15T21:48:33Z</dcterms:modified>
</cp:coreProperties>
</file>