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atson/Desktop/"/>
    </mc:Choice>
  </mc:AlternateContent>
  <xr:revisionPtr revIDLastSave="0" documentId="13_ncr:1_{439B737D-22AC-6845-9A76-C981DFE25AB1}" xr6:coauthVersionLast="45" xr6:coauthVersionMax="45" xr10:uidLastSave="{00000000-0000-0000-0000-000000000000}"/>
  <bookViews>
    <workbookView xWindow="380" yWindow="460" windowWidth="28040" windowHeight="16900" xr2:uid="{83D8C48B-C118-2641-BE86-EE45864BC900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2" l="1"/>
  <c r="M13" i="2"/>
  <c r="M14" i="2"/>
  <c r="M15" i="2"/>
  <c r="M16" i="2"/>
  <c r="B26" i="2" s="1"/>
  <c r="M17" i="2"/>
  <c r="M12" i="2"/>
  <c r="L13" i="2"/>
  <c r="L14" i="2"/>
  <c r="L15" i="2"/>
  <c r="L16" i="2"/>
  <c r="L12" i="2"/>
  <c r="J16" i="2"/>
  <c r="J17" i="2"/>
  <c r="J15" i="2"/>
  <c r="J14" i="2"/>
  <c r="J13" i="2"/>
  <c r="J11" i="2"/>
  <c r="J12" i="2"/>
  <c r="G14" i="2"/>
  <c r="G15" i="2"/>
  <c r="G16" i="2"/>
  <c r="G17" i="2"/>
  <c r="G13" i="2"/>
  <c r="G12" i="2"/>
  <c r="L11" i="2"/>
  <c r="H13" i="2"/>
  <c r="H14" i="2" s="1"/>
  <c r="H12" i="2"/>
  <c r="H11" i="2"/>
  <c r="E12" i="2"/>
  <c r="E13" i="2"/>
  <c r="E14" i="2"/>
  <c r="E15" i="2"/>
  <c r="E16" i="2"/>
  <c r="E17" i="2"/>
  <c r="E11" i="2"/>
  <c r="F12" i="2"/>
  <c r="F13" i="2"/>
  <c r="F14" i="2"/>
  <c r="F15" i="2"/>
  <c r="F16" i="2"/>
  <c r="F17" i="2"/>
  <c r="F11" i="2"/>
  <c r="F6" i="2"/>
  <c r="M14" i="1"/>
  <c r="I13" i="1"/>
  <c r="I12" i="1"/>
  <c r="I11" i="1"/>
  <c r="I10" i="1"/>
  <c r="I9" i="1"/>
  <c r="J9" i="1" s="1"/>
  <c r="I8" i="1"/>
  <c r="J8" i="1" s="1"/>
  <c r="F17" i="1"/>
  <c r="H17" i="1" s="1"/>
  <c r="F16" i="1"/>
  <c r="H16" i="1" s="1"/>
  <c r="J16" i="1"/>
  <c r="L16" i="1"/>
  <c r="J17" i="1"/>
  <c r="L17" i="1" s="1"/>
  <c r="H10" i="1"/>
  <c r="H11" i="1" s="1"/>
  <c r="H12" i="1" s="1"/>
  <c r="F14" i="1"/>
  <c r="F9" i="1"/>
  <c r="F10" i="1"/>
  <c r="F11" i="1"/>
  <c r="F12" i="1"/>
  <c r="F13" i="1"/>
  <c r="F8" i="1"/>
  <c r="G8" i="1" s="1"/>
  <c r="L8" i="1" s="1"/>
  <c r="M8" i="1" s="1"/>
  <c r="E8" i="1"/>
  <c r="E9" i="1" s="1"/>
  <c r="E10" i="1" s="1"/>
  <c r="E11" i="1" s="1"/>
  <c r="E12" i="1" s="1"/>
  <c r="E13" i="1" s="1"/>
  <c r="E14" i="1" s="1"/>
  <c r="M16" i="1" l="1"/>
  <c r="J10" i="1"/>
  <c r="B22" i="2"/>
  <c r="H15" i="2"/>
  <c r="H16" i="2" s="1"/>
  <c r="H17" i="2" s="1"/>
  <c r="H13" i="1"/>
  <c r="J12" i="1"/>
  <c r="J11" i="1"/>
  <c r="M17" i="1"/>
  <c r="M19" i="1" s="1"/>
  <c r="H14" i="1" s="1"/>
  <c r="J14" i="1" s="1"/>
  <c r="G9" i="1"/>
  <c r="G10" i="1" l="1"/>
  <c r="L9" i="1"/>
  <c r="M9" i="1" s="1"/>
  <c r="M20" i="1"/>
  <c r="J13" i="1"/>
  <c r="M21" i="1"/>
  <c r="G11" i="1" l="1"/>
  <c r="L10" i="1"/>
  <c r="M10" i="1" s="1"/>
  <c r="G12" i="1" l="1"/>
  <c r="L11" i="1"/>
  <c r="M11" i="1" s="1"/>
  <c r="G13" i="1" l="1"/>
  <c r="L12" i="1"/>
  <c r="M12" i="1" s="1"/>
  <c r="L13" i="1" l="1"/>
  <c r="M13" i="1" s="1"/>
  <c r="C19" i="1" s="1"/>
  <c r="C20" i="1" s="1"/>
  <c r="G14" i="1"/>
</calcChain>
</file>

<file path=xl/sharedStrings.xml><?xml version="1.0" encoding="utf-8"?>
<sst xmlns="http://schemas.openxmlformats.org/spreadsheetml/2006/main" count="49" uniqueCount="41">
  <si>
    <t>Chapter 1</t>
  </si>
  <si>
    <t>OVPW</t>
  </si>
  <si>
    <t>Trade Sequence</t>
  </si>
  <si>
    <t>Stock Price</t>
  </si>
  <si>
    <t>Trade</t>
  </si>
  <si>
    <t>Open Share Position</t>
  </si>
  <si>
    <t>Cash Flow</t>
  </si>
  <si>
    <t>Cum CF</t>
  </si>
  <si>
    <t>Realized</t>
  </si>
  <si>
    <t>Unrealized</t>
  </si>
  <si>
    <t>P&amp;L</t>
  </si>
  <si>
    <t>Total P&amp;L</t>
  </si>
  <si>
    <t>Cash Position</t>
  </si>
  <si>
    <t>Interest C/D</t>
  </si>
  <si>
    <t>1a.</t>
  </si>
  <si>
    <t>1b.</t>
  </si>
  <si>
    <t>Notes</t>
  </si>
  <si>
    <t xml:space="preserve">This is the answer in the book. </t>
  </si>
  <si>
    <t>&lt;---</t>
  </si>
  <si>
    <t xml:space="preserve">This uses the exact formula in the book. </t>
  </si>
  <si>
    <t xml:space="preserve">See math below. </t>
  </si>
  <si>
    <t xml:space="preserve">This uses weighted prices, but is the wrong answer. </t>
  </si>
  <si>
    <t>Total</t>
  </si>
  <si>
    <t>1c.</t>
  </si>
  <si>
    <t>2a.</t>
  </si>
  <si>
    <t>Price</t>
  </si>
  <si>
    <t>Point Value</t>
  </si>
  <si>
    <t>Notional Value</t>
  </si>
  <si>
    <t>Futures Price</t>
  </si>
  <si>
    <t>Open Futures Position</t>
  </si>
  <si>
    <t>2b.</t>
  </si>
  <si>
    <t>Margin Requirement</t>
  </si>
  <si>
    <t>CF</t>
  </si>
  <si>
    <t>Variation</t>
  </si>
  <si>
    <t>In Futures contracts, all gains/losses are settled immeadiately (no unrealized P&amp;L)</t>
  </si>
  <si>
    <t>Variatiion Cash</t>
  </si>
  <si>
    <t>2c.</t>
  </si>
  <si>
    <t>2d.</t>
  </si>
  <si>
    <t>Total Interest</t>
  </si>
  <si>
    <t>2e.</t>
  </si>
  <si>
    <t>Contract Settlement &amp;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</si>
</sst>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2" applyFont="1"/>
    <xf numFmtId="165" fontId="0" fillId="0" borderId="0" xfId="1" applyNumberFormat="1" applyFont="1"/>
    <xf numFmtId="44" fontId="0" fillId="2" borderId="0" xfId="2" applyFont="1" applyFill="1"/>
    <xf numFmtId="44" fontId="2" fillId="2" borderId="0" xfId="2" applyFont="1" applyFill="1"/>
    <xf numFmtId="0" fontId="2" fillId="0" borderId="0" xfId="0" applyFont="1"/>
    <xf numFmtId="0" fontId="2" fillId="2" borderId="0" xfId="0" applyFont="1" applyFill="1"/>
    <xf numFmtId="44" fontId="2" fillId="0" borderId="0" xfId="2" applyFont="1"/>
    <xf numFmtId="44" fontId="2" fillId="0" borderId="0" xfId="2" applyFont="1" applyFill="1"/>
    <xf numFmtId="44" fontId="0" fillId="0" borderId="0" xfId="2" applyFont="1" applyFill="1"/>
    <xf numFmtId="0" fontId="0" fillId="0" borderId="0" xfId="0" applyAlignment="1">
      <alignment horizontal="right"/>
    </xf>
    <xf numFmtId="44" fontId="0" fillId="0" borderId="0" xfId="2" applyFont="1" applyAlignment="1">
      <alignment horizontal="right"/>
    </xf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left"/>
    </xf>
    <xf numFmtId="44" fontId="0" fillId="0" borderId="0" xfId="0" applyNumberFormat="1"/>
    <xf numFmtId="1" fontId="0" fillId="0" borderId="0" xfId="1" applyNumberFormat="1" applyFont="1"/>
    <xf numFmtId="44" fontId="2" fillId="2" borderId="0" xfId="2" applyFont="1" applyFill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448F-FA21-C24E-91C6-6FC003948D3A}">
  <dimension ref="A2:O21"/>
  <sheetViews>
    <sheetView tabSelected="1" workbookViewId="0">
      <selection activeCell="C29" sqref="C29"/>
    </sheetView>
  </sheetViews>
  <sheetFormatPr baseColWidth="10" defaultRowHeight="16" x14ac:dyDescent="0.2"/>
  <cols>
    <col min="1" max="1" width="9" bestFit="1" customWidth="1"/>
    <col min="2" max="2" width="6.83203125" customWidth="1"/>
    <col min="3" max="3" width="11.1640625" style="1" bestFit="1" customWidth="1"/>
    <col min="4" max="4" width="10.83203125" style="2"/>
    <col min="5" max="5" width="20.6640625" style="2" bestFit="1" customWidth="1"/>
    <col min="6" max="6" width="14.6640625" style="1" bestFit="1" customWidth="1"/>
    <col min="7" max="8" width="13.1640625" style="1" bestFit="1" customWidth="1"/>
    <col min="9" max="9" width="12.5" style="1" bestFit="1" customWidth="1"/>
    <col min="10" max="10" width="11.5" style="1" bestFit="1" customWidth="1"/>
    <col min="11" max="11" width="3.5" customWidth="1"/>
    <col min="12" max="12" width="13.33203125" style="1" bestFit="1" customWidth="1"/>
    <col min="13" max="13" width="14" style="1" bestFit="1" customWidth="1"/>
    <col min="14" max="14" width="4" customWidth="1"/>
    <col min="15" max="15" width="51.1640625" bestFit="1" customWidth="1"/>
  </cols>
  <sheetData>
    <row r="2" spans="1:15" x14ac:dyDescent="0.2">
      <c r="A2" t="s">
        <v>1</v>
      </c>
    </row>
    <row r="3" spans="1:15" x14ac:dyDescent="0.2">
      <c r="A3" t="s">
        <v>0</v>
      </c>
    </row>
    <row r="4" spans="1:15" x14ac:dyDescent="0.2">
      <c r="A4" t="s">
        <v>40</v>
      </c>
    </row>
    <row r="6" spans="1:15" x14ac:dyDescent="0.2">
      <c r="B6" s="5" t="s">
        <v>14</v>
      </c>
      <c r="H6" s="9" t="s">
        <v>10</v>
      </c>
      <c r="I6" s="9"/>
      <c r="J6" s="9"/>
      <c r="L6" s="7" t="s">
        <v>15</v>
      </c>
    </row>
    <row r="7" spans="1:15" s="10" customFormat="1" x14ac:dyDescent="0.2">
      <c r="B7" s="10" t="s">
        <v>2</v>
      </c>
      <c r="C7" s="11" t="s">
        <v>3</v>
      </c>
      <c r="D7" s="12" t="s">
        <v>4</v>
      </c>
      <c r="E7" s="12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1" t="s">
        <v>22</v>
      </c>
      <c r="L7" s="11" t="s">
        <v>12</v>
      </c>
      <c r="M7" s="11" t="s">
        <v>13</v>
      </c>
      <c r="O7" s="11" t="s">
        <v>16</v>
      </c>
    </row>
    <row r="8" spans="1:15" x14ac:dyDescent="0.2">
      <c r="B8">
        <v>1</v>
      </c>
      <c r="C8" s="1">
        <v>46.78</v>
      </c>
      <c r="D8" s="2">
        <v>3000</v>
      </c>
      <c r="E8" s="2">
        <f>D8</f>
        <v>3000</v>
      </c>
      <c r="F8" s="1">
        <f>-D8*C8</f>
        <v>-140340</v>
      </c>
      <c r="G8" s="1">
        <f>F8</f>
        <v>-140340</v>
      </c>
      <c r="H8" s="1">
        <v>0</v>
      </c>
      <c r="I8" s="1">
        <f>D8*C8-D8*C8</f>
        <v>0</v>
      </c>
      <c r="J8" s="1">
        <f>SUM(H8:I8)</f>
        <v>0</v>
      </c>
      <c r="L8" s="1">
        <f>G8</f>
        <v>-140340</v>
      </c>
      <c r="M8" s="1">
        <f>L8*(0.06/12)</f>
        <v>-701.7</v>
      </c>
    </row>
    <row r="9" spans="1:15" x14ac:dyDescent="0.2">
      <c r="B9">
        <v>2</v>
      </c>
      <c r="C9" s="1">
        <v>45.91</v>
      </c>
      <c r="D9" s="2">
        <v>1000</v>
      </c>
      <c r="E9" s="2">
        <f>E8+D9</f>
        <v>4000</v>
      </c>
      <c r="F9" s="1">
        <f>-D9*C9</f>
        <v>-45910</v>
      </c>
      <c r="G9" s="1">
        <f>F9+G8</f>
        <v>-186250</v>
      </c>
      <c r="H9" s="1">
        <v>0</v>
      </c>
      <c r="I9" s="1">
        <f>D8*(C9-C8)</f>
        <v>-2610.0000000000136</v>
      </c>
      <c r="J9" s="1">
        <f>SUM(H9:I9)</f>
        <v>-2610.0000000000136</v>
      </c>
      <c r="L9" s="1">
        <f>G9</f>
        <v>-186250</v>
      </c>
      <c r="M9" s="1">
        <f>L9*(0.06/12)</f>
        <v>-931.25</v>
      </c>
    </row>
    <row r="10" spans="1:15" x14ac:dyDescent="0.2">
      <c r="B10">
        <v>3</v>
      </c>
      <c r="C10" s="1">
        <v>47.63</v>
      </c>
      <c r="D10" s="2">
        <v>-1200</v>
      </c>
      <c r="E10" s="2">
        <f>E9+D10</f>
        <v>2800</v>
      </c>
      <c r="F10" s="1">
        <f>-D10*C10</f>
        <v>57156</v>
      </c>
      <c r="G10" s="1">
        <f>F10+G9</f>
        <v>-129094</v>
      </c>
      <c r="H10" s="1">
        <f>(C10-$C$8)*-D10+H9</f>
        <v>1020.0000000000017</v>
      </c>
      <c r="I10" s="1">
        <f>(D10+D8)*(C10-C8)+D9*(C10-C9)</f>
        <v>3250.0000000000082</v>
      </c>
      <c r="J10" s="1">
        <f>SUM(H10:I10)</f>
        <v>4270.00000000001</v>
      </c>
      <c r="L10" s="1">
        <f>G10</f>
        <v>-129094</v>
      </c>
      <c r="M10" s="1">
        <f>L10*(0.06/12)</f>
        <v>-645.47</v>
      </c>
    </row>
    <row r="11" spans="1:15" x14ac:dyDescent="0.2">
      <c r="B11">
        <v>4</v>
      </c>
      <c r="C11" s="1">
        <v>46.15</v>
      </c>
      <c r="D11" s="2">
        <v>500</v>
      </c>
      <c r="E11" s="2">
        <f>E10+D11</f>
        <v>3300</v>
      </c>
      <c r="F11" s="1">
        <f>-D11*C11</f>
        <v>-23075</v>
      </c>
      <c r="G11" s="1">
        <f>F11+G10</f>
        <v>-152169</v>
      </c>
      <c r="H11" s="1">
        <f>H10</f>
        <v>1020.0000000000017</v>
      </c>
      <c r="I11" s="1">
        <f>(D8+D10)*(C11-C8)+D9*(C11-C9)</f>
        <v>-894.0000000000025</v>
      </c>
      <c r="J11" s="1">
        <f>SUM(H11:I11)</f>
        <v>125.9999999999992</v>
      </c>
      <c r="L11" s="1">
        <f>G11</f>
        <v>-152169</v>
      </c>
      <c r="M11" s="1">
        <f>L11*(0.06/12)</f>
        <v>-760.84500000000003</v>
      </c>
    </row>
    <row r="12" spans="1:15" x14ac:dyDescent="0.2">
      <c r="B12">
        <v>5</v>
      </c>
      <c r="C12" s="1">
        <v>49.2</v>
      </c>
      <c r="D12" s="2">
        <v>-1100</v>
      </c>
      <c r="E12" s="2">
        <f>E11+D12</f>
        <v>2200</v>
      </c>
      <c r="F12" s="1">
        <f>-D12*C12</f>
        <v>54120</v>
      </c>
      <c r="G12" s="1">
        <f>F12+G11</f>
        <v>-98049</v>
      </c>
      <c r="H12" s="1">
        <f>(C12-$C$8)*-D12+H11</f>
        <v>3682.0000000000036</v>
      </c>
      <c r="I12" s="1">
        <f>(D8+D10+D12)*(C12-C8)+D9*(C12-C9)+D11*(C12-C11)</f>
        <v>6509.0000000000091</v>
      </c>
      <c r="J12" s="1">
        <f>SUM(H12:I12)</f>
        <v>10191.000000000013</v>
      </c>
      <c r="L12" s="1">
        <f>G12</f>
        <v>-98049</v>
      </c>
      <c r="M12" s="1">
        <f>L12*(0.06/12)</f>
        <v>-490.245</v>
      </c>
    </row>
    <row r="13" spans="1:15" x14ac:dyDescent="0.2">
      <c r="B13">
        <v>6</v>
      </c>
      <c r="C13" s="1">
        <v>48.55</v>
      </c>
      <c r="D13" s="2">
        <v>-700</v>
      </c>
      <c r="E13" s="2">
        <f>E12+D13</f>
        <v>1500</v>
      </c>
      <c r="F13" s="1">
        <f>-D13*C13</f>
        <v>33985</v>
      </c>
      <c r="G13" s="1">
        <f>F13+G12</f>
        <v>-64064</v>
      </c>
      <c r="H13" s="1">
        <f>(C13-$C$8)*-D13+H12</f>
        <v>4921.0000000000009</v>
      </c>
      <c r="I13" s="1">
        <f>D9*(C13-C9)+D11*(C13-C11)</f>
        <v>3840</v>
      </c>
      <c r="J13" s="1">
        <f>SUM(H13:I13)</f>
        <v>8761</v>
      </c>
      <c r="L13" s="1">
        <f>G13</f>
        <v>-64064</v>
      </c>
      <c r="M13" s="1">
        <f>L13*(0.06/12)</f>
        <v>-320.32</v>
      </c>
    </row>
    <row r="14" spans="1:15" x14ac:dyDescent="0.2">
      <c r="B14">
        <v>7</v>
      </c>
      <c r="C14" s="1">
        <v>48.08</v>
      </c>
      <c r="D14" s="2">
        <v>-1500</v>
      </c>
      <c r="E14" s="2">
        <f>E13+D14</f>
        <v>0</v>
      </c>
      <c r="F14" s="1">
        <f>-D14*C14</f>
        <v>72120</v>
      </c>
      <c r="G14" s="1">
        <f>F14+G13</f>
        <v>8056</v>
      </c>
      <c r="H14" s="3">
        <f>M19</f>
        <v>8056</v>
      </c>
      <c r="I14" s="1">
        <v>0</v>
      </c>
      <c r="J14" s="1">
        <f>SUM(H14:I14)</f>
        <v>8056</v>
      </c>
      <c r="L14" s="1">
        <v>0</v>
      </c>
      <c r="M14" s="1">
        <f>L14*(0.06/12)</f>
        <v>0</v>
      </c>
      <c r="O14" s="6" t="s">
        <v>20</v>
      </c>
    </row>
    <row r="16" spans="1:15" x14ac:dyDescent="0.2">
      <c r="F16" s="1">
        <f>C14</f>
        <v>48.08</v>
      </c>
      <c r="G16" s="2">
        <v>1000</v>
      </c>
      <c r="H16" s="1">
        <f>G16*F16</f>
        <v>48080</v>
      </c>
      <c r="I16" s="2">
        <v>1000</v>
      </c>
      <c r="J16" s="1">
        <f>C9</f>
        <v>45.91</v>
      </c>
      <c r="L16" s="1">
        <f>I16*J16</f>
        <v>45910</v>
      </c>
      <c r="M16" s="1">
        <f>H16-L16</f>
        <v>2170</v>
      </c>
    </row>
    <row r="17" spans="3:15" x14ac:dyDescent="0.2">
      <c r="F17" s="1">
        <f>C14</f>
        <v>48.08</v>
      </c>
      <c r="G17" s="2">
        <v>500</v>
      </c>
      <c r="H17" s="1">
        <f>G17*F17</f>
        <v>24040</v>
      </c>
      <c r="I17" s="2">
        <v>500</v>
      </c>
      <c r="J17" s="1">
        <f>C11</f>
        <v>46.15</v>
      </c>
      <c r="L17" s="1">
        <f>I17*J17</f>
        <v>23075</v>
      </c>
      <c r="M17" s="1">
        <f>H17-L17</f>
        <v>965</v>
      </c>
    </row>
    <row r="18" spans="3:15" x14ac:dyDescent="0.2">
      <c r="C18" s="7" t="s">
        <v>23</v>
      </c>
      <c r="M18" s="1">
        <v>4921</v>
      </c>
    </row>
    <row r="19" spans="3:15" x14ac:dyDescent="0.2">
      <c r="C19" s="1">
        <f>SUM(M8:M13)</f>
        <v>-3849.8300000000004</v>
      </c>
      <c r="M19" s="3">
        <f>SUM(M16:M18)</f>
        <v>8056</v>
      </c>
      <c r="N19" t="s">
        <v>18</v>
      </c>
      <c r="O19" t="s">
        <v>17</v>
      </c>
    </row>
    <row r="20" spans="3:15" x14ac:dyDescent="0.2">
      <c r="C20" s="1">
        <f>SUM(C19,J14)</f>
        <v>4206.17</v>
      </c>
      <c r="M20" s="7">
        <f>H13+D9*D11*(F17-J17)*(F16-J16)</f>
        <v>2098971.0000000014</v>
      </c>
      <c r="O20" s="5" t="s">
        <v>19</v>
      </c>
    </row>
    <row r="21" spans="3:15" x14ac:dyDescent="0.2">
      <c r="M21" s="8">
        <f>(C14-($C$9*0.66+$C$11*0.33))*-D14+H13</f>
        <v>8745.8500000000022</v>
      </c>
      <c r="O21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C821-D97A-0946-87CE-914037F2ACFB}">
  <dimension ref="B5:O26"/>
  <sheetViews>
    <sheetView workbookViewId="0">
      <selection activeCell="F20" sqref="F20"/>
    </sheetView>
  </sheetViews>
  <sheetFormatPr baseColWidth="10" defaultRowHeight="16" x14ac:dyDescent="0.2"/>
  <cols>
    <col min="2" max="2" width="11.5" bestFit="1" customWidth="1"/>
    <col min="3" max="3" width="13.1640625" style="1" bestFit="1" customWidth="1"/>
    <col min="5" max="5" width="20.6640625" bestFit="1" customWidth="1"/>
    <col min="6" max="6" width="18.33203125" style="1" bestFit="1" customWidth="1"/>
    <col min="7" max="8" width="12.1640625" style="1" bestFit="1" customWidth="1"/>
    <col min="9" max="9" width="11" style="1" bestFit="1" customWidth="1"/>
    <col min="10" max="10" width="12.5" style="1" bestFit="1" customWidth="1"/>
    <col min="11" max="11" width="4.33203125" style="1" customWidth="1"/>
    <col min="12" max="12" width="13.5" style="1" bestFit="1" customWidth="1"/>
    <col min="13" max="13" width="12.5" style="1" bestFit="1" customWidth="1"/>
    <col min="15" max="15" width="32.6640625" customWidth="1"/>
  </cols>
  <sheetData>
    <row r="5" spans="2:15" x14ac:dyDescent="0.2">
      <c r="B5" s="5" t="s">
        <v>24</v>
      </c>
      <c r="C5" s="1" t="s">
        <v>25</v>
      </c>
      <c r="D5" s="2"/>
      <c r="E5" s="2" t="s">
        <v>26</v>
      </c>
      <c r="F5" s="1" t="s">
        <v>27</v>
      </c>
    </row>
    <row r="6" spans="2:15" x14ac:dyDescent="0.2">
      <c r="C6" s="1">
        <v>625.79999999999995</v>
      </c>
      <c r="D6" s="2"/>
      <c r="E6" s="1">
        <v>200</v>
      </c>
      <c r="F6" s="1">
        <f>E6*C6</f>
        <v>125159.99999999999</v>
      </c>
    </row>
    <row r="7" spans="2:15" x14ac:dyDescent="0.2">
      <c r="D7" s="2"/>
      <c r="E7" s="2"/>
      <c r="I7" s="4" t="s">
        <v>34</v>
      </c>
      <c r="J7" s="4"/>
      <c r="K7" s="4"/>
      <c r="L7" s="4"/>
      <c r="M7" s="4"/>
      <c r="N7" s="6"/>
      <c r="O7" s="6"/>
    </row>
    <row r="8" spans="2:15" x14ac:dyDescent="0.2">
      <c r="D8" s="2"/>
      <c r="E8" s="2"/>
    </row>
    <row r="9" spans="2:15" x14ac:dyDescent="0.2">
      <c r="B9" s="5" t="s">
        <v>30</v>
      </c>
      <c r="D9" s="2"/>
      <c r="E9" s="2"/>
      <c r="F9" s="1">
        <v>5000</v>
      </c>
      <c r="G9" s="1" t="s">
        <v>32</v>
      </c>
      <c r="H9" s="1" t="s">
        <v>10</v>
      </c>
      <c r="L9" s="7" t="s">
        <v>36</v>
      </c>
    </row>
    <row r="10" spans="2:15" s="10" customFormat="1" x14ac:dyDescent="0.2">
      <c r="B10" s="10" t="s">
        <v>2</v>
      </c>
      <c r="C10" s="11" t="s">
        <v>28</v>
      </c>
      <c r="D10" s="12" t="s">
        <v>4</v>
      </c>
      <c r="E10" s="12" t="s">
        <v>29</v>
      </c>
      <c r="F10" s="11" t="s">
        <v>31</v>
      </c>
      <c r="G10" s="11" t="s">
        <v>33</v>
      </c>
      <c r="H10" s="11" t="s">
        <v>8</v>
      </c>
      <c r="I10" s="16" t="s">
        <v>9</v>
      </c>
      <c r="J10" s="11" t="s">
        <v>22</v>
      </c>
      <c r="K10" s="11"/>
      <c r="L10" s="11" t="s">
        <v>35</v>
      </c>
      <c r="M10" s="11" t="s">
        <v>13</v>
      </c>
      <c r="O10" s="13" t="s">
        <v>16</v>
      </c>
    </row>
    <row r="11" spans="2:15" x14ac:dyDescent="0.2">
      <c r="B11">
        <v>1</v>
      </c>
      <c r="C11" s="1">
        <v>625.79999999999995</v>
      </c>
      <c r="D11">
        <v>-25</v>
      </c>
      <c r="E11" s="15">
        <f>SUM($D$11:D11)</f>
        <v>-25</v>
      </c>
      <c r="F11" s="1">
        <f>SUM($D$11:D11)*$F$9</f>
        <v>-125000</v>
      </c>
      <c r="G11" s="1">
        <v>0</v>
      </c>
      <c r="H11" s="1">
        <f>G11</f>
        <v>0</v>
      </c>
      <c r="I11" s="4">
        <v>0</v>
      </c>
      <c r="J11" s="1">
        <f>SUM(G11,J10)</f>
        <v>0</v>
      </c>
      <c r="L11" s="1">
        <f>G11</f>
        <v>0</v>
      </c>
      <c r="M11" s="1">
        <f t="shared" ref="M11:M17" si="0">L11*(0.078/52)</f>
        <v>0</v>
      </c>
    </row>
    <row r="12" spans="2:15" x14ac:dyDescent="0.2">
      <c r="B12">
        <v>2</v>
      </c>
      <c r="C12" s="1">
        <v>621.6</v>
      </c>
      <c r="D12">
        <v>5</v>
      </c>
      <c r="E12" s="15">
        <f>SUM($D$11:D12)</f>
        <v>-20</v>
      </c>
      <c r="F12" s="1">
        <f>SUM($D$11:D12)*$F$9</f>
        <v>-100000</v>
      </c>
      <c r="G12" s="1">
        <f>E11*$E$6*(C12-C11)</f>
        <v>20999.999999999658</v>
      </c>
      <c r="H12" s="1">
        <f>G12+H11</f>
        <v>20999.999999999658</v>
      </c>
      <c r="I12" s="4">
        <v>0</v>
      </c>
      <c r="J12" s="1">
        <f>SUM(G12,J11)</f>
        <v>20999.999999999658</v>
      </c>
      <c r="L12" s="1">
        <f>J12</f>
        <v>20999.999999999658</v>
      </c>
      <c r="M12" s="1">
        <f>L12*(0.078/52)</f>
        <v>31.499999999999488</v>
      </c>
    </row>
    <row r="13" spans="2:15" x14ac:dyDescent="0.2">
      <c r="B13">
        <v>3</v>
      </c>
      <c r="C13" s="1">
        <v>633</v>
      </c>
      <c r="D13">
        <v>-10</v>
      </c>
      <c r="E13" s="15">
        <f>SUM($D$11:D13)</f>
        <v>-30</v>
      </c>
      <c r="F13" s="1">
        <f>SUM($D$11:D13)*$F$9</f>
        <v>-150000</v>
      </c>
      <c r="G13" s="1">
        <f>E12*$E$6*(C13-C12)</f>
        <v>-45599.999999999913</v>
      </c>
      <c r="H13" s="1">
        <f t="shared" ref="H13:H17" si="1">G13+H12</f>
        <v>-24600.000000000255</v>
      </c>
      <c r="I13" s="4">
        <v>0</v>
      </c>
      <c r="J13" s="1">
        <f>SUM(G13,J12)</f>
        <v>-24600.000000000255</v>
      </c>
      <c r="L13" s="1">
        <f t="shared" ref="L13:L16" si="2">J13</f>
        <v>-24600.000000000255</v>
      </c>
      <c r="M13" s="1">
        <f t="shared" si="0"/>
        <v>-36.900000000000382</v>
      </c>
    </row>
    <row r="14" spans="2:15" x14ac:dyDescent="0.2">
      <c r="B14">
        <v>4</v>
      </c>
      <c r="C14" s="1">
        <v>617.5</v>
      </c>
      <c r="D14">
        <v>0</v>
      </c>
      <c r="E14" s="15">
        <f>SUM($D$11:D14)</f>
        <v>-30</v>
      </c>
      <c r="F14" s="1">
        <f>SUM($D$11:D14)*$F$9</f>
        <v>-150000</v>
      </c>
      <c r="G14" s="1">
        <f t="shared" ref="G14:G17" si="3">E13*$E$6*(C14-C13)</f>
        <v>93000</v>
      </c>
      <c r="H14" s="1">
        <f t="shared" si="1"/>
        <v>68399.999999999738</v>
      </c>
      <c r="I14" s="4">
        <v>0</v>
      </c>
      <c r="J14" s="1">
        <f>SUM(G14,J13)</f>
        <v>68399.999999999738</v>
      </c>
      <c r="L14" s="1">
        <f t="shared" si="2"/>
        <v>68399.999999999738</v>
      </c>
      <c r="M14" s="1">
        <f t="shared" si="0"/>
        <v>102.59999999999961</v>
      </c>
    </row>
    <row r="15" spans="2:15" x14ac:dyDescent="0.2">
      <c r="B15">
        <v>5</v>
      </c>
      <c r="C15" s="1">
        <v>608.9</v>
      </c>
      <c r="D15">
        <v>20</v>
      </c>
      <c r="E15" s="15">
        <f>SUM($D$11:D15)</f>
        <v>-10</v>
      </c>
      <c r="F15" s="1">
        <f>SUM($D$11:D15)*$F$9</f>
        <v>-50000</v>
      </c>
      <c r="G15" s="1">
        <f t="shared" si="3"/>
        <v>51600.000000000138</v>
      </c>
      <c r="H15" s="1">
        <f t="shared" si="1"/>
        <v>119999.99999999988</v>
      </c>
      <c r="I15" s="4">
        <v>0</v>
      </c>
      <c r="J15" s="1">
        <f>SUM(G15,J14)</f>
        <v>119999.99999999988</v>
      </c>
      <c r="L15" s="1">
        <f t="shared" si="2"/>
        <v>119999.99999999988</v>
      </c>
      <c r="M15" s="1">
        <f t="shared" si="0"/>
        <v>179.99999999999983</v>
      </c>
    </row>
    <row r="16" spans="2:15" x14ac:dyDescent="0.2">
      <c r="B16">
        <v>6</v>
      </c>
      <c r="C16" s="1">
        <v>612</v>
      </c>
      <c r="D16">
        <v>-5</v>
      </c>
      <c r="E16" s="15">
        <f>SUM($D$11:D16)</f>
        <v>-15</v>
      </c>
      <c r="F16" s="1">
        <f>SUM($D$11:D16)*$F$9</f>
        <v>-75000</v>
      </c>
      <c r="G16" s="1">
        <f t="shared" si="3"/>
        <v>-6200.0000000000455</v>
      </c>
      <c r="H16" s="1">
        <f t="shared" si="1"/>
        <v>113799.99999999984</v>
      </c>
      <c r="I16" s="4">
        <v>0</v>
      </c>
      <c r="J16" s="1">
        <f t="shared" ref="J16:J17" si="4">SUM(G16,J15)</f>
        <v>113799.99999999984</v>
      </c>
      <c r="L16" s="1">
        <f t="shared" si="2"/>
        <v>113799.99999999984</v>
      </c>
      <c r="M16" s="1">
        <f t="shared" si="0"/>
        <v>170.69999999999976</v>
      </c>
    </row>
    <row r="17" spans="2:13" x14ac:dyDescent="0.2">
      <c r="B17">
        <v>7</v>
      </c>
      <c r="C17" s="1">
        <v>619.5</v>
      </c>
      <c r="D17">
        <v>15</v>
      </c>
      <c r="E17" s="15">
        <f>SUM($D$11:D17)</f>
        <v>0</v>
      </c>
      <c r="F17" s="1">
        <f>SUM($D$11:D17)*$F$9</f>
        <v>0</v>
      </c>
      <c r="G17" s="1">
        <f t="shared" si="3"/>
        <v>-22500</v>
      </c>
      <c r="H17" s="1">
        <f t="shared" si="1"/>
        <v>91299.99999999984</v>
      </c>
      <c r="I17" s="4">
        <v>0</v>
      </c>
      <c r="J17" s="1">
        <f t="shared" si="4"/>
        <v>91299.99999999984</v>
      </c>
      <c r="L17" s="1">
        <v>0</v>
      </c>
      <c r="M17" s="1">
        <f t="shared" si="0"/>
        <v>0</v>
      </c>
    </row>
    <row r="20" spans="2:13" x14ac:dyDescent="0.2">
      <c r="B20" s="5" t="s">
        <v>37</v>
      </c>
    </row>
    <row r="21" spans="2:13" x14ac:dyDescent="0.2">
      <c r="B21" t="s">
        <v>38</v>
      </c>
    </row>
    <row r="22" spans="2:13" x14ac:dyDescent="0.2">
      <c r="B22" s="14">
        <f>SUM(M11:M16)</f>
        <v>447.89999999999833</v>
      </c>
    </row>
    <row r="24" spans="2:13" x14ac:dyDescent="0.2">
      <c r="B24" s="5" t="s">
        <v>39</v>
      </c>
    </row>
    <row r="25" spans="2:13" x14ac:dyDescent="0.2">
      <c r="B25" t="s">
        <v>11</v>
      </c>
    </row>
    <row r="26" spans="2:13" x14ac:dyDescent="0.2">
      <c r="B26" s="14">
        <f>SUM(M11:M16,J17)</f>
        <v>91747.899999999834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2020-12-13T19:56:55Z</dcterms:created>
  <dcterms:modified xsi:type="dcterms:W3CDTF">2020-12-13T23:08:31Z</dcterms:modified>
</cp:coreProperties>
</file>