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560" yWindow="560" windowWidth="25040" windowHeight="17820" tabRatio="604" activeTab="1"/>
  </bookViews>
  <sheets>
    <sheet name="BRC 18650 Characteristics" sheetId="1" r:id="rId1"/>
    <sheet name="Load Currents" sheetId="2" r:id="rId2"/>
    <sheet name="TIP122 Constraints" sheetId="3" r:id="rId3"/>
    <sheet name="Optoisolator Constraints" sheetId="4" r:id="rId4"/>
    <sheet name="Resistor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5" l="1"/>
  <c r="D27" i="5"/>
  <c r="E21" i="5"/>
  <c r="E23" i="5"/>
  <c r="D23" i="5"/>
  <c r="D21" i="5"/>
  <c r="E18" i="5"/>
  <c r="D18" i="5"/>
  <c r="I5" i="5"/>
  <c r="I6" i="5"/>
  <c r="I4" i="5"/>
  <c r="H4" i="5"/>
  <c r="H5" i="5"/>
  <c r="H6" i="5"/>
  <c r="G5" i="5"/>
  <c r="G6" i="5"/>
  <c r="G4" i="5"/>
  <c r="G14" i="5"/>
  <c r="F5" i="5"/>
  <c r="F6" i="5"/>
  <c r="D4" i="5"/>
  <c r="F4" i="5"/>
  <c r="P14" i="4"/>
  <c r="O14" i="4"/>
  <c r="N17" i="4"/>
  <c r="N12" i="4"/>
  <c r="K14" i="4"/>
  <c r="J17" i="4"/>
  <c r="J12" i="4"/>
  <c r="J13" i="4"/>
  <c r="J11" i="4"/>
  <c r="F5" i="2"/>
  <c r="F6" i="2"/>
  <c r="F7" i="2"/>
  <c r="F8" i="2"/>
  <c r="C9" i="2"/>
  <c r="F9" i="2"/>
  <c r="C10" i="2"/>
  <c r="F10" i="2"/>
  <c r="C11" i="2"/>
  <c r="F11" i="2"/>
  <c r="F12" i="2"/>
  <c r="F13" i="2"/>
  <c r="F4" i="2"/>
  <c r="C34" i="2"/>
  <c r="H5" i="2"/>
  <c r="I5" i="2"/>
  <c r="H6" i="2"/>
  <c r="I6" i="2"/>
  <c r="H7" i="2"/>
  <c r="I7" i="2"/>
  <c r="H8" i="2"/>
  <c r="I8" i="2"/>
  <c r="D9" i="2"/>
  <c r="H9" i="2"/>
  <c r="E9" i="2"/>
  <c r="I9" i="2"/>
  <c r="D10" i="2"/>
  <c r="H10" i="2"/>
  <c r="E10" i="2"/>
  <c r="I10" i="2"/>
  <c r="D11" i="2"/>
  <c r="H11" i="2"/>
  <c r="E11" i="2"/>
  <c r="I11" i="2"/>
  <c r="H12" i="2"/>
  <c r="I12" i="2"/>
  <c r="H13" i="2"/>
  <c r="I13" i="2"/>
  <c r="I4" i="2"/>
  <c r="H4" i="2"/>
  <c r="C4" i="2"/>
  <c r="G10" i="2"/>
  <c r="G11" i="2"/>
  <c r="C12" i="2"/>
  <c r="G12" i="2"/>
  <c r="C13" i="2"/>
  <c r="G13" i="2"/>
  <c r="C5" i="2"/>
  <c r="G5" i="2"/>
  <c r="C6" i="2"/>
  <c r="G6" i="2"/>
  <c r="C7" i="2"/>
  <c r="G7" i="2"/>
  <c r="C8" i="2"/>
  <c r="G8" i="2"/>
  <c r="G9" i="2"/>
  <c r="G4" i="2"/>
  <c r="E6" i="2"/>
  <c r="E7" i="2"/>
  <c r="E8" i="2"/>
  <c r="E12" i="2"/>
  <c r="E13" i="2"/>
  <c r="E5" i="2"/>
  <c r="D6" i="2"/>
  <c r="D7" i="2"/>
  <c r="D8" i="2"/>
  <c r="D12" i="2"/>
  <c r="D13" i="2"/>
  <c r="D5" i="2"/>
</calcChain>
</file>

<file path=xl/sharedStrings.xml><?xml version="1.0" encoding="utf-8"?>
<sst xmlns="http://schemas.openxmlformats.org/spreadsheetml/2006/main" count="114" uniqueCount="93">
  <si>
    <t>Voltage Fully Charged</t>
  </si>
  <si>
    <t>Volts</t>
  </si>
  <si>
    <t>No of 18650 in series</t>
  </si>
  <si>
    <t>Fully Charged</t>
  </si>
  <si>
    <t>Load</t>
  </si>
  <si>
    <t>Ohms</t>
  </si>
  <si>
    <t>Practical usable min discharged</t>
  </si>
  <si>
    <t>Nominal</t>
  </si>
  <si>
    <t>Advertised - Nominal</t>
  </si>
  <si>
    <t>Current- Amps</t>
  </si>
  <si>
    <t>I = V/R</t>
  </si>
  <si>
    <t>Voltage - Volts</t>
  </si>
  <si>
    <t>Measured</t>
  </si>
  <si>
    <t>V=IR</t>
  </si>
  <si>
    <t>R = VI</t>
  </si>
  <si>
    <t>V and I based</t>
  </si>
  <si>
    <t>Ohmmeter</t>
  </si>
  <si>
    <t>unless sagging?</t>
  </si>
  <si>
    <t>Safe Operating Area</t>
  </si>
  <si>
    <t>Peak junction temperature</t>
  </si>
  <si>
    <t>Degrees Centigrade</t>
  </si>
  <si>
    <t>Fig 6 (ON Semi)</t>
  </si>
  <si>
    <t>Note: Voltage Across Transistor is Half, les Vce (Sat) on</t>
  </si>
  <si>
    <t xml:space="preserve">Vce(sat) </t>
  </si>
  <si>
    <t>for Ic 3A</t>
  </si>
  <si>
    <t>for Ic 5A</t>
  </si>
  <si>
    <t>volts</t>
  </si>
  <si>
    <t>Vceo(sus)</t>
  </si>
  <si>
    <t>I max allowed for Vce fully charged</t>
  </si>
  <si>
    <t>Conclusion: Use 7 cells in series and call it a 30V system.  Design for Vcc starting at 29.05 and sagging to 23.10</t>
  </si>
  <si>
    <t>Design for Current of up to 4.0 amps</t>
  </si>
  <si>
    <t>KB847-B</t>
  </si>
  <si>
    <t>Note: that part number is for SMT version</t>
  </si>
  <si>
    <t>The output transistor is NPN silicon</t>
  </si>
  <si>
    <t>Collector - Emitter - Absolute Max</t>
  </si>
  <si>
    <t>I</t>
  </si>
  <si>
    <t>35V</t>
  </si>
  <si>
    <t>reverse direction</t>
  </si>
  <si>
    <t>6V</t>
  </si>
  <si>
    <t>I'm nowhere near that</t>
  </si>
  <si>
    <t>50mA</t>
  </si>
  <si>
    <t>Current Transfer Ratio</t>
  </si>
  <si>
    <t>Vce</t>
  </si>
  <si>
    <t>5V</t>
  </si>
  <si>
    <t>If = 5mA</t>
  </si>
  <si>
    <t>From</t>
  </si>
  <si>
    <t>To</t>
  </si>
  <si>
    <t>Later look at rise and fall time</t>
  </si>
  <si>
    <t xml:space="preserve">  input side current  = If</t>
  </si>
  <si>
    <t>As Measured</t>
  </si>
  <si>
    <t>Ice</t>
  </si>
  <si>
    <t>mA</t>
  </si>
  <si>
    <t>Sagged Vcc</t>
  </si>
  <si>
    <t>Big NPN Vbe</t>
  </si>
  <si>
    <t>Little NPN Vbe</t>
  </si>
  <si>
    <t>R base Vdrop</t>
  </si>
  <si>
    <t>V opto Vce</t>
  </si>
  <si>
    <t>average Vce</t>
  </si>
  <si>
    <t>Optoisolator</t>
  </si>
  <si>
    <t>Ibase mA</t>
  </si>
  <si>
    <t>with Rbase set at 1K Ohm for all 6 Rs.</t>
  </si>
  <si>
    <t>Average Ib</t>
  </si>
  <si>
    <t>Sum Ice</t>
  </si>
  <si>
    <t>R isolator</t>
  </si>
  <si>
    <t>R = V/I</t>
  </si>
  <si>
    <t xml:space="preserve">Do think hard about Opto-Isolator KB857-B Figure 3 as hFE will cause change in current.  </t>
  </si>
  <si>
    <t>Supply Voltage</t>
  </si>
  <si>
    <t>Last Useful Voltage</t>
  </si>
  <si>
    <t>Charge Voltage to use</t>
  </si>
  <si>
    <t>Assume Load Resistance</t>
  </si>
  <si>
    <t>V=IR, I=V/R</t>
  </si>
  <si>
    <t>Amps</t>
  </si>
  <si>
    <t>Volts/Cell</t>
  </si>
  <si>
    <t>No Cells</t>
  </si>
  <si>
    <t>Volts Vcc</t>
  </si>
  <si>
    <t>Less Vce</t>
  </si>
  <si>
    <t>Average</t>
  </si>
  <si>
    <t>V initial</t>
  </si>
  <si>
    <t>V falling to</t>
  </si>
  <si>
    <t>2 Trans</t>
  </si>
  <si>
    <t>Calculated for H-Bridge</t>
  </si>
  <si>
    <t>NPN Base Resistor</t>
  </si>
  <si>
    <t>Start with</t>
  </si>
  <si>
    <t>Subtract Vbe Darlington</t>
  </si>
  <si>
    <t>Vbe as it gets hotter</t>
  </si>
  <si>
    <t>Subtract across Opti</t>
  </si>
  <si>
    <t>Leaves R Voltage of</t>
  </si>
  <si>
    <t>Current on NPN Base</t>
  </si>
  <si>
    <t>Range of Vs</t>
  </si>
  <si>
    <t>Calculated R lower</t>
  </si>
  <si>
    <t>kOhm</t>
  </si>
  <si>
    <t>Higher Ic makes for a bigger Ib due to Hfe ratio</t>
  </si>
  <si>
    <t xml:space="preserve">So 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</si>
</sst>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2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FE96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BFF06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43" fontId="0" fillId="2" borderId="0" xfId="0" applyNumberFormat="1" applyFill="1"/>
    <xf numFmtId="43" fontId="0" fillId="3" borderId="0" xfId="0" applyNumberFormat="1" applyFill="1"/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center"/>
    </xf>
    <xf numFmtId="0" fontId="0" fillId="0" borderId="0" xfId="0" applyFont="1" applyAlignment="1">
      <alignment horizontal="right"/>
    </xf>
    <xf numFmtId="0" fontId="7" fillId="0" borderId="0" xfId="0" applyFont="1"/>
    <xf numFmtId="0" fontId="0" fillId="4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3" borderId="4" xfId="0" applyNumberFormat="1" applyFill="1" applyBorder="1"/>
    <xf numFmtId="43" fontId="0" fillId="3" borderId="0" xfId="0" applyNumberFormat="1" applyFill="1" applyBorder="1"/>
    <xf numFmtId="43" fontId="0" fillId="3" borderId="5" xfId="0" applyNumberFormat="1" applyFill="1" applyBorder="1"/>
    <xf numFmtId="43" fontId="0" fillId="4" borderId="4" xfId="0" applyNumberFormat="1" applyFill="1" applyBorder="1"/>
    <xf numFmtId="43" fontId="0" fillId="4" borderId="0" xfId="0" applyNumberFormat="1" applyFill="1" applyBorder="1"/>
    <xf numFmtId="43" fontId="0" fillId="4" borderId="5" xfId="0" applyNumberFormat="1" applyFill="1" applyBorder="1"/>
    <xf numFmtId="43" fontId="0" fillId="2" borderId="4" xfId="0" applyNumberFormat="1" applyFill="1" applyBorder="1"/>
    <xf numFmtId="43" fontId="0" fillId="2" borderId="0" xfId="0" applyNumberFormat="1" applyFill="1" applyBorder="1"/>
    <xf numFmtId="43" fontId="0" fillId="2" borderId="5" xfId="0" applyNumberFormat="1" applyFill="1" applyBorder="1"/>
    <xf numFmtId="43" fontId="0" fillId="2" borderId="6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 applyAlignment="1">
      <alignment horizontal="center" wrapText="1"/>
    </xf>
    <xf numFmtId="0" fontId="0" fillId="0" borderId="7" xfId="0" applyBorder="1"/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wrapText="1"/>
    </xf>
    <xf numFmtId="43" fontId="0" fillId="0" borderId="1" xfId="1" applyFont="1" applyBorder="1"/>
    <xf numFmtId="43" fontId="0" fillId="0" borderId="2" xfId="1" applyFont="1" applyBorder="1"/>
    <xf numFmtId="43" fontId="0" fillId="3" borderId="3" xfId="0" applyNumberFormat="1" applyFill="1" applyBorder="1"/>
    <xf numFmtId="43" fontId="0" fillId="0" borderId="4" xfId="1" applyFont="1" applyBorder="1"/>
    <xf numFmtId="43" fontId="0" fillId="0" borderId="0" xfId="1" applyFont="1" applyBorder="1"/>
    <xf numFmtId="43" fontId="2" fillId="3" borderId="5" xfId="0" applyNumberFormat="1" applyFont="1" applyFill="1" applyBorder="1"/>
    <xf numFmtId="43" fontId="2" fillId="4" borderId="5" xfId="0" applyNumberFormat="1" applyFont="1" applyFill="1" applyBorder="1"/>
    <xf numFmtId="0" fontId="0" fillId="2" borderId="6" xfId="0" applyFill="1" applyBorder="1"/>
    <xf numFmtId="43" fontId="0" fillId="2" borderId="7" xfId="0" applyNumberFormat="1" applyFill="1" applyBorder="1"/>
    <xf numFmtId="43" fontId="0" fillId="3" borderId="8" xfId="0" applyNumberFormat="1" applyFill="1" applyBorder="1"/>
    <xf numFmtId="164" fontId="0" fillId="0" borderId="0" xfId="1" applyNumberFormat="1" applyFont="1" applyAlignment="1">
      <alignment horizontal="center"/>
    </xf>
    <xf numFmtId="2" fontId="0" fillId="0" borderId="0" xfId="0" applyNumberFormat="1"/>
    <xf numFmtId="0" fontId="7" fillId="0" borderId="0" xfId="0" applyFont="1" applyAlignment="1">
      <alignment horizontal="left"/>
    </xf>
    <xf numFmtId="164" fontId="0" fillId="0" borderId="0" xfId="1" applyNumberFormat="1" applyFont="1"/>
    <xf numFmtId="166" fontId="5" fillId="0" borderId="0" xfId="0" applyNumberFormat="1" applyFont="1"/>
    <xf numFmtId="1" fontId="5" fillId="0" borderId="0" xfId="0" applyNumberFormat="1" applyFont="1"/>
    <xf numFmtId="43" fontId="6" fillId="6" borderId="4" xfId="0" applyNumberFormat="1" applyFont="1" applyFill="1" applyBorder="1"/>
    <xf numFmtId="43" fontId="6" fillId="6" borderId="0" xfId="0" applyNumberFormat="1" applyFont="1" applyFill="1" applyBorder="1"/>
    <xf numFmtId="43" fontId="5" fillId="6" borderId="5" xfId="0" applyNumberFormat="1" applyFont="1" applyFill="1" applyBorder="1"/>
    <xf numFmtId="43" fontId="6" fillId="6" borderId="5" xfId="0" applyNumberFormat="1" applyFont="1" applyFill="1" applyBorder="1"/>
    <xf numFmtId="0" fontId="6" fillId="6" borderId="0" xfId="0" applyFont="1" applyFill="1"/>
    <xf numFmtId="43" fontId="6" fillId="6" borderId="0" xfId="0" applyNumberFormat="1" applyFont="1" applyFill="1"/>
    <xf numFmtId="0" fontId="2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</cellXfs>
  <cellStyles count="3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A15" sqref="A15"/>
    </sheetView>
  </sheetViews>
  <sheetFormatPr baseColWidth="10" defaultRowHeight="15" x14ac:dyDescent="0"/>
  <cols>
    <col min="1" max="1" width="18.6640625" bestFit="1" customWidth="1"/>
  </cols>
  <sheetData>
    <row r="4" spans="1:3">
      <c r="A4" t="s">
        <v>0</v>
      </c>
      <c r="B4">
        <v>4.1500000000000004</v>
      </c>
      <c r="C4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150" zoomScaleNormal="150" zoomScalePageLayoutView="150" workbookViewId="0">
      <selection activeCell="B10" sqref="B10"/>
    </sheetView>
  </sheetViews>
  <sheetFormatPr baseColWidth="10" defaultRowHeight="15" x14ac:dyDescent="0"/>
  <cols>
    <col min="2" max="2" width="11.83203125" style="1" customWidth="1"/>
    <col min="11" max="11" width="13.6640625" bestFit="1" customWidth="1"/>
  </cols>
  <sheetData>
    <row r="1" spans="1:11" ht="16" thickBot="1"/>
    <row r="2" spans="1:11">
      <c r="C2" s="37" t="s">
        <v>11</v>
      </c>
      <c r="D2" s="38"/>
      <c r="E2" s="38"/>
      <c r="F2" s="39"/>
      <c r="G2" s="19" t="s">
        <v>9</v>
      </c>
      <c r="H2" s="20"/>
      <c r="I2" s="21"/>
      <c r="K2" t="s">
        <v>21</v>
      </c>
    </row>
    <row r="3" spans="1:11" ht="51" customHeight="1" thickBot="1">
      <c r="B3" s="2" t="s">
        <v>2</v>
      </c>
      <c r="C3" s="34" t="s">
        <v>3</v>
      </c>
      <c r="D3" s="35" t="s">
        <v>8</v>
      </c>
      <c r="E3" s="40" t="s">
        <v>6</v>
      </c>
      <c r="F3" s="36" t="s">
        <v>27</v>
      </c>
      <c r="G3" s="34" t="s">
        <v>3</v>
      </c>
      <c r="H3" s="35" t="s">
        <v>8</v>
      </c>
      <c r="I3" s="36" t="s">
        <v>6</v>
      </c>
      <c r="J3" s="2" t="s">
        <v>18</v>
      </c>
      <c r="K3" s="2" t="s">
        <v>28</v>
      </c>
    </row>
    <row r="4" spans="1:11">
      <c r="B4" s="1">
        <v>1</v>
      </c>
      <c r="C4" s="41">
        <f>'BRC 18650 Characteristics'!B4</f>
        <v>4.1500000000000004</v>
      </c>
      <c r="D4" s="42">
        <v>3.7</v>
      </c>
      <c r="E4" s="42">
        <v>3.3</v>
      </c>
      <c r="F4" s="43">
        <f>(C4-C19)/2</f>
        <v>1.0750000000000002</v>
      </c>
      <c r="G4" s="22">
        <f>C4/$C$33</f>
        <v>0.51875000000000004</v>
      </c>
      <c r="H4" s="23">
        <f>D4/$C$33</f>
        <v>0.46250000000000002</v>
      </c>
      <c r="I4" s="24">
        <f>E4/$C$33</f>
        <v>0.41249999999999998</v>
      </c>
      <c r="K4" s="7">
        <v>5</v>
      </c>
    </row>
    <row r="5" spans="1:11">
      <c r="B5" s="1">
        <v>2</v>
      </c>
      <c r="C5" s="44">
        <f>$C$4*B5</f>
        <v>8.3000000000000007</v>
      </c>
      <c r="D5" s="45">
        <f>$D$4*B5</f>
        <v>7.4</v>
      </c>
      <c r="E5" s="45">
        <f>$E$4*B5</f>
        <v>6.6</v>
      </c>
      <c r="F5" s="24">
        <f t="shared" ref="F5:F13" si="0">(C5-C20)/2</f>
        <v>2.1500000000000004</v>
      </c>
      <c r="G5" s="22">
        <f t="shared" ref="G5:G13" si="1">C5/$C$33</f>
        <v>1.0375000000000001</v>
      </c>
      <c r="H5" s="23">
        <f t="shared" ref="H5:H13" si="2">D5/$C$33</f>
        <v>0.92500000000000004</v>
      </c>
      <c r="I5" s="24">
        <f t="shared" ref="I5:I13" si="3">E5/$C$33</f>
        <v>0.82499999999999996</v>
      </c>
      <c r="K5" s="7">
        <v>5</v>
      </c>
    </row>
    <row r="6" spans="1:11">
      <c r="B6" s="1">
        <v>3</v>
      </c>
      <c r="C6" s="44">
        <f t="shared" ref="C6:C13" si="4">$C$4*B6</f>
        <v>12.450000000000001</v>
      </c>
      <c r="D6" s="45">
        <f t="shared" ref="D6:D13" si="5">$D$4*B6</f>
        <v>11.100000000000001</v>
      </c>
      <c r="E6" s="45">
        <f t="shared" ref="E6:E13" si="6">$E$4*B6</f>
        <v>9.8999999999999986</v>
      </c>
      <c r="F6" s="24">
        <f t="shared" si="0"/>
        <v>6.2250000000000005</v>
      </c>
      <c r="G6" s="22">
        <f t="shared" si="1"/>
        <v>1.5562500000000001</v>
      </c>
      <c r="H6" s="23">
        <f t="shared" si="2"/>
        <v>1.3875000000000002</v>
      </c>
      <c r="I6" s="24">
        <f t="shared" si="3"/>
        <v>1.2374999999999998</v>
      </c>
      <c r="K6" s="7">
        <v>5</v>
      </c>
    </row>
    <row r="7" spans="1:11">
      <c r="B7" s="1">
        <v>4</v>
      </c>
      <c r="C7" s="44">
        <f t="shared" si="4"/>
        <v>16.600000000000001</v>
      </c>
      <c r="D7" s="45">
        <f t="shared" si="5"/>
        <v>14.8</v>
      </c>
      <c r="E7" s="45">
        <f t="shared" si="6"/>
        <v>13.2</v>
      </c>
      <c r="F7" s="24">
        <f t="shared" si="0"/>
        <v>8.3000000000000007</v>
      </c>
      <c r="G7" s="22">
        <f t="shared" si="1"/>
        <v>2.0750000000000002</v>
      </c>
      <c r="H7" s="23">
        <f t="shared" si="2"/>
        <v>1.85</v>
      </c>
      <c r="I7" s="24">
        <f t="shared" si="3"/>
        <v>1.65</v>
      </c>
      <c r="K7" s="7">
        <v>5</v>
      </c>
    </row>
    <row r="8" spans="1:11">
      <c r="B8" s="8">
        <v>5</v>
      </c>
      <c r="C8" s="22">
        <f t="shared" si="4"/>
        <v>20.75</v>
      </c>
      <c r="D8" s="45">
        <f t="shared" si="5"/>
        <v>18.5</v>
      </c>
      <c r="E8" s="45">
        <f t="shared" si="6"/>
        <v>16.5</v>
      </c>
      <c r="F8" s="46">
        <f t="shared" si="0"/>
        <v>10.375</v>
      </c>
      <c r="G8" s="22">
        <f t="shared" si="1"/>
        <v>2.59375</v>
      </c>
      <c r="H8" s="23">
        <f t="shared" si="2"/>
        <v>2.3125</v>
      </c>
      <c r="I8" s="24">
        <f t="shared" si="3"/>
        <v>2.0625</v>
      </c>
      <c r="K8" s="7">
        <v>5</v>
      </c>
    </row>
    <row r="9" spans="1:11">
      <c r="B9" s="8">
        <v>6</v>
      </c>
      <c r="C9" s="22">
        <f t="shared" si="4"/>
        <v>24.900000000000002</v>
      </c>
      <c r="D9" s="26">
        <f t="shared" si="5"/>
        <v>22.200000000000003</v>
      </c>
      <c r="E9" s="26">
        <f t="shared" si="6"/>
        <v>19.799999999999997</v>
      </c>
      <c r="F9" s="46">
        <f t="shared" si="0"/>
        <v>12.450000000000001</v>
      </c>
      <c r="G9" s="22">
        <f t="shared" si="1"/>
        <v>3.1125000000000003</v>
      </c>
      <c r="H9" s="23">
        <f t="shared" si="2"/>
        <v>2.7750000000000004</v>
      </c>
      <c r="I9" s="24">
        <f t="shared" si="3"/>
        <v>2.4749999999999996</v>
      </c>
      <c r="K9" s="7">
        <v>5</v>
      </c>
    </row>
    <row r="10" spans="1:11" ht="28">
      <c r="B10" s="64">
        <v>7</v>
      </c>
      <c r="C10" s="57">
        <f t="shared" si="4"/>
        <v>29.050000000000004</v>
      </c>
      <c r="D10" s="58">
        <f t="shared" si="5"/>
        <v>25.900000000000002</v>
      </c>
      <c r="E10" s="58">
        <f t="shared" si="6"/>
        <v>23.099999999999998</v>
      </c>
      <c r="F10" s="59">
        <f t="shared" si="0"/>
        <v>14.525000000000002</v>
      </c>
      <c r="G10" s="57">
        <f>C10/$C$33</f>
        <v>3.6312500000000005</v>
      </c>
      <c r="H10" s="58">
        <f t="shared" si="2"/>
        <v>3.2375000000000003</v>
      </c>
      <c r="I10" s="60">
        <f t="shared" si="3"/>
        <v>2.8874999999999997</v>
      </c>
      <c r="J10" s="61"/>
      <c r="K10" s="62">
        <v>4</v>
      </c>
    </row>
    <row r="11" spans="1:11">
      <c r="B11" s="11">
        <v>8</v>
      </c>
      <c r="C11" s="25">
        <f t="shared" si="4"/>
        <v>33.200000000000003</v>
      </c>
      <c r="D11" s="26">
        <f t="shared" si="5"/>
        <v>29.6</v>
      </c>
      <c r="E11" s="26">
        <f t="shared" si="6"/>
        <v>26.4</v>
      </c>
      <c r="F11" s="46">
        <f t="shared" si="0"/>
        <v>16.600000000000001</v>
      </c>
      <c r="G11" s="25">
        <f t="shared" si="1"/>
        <v>4.1500000000000004</v>
      </c>
      <c r="H11" s="26">
        <f t="shared" si="2"/>
        <v>3.7</v>
      </c>
      <c r="I11" s="27">
        <f t="shared" si="3"/>
        <v>3.3</v>
      </c>
      <c r="K11" s="7">
        <v>3.5</v>
      </c>
    </row>
    <row r="12" spans="1:11" s="18" customFormat="1">
      <c r="B12" s="10">
        <v>9</v>
      </c>
      <c r="C12" s="25">
        <f t="shared" si="4"/>
        <v>37.35</v>
      </c>
      <c r="D12" s="26">
        <f t="shared" si="5"/>
        <v>33.300000000000004</v>
      </c>
      <c r="E12" s="26">
        <f t="shared" si="6"/>
        <v>29.7</v>
      </c>
      <c r="F12" s="47">
        <f t="shared" si="0"/>
        <v>18.675000000000001</v>
      </c>
      <c r="G12" s="25">
        <f t="shared" si="1"/>
        <v>4.6687500000000002</v>
      </c>
      <c r="H12" s="26">
        <f t="shared" si="2"/>
        <v>4.1625000000000005</v>
      </c>
      <c r="I12" s="27">
        <f t="shared" si="3"/>
        <v>3.7124999999999999</v>
      </c>
    </row>
    <row r="13" spans="1:11">
      <c r="B13" s="9">
        <v>10</v>
      </c>
      <c r="C13" s="28">
        <f t="shared" si="4"/>
        <v>41.5</v>
      </c>
      <c r="D13" s="29">
        <f t="shared" si="5"/>
        <v>37</v>
      </c>
      <c r="E13" s="29">
        <f t="shared" si="6"/>
        <v>33</v>
      </c>
      <c r="F13" s="24">
        <f t="shared" si="0"/>
        <v>20.75</v>
      </c>
      <c r="G13" s="28">
        <f t="shared" si="1"/>
        <v>5.1875</v>
      </c>
      <c r="H13" s="29">
        <f t="shared" si="2"/>
        <v>4.625</v>
      </c>
      <c r="I13" s="30">
        <f t="shared" si="3"/>
        <v>4.125</v>
      </c>
      <c r="K13" s="6">
        <v>3</v>
      </c>
    </row>
    <row r="14" spans="1:11" ht="16" thickBot="1">
      <c r="A14" t="s">
        <v>12</v>
      </c>
      <c r="B14" s="9">
        <v>10</v>
      </c>
      <c r="C14" s="48"/>
      <c r="D14" s="49">
        <v>38.200000000000003</v>
      </c>
      <c r="E14" s="49"/>
      <c r="F14" s="50"/>
      <c r="G14" s="31">
        <v>5.12</v>
      </c>
      <c r="H14" s="32"/>
      <c r="I14" s="33"/>
    </row>
    <row r="15" spans="1:11">
      <c r="F15" s="7"/>
    </row>
    <row r="16" spans="1:11">
      <c r="A16" t="s">
        <v>22</v>
      </c>
    </row>
    <row r="18" spans="1:7">
      <c r="A18" t="s">
        <v>19</v>
      </c>
      <c r="C18">
        <v>150</v>
      </c>
      <c r="D18" t="s">
        <v>20</v>
      </c>
    </row>
    <row r="19" spans="1:7">
      <c r="A19" t="s">
        <v>23</v>
      </c>
      <c r="B19" s="1" t="s">
        <v>24</v>
      </c>
      <c r="C19" s="4">
        <v>2</v>
      </c>
      <c r="D19" t="s">
        <v>26</v>
      </c>
    </row>
    <row r="20" spans="1:7">
      <c r="A20" t="s">
        <v>23</v>
      </c>
      <c r="B20" s="1" t="s">
        <v>25</v>
      </c>
      <c r="C20" s="4">
        <v>4</v>
      </c>
      <c r="D20" t="s">
        <v>26</v>
      </c>
      <c r="F20" s="8"/>
      <c r="G20" s="7"/>
    </row>
    <row r="22" spans="1:7" ht="20">
      <c r="A22" s="13" t="s">
        <v>29</v>
      </c>
    </row>
    <row r="23" spans="1:7">
      <c r="A23" t="s">
        <v>30</v>
      </c>
    </row>
    <row r="30" spans="1:7">
      <c r="B30" s="1" t="s">
        <v>10</v>
      </c>
      <c r="C30" t="s">
        <v>13</v>
      </c>
      <c r="D30" t="s">
        <v>14</v>
      </c>
    </row>
    <row r="33" spans="2:5">
      <c r="B33" s="1" t="s">
        <v>4</v>
      </c>
      <c r="C33" s="4">
        <v>8</v>
      </c>
      <c r="D33" t="s">
        <v>5</v>
      </c>
      <c r="E33" t="s">
        <v>16</v>
      </c>
    </row>
    <row r="34" spans="2:5">
      <c r="B34" s="1" t="s">
        <v>15</v>
      </c>
      <c r="C34" s="4">
        <f>D14/G14</f>
        <v>7.4609375</v>
      </c>
      <c r="D34" t="s">
        <v>5</v>
      </c>
      <c r="E34" t="s">
        <v>17</v>
      </c>
    </row>
  </sheetData>
  <mergeCells count="2">
    <mergeCell ref="C2:E2"/>
    <mergeCell ref="G2:I2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M27" sqref="M27"/>
    </sheetView>
  </sheetViews>
  <sheetFormatPr baseColWidth="10" defaultRowHeight="15" x14ac:dyDescent="0"/>
  <cols>
    <col min="2" max="2" width="28.83203125" bestFit="1" customWidth="1"/>
    <col min="3" max="4" width="10.83203125" style="1"/>
    <col min="8" max="8" width="13" bestFit="1" customWidth="1"/>
    <col min="9" max="9" width="11.83203125" bestFit="1" customWidth="1"/>
  </cols>
  <sheetData>
    <row r="1" spans="1:16" ht="23">
      <c r="A1" s="17" t="s">
        <v>31</v>
      </c>
      <c r="C1" s="1" t="s">
        <v>42</v>
      </c>
      <c r="D1" s="1" t="s">
        <v>35</v>
      </c>
      <c r="L1" t="s">
        <v>32</v>
      </c>
    </row>
    <row r="2" spans="1:16">
      <c r="B2" t="s">
        <v>34</v>
      </c>
      <c r="C2" s="1" t="s">
        <v>36</v>
      </c>
      <c r="D2" s="1" t="s">
        <v>40</v>
      </c>
      <c r="E2" t="s">
        <v>39</v>
      </c>
      <c r="L2" t="s">
        <v>33</v>
      </c>
    </row>
    <row r="3" spans="1:16">
      <c r="B3" s="14" t="s">
        <v>37</v>
      </c>
      <c r="C3" s="1" t="s">
        <v>38</v>
      </c>
    </row>
    <row r="4" spans="1:16">
      <c r="B4" s="14"/>
    </row>
    <row r="5" spans="1:16">
      <c r="C5" s="1" t="s">
        <v>45</v>
      </c>
      <c r="D5" s="1" t="s">
        <v>46</v>
      </c>
    </row>
    <row r="6" spans="1:16">
      <c r="B6" t="s">
        <v>41</v>
      </c>
      <c r="C6" s="15">
        <v>0.5</v>
      </c>
      <c r="D6" s="15">
        <v>6</v>
      </c>
    </row>
    <row r="7" spans="1:16">
      <c r="B7" s="14" t="s">
        <v>48</v>
      </c>
      <c r="C7" s="1" t="s">
        <v>43</v>
      </c>
      <c r="D7" s="1" t="s">
        <v>44</v>
      </c>
      <c r="P7" t="s">
        <v>13</v>
      </c>
    </row>
    <row r="8" spans="1:16">
      <c r="B8" s="16" t="s">
        <v>31</v>
      </c>
      <c r="C8" s="15">
        <v>1.3</v>
      </c>
      <c r="D8" s="15">
        <v>2.6</v>
      </c>
      <c r="P8" t="s">
        <v>64</v>
      </c>
    </row>
    <row r="9" spans="1:16">
      <c r="H9" t="s">
        <v>60</v>
      </c>
      <c r="K9" s="12" t="s">
        <v>58</v>
      </c>
      <c r="O9" s="12" t="s">
        <v>58</v>
      </c>
    </row>
    <row r="10" spans="1:16" ht="23">
      <c r="A10" s="53" t="s">
        <v>49</v>
      </c>
      <c r="B10" s="53"/>
      <c r="G10" t="s">
        <v>52</v>
      </c>
      <c r="H10" t="s">
        <v>53</v>
      </c>
      <c r="I10" t="s">
        <v>55</v>
      </c>
      <c r="J10" t="s">
        <v>56</v>
      </c>
      <c r="K10" s="12" t="s">
        <v>57</v>
      </c>
      <c r="M10" t="s">
        <v>59</v>
      </c>
      <c r="N10" t="s">
        <v>61</v>
      </c>
      <c r="O10" s="54" t="s">
        <v>62</v>
      </c>
      <c r="P10" s="54" t="s">
        <v>63</v>
      </c>
    </row>
    <row r="11" spans="1:16">
      <c r="B11" t="s">
        <v>42</v>
      </c>
      <c r="C11" s="51">
        <v>7</v>
      </c>
      <c r="D11" s="1" t="s">
        <v>26</v>
      </c>
      <c r="G11">
        <v>9.3000000000000007</v>
      </c>
      <c r="H11">
        <v>1.5</v>
      </c>
      <c r="I11">
        <v>3.5</v>
      </c>
      <c r="J11" s="52">
        <f>G11-H11-I11</f>
        <v>4.3000000000000007</v>
      </c>
      <c r="M11">
        <v>3.5</v>
      </c>
    </row>
    <row r="12" spans="1:16">
      <c r="B12" t="s">
        <v>50</v>
      </c>
      <c r="C12" s="1">
        <v>7.3</v>
      </c>
      <c r="D12" s="1" t="s">
        <v>51</v>
      </c>
      <c r="G12">
        <v>9.3000000000000007</v>
      </c>
      <c r="H12">
        <v>1.62</v>
      </c>
      <c r="I12">
        <v>2.69</v>
      </c>
      <c r="J12" s="52">
        <f t="shared" ref="J12:J13" si="0">G12-H12-I12</f>
        <v>4.99</v>
      </c>
      <c r="M12">
        <v>2.69</v>
      </c>
      <c r="N12" s="54">
        <f>AVERAGE(M11:M13)</f>
        <v>2.9966666666666661</v>
      </c>
    </row>
    <row r="13" spans="1:16">
      <c r="G13">
        <v>9.3000000000000007</v>
      </c>
      <c r="H13">
        <v>1.77</v>
      </c>
      <c r="I13">
        <v>2.8</v>
      </c>
      <c r="J13" s="52">
        <f t="shared" si="0"/>
        <v>4.7300000000000013</v>
      </c>
      <c r="M13">
        <v>2.8</v>
      </c>
    </row>
    <row r="14" spans="1:16" ht="20">
      <c r="K14" s="55">
        <f>AVERAGE(J11:J17)</f>
        <v>4.705000000000001</v>
      </c>
      <c r="O14" s="55">
        <f>N12+N17</f>
        <v>6.6466666666666665</v>
      </c>
      <c r="P14" s="56">
        <f>K14/O14*1000</f>
        <v>707.87362086258793</v>
      </c>
    </row>
    <row r="15" spans="1:16">
      <c r="B15" t="s">
        <v>47</v>
      </c>
      <c r="K15" s="14" t="s">
        <v>26</v>
      </c>
      <c r="L15" s="14"/>
      <c r="M15" s="14"/>
      <c r="N15" s="14"/>
      <c r="O15" s="14" t="s">
        <v>51</v>
      </c>
      <c r="P15" s="14" t="s">
        <v>5</v>
      </c>
    </row>
    <row r="16" spans="1:16">
      <c r="H16" t="s">
        <v>54</v>
      </c>
    </row>
    <row r="17" spans="1:14">
      <c r="G17">
        <v>9.3000000000000007</v>
      </c>
      <c r="H17">
        <v>0.7</v>
      </c>
      <c r="I17">
        <v>3.8</v>
      </c>
      <c r="J17" s="52">
        <f t="shared" ref="J17" si="1">G17-H17-I17</f>
        <v>4.8000000000000016</v>
      </c>
      <c r="M17">
        <v>3.8</v>
      </c>
      <c r="N17" s="54">
        <f>AVERAGE(M17:M18)</f>
        <v>3.65</v>
      </c>
    </row>
    <row r="18" spans="1:14">
      <c r="M18">
        <v>3.5</v>
      </c>
    </row>
    <row r="20" spans="1:14">
      <c r="A20" t="s">
        <v>65</v>
      </c>
    </row>
  </sheetData>
  <mergeCells count="1">
    <mergeCell ref="A10:B10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5" sqref="I25"/>
    </sheetView>
  </sheetViews>
  <sheetFormatPr baseColWidth="10" defaultRowHeight="15" x14ac:dyDescent="0"/>
  <cols>
    <col min="2" max="2" width="4.33203125" customWidth="1"/>
    <col min="3" max="3" width="19.1640625" customWidth="1"/>
  </cols>
  <sheetData>
    <row r="1" spans="2:9">
      <c r="G1" t="s">
        <v>79</v>
      </c>
      <c r="H1" s="3" t="s">
        <v>80</v>
      </c>
      <c r="I1" s="3"/>
    </row>
    <row r="2" spans="2:9">
      <c r="D2" t="s">
        <v>72</v>
      </c>
      <c r="E2" t="s">
        <v>73</v>
      </c>
      <c r="F2" t="s">
        <v>74</v>
      </c>
      <c r="G2" t="s">
        <v>75</v>
      </c>
      <c r="H2" t="s">
        <v>70</v>
      </c>
    </row>
    <row r="3" spans="2:9">
      <c r="B3" t="s">
        <v>66</v>
      </c>
      <c r="H3" s="63" t="s">
        <v>71</v>
      </c>
      <c r="I3" s="63" t="s">
        <v>71</v>
      </c>
    </row>
    <row r="4" spans="2:9">
      <c r="C4" t="s">
        <v>3</v>
      </c>
      <c r="D4">
        <f>'BRC 18650 Characteristics'!B4</f>
        <v>4.1500000000000004</v>
      </c>
      <c r="E4">
        <v>7</v>
      </c>
      <c r="F4">
        <f>E4*D4</f>
        <v>29.050000000000004</v>
      </c>
      <c r="G4">
        <f>F4-G$14-G$14</f>
        <v>25.550000000000004</v>
      </c>
      <c r="H4" s="4">
        <f>$G4/H$8</f>
        <v>4.0555555555555562</v>
      </c>
      <c r="I4" s="4">
        <f>$G4/I$8</f>
        <v>3.1937500000000005</v>
      </c>
    </row>
    <row r="5" spans="2:9">
      <c r="C5" t="s">
        <v>7</v>
      </c>
      <c r="D5">
        <v>3.7</v>
      </c>
      <c r="E5">
        <v>7</v>
      </c>
      <c r="F5">
        <f t="shared" ref="F5:F6" si="0">E5*D5</f>
        <v>25.900000000000002</v>
      </c>
      <c r="G5">
        <f t="shared" ref="G5:G6" si="1">F5-G$14-G$14</f>
        <v>22.400000000000002</v>
      </c>
      <c r="H5" s="4">
        <f t="shared" ref="H5:H6" si="2">G5/H$8</f>
        <v>3.5555555555555558</v>
      </c>
      <c r="I5" s="4">
        <f t="shared" ref="I5:I6" si="3">$G5/I$8</f>
        <v>2.8000000000000003</v>
      </c>
    </row>
    <row r="6" spans="2:9">
      <c r="C6" t="s">
        <v>67</v>
      </c>
      <c r="D6">
        <v>3.2</v>
      </c>
      <c r="E6">
        <v>7</v>
      </c>
      <c r="F6">
        <f t="shared" si="0"/>
        <v>22.400000000000002</v>
      </c>
      <c r="G6">
        <f t="shared" si="1"/>
        <v>18.900000000000002</v>
      </c>
      <c r="H6" s="4">
        <f t="shared" si="2"/>
        <v>3.0000000000000004</v>
      </c>
      <c r="I6" s="4">
        <f t="shared" si="3"/>
        <v>2.3625000000000003</v>
      </c>
    </row>
    <row r="8" spans="2:9">
      <c r="B8" t="s">
        <v>69</v>
      </c>
      <c r="D8" t="s">
        <v>5</v>
      </c>
      <c r="H8">
        <v>6.3</v>
      </c>
      <c r="I8">
        <v>8</v>
      </c>
    </row>
    <row r="10" spans="2:9">
      <c r="B10" t="s">
        <v>68</v>
      </c>
      <c r="D10">
        <v>4.2</v>
      </c>
    </row>
    <row r="12" spans="2:9">
      <c r="G12">
        <v>1.9</v>
      </c>
      <c r="H12" t="s">
        <v>77</v>
      </c>
    </row>
    <row r="13" spans="2:9">
      <c r="G13">
        <v>1.6</v>
      </c>
      <c r="H13" t="s">
        <v>78</v>
      </c>
    </row>
    <row r="14" spans="2:9">
      <c r="G14">
        <f>AVERAGE(G12,G13)</f>
        <v>1.75</v>
      </c>
      <c r="H14" t="s">
        <v>76</v>
      </c>
    </row>
    <row r="16" spans="2:9">
      <c r="D16" t="s">
        <v>1</v>
      </c>
      <c r="E16" t="s">
        <v>1</v>
      </c>
    </row>
    <row r="17" spans="1:8">
      <c r="B17" s="12" t="s">
        <v>81</v>
      </c>
    </row>
    <row r="18" spans="1:8">
      <c r="C18" t="s">
        <v>82</v>
      </c>
      <c r="D18">
        <f>F4</f>
        <v>29.050000000000004</v>
      </c>
      <c r="E18">
        <f>F6</f>
        <v>22.400000000000002</v>
      </c>
    </row>
    <row r="19" spans="1:8">
      <c r="B19" t="s">
        <v>83</v>
      </c>
      <c r="D19">
        <v>1.53</v>
      </c>
      <c r="E19">
        <v>1.53</v>
      </c>
    </row>
    <row r="20" spans="1:8">
      <c r="C20" t="s">
        <v>84</v>
      </c>
      <c r="D20">
        <v>1.49</v>
      </c>
      <c r="E20">
        <v>1.49</v>
      </c>
    </row>
    <row r="21" spans="1:8">
      <c r="B21" t="s">
        <v>85</v>
      </c>
      <c r="D21" s="54">
        <f>'Optoisolator Constraints'!K14</f>
        <v>4.705000000000001</v>
      </c>
      <c r="E21" s="54">
        <f>D21</f>
        <v>4.705000000000001</v>
      </c>
    </row>
    <row r="23" spans="1:8">
      <c r="B23" t="s">
        <v>86</v>
      </c>
      <c r="D23" s="5">
        <f>D18-D20-D21</f>
        <v>22.855000000000004</v>
      </c>
      <c r="E23" s="5">
        <f>E18-E19-E21</f>
        <v>16.164999999999999</v>
      </c>
      <c r="F23" t="s">
        <v>88</v>
      </c>
    </row>
    <row r="25" spans="1:8">
      <c r="B25" t="s">
        <v>87</v>
      </c>
      <c r="D25">
        <v>7</v>
      </c>
      <c r="E25">
        <v>3.5</v>
      </c>
      <c r="F25" t="s">
        <v>51</v>
      </c>
      <c r="G25">
        <v>2.69</v>
      </c>
      <c r="H25">
        <v>2.8</v>
      </c>
    </row>
    <row r="27" spans="1:8">
      <c r="A27" t="s">
        <v>64</v>
      </c>
      <c r="C27" t="s">
        <v>89</v>
      </c>
      <c r="D27" s="5">
        <f>D23/E25</f>
        <v>6.5300000000000011</v>
      </c>
      <c r="E27" s="5">
        <f>E23/D25</f>
        <v>2.3092857142857142</v>
      </c>
      <c r="F27" t="s">
        <v>90</v>
      </c>
    </row>
    <row r="28" spans="1:8">
      <c r="C28" t="s">
        <v>91</v>
      </c>
    </row>
    <row r="29" spans="1:8">
      <c r="C29" t="s">
        <v>92</v>
      </c>
    </row>
  </sheetData>
  <mergeCells count="1">
    <mergeCell ref="H1:I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BRC 18650 Characteristics</vt:lpstr>
      <vt:lpstr>Load Currents</vt:lpstr>
      <vt:lpstr>TIP122 Constraints</vt:lpstr>
      <vt:lpstr>Optoisolator Constraints</vt:lpstr>
      <vt:lpstr>Resistors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Bowerman</dc:creator>
  <cp:lastModifiedBy>Robert Bowerman</cp:lastModifiedBy>
  <dcterms:created xsi:type="dcterms:W3CDTF">2016-05-08T03:25:42Z</dcterms:created>
  <dcterms:modified xsi:type="dcterms:W3CDTF">2016-05-10T20:58:14Z</dcterms:modified>
</cp:coreProperties>
</file>