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560" yWindow="560" windowWidth="25040" windowHeight="14960" tabRatio="500"/>
  </bookViews>
  <sheets>
    <sheet name="BOM" sheetId="1" r:id="rId1"/>
    <sheet name="Principles" sheetId="2" r:id="rId2"/>
    <sheet name="Requirements" sheetId="3" r:id="rId3"/>
    <sheet name="Test Cases" sheetId="4" r:id="rId4"/>
    <sheet name="Derived" sheetId="5" r:id="rId5"/>
    <sheet name="Arduino Choice" sheetId="6" r:id="rId6"/>
    <sheet name="Timing Calculation" sheetId="7" r:id="rId7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23" i="1" l="1"/>
  <c r="J16" i="1"/>
  <c r="L16" i="1"/>
  <c r="L17" i="1"/>
  <c r="J17" i="1"/>
  <c r="H16" i="1"/>
  <c r="H17" i="1"/>
  <c r="L23" i="1"/>
  <c r="L19" i="1"/>
  <c r="L18" i="1"/>
  <c r="J18" i="1"/>
  <c r="I18" i="1"/>
  <c r="H18" i="1"/>
  <c r="F18" i="1"/>
  <c r="J19" i="1"/>
  <c r="H19" i="1"/>
  <c r="F19" i="1"/>
  <c r="N8" i="6"/>
  <c r="N16" i="6"/>
  <c r="E4" i="6"/>
  <c r="C7" i="5"/>
  <c r="D8" i="5"/>
  <c r="D5" i="5"/>
  <c r="D6" i="5"/>
  <c r="D9" i="5"/>
  <c r="D11" i="5"/>
  <c r="D12" i="5"/>
  <c r="D13" i="5"/>
  <c r="D17" i="5"/>
  <c r="D21" i="5"/>
  <c r="D23" i="5"/>
  <c r="D16" i="5"/>
  <c r="S16" i="1"/>
</calcChain>
</file>

<file path=xl/sharedStrings.xml><?xml version="1.0" encoding="utf-8"?>
<sst xmlns="http://schemas.openxmlformats.org/spreadsheetml/2006/main" count="199" uniqueCount="170">
  <si>
    <t>Rotor</t>
  </si>
  <si>
    <t>Purchased</t>
  </si>
  <si>
    <t>3D Printed</t>
  </si>
  <si>
    <t>Height mm</t>
  </si>
  <si>
    <t>Width mm</t>
  </si>
  <si>
    <t>Depth mm</t>
  </si>
  <si>
    <t>Yes</t>
  </si>
  <si>
    <t>Tweaks</t>
  </si>
  <si>
    <t>We will be improving our design incrementally through a large number of tweaks or improvements.</t>
  </si>
  <si>
    <t>Inventory</t>
  </si>
  <si>
    <t xml:space="preserve">We will hold not much inventory at all as our design is likely to keep changing, so don’t buy components that may not be used. </t>
  </si>
  <si>
    <t>Weight grams</t>
  </si>
  <si>
    <t>Volume Litres</t>
  </si>
  <si>
    <t>Thyristors</t>
  </si>
  <si>
    <t>This bike motor has no parking brake in it.</t>
  </si>
  <si>
    <t>The motor is designed to operate at 37 volts</t>
  </si>
  <si>
    <t>Lithium Ion 86150 Batteries</t>
  </si>
  <si>
    <t>Overall Weight for One Wheel</t>
  </si>
  <si>
    <t>Overall Plastic Needed</t>
  </si>
  <si>
    <t>The stator needs to be printed in two parts so that it can close like a clam shell around the rotor and encase it in field so as to avoid ball bearings.</t>
  </si>
  <si>
    <t>Requirement</t>
  </si>
  <si>
    <t>Material Made of</t>
  </si>
  <si>
    <t>Nylon</t>
  </si>
  <si>
    <t>Position Sensor Greys Disk</t>
  </si>
  <si>
    <t>Phototransistors</t>
  </si>
  <si>
    <t>No</t>
  </si>
  <si>
    <t>Nylon or PETE</t>
  </si>
  <si>
    <t>Black PLA</t>
  </si>
  <si>
    <t xml:space="preserve">Nylon Filament Natural Colour </t>
  </si>
  <si>
    <t>PLA Filament Black Colour</t>
  </si>
  <si>
    <t>Bike-Motor-Part-02</t>
  </si>
  <si>
    <t>Bike-Motor-Part-01</t>
  </si>
  <si>
    <t>Bike-Motor-Part-03</t>
  </si>
  <si>
    <t>Bike-Motor-Part-04</t>
  </si>
  <si>
    <t>Bike-Motor-Part-05</t>
  </si>
  <si>
    <t>Bike-Motor-Part-06</t>
  </si>
  <si>
    <t>Bike-Motor-Part-07</t>
  </si>
  <si>
    <t>Bike-Motor-Part-08</t>
  </si>
  <si>
    <t>Bike-Motor-Part-09</t>
  </si>
  <si>
    <t>Bike-Motor-Part-10</t>
  </si>
  <si>
    <t>Bike-Motor-Part-11</t>
  </si>
  <si>
    <t>Bike-Motor-Part-12</t>
  </si>
  <si>
    <t>Stator-to-Stator Bolts</t>
  </si>
  <si>
    <t>Stator-to-Stator Nuts</t>
  </si>
  <si>
    <t>Stator-to-Stator Washers</t>
  </si>
  <si>
    <t>The aim of this prototype is to use electromagnets that are identical to the ones in the 64 EM design.</t>
  </si>
  <si>
    <t>The Electromagnets produce field pads of 1 cm x 1cm, one each for North and South</t>
  </si>
  <si>
    <t xml:space="preserve">The Electromagnets produce field pads of 0.5cm x 1cm, one each for North and South, at right angles to the main 1cm2 pads - in order to provide ball bearing-free bearing effect. </t>
  </si>
  <si>
    <t>The air gap of the motor is 1mm</t>
  </si>
  <si>
    <t>The permanagent magnets are encased in a layer of 1mm of nylon between them and the air gap.</t>
  </si>
  <si>
    <t>The electromagnets are encased in a layer of 1mm of nylon between them and the air gap.</t>
  </si>
  <si>
    <t>The electromagnetic coil is 100mm long</t>
  </si>
  <si>
    <t xml:space="preserve">The part of the core that the coil is wound on is 3mm radius. </t>
  </si>
  <si>
    <t>The copper wire used to wind the electromagnets is 1mm in diameter.</t>
  </si>
  <si>
    <t>Coil Core Radius (mm)</t>
  </si>
  <si>
    <t>Coil Core Diameter (mm)</t>
  </si>
  <si>
    <t>Derived</t>
  </si>
  <si>
    <t>Coil Wire Diameter (mm)</t>
  </si>
  <si>
    <t>Coil Layer One Diameter (mm)</t>
  </si>
  <si>
    <t>Coil Layer One Circumference (mm)</t>
  </si>
  <si>
    <t>Core and thus Coil Length (mm)</t>
  </si>
  <si>
    <t>Length of copper wire in layer one of coil (mm)</t>
  </si>
  <si>
    <t>Turns achieved over length of coil per layer (Quantity)</t>
  </si>
  <si>
    <t>Number of Layers of coil (Quantity)</t>
  </si>
  <si>
    <t>Input and Calculated Values (where input is requirement)</t>
  </si>
  <si>
    <t>Coil Layer Two Diameter (mm)</t>
  </si>
  <si>
    <t>Coil Layer Two Circumference (mm)</t>
  </si>
  <si>
    <t>Length of copper wire in Layer Two of coil (mm)</t>
  </si>
  <si>
    <t>Length of copper wire lead from thyristor to core (mm), allow</t>
  </si>
  <si>
    <t>Number of lead wires per core (Quantity)</t>
  </si>
  <si>
    <t>Length of copper wire in lead wires (mm)</t>
  </si>
  <si>
    <t>Overall Length of Copper wire per coil (mm)</t>
  </si>
  <si>
    <t>Density of This Enammelled Copper Wire</t>
  </si>
  <si>
    <t>Number of Electromagnetic Coils in this motor</t>
  </si>
  <si>
    <t>Weight of One Coil (grams)</t>
  </si>
  <si>
    <t>Overall Length of Copper wire per motor (mm)</t>
  </si>
  <si>
    <t>Length of 1mm Enamelled Copper Wire on 1 Reel from Maplin</t>
  </si>
  <si>
    <t>Volume of one core</t>
  </si>
  <si>
    <t>Vendor Sheet</t>
  </si>
  <si>
    <t>Number of Reels of 1mm Enamelled Copper Wire to Buy</t>
  </si>
  <si>
    <t>Comment</t>
  </si>
  <si>
    <t>Maplin is actually 0.9mm</t>
  </si>
  <si>
    <t>107 turns 96.3 length OK</t>
  </si>
  <si>
    <t>Reel</t>
  </si>
  <si>
    <t>Used from one Reel</t>
  </si>
  <si>
    <t>The coil is to be wound in two layers</t>
  </si>
  <si>
    <t>There must be enough room inside the motor for the controller board &amp; supporting electronics</t>
  </si>
  <si>
    <t>The controller board is to be an Arduino Uno</t>
  </si>
  <si>
    <t>Each electromagnet must be switchable under software control to three states: Off, North Up, North Down.</t>
  </si>
  <si>
    <t xml:space="preserve">The power flowing through the coils is to be assumed to be too much for the Arduino itself and thus need independent switching. </t>
  </si>
  <si>
    <t>Thyristors are to be used for the coil switching</t>
  </si>
  <si>
    <t>There are four thyristors per coil to achive the 3 states</t>
  </si>
  <si>
    <t>This bike motor is to be used for electromagnetic braking.</t>
  </si>
  <si>
    <t>This bike motor is to be used for electromagnetic traction.</t>
  </si>
  <si>
    <t>Upon braking, as much energy as possible is to be returned to the batteries.</t>
  </si>
  <si>
    <t>The batteries must have room to hold the power from braking.</t>
  </si>
  <si>
    <t>The batteries must be able to handle the voltage arising from braking.</t>
  </si>
  <si>
    <t>The batteries must be able to handle the current arising from braking.</t>
  </si>
  <si>
    <t>Arduino Uno Size - Length (mm)</t>
  </si>
  <si>
    <t>Arduino Uno Size - Width (mm)</t>
  </si>
  <si>
    <t>The test will evaluate the effect of PWM on power to the road.</t>
  </si>
  <si>
    <t>The test will evaluate the effect of input traction voltage from the main battery pack on power to the road.</t>
  </si>
  <si>
    <t>Arduino Uno has 14 digital I/O pins (6 of which usable as PWM o/p)</t>
  </si>
  <si>
    <t>Arduino Uno has 6 analogue input pins.</t>
  </si>
  <si>
    <t>The test will involve measuring the temperature inside the motor while it is running.</t>
  </si>
  <si>
    <t>The test will involve measuring the voltage going to the motor while it is running.</t>
  </si>
  <si>
    <t>The test will involve measuring the current going to the motor while it is running.</t>
  </si>
  <si>
    <t>The test will involve determining the distance that the motor can move the bike starting with a known amount of kWh of energy.</t>
  </si>
  <si>
    <t>The test will involve determining the speed that the motor can move the bike at.</t>
  </si>
  <si>
    <t>The test will involve determining the acceleration that the motor can make the bike move with.</t>
  </si>
  <si>
    <t>The test will involve determining the deacceleration that the motor can make the bike move with.</t>
  </si>
  <si>
    <t>The test will involve determining the stopping distance that the motor provides to the bike given a known starting speed.</t>
  </si>
  <si>
    <t>The test will involve determining the stopping time that the motor provides to the bike given a known starting speed.</t>
  </si>
  <si>
    <t>The system shall be able to determine which of 8 positions the rotor is at.</t>
  </si>
  <si>
    <t xml:space="preserve">The system shall be able to determine 4 intermediate positions between the 8 electromagnetics. </t>
  </si>
  <si>
    <t>[So the total positions to monitor are 32 positions, which means 5 bits of greys disk] Input.</t>
  </si>
  <si>
    <t>The system needs to be able to control 2 bits for each of the 8 electromagnets, plus 1 PWM channel with 2 bits for power.</t>
  </si>
  <si>
    <t xml:space="preserve">[Which means 9 x 2 = 18 bits of digital output.  i.e. Not the Uno]. </t>
  </si>
  <si>
    <t xml:space="preserve">Capable of 18 bits of output with 2 of them PWM are Due, Leonardo, Mega 2560, Mega ADK, Micro and Yun.  Filtering that for at least 5 bits of analogue input are 12 for Due, Leonardo and Micro and Yun, 16 for Megas, </t>
  </si>
  <si>
    <t>Due</t>
  </si>
  <si>
    <t>Leonardo</t>
  </si>
  <si>
    <t>Mega 2560</t>
  </si>
  <si>
    <t>Micro</t>
  </si>
  <si>
    <t>Yun</t>
  </si>
  <si>
    <t>MHz</t>
  </si>
  <si>
    <t>Analogue In</t>
  </si>
  <si>
    <t>Digital Out</t>
  </si>
  <si>
    <t>PWM</t>
  </si>
  <si>
    <t>16/400</t>
  </si>
  <si>
    <t>Need</t>
  </si>
  <si>
    <t>[Plus temperature monitoring means a minimum of 6 analogue inputs]</t>
  </si>
  <si>
    <t>not enough digital I/O - Uno</t>
  </si>
  <si>
    <t>Price £ inc VAT</t>
  </si>
  <si>
    <t>Amazon</t>
  </si>
  <si>
    <t>Maplin</t>
  </si>
  <si>
    <t>RS</t>
  </si>
  <si>
    <t>Arduino Store</t>
  </si>
  <si>
    <t>Mega ADK (R3 for Android)</t>
  </si>
  <si>
    <t>N/A</t>
  </si>
  <si>
    <t>Arduino Mega Proto Shield Rev 3 (PCB)</t>
  </si>
  <si>
    <t>Humidity and Temperature Sensor</t>
  </si>
  <si>
    <t>Accelerometer</t>
  </si>
  <si>
    <t>Range Distance Finder</t>
  </si>
  <si>
    <t>Arduino Mega 2560 Rev 3</t>
  </si>
  <si>
    <t>Bike-Motor-Part-13</t>
  </si>
  <si>
    <t>Bike-Motor-Part-14</t>
  </si>
  <si>
    <t>Bike-Motor-Part-15</t>
  </si>
  <si>
    <t>Commercial Source</t>
  </si>
  <si>
    <t>Cost including VAT</t>
  </si>
  <si>
    <t>Denomination of Quantity (DoQ)</t>
  </si>
  <si>
    <t>Quantity in One 8EM</t>
  </si>
  <si>
    <t>Catalogue Price £</t>
  </si>
  <si>
    <t>Unit Price £</t>
  </si>
  <si>
    <t>8EM Extended Preice £</t>
  </si>
  <si>
    <t>Quantity in One 64EM</t>
  </si>
  <si>
    <t>KlimaProtekta Part ID No</t>
  </si>
  <si>
    <t>Copper Wire 1mm SWG 19 250g</t>
  </si>
  <si>
    <t>Car Extended Preice £</t>
  </si>
  <si>
    <t>Permanent Magnets (Traction)</t>
  </si>
  <si>
    <t>Electromagnetic Cores (Traction)</t>
  </si>
  <si>
    <t>First4Magnets</t>
  </si>
  <si>
    <t>Quantity of above in One Car</t>
  </si>
  <si>
    <t>Stator Body</t>
  </si>
  <si>
    <t>KlimaProtekta Traction Part Description</t>
  </si>
  <si>
    <t>Stator Lid</t>
  </si>
  <si>
    <t>Stator Lid Seal</t>
  </si>
  <si>
    <t>Stator Light Tower</t>
  </si>
  <si>
    <t>Stator Bike Adapter</t>
  </si>
  <si>
    <t>Stator 400V Triac Cover</t>
  </si>
  <si>
    <t>Stator 400V Copper Sleeve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</si>
</sst>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-&quot;£&quot;* #,##0.00_-;\-&quot;£&quot;* #,##0.00_-;_-&quot;£&quot;* &quot;-&quot;??_-;_-@_-"/>
    <numFmt numFmtId="43" formatCode="_-* #,##0.00_-;\-* #,##0.00_-;_-* &quot;-&quot;??_-;_-@_-"/>
    <numFmt numFmtId="164" formatCode="_-* #,##0.000_-;\-* #,##0.000_-;_-* &quot;-&quot;??_-;_-@_-"/>
    <numFmt numFmtId="165" formatCode="_-* #,##0.0000_-;\-* #,##0.0000_-;_-* &quot;-&quot;??_-;_-@_-"/>
    <numFmt numFmtId="166" formatCode="0.0"/>
  </numFmts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b/>
      <sz val="16"/>
      <color theme="1"/>
      <name val="Calibri"/>
      <scheme val="minor"/>
    </font>
    <font>
      <b/>
      <sz val="20"/>
      <color theme="1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43">
    <xf numFmtId="0" fontId="0" fillId="0" borderId="0"/>
    <xf numFmtId="43" fontId="2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44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Alignment="1">
      <alignment textRotation="90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43" fontId="0" fillId="0" borderId="0" xfId="1" applyFont="1"/>
    <xf numFmtId="164" fontId="0" fillId="0" borderId="0" xfId="1" applyNumberFormat="1" applyFont="1"/>
    <xf numFmtId="165" fontId="0" fillId="0" borderId="0" xfId="1" applyNumberFormat="1" applyFont="1" applyAlignment="1">
      <alignment textRotation="90" wrapText="1"/>
    </xf>
    <xf numFmtId="165" fontId="0" fillId="0" borderId="0" xfId="1" applyNumberFormat="1" applyFont="1"/>
    <xf numFmtId="0" fontId="0" fillId="0" borderId="0" xfId="0" applyAlignment="1">
      <alignment horizontal="center" textRotation="90" wrapText="1"/>
    </xf>
    <xf numFmtId="0" fontId="6" fillId="0" borderId="0" xfId="0" applyFont="1" applyAlignment="1">
      <alignment wrapText="1"/>
    </xf>
    <xf numFmtId="43" fontId="0" fillId="0" borderId="0" xfId="0" applyNumberFormat="1"/>
    <xf numFmtId="0" fontId="3" fillId="0" borderId="0" xfId="0" applyFont="1"/>
    <xf numFmtId="0" fontId="3" fillId="0" borderId="0" xfId="0" applyFont="1" applyAlignment="1">
      <alignment horizontal="center"/>
    </xf>
    <xf numFmtId="166" fontId="0" fillId="0" borderId="0" xfId="0" applyNumberFormat="1"/>
    <xf numFmtId="0" fontId="3" fillId="2" borderId="0" xfId="0" applyFont="1" applyFill="1"/>
    <xf numFmtId="0" fontId="0" fillId="2" borderId="0" xfId="0" applyFill="1"/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  <xf numFmtId="0" fontId="0" fillId="3" borderId="0" xfId="0" applyFill="1" applyAlignment="1">
      <alignment horizontal="right"/>
    </xf>
    <xf numFmtId="0" fontId="0" fillId="3" borderId="0" xfId="0" applyFill="1"/>
    <xf numFmtId="44" fontId="0" fillId="0" borderId="0" xfId="22" applyFont="1"/>
    <xf numFmtId="44" fontId="0" fillId="0" borderId="0" xfId="22" applyFont="1" applyAlignment="1">
      <alignment horizontal="center" vertical="center"/>
    </xf>
    <xf numFmtId="44" fontId="0" fillId="3" borderId="0" xfId="22" applyFont="1" applyFill="1"/>
    <xf numFmtId="44" fontId="3" fillId="0" borderId="0" xfId="22" applyFont="1"/>
    <xf numFmtId="44" fontId="0" fillId="0" borderId="0" xfId="22" applyFont="1" applyFill="1"/>
    <xf numFmtId="2" fontId="0" fillId="0" borderId="0" xfId="0" applyNumberFormat="1"/>
    <xf numFmtId="0" fontId="0" fillId="0" borderId="0" xfId="0" applyAlignment="1">
      <alignment horizontal="center"/>
    </xf>
    <xf numFmtId="44" fontId="0" fillId="0" borderId="0" xfId="0" applyNumberFormat="1"/>
    <xf numFmtId="44" fontId="3" fillId="4" borderId="0" xfId="22" applyFont="1" applyFill="1" applyAlignment="1">
      <alignment horizontal="center" vertical="center" textRotation="90" wrapText="1"/>
    </xf>
    <xf numFmtId="44" fontId="3" fillId="5" borderId="0" xfId="22" applyFont="1" applyFill="1" applyAlignment="1">
      <alignment horizontal="center" vertical="center" textRotation="90" wrapText="1"/>
    </xf>
    <xf numFmtId="0" fontId="7" fillId="0" borderId="0" xfId="0" applyFont="1" applyAlignment="1">
      <alignment horizontal="center" vertical="center" wrapText="1"/>
    </xf>
    <xf numFmtId="44" fontId="3" fillId="6" borderId="0" xfId="22" applyFont="1" applyFill="1" applyAlignment="1">
      <alignment horizontal="center" vertical="center" textRotation="90" wrapText="1"/>
    </xf>
    <xf numFmtId="44" fontId="3" fillId="7" borderId="0" xfId="22" applyFont="1" applyFill="1" applyAlignment="1">
      <alignment horizontal="center" vertical="center" textRotation="90" wrapText="1"/>
    </xf>
    <xf numFmtId="0" fontId="0" fillId="7" borderId="0" xfId="0" applyFill="1" applyAlignment="1">
      <alignment horizontal="center"/>
    </xf>
    <xf numFmtId="0" fontId="0" fillId="7" borderId="0" xfId="0" applyFill="1"/>
    <xf numFmtId="44" fontId="0" fillId="7" borderId="0" xfId="0" applyNumberFormat="1" applyFill="1"/>
    <xf numFmtId="0" fontId="0" fillId="3" borderId="0" xfId="0" applyFill="1" applyAlignment="1">
      <alignment horizontal="center"/>
    </xf>
    <xf numFmtId="44" fontId="0" fillId="7" borderId="0" xfId="22" applyFont="1" applyFill="1"/>
    <xf numFmtId="44" fontId="3" fillId="0" borderId="0" xfId="22" applyFont="1" applyAlignment="1">
      <alignment horizontal="center"/>
    </xf>
    <xf numFmtId="0" fontId="8" fillId="0" borderId="0" xfId="0" applyFont="1" applyAlignment="1">
      <alignment horizontal="center" vertical="center" wrapText="1"/>
    </xf>
  </cellXfs>
  <cellStyles count="43">
    <cellStyle name="Comma" xfId="1" builtinId="3"/>
    <cellStyle name="Currency" xfId="22" builtinId="4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1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0"/>
  <sheetViews>
    <sheetView tabSelected="1" zoomScale="150" zoomScaleNormal="150" zoomScalePageLayoutView="150" workbookViewId="0">
      <selection activeCell="B9" sqref="B9"/>
    </sheetView>
  </sheetViews>
  <sheetFormatPr baseColWidth="10" defaultRowHeight="15" x14ac:dyDescent="0"/>
  <cols>
    <col min="1" max="1" width="17.1640625" bestFit="1" customWidth="1"/>
    <col min="2" max="2" width="27.6640625" customWidth="1"/>
    <col min="3" max="3" width="12.6640625" customWidth="1"/>
    <col min="4" max="4" width="8.33203125" style="21" customWidth="1"/>
    <col min="5" max="5" width="8.6640625" style="27" bestFit="1" customWidth="1"/>
    <col min="6" max="6" width="8" bestFit="1" customWidth="1"/>
    <col min="7" max="7" width="6" style="27" hidden="1" customWidth="1"/>
    <col min="8" max="8" width="8.5" hidden="1" customWidth="1"/>
    <col min="9" max="9" width="6" style="27" bestFit="1" customWidth="1"/>
    <col min="10" max="10" width="9.6640625" customWidth="1"/>
    <col min="11" max="11" width="7.1640625" style="34" customWidth="1"/>
    <col min="12" max="12" width="10.5" style="35" customWidth="1"/>
    <col min="13" max="14" width="3.5" bestFit="1" customWidth="1"/>
    <col min="15" max="15" width="6.83203125" bestFit="1" customWidth="1"/>
    <col min="16" max="16" width="5.83203125" bestFit="1" customWidth="1"/>
    <col min="17" max="17" width="3.5" bestFit="1" customWidth="1"/>
    <col min="18" max="18" width="6" bestFit="1" customWidth="1"/>
    <col min="19" max="19" width="8.5" style="8" customWidth="1"/>
    <col min="20" max="20" width="12.83203125" customWidth="1"/>
  </cols>
  <sheetData>
    <row r="1" spans="1:23" ht="78" customHeight="1">
      <c r="A1" s="31" t="s">
        <v>155</v>
      </c>
      <c r="B1" s="40" t="s">
        <v>163</v>
      </c>
      <c r="C1" s="30" t="s">
        <v>147</v>
      </c>
      <c r="D1" s="30" t="s">
        <v>151</v>
      </c>
      <c r="E1" s="30" t="s">
        <v>149</v>
      </c>
      <c r="F1" s="30" t="s">
        <v>152</v>
      </c>
      <c r="G1" s="29" t="s">
        <v>150</v>
      </c>
      <c r="H1" s="29" t="s">
        <v>153</v>
      </c>
      <c r="I1" s="32" t="s">
        <v>154</v>
      </c>
      <c r="J1" s="32" t="s">
        <v>153</v>
      </c>
      <c r="K1" s="33" t="s">
        <v>161</v>
      </c>
      <c r="L1" s="33" t="s">
        <v>157</v>
      </c>
      <c r="M1" s="1" t="s">
        <v>1</v>
      </c>
      <c r="N1" s="1" t="s">
        <v>2</v>
      </c>
      <c r="O1" s="1" t="s">
        <v>4</v>
      </c>
      <c r="P1" s="1" t="s">
        <v>5</v>
      </c>
      <c r="Q1" s="1" t="s">
        <v>3</v>
      </c>
      <c r="R1" s="1" t="s">
        <v>11</v>
      </c>
      <c r="S1" s="7" t="s">
        <v>12</v>
      </c>
      <c r="T1" s="9" t="s">
        <v>21</v>
      </c>
      <c r="V1" s="1" t="s">
        <v>148</v>
      </c>
      <c r="W1" s="1" t="s">
        <v>80</v>
      </c>
    </row>
    <row r="2" spans="1:23">
      <c r="A2" t="s">
        <v>31</v>
      </c>
      <c r="B2" t="s">
        <v>162</v>
      </c>
      <c r="G2" s="27">
        <v>1</v>
      </c>
      <c r="I2" s="27">
        <v>1</v>
      </c>
      <c r="K2" s="34">
        <v>1</v>
      </c>
      <c r="M2" t="s">
        <v>25</v>
      </c>
      <c r="N2" t="s">
        <v>6</v>
      </c>
      <c r="T2" t="s">
        <v>22</v>
      </c>
    </row>
    <row r="3" spans="1:23">
      <c r="A3" t="s">
        <v>30</v>
      </c>
      <c r="B3" t="s">
        <v>164</v>
      </c>
      <c r="G3" s="27">
        <v>1</v>
      </c>
      <c r="I3" s="27">
        <v>1</v>
      </c>
      <c r="K3" s="34">
        <v>1</v>
      </c>
      <c r="M3" t="s">
        <v>25</v>
      </c>
      <c r="N3" t="s">
        <v>6</v>
      </c>
      <c r="T3" t="s">
        <v>22</v>
      </c>
    </row>
    <row r="4" spans="1:23">
      <c r="A4" t="s">
        <v>32</v>
      </c>
      <c r="B4" t="s">
        <v>165</v>
      </c>
      <c r="G4" s="27">
        <v>1</v>
      </c>
      <c r="I4" s="27">
        <v>1</v>
      </c>
      <c r="K4" s="34">
        <v>1</v>
      </c>
      <c r="M4" t="s">
        <v>25</v>
      </c>
      <c r="N4" t="s">
        <v>6</v>
      </c>
      <c r="T4" t="s">
        <v>26</v>
      </c>
    </row>
    <row r="5" spans="1:23">
      <c r="B5" t="s">
        <v>166</v>
      </c>
    </row>
    <row r="6" spans="1:23">
      <c r="B6" t="s">
        <v>167</v>
      </c>
    </row>
    <row r="7" spans="1:23">
      <c r="B7" t="s">
        <v>168</v>
      </c>
    </row>
    <row r="8" spans="1:23">
      <c r="B8" t="s">
        <v>169</v>
      </c>
    </row>
    <row r="9" spans="1:23">
      <c r="B9" t="s">
        <v>0</v>
      </c>
    </row>
    <row r="10" spans="1:23">
      <c r="A10" t="s">
        <v>33</v>
      </c>
      <c r="B10" t="s">
        <v>0</v>
      </c>
      <c r="G10" s="27">
        <v>1</v>
      </c>
      <c r="I10" s="27">
        <v>1</v>
      </c>
      <c r="K10" s="34">
        <v>1</v>
      </c>
      <c r="M10" t="s">
        <v>25</v>
      </c>
      <c r="N10" t="s">
        <v>6</v>
      </c>
      <c r="T10" t="s">
        <v>22</v>
      </c>
    </row>
    <row r="11" spans="1:23">
      <c r="A11" t="s">
        <v>34</v>
      </c>
      <c r="B11" t="s">
        <v>23</v>
      </c>
      <c r="G11" s="27">
        <v>1</v>
      </c>
      <c r="I11" s="27">
        <v>1</v>
      </c>
      <c r="K11" s="34">
        <v>1</v>
      </c>
      <c r="M11" t="s">
        <v>25</v>
      </c>
      <c r="N11" t="s">
        <v>6</v>
      </c>
      <c r="T11" t="s">
        <v>27</v>
      </c>
    </row>
    <row r="12" spans="1:23" ht="5" customHeight="1"/>
    <row r="13" spans="1:23">
      <c r="A13" t="s">
        <v>35</v>
      </c>
      <c r="B13" t="s">
        <v>42</v>
      </c>
    </row>
    <row r="14" spans="1:23">
      <c r="A14" t="s">
        <v>36</v>
      </c>
      <c r="B14" t="s">
        <v>43</v>
      </c>
    </row>
    <row r="15" spans="1:23">
      <c r="A15" t="s">
        <v>37</v>
      </c>
      <c r="B15" t="s">
        <v>44</v>
      </c>
    </row>
    <row r="16" spans="1:23">
      <c r="A16" t="s">
        <v>38</v>
      </c>
      <c r="B16" t="s">
        <v>158</v>
      </c>
      <c r="C16" t="s">
        <v>160</v>
      </c>
      <c r="F16" s="21">
        <v>1.17</v>
      </c>
      <c r="G16" s="37">
        <v>8</v>
      </c>
      <c r="H16" s="28">
        <f t="shared" ref="H16:H17" si="0">G16*F16</f>
        <v>9.36</v>
      </c>
      <c r="I16" s="27">
        <v>64</v>
      </c>
      <c r="J16" s="28">
        <f>I16*F16</f>
        <v>74.88</v>
      </c>
      <c r="K16" s="34">
        <v>4</v>
      </c>
      <c r="L16" s="36">
        <f t="shared" ref="L16:L17" si="1">K16*J16</f>
        <v>299.52</v>
      </c>
      <c r="M16" t="s">
        <v>6</v>
      </c>
      <c r="O16">
        <v>10</v>
      </c>
      <c r="P16">
        <v>10</v>
      </c>
      <c r="Q16">
        <v>10</v>
      </c>
      <c r="S16" s="8">
        <f>1/(10*10*10)</f>
        <v>1E-3</v>
      </c>
    </row>
    <row r="17" spans="1:18">
      <c r="A17" t="s">
        <v>39</v>
      </c>
      <c r="B17" t="s">
        <v>159</v>
      </c>
      <c r="H17" s="28">
        <f t="shared" si="0"/>
        <v>0</v>
      </c>
      <c r="J17" s="28">
        <f t="shared" ref="J17" si="2">I17*H17</f>
        <v>0</v>
      </c>
      <c r="L17" s="36">
        <f t="shared" si="1"/>
        <v>0</v>
      </c>
      <c r="N17" t="s">
        <v>6</v>
      </c>
      <c r="O17">
        <v>1</v>
      </c>
      <c r="P17">
        <v>1</v>
      </c>
    </row>
    <row r="18" spans="1:18">
      <c r="A18" t="s">
        <v>40</v>
      </c>
      <c r="B18" t="s">
        <v>156</v>
      </c>
      <c r="C18" t="s">
        <v>134</v>
      </c>
      <c r="D18" s="21">
        <v>8.49</v>
      </c>
      <c r="E18" s="27">
        <v>1</v>
      </c>
      <c r="F18" s="28">
        <f>D18/E18</f>
        <v>8.49</v>
      </c>
      <c r="G18" s="27">
        <v>1</v>
      </c>
      <c r="H18" s="28">
        <f>G18*F18</f>
        <v>8.49</v>
      </c>
      <c r="I18" s="27">
        <f>64/8</f>
        <v>8</v>
      </c>
      <c r="J18" s="28">
        <f>I18*H18</f>
        <v>67.92</v>
      </c>
      <c r="K18" s="34">
        <v>4</v>
      </c>
      <c r="L18" s="36">
        <f>K18*J18</f>
        <v>271.68</v>
      </c>
      <c r="M18" t="s">
        <v>6</v>
      </c>
      <c r="N18" t="s">
        <v>25</v>
      </c>
    </row>
    <row r="19" spans="1:18">
      <c r="A19" t="s">
        <v>41</v>
      </c>
      <c r="B19" s="12" t="s">
        <v>143</v>
      </c>
      <c r="C19" t="s">
        <v>133</v>
      </c>
      <c r="D19" s="21">
        <v>30.85</v>
      </c>
      <c r="E19" s="27">
        <v>1</v>
      </c>
      <c r="F19" s="28">
        <f>D19/E19</f>
        <v>30.85</v>
      </c>
      <c r="G19" s="27">
        <v>1</v>
      </c>
      <c r="H19" s="28">
        <f>G19*F19</f>
        <v>30.85</v>
      </c>
      <c r="I19" s="27">
        <v>1</v>
      </c>
      <c r="J19" s="28">
        <f>I19*H19</f>
        <v>30.85</v>
      </c>
      <c r="K19" s="34">
        <v>4</v>
      </c>
      <c r="L19" s="36">
        <f>K19*J19</f>
        <v>123.4</v>
      </c>
      <c r="M19" t="s">
        <v>6</v>
      </c>
      <c r="N19" t="s">
        <v>25</v>
      </c>
      <c r="O19" s="26">
        <v>101.52</v>
      </c>
      <c r="P19" s="26">
        <v>53.3</v>
      </c>
      <c r="R19">
        <v>37</v>
      </c>
    </row>
    <row r="20" spans="1:18">
      <c r="A20" t="s">
        <v>144</v>
      </c>
      <c r="B20" t="s">
        <v>13</v>
      </c>
      <c r="M20" t="s">
        <v>6</v>
      </c>
    </row>
    <row r="21" spans="1:18">
      <c r="A21" t="s">
        <v>145</v>
      </c>
      <c r="B21" t="s">
        <v>16</v>
      </c>
      <c r="M21" t="s">
        <v>6</v>
      </c>
    </row>
    <row r="22" spans="1:18">
      <c r="A22" t="s">
        <v>146</v>
      </c>
      <c r="B22" t="s">
        <v>24</v>
      </c>
    </row>
    <row r="23" spans="1:18">
      <c r="J23" s="38">
        <f>SUM(J2:J22)</f>
        <v>173.65</v>
      </c>
      <c r="L23" s="38">
        <f>SUM(L2:L22)</f>
        <v>694.6</v>
      </c>
    </row>
    <row r="24" spans="1:18">
      <c r="B24" t="s">
        <v>28</v>
      </c>
    </row>
    <row r="25" spans="1:18">
      <c r="B25" t="s">
        <v>29</v>
      </c>
    </row>
    <row r="29" spans="1:18">
      <c r="B29" t="s">
        <v>18</v>
      </c>
    </row>
    <row r="30" spans="1:18">
      <c r="B30" t="s">
        <v>17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"/>
  <sheetViews>
    <sheetView zoomScale="150" zoomScaleNormal="150" zoomScalePageLayoutView="150" workbookViewId="0">
      <selection activeCell="C9" sqref="C9"/>
    </sheetView>
  </sheetViews>
  <sheetFormatPr baseColWidth="10" defaultRowHeight="15" x14ac:dyDescent="0"/>
  <cols>
    <col min="1" max="1" width="10.83203125" style="4"/>
    <col min="2" max="2" width="13.83203125" style="4" customWidth="1"/>
    <col min="3" max="3" width="52.33203125" style="3" customWidth="1"/>
    <col min="4" max="16384" width="10.83203125" style="4"/>
  </cols>
  <sheetData>
    <row r="2" spans="2:3" ht="30">
      <c r="B2" s="4" t="s">
        <v>7</v>
      </c>
      <c r="C2" s="3" t="s">
        <v>8</v>
      </c>
    </row>
    <row r="3" spans="2:3" ht="45">
      <c r="B3" s="4" t="s">
        <v>9</v>
      </c>
      <c r="C3" s="3" t="s">
        <v>10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51"/>
  <sheetViews>
    <sheetView topLeftCell="A26" zoomScale="150" zoomScaleNormal="150" zoomScalePageLayoutView="150" workbookViewId="0">
      <selection activeCell="B39" sqref="B39"/>
    </sheetView>
  </sheetViews>
  <sheetFormatPr baseColWidth="10" defaultRowHeight="15" x14ac:dyDescent="0"/>
  <cols>
    <col min="2" max="2" width="54.5" style="2" customWidth="1"/>
  </cols>
  <sheetData>
    <row r="1" spans="2:2" ht="18">
      <c r="B1" s="10" t="s">
        <v>20</v>
      </c>
    </row>
    <row r="2" spans="2:2">
      <c r="B2" s="2" t="s">
        <v>14</v>
      </c>
    </row>
    <row r="3" spans="2:2">
      <c r="B3" s="2" t="s">
        <v>15</v>
      </c>
    </row>
    <row r="4" spans="2:2" ht="45">
      <c r="B4" s="2" t="s">
        <v>19</v>
      </c>
    </row>
    <row r="5" spans="2:2" ht="30">
      <c r="B5" s="2" t="s">
        <v>45</v>
      </c>
    </row>
    <row r="6" spans="2:2" ht="30">
      <c r="B6" s="2" t="s">
        <v>46</v>
      </c>
    </row>
    <row r="7" spans="2:2" ht="45">
      <c r="B7" s="2" t="s">
        <v>47</v>
      </c>
    </row>
    <row r="8" spans="2:2">
      <c r="B8" s="2" t="s">
        <v>48</v>
      </c>
    </row>
    <row r="9" spans="2:2" ht="30">
      <c r="B9" s="2" t="s">
        <v>49</v>
      </c>
    </row>
    <row r="10" spans="2:2" ht="30">
      <c r="B10" s="2" t="s">
        <v>50</v>
      </c>
    </row>
    <row r="11" spans="2:2">
      <c r="B11" s="2" t="s">
        <v>51</v>
      </c>
    </row>
    <row r="12" spans="2:2" ht="17" customHeight="1">
      <c r="B12" s="2" t="s">
        <v>52</v>
      </c>
    </row>
    <row r="13" spans="2:2" ht="30">
      <c r="B13" s="2" t="s">
        <v>53</v>
      </c>
    </row>
    <row r="14" spans="2:2">
      <c r="B14" s="2" t="s">
        <v>85</v>
      </c>
    </row>
    <row r="15" spans="2:2" ht="30">
      <c r="B15" s="2" t="s">
        <v>86</v>
      </c>
    </row>
    <row r="16" spans="2:2">
      <c r="B16" s="2" t="s">
        <v>87</v>
      </c>
    </row>
    <row r="17" spans="2:2" ht="30">
      <c r="B17" s="2" t="s">
        <v>88</v>
      </c>
    </row>
    <row r="18" spans="2:2" ht="45">
      <c r="B18" s="2" t="s">
        <v>89</v>
      </c>
    </row>
    <row r="19" spans="2:2">
      <c r="B19" s="2" t="s">
        <v>90</v>
      </c>
    </row>
    <row r="20" spans="2:2">
      <c r="B20" s="2" t="s">
        <v>91</v>
      </c>
    </row>
    <row r="21" spans="2:2">
      <c r="B21" s="2" t="s">
        <v>93</v>
      </c>
    </row>
    <row r="22" spans="2:2">
      <c r="B22" s="2" t="s">
        <v>92</v>
      </c>
    </row>
    <row r="23" spans="2:2" ht="30">
      <c r="B23" s="2" t="s">
        <v>94</v>
      </c>
    </row>
    <row r="24" spans="2:2">
      <c r="B24" s="2" t="s">
        <v>95</v>
      </c>
    </row>
    <row r="25" spans="2:2" ht="30">
      <c r="B25" s="2" t="s">
        <v>96</v>
      </c>
    </row>
    <row r="26" spans="2:2" ht="30">
      <c r="B26" s="2" t="s">
        <v>97</v>
      </c>
    </row>
    <row r="31" spans="2:2" ht="30">
      <c r="B31" s="2" t="s">
        <v>102</v>
      </c>
    </row>
    <row r="32" spans="2:2">
      <c r="B32" s="2" t="s">
        <v>103</v>
      </c>
    </row>
    <row r="33" spans="2:2" ht="30">
      <c r="B33" s="2" t="s">
        <v>113</v>
      </c>
    </row>
    <row r="34" spans="2:2" ht="30">
      <c r="B34" s="2" t="s">
        <v>114</v>
      </c>
    </row>
    <row r="35" spans="2:2" ht="30">
      <c r="B35" s="2" t="s">
        <v>115</v>
      </c>
    </row>
    <row r="36" spans="2:2" ht="30">
      <c r="B36" s="2" t="s">
        <v>130</v>
      </c>
    </row>
    <row r="37" spans="2:2" ht="30">
      <c r="B37" s="2" t="s">
        <v>116</v>
      </c>
    </row>
    <row r="38" spans="2:2">
      <c r="B38" s="2" t="s">
        <v>117</v>
      </c>
    </row>
    <row r="41" spans="2:2" ht="30">
      <c r="B41" s="2" t="s">
        <v>104</v>
      </c>
    </row>
    <row r="42" spans="2:2" ht="30">
      <c r="B42" s="2" t="s">
        <v>105</v>
      </c>
    </row>
    <row r="43" spans="2:2" ht="30">
      <c r="B43" s="2" t="s">
        <v>106</v>
      </c>
    </row>
    <row r="44" spans="2:2" ht="30">
      <c r="B44" s="2" t="s">
        <v>107</v>
      </c>
    </row>
    <row r="45" spans="2:2" ht="30">
      <c r="B45" s="2" t="s">
        <v>108</v>
      </c>
    </row>
    <row r="46" spans="2:2" ht="30">
      <c r="B46" s="2" t="s">
        <v>109</v>
      </c>
    </row>
    <row r="47" spans="2:2" ht="30">
      <c r="B47" s="2" t="s">
        <v>110</v>
      </c>
    </row>
    <row r="48" spans="2:2" ht="30">
      <c r="B48" s="2" t="s">
        <v>111</v>
      </c>
    </row>
    <row r="49" spans="2:2" ht="30">
      <c r="B49" s="2" t="s">
        <v>112</v>
      </c>
    </row>
    <row r="50" spans="2:2">
      <c r="B50" s="2" t="s">
        <v>100</v>
      </c>
    </row>
    <row r="51" spans="2:2" ht="30">
      <c r="B51" s="2" t="s">
        <v>101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8"/>
  <sheetViews>
    <sheetView topLeftCell="A9" zoomScale="150" zoomScaleNormal="150" zoomScalePageLayoutView="150" workbookViewId="0">
      <selection activeCell="B29" sqref="B29"/>
    </sheetView>
  </sheetViews>
  <sheetFormatPr baseColWidth="10" defaultRowHeight="15" x14ac:dyDescent="0"/>
  <cols>
    <col min="2" max="2" width="51.33203125" customWidth="1"/>
    <col min="3" max="3" width="11.5" customWidth="1"/>
    <col min="5" max="5" width="11.83203125" customWidth="1"/>
    <col min="6" max="6" width="25.33203125" style="16" customWidth="1"/>
  </cols>
  <sheetData>
    <row r="1" spans="2:6" s="12" customFormat="1">
      <c r="B1" s="12" t="s">
        <v>64</v>
      </c>
      <c r="C1" s="13" t="s">
        <v>20</v>
      </c>
      <c r="D1" s="13" t="s">
        <v>56</v>
      </c>
      <c r="E1" s="12" t="s">
        <v>78</v>
      </c>
      <c r="F1" s="15" t="s">
        <v>80</v>
      </c>
    </row>
    <row r="2" spans="2:6">
      <c r="B2" t="s">
        <v>54</v>
      </c>
      <c r="C2">
        <v>3</v>
      </c>
    </row>
    <row r="3" spans="2:6">
      <c r="B3" t="s">
        <v>55</v>
      </c>
      <c r="D3">
        <v>6</v>
      </c>
    </row>
    <row r="4" spans="2:6">
      <c r="B4" t="s">
        <v>57</v>
      </c>
      <c r="C4">
        <v>0.9</v>
      </c>
      <c r="F4" s="16" t="s">
        <v>81</v>
      </c>
    </row>
    <row r="5" spans="2:6">
      <c r="B5" t="s">
        <v>58</v>
      </c>
      <c r="D5">
        <f>C2+C2+C4</f>
        <v>6.9</v>
      </c>
    </row>
    <row r="6" spans="2:6">
      <c r="B6" t="s">
        <v>59</v>
      </c>
      <c r="D6" s="6">
        <f>PI()*D5</f>
        <v>21.676989309769574</v>
      </c>
    </row>
    <row r="7" spans="2:6">
      <c r="B7" t="s">
        <v>60</v>
      </c>
      <c r="C7">
        <f>108*C4</f>
        <v>97.2</v>
      </c>
    </row>
    <row r="8" spans="2:6">
      <c r="B8" t="s">
        <v>62</v>
      </c>
      <c r="D8">
        <f>TRUNC(C7/C4)</f>
        <v>108</v>
      </c>
      <c r="F8" s="16" t="s">
        <v>82</v>
      </c>
    </row>
    <row r="9" spans="2:6">
      <c r="B9" t="s">
        <v>61</v>
      </c>
      <c r="D9" s="11">
        <f>D8*D6</f>
        <v>2341.1148454551139</v>
      </c>
    </row>
    <row r="10" spans="2:6">
      <c r="B10" t="s">
        <v>63</v>
      </c>
      <c r="C10">
        <v>2</v>
      </c>
    </row>
    <row r="11" spans="2:6">
      <c r="B11" t="s">
        <v>65</v>
      </c>
      <c r="D11">
        <f>D5+C4+C4</f>
        <v>8.7000000000000011</v>
      </c>
    </row>
    <row r="12" spans="2:6">
      <c r="B12" t="s">
        <v>66</v>
      </c>
      <c r="D12" s="6">
        <f>PI()*D11</f>
        <v>27.331856086231202</v>
      </c>
    </row>
    <row r="13" spans="2:6">
      <c r="B13" t="s">
        <v>67</v>
      </c>
      <c r="D13" s="11">
        <f>D8*D12</f>
        <v>2951.8404573129696</v>
      </c>
    </row>
    <row r="14" spans="2:6">
      <c r="B14" t="s">
        <v>68</v>
      </c>
      <c r="D14">
        <v>20</v>
      </c>
    </row>
    <row r="15" spans="2:6">
      <c r="B15" t="s">
        <v>69</v>
      </c>
      <c r="D15">
        <v>2</v>
      </c>
    </row>
    <row r="16" spans="2:6">
      <c r="B16" t="s">
        <v>70</v>
      </c>
      <c r="D16">
        <f>D15*D14</f>
        <v>40</v>
      </c>
    </row>
    <row r="17" spans="2:6">
      <c r="B17" t="s">
        <v>71</v>
      </c>
      <c r="D17" s="11">
        <f>D9+D13+D16</f>
        <v>5332.9553027680831</v>
      </c>
    </row>
    <row r="18" spans="2:6">
      <c r="B18" t="s">
        <v>72</v>
      </c>
    </row>
    <row r="19" spans="2:6">
      <c r="B19" t="s">
        <v>74</v>
      </c>
    </row>
    <row r="20" spans="2:6">
      <c r="B20" t="s">
        <v>73</v>
      </c>
      <c r="C20">
        <v>8</v>
      </c>
    </row>
    <row r="21" spans="2:6">
      <c r="B21" t="s">
        <v>75</v>
      </c>
      <c r="D21" s="11">
        <f>D17*C20</f>
        <v>42663.642422144665</v>
      </c>
      <c r="F21" s="16" t="s">
        <v>84</v>
      </c>
    </row>
    <row r="22" spans="2:6">
      <c r="B22" t="s">
        <v>76</v>
      </c>
      <c r="E22" s="5">
        <v>42500</v>
      </c>
      <c r="F22" s="16" t="s">
        <v>83</v>
      </c>
    </row>
    <row r="23" spans="2:6">
      <c r="B23" t="s">
        <v>79</v>
      </c>
      <c r="D23" s="14">
        <f>ROUND(D21/E22,0)</f>
        <v>1</v>
      </c>
    </row>
    <row r="25" spans="2:6">
      <c r="B25" t="s">
        <v>77</v>
      </c>
    </row>
    <row r="27" spans="2:6">
      <c r="B27" t="s">
        <v>98</v>
      </c>
      <c r="C27">
        <v>53.4</v>
      </c>
    </row>
    <row r="28" spans="2:6">
      <c r="B28" t="s">
        <v>99</v>
      </c>
      <c r="C28">
        <v>68.599999999999994</v>
      </c>
    </row>
  </sheetData>
  <scenarios current="1" show="1">
    <scenario name="Main Design 1mm Wire" locked="1" count="1" user="Robert Bowerman" comment="Created by Robert Bowerman on 26/09/2015">
      <inputCells r="C4" val="1"/>
    </scenario>
    <scenario name="Maplin 0.9mm Wire" locked="1" count="1" user="Robert Bowerman" comment="Created by Robert Bowerman on 26/09/2015">
      <inputCells r="C4" val="0.9"/>
    </scenario>
  </scenario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21"/>
  <sheetViews>
    <sheetView workbookViewId="0">
      <selection activeCell="C21" sqref="C21"/>
    </sheetView>
  </sheetViews>
  <sheetFormatPr baseColWidth="10" defaultRowHeight="15" x14ac:dyDescent="0"/>
  <cols>
    <col min="2" max="2" width="80" customWidth="1"/>
    <col min="10" max="10" width="13.33203125" customWidth="1"/>
    <col min="11" max="14" width="10.83203125" style="21"/>
  </cols>
  <sheetData>
    <row r="3" spans="2:14" ht="45">
      <c r="B3" s="2" t="s">
        <v>118</v>
      </c>
    </row>
    <row r="4" spans="2:14">
      <c r="B4" s="18" t="s">
        <v>129</v>
      </c>
      <c r="D4">
        <v>6</v>
      </c>
      <c r="E4">
        <f>2*9</f>
        <v>18</v>
      </c>
      <c r="F4">
        <v>2</v>
      </c>
      <c r="K4" s="39" t="s">
        <v>132</v>
      </c>
      <c r="L4" s="39"/>
      <c r="M4" s="39"/>
    </row>
    <row r="5" spans="2:14" s="4" customFormat="1">
      <c r="C5" s="4" t="s">
        <v>124</v>
      </c>
      <c r="D5" s="4" t="s">
        <v>125</v>
      </c>
      <c r="E5" s="4" t="s">
        <v>126</v>
      </c>
      <c r="F5" s="4" t="s">
        <v>127</v>
      </c>
      <c r="G5" s="4" t="s">
        <v>4</v>
      </c>
      <c r="H5" s="4" t="s">
        <v>5</v>
      </c>
      <c r="I5" s="4" t="s">
        <v>3</v>
      </c>
      <c r="J5" s="4" t="s">
        <v>11</v>
      </c>
      <c r="K5" s="22" t="s">
        <v>133</v>
      </c>
      <c r="L5" s="22" t="s">
        <v>134</v>
      </c>
      <c r="M5" s="22" t="s">
        <v>135</v>
      </c>
      <c r="N5" s="22" t="s">
        <v>136</v>
      </c>
    </row>
    <row r="6" spans="2:14">
      <c r="B6" s="17" t="s">
        <v>119</v>
      </c>
      <c r="C6">
        <v>84</v>
      </c>
      <c r="D6">
        <v>12</v>
      </c>
      <c r="E6">
        <v>54</v>
      </c>
      <c r="F6">
        <v>12</v>
      </c>
    </row>
    <row r="7" spans="2:14">
      <c r="B7" s="17" t="s">
        <v>120</v>
      </c>
      <c r="C7">
        <v>16</v>
      </c>
      <c r="D7">
        <v>12</v>
      </c>
      <c r="E7">
        <v>20</v>
      </c>
      <c r="F7">
        <v>7</v>
      </c>
    </row>
    <row r="8" spans="2:14">
      <c r="B8" s="19" t="s">
        <v>121</v>
      </c>
      <c r="C8" s="20">
        <v>16</v>
      </c>
      <c r="D8" s="20">
        <v>16</v>
      </c>
      <c r="E8" s="20">
        <v>54</v>
      </c>
      <c r="F8" s="20">
        <v>15</v>
      </c>
      <c r="G8" s="20"/>
      <c r="H8" s="20"/>
      <c r="I8" s="20"/>
      <c r="J8" s="20"/>
      <c r="K8" s="23">
        <v>30.86</v>
      </c>
      <c r="L8" s="21">
        <v>39.99</v>
      </c>
      <c r="M8" s="21" t="s">
        <v>138</v>
      </c>
      <c r="N8" s="21">
        <f>1.2*39.03</f>
        <v>46.835999999999999</v>
      </c>
    </row>
    <row r="9" spans="2:14">
      <c r="B9" s="19" t="s">
        <v>137</v>
      </c>
      <c r="C9" s="20">
        <v>16</v>
      </c>
      <c r="D9" s="20">
        <v>16</v>
      </c>
      <c r="E9" s="20">
        <v>54</v>
      </c>
      <c r="F9" s="20">
        <v>15</v>
      </c>
      <c r="G9" s="20"/>
      <c r="H9" s="20"/>
      <c r="I9" s="20"/>
      <c r="J9" s="20"/>
      <c r="K9" s="25">
        <v>44.45</v>
      </c>
      <c r="L9" s="21">
        <v>49.99</v>
      </c>
      <c r="M9" s="21" t="s">
        <v>138</v>
      </c>
    </row>
    <row r="10" spans="2:14">
      <c r="B10" s="17" t="s">
        <v>122</v>
      </c>
      <c r="C10">
        <v>16</v>
      </c>
      <c r="D10">
        <v>12</v>
      </c>
      <c r="E10">
        <v>20</v>
      </c>
      <c r="F10">
        <v>7</v>
      </c>
    </row>
    <row r="11" spans="2:14">
      <c r="B11" s="17" t="s">
        <v>123</v>
      </c>
      <c r="C11" s="17" t="s">
        <v>128</v>
      </c>
      <c r="D11">
        <v>12</v>
      </c>
      <c r="E11">
        <v>20</v>
      </c>
      <c r="F11">
        <v>7</v>
      </c>
    </row>
    <row r="12" spans="2:14" s="12" customFormat="1">
      <c r="B12" s="18" t="s">
        <v>131</v>
      </c>
      <c r="C12" s="12">
        <v>16</v>
      </c>
      <c r="D12" s="12">
        <v>6</v>
      </c>
      <c r="E12" s="12">
        <v>14</v>
      </c>
      <c r="F12" s="12">
        <v>6</v>
      </c>
      <c r="K12" s="24"/>
      <c r="L12" s="24"/>
      <c r="M12" s="24"/>
      <c r="N12" s="24"/>
    </row>
    <row r="16" spans="2:14">
      <c r="B16" t="s">
        <v>139</v>
      </c>
      <c r="N16" s="21">
        <f>3.9*1.2</f>
        <v>4.68</v>
      </c>
    </row>
    <row r="18" spans="2:2">
      <c r="B18" t="s">
        <v>140</v>
      </c>
    </row>
    <row r="19" spans="2:2">
      <c r="B19" t="s">
        <v>141</v>
      </c>
    </row>
    <row r="21" spans="2:2">
      <c r="B21" t="s">
        <v>142</v>
      </c>
    </row>
  </sheetData>
  <mergeCells count="1">
    <mergeCell ref="K4:M4"/>
  </mergeCells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BOM</vt:lpstr>
      <vt:lpstr>Principles</vt:lpstr>
      <vt:lpstr>Requirements</vt:lpstr>
      <vt:lpstr>Test Cases</vt:lpstr>
      <vt:lpstr>Derived</vt:lpstr>
      <vt:lpstr>Arduino Choice</vt:lpstr>
      <vt:lpstr>Timing Calculation</vt:lpstr>
    </vt:vector>
  </TitlesOfParts>
  <Company>Better Judgement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Bowerman</dc:creator>
  <cp:lastModifiedBy>Robert Bowerman</cp:lastModifiedBy>
  <dcterms:created xsi:type="dcterms:W3CDTF">2015-09-26T08:14:15Z</dcterms:created>
  <dcterms:modified xsi:type="dcterms:W3CDTF">2015-10-16T11:25:57Z</dcterms:modified>
</cp:coreProperties>
</file>