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_FU" sheetId="1" r:id="rId4"/>
    <sheet state="visible" name="OVERVIEW_NOT_FU" sheetId="2" r:id="rId5"/>
    <sheet state="visible" name="OVERVIEW GCNed" sheetId="3" r:id="rId6"/>
    <sheet state="visible" name="IC190503A" sheetId="4" r:id="rId7"/>
    <sheet state="visible" name="IC190619A" sheetId="5" r:id="rId8"/>
    <sheet state="visible" name="IC190730A" sheetId="6" r:id="rId9"/>
    <sheet state="visible" name="IC190922B" sheetId="7" r:id="rId10"/>
    <sheet state="visible" name="IC191001A" sheetId="8" r:id="rId11"/>
    <sheet state="visible" name="IC200107A" sheetId="9" r:id="rId12"/>
    <sheet state="visible" name="IC200109A" sheetId="10" r:id="rId13"/>
    <sheet state="visible" name="IC200117A" sheetId="11" r:id="rId14"/>
    <sheet state="visible" name="IC200512A" sheetId="12" r:id="rId15"/>
    <sheet state="visible" name="IC200530A" sheetId="13" r:id="rId16"/>
    <sheet state="visible" name="IC200620A" sheetId="14" r:id="rId17"/>
    <sheet state="visible" name="IC200916A" sheetId="15" r:id="rId18"/>
    <sheet state="visible" name="IC200926A" sheetId="16" r:id="rId19"/>
    <sheet state="visible" name="IC200929A" sheetId="17" r:id="rId20"/>
    <sheet state="visible" name="IC201007A" sheetId="18" r:id="rId21"/>
    <sheet state="visible" name="IC201021A" sheetId="19" r:id="rId22"/>
    <sheet state="visible" name="IC201130A" sheetId="20" r:id="rId23"/>
    <sheet state="visible" name="IC201209A" sheetId="21" r:id="rId24"/>
    <sheet state="visible" name="IC201222A" sheetId="22" r:id="rId25"/>
    <sheet state="visible" name="IC210210A" sheetId="23" r:id="rId26"/>
    <sheet state="visible" name="IC210510A" sheetId="24" r:id="rId27"/>
    <sheet state="visible" name="IC210629A" sheetId="25" r:id="rId28"/>
    <sheet state="visible" name="IC210811A" sheetId="26" r:id="rId29"/>
    <sheet state="visible" name="IC210922A" sheetId="27" r:id="rId30"/>
  </sheets>
  <definedNames/>
  <calcPr/>
</workbook>
</file>

<file path=xl/sharedStrings.xml><?xml version="1.0" encoding="utf-8"?>
<sst xmlns="http://schemas.openxmlformats.org/spreadsheetml/2006/main" count="2102" uniqueCount="1053">
  <si>
    <t>OVERVIEW</t>
  </si>
  <si>
    <t>v2 alerts</t>
  </si>
  <si>
    <t>total number</t>
  </si>
  <si>
    <t>Event</t>
  </si>
  <si>
    <t>Class</t>
  </si>
  <si>
    <t>RA</t>
  </si>
  <si>
    <t>RA Unc (rectangle)</t>
  </si>
  <si>
    <t>Dec</t>
  </si>
  <si>
    <t>Dec Unc (rectangle)</t>
  </si>
  <si>
    <t>Area (rectangle)</t>
  </si>
  <si>
    <t>Observed area (from Healpix)</t>
  </si>
  <si>
    <t>Observed area (corrected for chip gaps)</t>
  </si>
  <si>
    <t>Signalness</t>
  </si>
  <si>
    <t>Energy estimate [TeV]</t>
  </si>
  <si>
    <t>Separation from gal. plane</t>
  </si>
  <si>
    <t>IC GCN</t>
  </si>
  <si>
    <t>ZTF ATEL/GCN</t>
  </si>
  <si>
    <t>Additional ZTF GCN</t>
  </si>
  <si>
    <t>IC190503A</t>
  </si>
  <si>
    <t>EHE</t>
  </si>
  <si>
    <t>[0.57, -0.77]</t>
  </si>
  <si>
    <t>[0.76, -0.7]</t>
  </si>
  <si>
    <t>https://gcn.gsfc.nasa.gov/gcn3/24378.gcn3</t>
  </si>
  <si>
    <t>http://www.astronomerstelegram.org/?read=12730</t>
  </si>
  <si>
    <t>IC190619A</t>
  </si>
  <si>
    <t>GOLD</t>
  </si>
  <si>
    <t>[4.08, -2.63]</t>
  </si>
  <si>
    <t>[1.51, -2.61]</t>
  </si>
  <si>
    <t>https://gcn.gsfc.nasa.gov/gcn3/24910.gcn3</t>
  </si>
  <si>
    <t>http://www.astronomerstelegram.org/?read=12879</t>
  </si>
  <si>
    <t>IC190730A</t>
  </si>
  <si>
    <t>[1.28, -1.43]</t>
  </si>
  <si>
    <t>[1.14, -0.89]</t>
  </si>
  <si>
    <t>https://gcn.gsfc.nasa.gov/gcn3/25225.gcn3</t>
  </si>
  <si>
    <t>http://www.astronomerstelegram.org/?read=12974</t>
  </si>
  <si>
    <t>IC190922B</t>
  </si>
  <si>
    <t>[1.19, -1.37]</t>
  </si>
  <si>
    <t>[0.93, -0.82]</t>
  </si>
  <si>
    <t>https://gcn.gsfc.nasa.gov/gcn3/25806.gcn3</t>
  </si>
  <si>
    <t>https://gcn.gsfc.nasa.gov/gcn3/25824.gcn3</t>
  </si>
  <si>
    <t>IC191001A</t>
  </si>
  <si>
    <t>[6.56, -2.26]</t>
  </si>
  <si>
    <t>[1.5, -1.47]</t>
  </si>
  <si>
    <t>https://gcn.gsfc.nasa.gov/gcn3/25913.gcn3</t>
  </si>
  <si>
    <t>https://gcn.gsfc.nasa.gov/gcn3/25929.gcn3</t>
  </si>
  <si>
    <t>IC200107A</t>
  </si>
  <si>
    <t>EXTRA</t>
  </si>
  <si>
    <t>[2.2, -1.83]</t>
  </si>
  <si>
    <t>[1.1, -1.22]</t>
  </si>
  <si>
    <t>https://gcn.gsfc.nasa.gov/gcn3/26655.gcn3</t>
  </si>
  <si>
    <t>https://gcn.gsfc.nasa.gov/gcn3/26667.gcn3</t>
  </si>
  <si>
    <t>IC200109A</t>
  </si>
  <si>
    <t>[4.94, -4.19]</t>
  </si>
  <si>
    <t>[1.16, -1.36]</t>
  </si>
  <si>
    <t>https://gcn.gsfc.nasa.gov/gcn3/26696.gcn3</t>
  </si>
  <si>
    <t>https://gcn.gsfc.nasa.gov/gcn3/26747.gcn3</t>
  </si>
  <si>
    <t>IC200117A</t>
  </si>
  <si>
    <t>BRONZE</t>
  </si>
  <si>
    <t>[0.71, -1.24]</t>
  </si>
  <si>
    <t>[0.9, -0.78]</t>
  </si>
  <si>
    <t>https://gcn.gsfc.nasa.gov/gcn3/26802.gcn3</t>
  </si>
  <si>
    <t>https://gcn.gsfc.nasa.gov/gcn3/26813.gcn3</t>
  </si>
  <si>
    <t>https://gcn.gsfc.nasa.gov/gcn3/26816.gcn3</t>
  </si>
  <si>
    <t>IC200512A</t>
  </si>
  <si>
    <t>[1.72, -2.26]</t>
  </si>
  <si>
    <t>[1.26, -1.29]</t>
  </si>
  <si>
    <t>https://gcn.gsfc.nasa.gov/gcn3/27719.gcn3</t>
  </si>
  <si>
    <t>https://gcn.gsfc.nasa.gov/gcn3/27721.gcn3</t>
  </si>
  <si>
    <t>IC200530A</t>
  </si>
  <si>
    <t>[2.48, -2.56]</t>
  </si>
  <si>
    <t>[2.33, -3.28]</t>
  </si>
  <si>
    <t>https://gcn.gsfc.nasa.gov/gcn3/27865.gcn3</t>
  </si>
  <si>
    <t>https://gcn.gsfc.nasa.gov/gcn3/27872.gcn3</t>
  </si>
  <si>
    <t>https://gcn.gsfc.nasa.gov/gcn3/27910.gcn3</t>
  </si>
  <si>
    <t>https://gcn.gsfc.nasa.gov/gcn3/27980.gcn3</t>
  </si>
  <si>
    <t>IC200620A</t>
  </si>
  <si>
    <t>[0.64, -0.95]</t>
  </si>
  <si>
    <t>[0.63, -0.48]</t>
  </si>
  <si>
    <t>https://gcn.gsfc.nasa.gov/gcn3/27997.gcn3</t>
  </si>
  <si>
    <t>https://gcn.gsfc.nasa.gov/gcn3/28005.gcn3</t>
  </si>
  <si>
    <t>IC200916A</t>
  </si>
  <si>
    <t>[1.08, -1.44]</t>
  </si>
  <si>
    <t>[0.88, -0.85]</t>
  </si>
  <si>
    <t>https://gcn.gsfc.nasa.gov/gcn3/28433.gcn3</t>
  </si>
  <si>
    <t>https://gcn.gsfc.nasa.gov/gcn3/28441.gcn3</t>
  </si>
  <si>
    <t>https://gcn.gsfc.nasa.gov/gcn3/28465.gcn3</t>
  </si>
  <si>
    <t>IC200926A</t>
  </si>
  <si>
    <t>[0.73, -0.55]</t>
  </si>
  <si>
    <t>[0.61, -0.76]</t>
  </si>
  <si>
    <t>https://gcn.gsfc.nasa.gov/gcn3/28504.gcn3</t>
  </si>
  <si>
    <t>https://gcn.gsfc.nasa.gov/gcn3/28520.gcn3</t>
  </si>
  <si>
    <t>IC200929A</t>
  </si>
  <si>
    <t>[0.53, -0.53]</t>
  </si>
  <si>
    <t>[0.71, -0.35]</t>
  </si>
  <si>
    <t>https://gcn.gsfc.nasa.gov/gcn3/28532.gcn3</t>
  </si>
  <si>
    <t>https://gcn.gsfc.nasa.gov/gcn3/28551.gcn3</t>
  </si>
  <si>
    <t>IC201007A</t>
  </si>
  <si>
    <t>[0.52, -0.52]</t>
  </si>
  <si>
    <t>[0.32, -0.23]</t>
  </si>
  <si>
    <t>https://gcn.gsfc.nasa.gov/gcn3/28575.gcn3</t>
  </si>
  <si>
    <t>https://gcn.gsfc.nasa.gov/gcn3/28609.gcn3</t>
  </si>
  <si>
    <t>IC201021A</t>
  </si>
  <si>
    <t>[1.73, -1.68]</t>
  </si>
  <si>
    <t>[1.35, -0.74]</t>
  </si>
  <si>
    <t>https://gcn.gsfc.nasa.gov/gcn3/28715.gcn3</t>
  </si>
  <si>
    <t>https://gcn.gsfc.nasa.gov/gcn3/28757.gcn3</t>
  </si>
  <si>
    <t>IC201130A</t>
  </si>
  <si>
    <t>[1.13, -1.31]</t>
  </si>
  <si>
    <t>[1.15, -1.13]</t>
  </si>
  <si>
    <t>https://gcn.gsfc.nasa.gov/gcn3/28969.gcn3</t>
  </si>
  <si>
    <t>https://gcn.gsfc.nasa.gov/gcn3/28989.gcn3</t>
  </si>
  <si>
    <t>IC201209A</t>
  </si>
  <si>
    <t>[1.02, -1.22]</t>
  </si>
  <si>
    <t>[0.99, -1.14]</t>
  </si>
  <si>
    <t>https://gcn.gsfc.nasa.gov/gcn3/29012.gcn3</t>
  </si>
  <si>
    <t>https://gcn.gsfc.nasa.gov/gcn3/29031.gcn3</t>
  </si>
  <si>
    <t>IC201222A</t>
  </si>
  <si>
    <t>[0.9, -0.8]</t>
  </si>
  <si>
    <t>[0.55, -0.38]</t>
  </si>
  <si>
    <t>https://gcn.gsfc.nasa.gov/gcn3/29120.gcn3</t>
  </si>
  <si>
    <t>https://gcn.gsfc.nasa.gov/gcn3/29172.gcn3</t>
  </si>
  <si>
    <t>IC210210A</t>
  </si>
  <si>
    <t>[1.4, -0.95]</t>
  </si>
  <si>
    <t>[0.62, -0.56]</t>
  </si>
  <si>
    <t>https://gcn.gsfc.nasa.gov/gcn3/29454.gcn3</t>
  </si>
  <si>
    <t>https://gcn.gsfc.nasa.gov/gcn3/29461.gcn3</t>
  </si>
  <si>
    <t>IC210510A</t>
  </si>
  <si>
    <t>[1.47, -1.6]</t>
  </si>
  <si>
    <t>[0.68, -0.64]</t>
  </si>
  <si>
    <t>https://gcn.gsfc.nasa.gov/gcn3/29976.gcn3</t>
  </si>
  <si>
    <t>https://gcn.gsfc.nasa.gov/gcn3/29999.gcn3</t>
  </si>
  <si>
    <t>IC210629A</t>
  </si>
  <si>
    <t>[1.11, -2.23]</t>
  </si>
  <si>
    <t>[0.91, -0.93]</t>
  </si>
  <si>
    <t>https://gcn.gsfc.nasa.gov/gcn3/30342.gcn3</t>
  </si>
  <si>
    <t>https://gcn.gsfc.nasa.gov/gcn3/30349.gcn3</t>
  </si>
  <si>
    <t>IC210811A</t>
  </si>
  <si>
    <t>[1.07, -1.08]</t>
  </si>
  <si>
    <t>[0.79, -0.84]</t>
  </si>
  <si>
    <t>https://gcn.gsfc.nasa.gov/gcn3/30627.gcn3</t>
  </si>
  <si>
    <t>https://gcn.gsfc.nasa.gov/gcn3/30644.gcn3</t>
  </si>
  <si>
    <t>IC210922A</t>
  </si>
  <si>
    <t>[0.96, -0.66]</t>
  </si>
  <si>
    <t>[0.42, -0.55]</t>
  </si>
  <si>
    <t>https://gcn.gsfc.nasa.gov/gcn3/30862.gcn3</t>
  </si>
  <si>
    <t>https://gcn.gsfc.nasa.gov/gcn3/30870.gcn3</t>
  </si>
  <si>
    <t>ALL</t>
  </si>
  <si>
    <t>OVERVIEW NOT FOLLOWED UP</t>
  </si>
  <si>
    <t>TOTAL</t>
  </si>
  <si>
    <t>v2 ALERTS (since 17/06/2019)</t>
  </si>
  <si>
    <t>Rejection reason</t>
  </si>
  <si>
    <t>Code</t>
  </si>
  <si>
    <t>Rejection Summary</t>
  </si>
  <si>
    <t>Counts</t>
  </si>
  <si>
    <t>Percent</t>
  </si>
  <si>
    <t>IC160427A</t>
  </si>
  <si>
    <t>HESE</t>
  </si>
  <si>
    <t>[0.6, -0.6]</t>
  </si>
  <si>
    <t>Pre-ZTF</t>
  </si>
  <si>
    <t>Pre-ZTF (0)</t>
  </si>
  <si>
    <t>IC160731A</t>
  </si>
  <si>
    <t>HESE+EHE</t>
  </si>
  <si>
    <t>[0.75, -0.75]</t>
  </si>
  <si>
    <t>Alert retraction (1)</t>
  </si>
  <si>
    <t>IC160806A</t>
  </si>
  <si>
    <t>[0.5, 0.5]</t>
  </si>
  <si>
    <t xml:space="preserve">[0.5, -0.5] </t>
  </si>
  <si>
    <t>Proximity to sun (2)</t>
  </si>
  <si>
    <t>IC160814A</t>
  </si>
  <si>
    <t>[2.43, -3.03]</t>
  </si>
  <si>
    <t>[1.39, -1.21]</t>
  </si>
  <si>
    <t>Telescope Maintenance (3)</t>
  </si>
  <si>
    <t>IC161103A</t>
  </si>
  <si>
    <t>[1.10, -0.70]</t>
  </si>
  <si>
    <t>[1.10, -0.65]</t>
  </si>
  <si>
    <t>Poor Signalness and Localization (4)</t>
  </si>
  <si>
    <t>IC161210A</t>
  </si>
  <si>
    <t>[1.10, -1.00]</t>
  </si>
  <si>
    <t>[0.45, -0.40]</t>
  </si>
  <si>
    <t>Southern Sky (5)</t>
  </si>
  <si>
    <t>IC170312A</t>
  </si>
  <si>
    <t>[0.5, -0.5]</t>
  </si>
  <si>
    <t>Low Altitude (6)</t>
  </si>
  <si>
    <t>IC170321A</t>
  </si>
  <si>
    <t>[1.2, -1.2]</t>
  </si>
  <si>
    <t>Bad Weather (7)</t>
  </si>
  <si>
    <t>IC170506A</t>
  </si>
  <si>
    <t>[3.0, -3.0]</t>
  </si>
  <si>
    <t>[2.0, -2.0]</t>
  </si>
  <si>
    <t>Alert retraction</t>
  </si>
  <si>
    <t>Separation from galactic plane (8)</t>
  </si>
  <si>
    <t>IC170922A</t>
  </si>
  <si>
    <t>[0.95, -0.65]</t>
  </si>
  <si>
    <t>[0.50, 0.30]</t>
  </si>
  <si>
    <t>IC171015A</t>
  </si>
  <si>
    <t>[2.60, -1.70]</t>
  </si>
  <si>
    <t>[1.60, -2.00]</t>
  </si>
  <si>
    <t>Total followed up:</t>
  </si>
  <si>
    <t>IC171028A</t>
  </si>
  <si>
    <t xml:space="preserve">Total not followed up: </t>
  </si>
  <si>
    <t>IC171106A</t>
  </si>
  <si>
    <t>[0.7, -0.5]</t>
  </si>
  <si>
    <t>[0.35, -0.25]</t>
  </si>
  <si>
    <t>Total Neutrinos:</t>
  </si>
  <si>
    <t>IC180423A</t>
  </si>
  <si>
    <t>IC180908A</t>
  </si>
  <si>
    <t>[1.55, -1.45]</t>
  </si>
  <si>
    <t>[0.9, -1.2]</t>
  </si>
  <si>
    <t>Proximity to sun</t>
  </si>
  <si>
    <t>IC181014A</t>
  </si>
  <si>
    <t>[1.4, -2.85]</t>
  </si>
  <si>
    <t>[1.15, -1.85]</t>
  </si>
  <si>
    <t>IC181023A</t>
  </si>
  <si>
    <t>[2.0, -1.7]</t>
  </si>
  <si>
    <t>[1.25, -1.3]</t>
  </si>
  <si>
    <t>Telescope Maintenance</t>
  </si>
  <si>
    <t>IC181031A</t>
  </si>
  <si>
    <t>IC190104A</t>
  </si>
  <si>
    <t>[2.3, -2.1]</t>
  </si>
  <si>
    <t>[2.2, -2.5]</t>
  </si>
  <si>
    <t>Southern Sky</t>
  </si>
  <si>
    <t>IC190124A</t>
  </si>
  <si>
    <t>[0.8, -0.9]</t>
  </si>
  <si>
    <t>[0.7, -0.7]</t>
  </si>
  <si>
    <t>IC190205A</t>
  </si>
  <si>
    <t>IC190221A</t>
  </si>
  <si>
    <t>[1.2,-1.8]</t>
  </si>
  <si>
    <t>[1.3, -0.5]</t>
  </si>
  <si>
    <t>Poor Signalness and Localization</t>
  </si>
  <si>
    <t>IC190331A</t>
  </si>
  <si>
    <t>[0.23, -0.34]</t>
  </si>
  <si>
    <t>[0.3, -0.48]</t>
  </si>
  <si>
    <t>IC190504A</t>
  </si>
  <si>
    <t>IC190529A</t>
  </si>
  <si>
    <t>IC190629A</t>
  </si>
  <si>
    <t>[4.95, -3.13]</t>
  </si>
  <si>
    <t>IC190704A</t>
  </si>
  <si>
    <t>[2.16, -4.33]</t>
  </si>
  <si>
    <t>[1.81, -1.83]</t>
  </si>
  <si>
    <t>IC190712A</t>
  </si>
  <si>
    <t>[5.09, -6.83]</t>
  </si>
  <si>
    <t>[4.48, -3.44]</t>
  </si>
  <si>
    <t>IC190819A</t>
  </si>
  <si>
    <t>[2.07, -3.24]</t>
  </si>
  <si>
    <t>[1.0, -0.75]</t>
  </si>
  <si>
    <t>IC190922A</t>
  </si>
  <si>
    <t>[3.4, -2.63]</t>
  </si>
  <si>
    <t>[2.88, -2.89]</t>
  </si>
  <si>
    <t>IC191119A</t>
  </si>
  <si>
    <t>[4.76, -6.48]</t>
  </si>
  <si>
    <t>[3.36, -2.09]</t>
  </si>
  <si>
    <t>IC191122A</t>
  </si>
  <si>
    <t>[1.7, -2.9]</t>
  </si>
  <si>
    <t>[1.17, -1.49]</t>
  </si>
  <si>
    <t>IC191204A</t>
  </si>
  <si>
    <t>[3.2, -1.74]</t>
  </si>
  <si>
    <t>[1.12, -1.23]</t>
  </si>
  <si>
    <t>IC191215A</t>
  </si>
  <si>
    <t>[2.88, -3.19]</t>
  </si>
  <si>
    <t>[1.85, -2.25]</t>
  </si>
  <si>
    <t>Low Altitude</t>
  </si>
  <si>
    <t>IC191231A</t>
  </si>
  <si>
    <t>[4.27, -3.47]</t>
  </si>
  <si>
    <t>[2.11, -2.8]</t>
  </si>
  <si>
    <t>IC200120A</t>
  </si>
  <si>
    <t>IC200227A</t>
  </si>
  <si>
    <t>IC200410A</t>
  </si>
  <si>
    <t>[14.05, -13.35]</t>
  </si>
  <si>
    <t>[7.87, -6.21]</t>
  </si>
  <si>
    <t>IC200421A</t>
  </si>
  <si>
    <t>[3.44,-2.83]</t>
  </si>
  <si>
    <t>[2.09, -1.84]</t>
  </si>
  <si>
    <t>IC200425A</t>
  </si>
  <si>
    <t>[4.67, -3.14]</t>
  </si>
  <si>
    <t>[2.45, -1.6]</t>
  </si>
  <si>
    <t>IC200523A</t>
  </si>
  <si>
    <t>[10.77, -6.07]</t>
  </si>
  <si>
    <t>[1.84, -3.54]</t>
  </si>
  <si>
    <t>IC200614A</t>
  </si>
  <si>
    <t>[4.77, -6.39]</t>
  </si>
  <si>
    <t>[2.75, -2.28]</t>
  </si>
  <si>
    <t>IC200615A</t>
  </si>
  <si>
    <t>[1.18, -1.45]</t>
  </si>
  <si>
    <t>[1.19, -1.06]</t>
  </si>
  <si>
    <t>IC200728A</t>
  </si>
  <si>
    <t>IC200806A</t>
  </si>
  <si>
    <t>[1.21, -0.89]</t>
  </si>
  <si>
    <t>[0.65, -0.64]</t>
  </si>
  <si>
    <t>IC200911A</t>
  </si>
  <si>
    <t>[4.42, -11.01]</t>
  </si>
  <si>
    <t>[2.35, -1.99]</t>
  </si>
  <si>
    <t>IC200921A</t>
  </si>
  <si>
    <t>[2.35, -1.73]</t>
  </si>
  <si>
    <t>[1.51, -1.77]</t>
  </si>
  <si>
    <t>IC200926B</t>
  </si>
  <si>
    <t>[3.64, -1.55]</t>
  </si>
  <si>
    <t>[1.15, -0.91]</t>
  </si>
  <si>
    <t>IC201014A</t>
  </si>
  <si>
    <t>[0.67, -0.46]</t>
  </si>
  <si>
    <t>IC201114A</t>
  </si>
  <si>
    <t>[1.28, -1.12]</t>
  </si>
  <si>
    <t>[0.95, -0.95]</t>
  </si>
  <si>
    <t>Separation from galactic plane</t>
  </si>
  <si>
    <t>IC201115A</t>
  </si>
  <si>
    <t>[1.27, -1.49]</t>
  </si>
  <si>
    <t>[1.3, -1.11]</t>
  </si>
  <si>
    <t>IC201115B</t>
  </si>
  <si>
    <t>IC201120A</t>
  </si>
  <si>
    <t>[5.34, -5.59]</t>
  </si>
  <si>
    <t>[4.97, -2.8]</t>
  </si>
  <si>
    <t>IC201221A</t>
  </si>
  <si>
    <t>[2.29, -2.5]</t>
  </si>
  <si>
    <t>[1.29, -1.2]</t>
  </si>
  <si>
    <t>IC210213A</t>
  </si>
  <si>
    <t>IC210322A</t>
  </si>
  <si>
    <t>IC210503A</t>
  </si>
  <si>
    <t>[7.71, -5.16]</t>
  </si>
  <si>
    <t>[5.02, -5.68]</t>
  </si>
  <si>
    <t>IC210516A</t>
  </si>
  <si>
    <t>[1.05, -0.97]</t>
  </si>
  <si>
    <t>[0.5, -0.58]</t>
  </si>
  <si>
    <t>IC210519A</t>
  </si>
  <si>
    <t>IC210608A</t>
  </si>
  <si>
    <t>[4.89, -11.64]</t>
  </si>
  <si>
    <t>[3.75, -3.24]</t>
  </si>
  <si>
    <t>IC210717A</t>
  </si>
  <si>
    <t>[2.40, -2.57]</t>
  </si>
  <si>
    <t>[2.63, -3.41]</t>
  </si>
  <si>
    <t>n/a</t>
  </si>
  <si>
    <t>IC210730A</t>
  </si>
  <si>
    <t>[2.00, -1.85]</t>
  </si>
  <si>
    <t>[0.91, -0.86]</t>
  </si>
  <si>
    <t>IC211023A</t>
  </si>
  <si>
    <t>[1.05, -1.08]</t>
  </si>
  <si>
    <t>[1.16, -1.11]</t>
  </si>
  <si>
    <t>IC211116A</t>
  </si>
  <si>
    <t>[1.39, -1.50]</t>
  </si>
  <si>
    <t>[0.98, -0.94]</t>
  </si>
  <si>
    <t>IC211117A</t>
  </si>
  <si>
    <t>[0.51, -0.51]</t>
  </si>
  <si>
    <t>IC211123A</t>
  </si>
  <si>
    <t>[3.14, -2.84]</t>
  </si>
  <si>
    <t>[2.38, -2.48]</t>
  </si>
  <si>
    <t>IC211125A</t>
  </si>
  <si>
    <t>[3.13, -2.71]</t>
  </si>
  <si>
    <t>[1.54, -2.53]</t>
  </si>
  <si>
    <t>IC211208A</t>
  </si>
  <si>
    <t>[2.82, -2.50]</t>
  </si>
  <si>
    <t>[1.81, -1.39]</t>
  </si>
  <si>
    <t>OVERVIEW OF GCNed CANDIDATES</t>
  </si>
  <si>
    <t>IceCube event</t>
  </si>
  <si>
    <t>IceCube GCN</t>
  </si>
  <si>
    <t>Our ATel(s)/GCN(s)</t>
  </si>
  <si>
    <t>sep. from plane</t>
  </si>
  <si>
    <t>Candidate Names</t>
  </si>
  <si>
    <t>Candidate IAU Names</t>
  </si>
  <si>
    <t>Classification</t>
  </si>
  <si>
    <t>Max Brightness g</t>
  </si>
  <si>
    <t>Max brightness r</t>
  </si>
  <si>
    <t>Brightness at neutrino arrival g</t>
  </si>
  <si>
    <t>Brightness at neutrino arrival r</t>
  </si>
  <si>
    <t>number of detection days</t>
  </si>
  <si>
    <t>Fritz Link</t>
  </si>
  <si>
    <t>Notes</t>
  </si>
  <si>
    <t>SUMMARY</t>
  </si>
  <si>
    <t>ZTF18actxchc</t>
  </si>
  <si>
    <t>AGN</t>
  </si>
  <si>
    <t>&gt;20</t>
  </si>
  <si>
    <t>Total number of reported candidates</t>
  </si>
  <si>
    <t>CDF</t>
  </si>
  <si>
    <t>PDF</t>
  </si>
  <si>
    <t>ZTF19aaycool</t>
  </si>
  <si>
    <t>https://fritz.science/source/ZTF19aaycool</t>
  </si>
  <si>
    <t>Average Max Brightness</t>
  </si>
  <si>
    <t>Max Brightness</t>
  </si>
  <si>
    <t>Bin entries</t>
  </si>
  <si>
    <t>ZTF18aaqnqzx</t>
  </si>
  <si>
    <t>PKS 1502+106</t>
  </si>
  <si>
    <t>FSRQ</t>
  </si>
  <si>
    <t>http://www.astronomerstelegram.org/?read=13125</t>
  </si>
  <si>
    <t>ZTF19abxtupj</t>
  </si>
  <si>
    <t>AT 2019pqh</t>
  </si>
  <si>
    <t>II/IIb</t>
  </si>
  <si>
    <t>https://fritz.science/source/ZTF19abxtupj</t>
  </si>
  <si>
    <t>IIb, spectrum by NOT and us (Keck)</t>
  </si>
  <si>
    <t>http://www.astronomerstelegram.org/?read=13160</t>
  </si>
  <si>
    <t>ZTF19abzkexb</t>
  </si>
  <si>
    <t>AT2019qhl</t>
  </si>
  <si>
    <t>Ia</t>
  </si>
  <si>
    <t>https://fritz.science/source/ZTF19abzkexb</t>
  </si>
  <si>
    <t>Caltech-classified</t>
  </si>
  <si>
    <t>ZTF19acbpqfn</t>
  </si>
  <si>
    <t>AT2019rsj</t>
  </si>
  <si>
    <t>???</t>
  </si>
  <si>
    <t>https://fritz.science/source/ZTF19acbpqfn</t>
  </si>
  <si>
    <t>Likely real</t>
  </si>
  <si>
    <t>ZTF19acbxbjq</t>
  </si>
  <si>
    <t>AT2019rsk</t>
  </si>
  <si>
    <t>https://fritz.science/source/ZTF19acbxbjq</t>
  </si>
  <si>
    <t>Likely real, rising!</t>
  </si>
  <si>
    <t>ZTF19aapreis</t>
  </si>
  <si>
    <t>AT2019dsg</t>
  </si>
  <si>
    <t>TDE</t>
  </si>
  <si>
    <t>https://fritz.science/source/ZTF19aapreis</t>
  </si>
  <si>
    <t>150 days old. Radio-detected. Swift+VLA triggered.</t>
  </si>
  <si>
    <t>ZTF19acmwlds</t>
  </si>
  <si>
    <t>AT 2019yfm</t>
  </si>
  <si>
    <t>https://fritz.science/source/ZTF19acmwlds</t>
  </si>
  <si>
    <t>Found by PS1. Probably real. high photo-z (0.227 +/- 0.050) , giving -20.5 -&gt; I am guessing that this would be compatible with SN given error? 2 sigma bounds are (-21.26 and -19.23)</t>
  </si>
  <si>
    <t>ZTF20aaeuufe</t>
  </si>
  <si>
    <t xml:space="preserve">AT 2019yii </t>
  </si>
  <si>
    <t>https://fritz.science/source/ZTF20aaeuufe</t>
  </si>
  <si>
    <t>Found by PS1. Probably real. Far from host (photo-z 0.16 +/- 0.04) --&gt; absmag -18.7 -&gt; Likely SN</t>
  </si>
  <si>
    <t>ZTF20aaevfwa</t>
  </si>
  <si>
    <t>AT 2019zxa</t>
  </si>
  <si>
    <t>https://fritz.science/source/ZTF20aaevfwa</t>
  </si>
  <si>
    <t>Spec_z of ~0.1, would be -18, prime SN territory --&gt; include</t>
  </si>
  <si>
    <t>ZTF20aaevgvt</t>
  </si>
  <si>
    <t>AT 2020uw</t>
  </si>
  <si>
    <t>https://fritz.science/source/ZTF20aaevgvt</t>
  </si>
  <si>
    <t>Looks real-ish. No host but detected twice 3 days apart. Interesting and would perhaps be rising. --&gt; include</t>
  </si>
  <si>
    <t>Average Maximum Brightness</t>
  </si>
  <si>
    <t>ZTF20aaevfth</t>
  </si>
  <si>
    <t>AT 2020ux</t>
  </si>
  <si>
    <t>https://fritz.science/source/ZTF20aaevfth</t>
  </si>
  <si>
    <t>photo-z 0.03, would be -13.7 (SDSS phot-z = 0.57) Probably wrong due to nearby galaxies?</t>
  </si>
  <si>
    <t>ZTF19acxopgh</t>
  </si>
  <si>
    <t>AT 2019zyu</t>
  </si>
  <si>
    <t>https://fritz.science/source/ZTF19acxopgh</t>
  </si>
  <si>
    <t>SN / TDE?</t>
  </si>
  <si>
    <t>ZTF20aaglixd</t>
  </si>
  <si>
    <t>AT 2020agt</t>
  </si>
  <si>
    <t>https://fritz.science/source/ZTF20aaglixd</t>
  </si>
  <si>
    <t>young SN?</t>
  </si>
  <si>
    <t>ZTF19aatubsj</t>
  </si>
  <si>
    <t>SN 2019fdr</t>
  </si>
  <si>
    <t>NLS1</t>
  </si>
  <si>
    <t>https://fritz.science/source/ZTF19aatubsj</t>
  </si>
  <si>
    <t>very promising, giant AGN flare of new type</t>
  </si>
  <si>
    <t>ZTF20abbpkpa</t>
  </si>
  <si>
    <t>AT 2020lam</t>
  </si>
  <si>
    <t>SN II</t>
  </si>
  <si>
    <t>https://fritz.science/source/ZTF20abbpkpa</t>
  </si>
  <si>
    <t>no sign for interaction, RULED OUT BY SPECTRO</t>
  </si>
  <si>
    <t>ZTF20abdnpdo</t>
  </si>
  <si>
    <t>AT 2020lls</t>
  </si>
  <si>
    <t>SN Ic</t>
  </si>
  <si>
    <t>https://fritz.science/source/ZTF20abdnpdo</t>
  </si>
  <si>
    <t>no sign for interaction (explosion days before neutrino, possible optical pre-detection in forced photometry)</t>
  </si>
  <si>
    <t>ZTF20abdnowp</t>
  </si>
  <si>
    <t>AT2020llo</t>
  </si>
  <si>
    <t>1 prior detection, fading</t>
  </si>
  <si>
    <t>ZTF20abdnoxm</t>
  </si>
  <si>
    <t xml:space="preserve"> AT 2020llp</t>
  </si>
  <si>
    <t>?</t>
  </si>
  <si>
    <t xml:space="preserve">NOT AN AGN, several old detections in FP, consistent with SN post-peak </t>
  </si>
  <si>
    <t>ZTF20abdnpbp</t>
  </si>
  <si>
    <t>AT2020llr</t>
  </si>
  <si>
    <t>infant SN?</t>
  </si>
  <si>
    <t>looks nuclear, absmag is -20, first detection 1 day prior to neutrino</t>
  </si>
  <si>
    <t>ZTF20abdnpbq</t>
  </si>
  <si>
    <t>AT 2020lpw</t>
  </si>
  <si>
    <t>30 days activity prior</t>
  </si>
  <si>
    <t>Brightness @ nu arrival</t>
  </si>
  <si>
    <t>Bin eintries</t>
  </si>
  <si>
    <t>ZTF20abdnpbu</t>
  </si>
  <si>
    <t>AT 2020lpx</t>
  </si>
  <si>
    <t>fading, only visible in g</t>
  </si>
  <si>
    <t>ZTF20aawyens</t>
  </si>
  <si>
    <t>AT 2020lpp</t>
  </si>
  <si>
    <t>AGN??</t>
  </si>
  <si>
    <t>looks a bit weird, prior detections, could be nuclear</t>
  </si>
  <si>
    <t>ZTF20aaxcdok</t>
  </si>
  <si>
    <t>AT 2020lpq</t>
  </si>
  <si>
    <t>SN?</t>
  </si>
  <si>
    <t>40 day old detections in all bands, fading</t>
  </si>
  <si>
    <t>ZTF20abaofgz</t>
  </si>
  <si>
    <t>AT 2020lpr</t>
  </si>
  <si>
    <t>AGN?</t>
  </si>
  <si>
    <t>Very faint host</t>
  </si>
  <si>
    <t>ZTF20abdnoyu</t>
  </si>
  <si>
    <t>AT 2020lps</t>
  </si>
  <si>
    <t>2 detections in g, none prior to neutrino, faint host</t>
  </si>
  <si>
    <t>ZTF20abdnpae</t>
  </si>
  <si>
    <t>AT 2020lpt</t>
  </si>
  <si>
    <t>ZTF20abdqzkq</t>
  </si>
  <si>
    <t>AT 2020lpu</t>
  </si>
  <si>
    <t>2 detections in g, none prior to neutrino, rising?</t>
  </si>
  <si>
    <t>ZTF20abdrnlg</t>
  </si>
  <si>
    <t>AT 2020lpv</t>
  </si>
  <si>
    <t>2 detections in r, 1 prior to neutrino</t>
  </si>
  <si>
    <t>ZTF20abgvabi</t>
  </si>
  <si>
    <t>AT 2020ncr</t>
  </si>
  <si>
    <t>https://fritz.science/source/ZTF20abgvabi</t>
  </si>
  <si>
    <t>SDSS photoz 0.51, unclear what it is - SLSN? Abs. mag -21.7</t>
  </si>
  <si>
    <t>ZTF18acvhwtf</t>
  </si>
  <si>
    <t>AT 2020ncs</t>
  </si>
  <si>
    <t>Sy1</t>
  </si>
  <si>
    <t>no flaring activity</t>
  </si>
  <si>
    <t>ZTF20acaapwk</t>
  </si>
  <si>
    <t>AT2020tno</t>
  </si>
  <si>
    <t>SN Ia</t>
  </si>
  <si>
    <t>https://fritz.science/source/ZTF20acaapwk</t>
  </si>
  <si>
    <t>GCNed, rising after 1 day, retraction GCNed, first detection on Marshal!</t>
  </si>
  <si>
    <t>ZTF20acaapwo</t>
  </si>
  <si>
    <t>AT2020tnp</t>
  </si>
  <si>
    <t>https://fritz.science/source/ZTF20acaapwo</t>
  </si>
  <si>
    <t>GCNed, constant after 1 day, first detection on Marshal!</t>
  </si>
  <si>
    <t>ZTF18adbbnry</t>
  </si>
  <si>
    <t>AT2020tnn</t>
  </si>
  <si>
    <t>probably AGN</t>
  </si>
  <si>
    <t>history of variability, faint variable detection in PS1</t>
  </si>
  <si>
    <t>ZTF20acmxnpa</t>
  </si>
  <si>
    <t>AT2020ybb</t>
  </si>
  <si>
    <t>https://fritz.science/source/ZTF20acmxnpa</t>
  </si>
  <si>
    <t>predetections 9 days prior to neutrino --&gt; SN IIn ??</t>
  </si>
  <si>
    <t>ZTF21aajxjrv</t>
  </si>
  <si>
    <t>https://fritz.science/source/ZTF21aajxjrv</t>
  </si>
  <si>
    <t>young transient? GCNed</t>
  </si>
  <si>
    <t>ZTF21aajxjry</t>
  </si>
  <si>
    <t>https://fritz.science/source/ZTF21aajxjry</t>
  </si>
  <si>
    <t>ZTF21abecljv</t>
  </si>
  <si>
    <t>https://fritz.science/source/ZTF21abecljv</t>
  </si>
  <si>
    <t>maybe TDE, probably AGN</t>
  </si>
  <si>
    <t>ZTF20abjezpo</t>
  </si>
  <si>
    <t>https://fritz.science/source/ZTF20abjezpo</t>
  </si>
  <si>
    <t>boring</t>
  </si>
  <si>
    <t>ZTF21absmcwm</t>
  </si>
  <si>
    <t>https://fritz.science/source/ZTF21absmcwm</t>
  </si>
  <si>
    <t>Original GCN:</t>
  </si>
  <si>
    <t>Response:</t>
  </si>
  <si>
    <t>sep from plane</t>
  </si>
  <si>
    <t>Transients:</t>
  </si>
  <si>
    <t>Name</t>
  </si>
  <si>
    <t>IAU Name</t>
  </si>
  <si>
    <t>max brightness</t>
  </si>
  <si>
    <t>max range</t>
  </si>
  <si>
    <t>Catalogue Name</t>
  </si>
  <si>
    <t>Distance</t>
  </si>
  <si>
    <t>ZTF19aatqcwq</t>
  </si>
  <si>
    <t>AGN Variability</t>
  </si>
  <si>
    <t>Likely QSO (prob = 99.0%), No significant temporal evolution</t>
  </si>
  <si>
    <t>20.6 (g)</t>
  </si>
  <si>
    <t>0.2 (g)</t>
  </si>
  <si>
    <t>SDSS J080209.58+070006.2</t>
  </si>
  <si>
    <t>ZTF19aatqlwq</t>
  </si>
  <si>
    <t>21.2 (r)</t>
  </si>
  <si>
    <t>SDSS J080049.29+060042.5</t>
  </si>
  <si>
    <t>ZTF18abolwbb</t>
  </si>
  <si>
    <t>QX, No significant temporal evolution</t>
  </si>
  <si>
    <t>19.4 (r)</t>
  </si>
  <si>
    <t>1.1 (g)</t>
  </si>
  <si>
    <t>LAMOSTJ225850.59+081426.4</t>
  </si>
  <si>
    <t>ZTF18abueqkl</t>
  </si>
  <si>
    <t>AT2020kqj</t>
  </si>
  <si>
    <t>19.3 (g)</t>
  </si>
  <si>
    <t>1.2 (r)</t>
  </si>
  <si>
    <t>WISEA J224411.16+081751.2</t>
  </si>
  <si>
    <t>ZTF18acehkni</t>
  </si>
  <si>
    <t>No significant temporal evolution</t>
  </si>
  <si>
    <t>1.3 (r)</t>
  </si>
  <si>
    <t>Likely QSO (prob = 94.0%), No contemporaneous flaring activity</t>
  </si>
  <si>
    <t>18.0 (g)</t>
  </si>
  <si>
    <t>2.3 (g)</t>
  </si>
  <si>
    <t>WISEA J230443.58+121210.3</t>
  </si>
  <si>
    <t>ZTF19aadaszg</t>
  </si>
  <si>
    <t>SN2019rg</t>
  </si>
  <si>
    <t>15.9 (r)</t>
  </si>
  <si>
    <t>5.0 (r)</t>
  </si>
  <si>
    <t>ZTF19aawnawu</t>
  </si>
  <si>
    <t>AGN Variability?</t>
  </si>
  <si>
    <t>20.0 (g)</t>
  </si>
  <si>
    <t>1.0 (g)</t>
  </si>
  <si>
    <t>ZTF19aaycone</t>
  </si>
  <si>
    <t>Likely QSO (prob = 99.0%),  no contemporaneous flaring activity</t>
  </si>
  <si>
    <t>17.9 (g)</t>
  </si>
  <si>
    <t>2.7 (g)</t>
  </si>
  <si>
    <t>SDSS J224429.63+083423.9</t>
  </si>
  <si>
    <t>Likely QSO (prob = 99.0%), no significant temporal evolution</t>
  </si>
  <si>
    <t>20.3 (g)</t>
  </si>
  <si>
    <t>0.4 (g)</t>
  </si>
  <si>
    <t>WISEA J230053.10+102715.2</t>
  </si>
  <si>
    <t>ZTF19aaycosc</t>
  </si>
  <si>
    <t>19.3 (r)</t>
  </si>
  <si>
    <t>1.2 (g)</t>
  </si>
  <si>
    <t>WISEA J224657.13+102253.5</t>
  </si>
  <si>
    <t>ZTF19aaycoxd</t>
  </si>
  <si>
    <t>Likely QSO (prob = 93.0%), no significant temporal evolution</t>
  </si>
  <si>
    <t>0.5 (g)</t>
  </si>
  <si>
    <t>WISEA J230813.32+083310.3</t>
  </si>
  <si>
    <t>ZTF19abahiwr</t>
  </si>
  <si>
    <t>AT2019izf</t>
  </si>
  <si>
    <t>Unclassified</t>
  </si>
  <si>
    <t>SN? Abs mag peak of -19.4</t>
  </si>
  <si>
    <t>19.5 (r)</t>
  </si>
  <si>
    <t>1.0 (r)</t>
  </si>
  <si>
    <t>ZTF19abahiya</t>
  </si>
  <si>
    <t>19.6 (r)</t>
  </si>
  <si>
    <t>0.8 (r)</t>
  </si>
  <si>
    <t>ZTF19abahizn</t>
  </si>
  <si>
    <t>19.7 (g)</t>
  </si>
  <si>
    <t>ZTF19abahjcp</t>
  </si>
  <si>
    <t>20.2 (g)</t>
  </si>
  <si>
    <t>0.6 (g)</t>
  </si>
  <si>
    <t>ZTF19abahlep</t>
  </si>
  <si>
    <t>Hostless, two detections</t>
  </si>
  <si>
    <t>20.8 (r)</t>
  </si>
  <si>
    <t>0.0 (r)</t>
  </si>
  <si>
    <t>ZTF19abahlka</t>
  </si>
  <si>
    <t>Likely QSO (prob = 96.0%), No contemporaneous flaring activity</t>
  </si>
  <si>
    <t>19.8 (i)</t>
  </si>
  <si>
    <t>1.3 (g)</t>
  </si>
  <si>
    <t>WISEA J230807.46+091325.0</t>
  </si>
  <si>
    <t>ZTF19abajnby</t>
  </si>
  <si>
    <t>QR'-type source, no significant temporal evolution</t>
  </si>
  <si>
    <t>20.0 (r)</t>
  </si>
  <si>
    <t>0.7 (r)</t>
  </si>
  <si>
    <t>LAMOSTJ225304.02+095743.0</t>
  </si>
  <si>
    <t>ZTF19aanlzzk</t>
  </si>
  <si>
    <t>Artifact</t>
  </si>
  <si>
    <t>Bad sub, SDSS Morphology: 'Star'-type source</t>
  </si>
  <si>
    <t>13.8 (g)</t>
  </si>
  <si>
    <t>1.5 (g)</t>
  </si>
  <si>
    <t>Icecube GCN</t>
  </si>
  <si>
    <t>Our ATel</t>
  </si>
  <si>
    <t>ZTF18acekfly</t>
  </si>
  <si>
    <t>AT2019kkd</t>
  </si>
  <si>
    <t>AGN Variability (FP)</t>
  </si>
  <si>
    <t>AX'-type source, variable, NCFA in forced photometry</t>
  </si>
  <si>
    <t>18.5 (r)</t>
  </si>
  <si>
    <t>2.0 (r)</t>
  </si>
  <si>
    <t>MCG 0-02-020</t>
  </si>
  <si>
    <t>ZTF19abcejyp</t>
  </si>
  <si>
    <t>AT2019kkp</t>
  </si>
  <si>
    <t>SN II/IIb</t>
  </si>
  <si>
    <t>20.3 (r)</t>
  </si>
  <si>
    <t>ZTF18ablvxkp</t>
  </si>
  <si>
    <t>Likely QSO (prob = 100.0%), No contemporaneous flaring activity</t>
  </si>
  <si>
    <t>1.6 (r)</t>
  </si>
  <si>
    <t>WISEA J210459.52+131416.4</t>
  </si>
  <si>
    <t>ZTF18absoqfm</t>
  </si>
  <si>
    <t>Likely QSO (prob = 90.0%), No contemporaneous flaring activity</t>
  </si>
  <si>
    <t>19.0 (g)</t>
  </si>
  <si>
    <t>1.9 (g)</t>
  </si>
  <si>
    <t>WISEA J212205.01+135754.8</t>
  </si>
  <si>
    <t>17.8 (g)</t>
  </si>
  <si>
    <t>2.1 (g)</t>
  </si>
  <si>
    <t>ZTF19abassjx</t>
  </si>
  <si>
    <t>Likely QSO (prob = 85.0%), NCFA in forced photometry</t>
  </si>
  <si>
    <t>19.4 (i)</t>
  </si>
  <si>
    <t>WISEA J205314.58+125218.9</t>
  </si>
  <si>
    <t>ZTF19abcdynm</t>
  </si>
  <si>
    <t>No significant temporal evolution, No contemporanous flaring activity</t>
  </si>
  <si>
    <t>20.5 (g)</t>
  </si>
  <si>
    <t>ZTF19abexshr</t>
  </si>
  <si>
    <t>No significant temporal evolution, NCFA in forced photometry</t>
  </si>
  <si>
    <t>20.2 (r)</t>
  </si>
  <si>
    <t>0.9 (r)</t>
  </si>
  <si>
    <t>ZTF19abjfikj</t>
  </si>
  <si>
    <t>Found in GW follow-up. Faint. No contemporaneous flaring activity</t>
  </si>
  <si>
    <t>20.9 (g)</t>
  </si>
  <si>
    <t>ZTF19abjflnc</t>
  </si>
  <si>
    <t>Likely QSO (prob = 97.0%), No significant temporal evolution, No contemporaneous flariring activity</t>
  </si>
  <si>
    <t>19.2 (i)</t>
  </si>
  <si>
    <t>SDSS J211737.70+130833.3</t>
  </si>
  <si>
    <t>ZTF19abjflrg</t>
  </si>
  <si>
    <t>21.3 (g)</t>
  </si>
  <si>
    <t>ZTF19abjfmem</t>
  </si>
  <si>
    <t>Likely QSO (prob = 96.0%), No significant temporal evolution</t>
  </si>
  <si>
    <t>21.5 (g)</t>
  </si>
  <si>
    <t>WISEA J211501.94+132137.9</t>
  </si>
  <si>
    <t>ZTF19abwaurq</t>
  </si>
  <si>
    <t>Looks real, Lasair says Gaia star</t>
  </si>
  <si>
    <t>SN2019qhl</t>
  </si>
  <si>
    <t>SNIa</t>
  </si>
  <si>
    <t>Caltech-classified, SDSS Morphology: 'Star'-type source</t>
  </si>
  <si>
    <t>18.9 (g)</t>
  </si>
  <si>
    <t>20.4 (g)</t>
  </si>
  <si>
    <t>ZTF19acbpqui</t>
  </si>
  <si>
    <t>ZTF19acbwpqs</t>
  </si>
  <si>
    <t>No significant temporal evolution, No contemporaneous flaring activity</t>
  </si>
  <si>
    <t>19.9 (g)</t>
  </si>
  <si>
    <t>ZTF19acbxahc</t>
  </si>
  <si>
    <t>Probably real</t>
  </si>
  <si>
    <t>21.1 (g)</t>
  </si>
  <si>
    <t>0.1 (g)</t>
  </si>
  <si>
    <t>ZTF19acbxanz</t>
  </si>
  <si>
    <t>Likely real, SDSS host galaxy, faint</t>
  </si>
  <si>
    <t>20.6 (r)</t>
  </si>
  <si>
    <t>ZTF19acbxaqj</t>
  </si>
  <si>
    <t>20.5 (r)</t>
  </si>
  <si>
    <t>0.0 (g)</t>
  </si>
  <si>
    <t>ZTF19acbxauk</t>
  </si>
  <si>
    <t>Possibly real</t>
  </si>
  <si>
    <t>20.8 (g)</t>
  </si>
  <si>
    <t>ZTF19accnqlc</t>
  </si>
  <si>
    <t>0.2 (r)</t>
  </si>
  <si>
    <t>Our GCN</t>
  </si>
  <si>
    <t>ZTF18aaidhnq</t>
  </si>
  <si>
    <t>AX'-type source, NCFA in forced photometry</t>
  </si>
  <si>
    <t>18.1 (r)</t>
  </si>
  <si>
    <t>CGCG 67-27</t>
  </si>
  <si>
    <t>ZTF18aceykyg</t>
  </si>
  <si>
    <t>QX'-type source, NCFA in forced photometry</t>
  </si>
  <si>
    <t>SDSS J105752.69+105037.9</t>
  </si>
  <si>
    <t>ZTF18adgvgdk</t>
  </si>
  <si>
    <t>AR'-type source, NCFA in forced photometry</t>
  </si>
  <si>
    <t>NPM 1G+12.0265</t>
  </si>
  <si>
    <t>ZTF19aangwsm</t>
  </si>
  <si>
    <t xml:space="preserve">Artifact
</t>
  </si>
  <si>
    <t>SDSS galaxy, seems offset, No significant temporal evolution</t>
  </si>
  <si>
    <t>19.8 (g)</t>
  </si>
  <si>
    <t>ZTF19aapsgtb</t>
  </si>
  <si>
    <t xml:space="preserve">AGN Variability (FP)
</t>
  </si>
  <si>
    <t>Q'-type source, NCFA in forced photometry</t>
  </si>
  <si>
    <t>18.8 (r)</t>
  </si>
  <si>
    <t>SDSS J104431.98+110105.6</t>
  </si>
  <si>
    <t>ZTF19aarohku</t>
  </si>
  <si>
    <t>Classified QSO Broad Line as redshift 0.2, 'QRX'-type source, No significant temporal evolution, No contemporaneous flaring activity</t>
  </si>
  <si>
    <t>19.8 (r)</t>
  </si>
  <si>
    <t>0.9 (g)</t>
  </si>
  <si>
    <t>SDSS J111018.12+104619.5</t>
  </si>
  <si>
    <t>Faint galaxy, detected by PS1, significant fading, SLSN?</t>
  </si>
  <si>
    <t>ZTF19adcdxgc</t>
  </si>
  <si>
    <t>Classified QSO Broad Line as redshift 0.17, 'Q'-type source, No significant temporal evolution, No contemporaneous flaring activity</t>
  </si>
  <si>
    <t>19.6 (g)</t>
  </si>
  <si>
    <t>0.8 (g)</t>
  </si>
  <si>
    <t>SDSS J111208.32+104841.1</t>
  </si>
  <si>
    <t>ZTF20aaeunmm</t>
  </si>
  <si>
    <t>Likely QSO (prob = 99.0%), No significant temporal evolution, No contemporaneous flaring activity</t>
  </si>
  <si>
    <t>0.7 (g)</t>
  </si>
  <si>
    <t>SDSS J110358.97+113632.4</t>
  </si>
  <si>
    <t>Hostless, Found by PS1. Probably real. Far from host (photo-z 0.16 +/- 0.04) --&gt; absmag -18.7 -&gt; Likely SN</t>
  </si>
  <si>
    <t>20.4 (r)</t>
  </si>
  <si>
    <t>0.4 (r)</t>
  </si>
  <si>
    <t>ZTF20aaevfrv</t>
  </si>
  <si>
    <t>Star</t>
  </si>
  <si>
    <t>SDSS Star</t>
  </si>
  <si>
    <t>20.7 (g)</t>
  </si>
  <si>
    <t>Bogus?</t>
  </si>
  <si>
    <t>21.2 (g)</t>
  </si>
  <si>
    <t>Offset from host, probs not real...</t>
  </si>
  <si>
    <t>0.6 (r)</t>
  </si>
  <si>
    <t>Bogus? not very gaussian..., rb&lt;0.5</t>
  </si>
  <si>
    <t>ZTF20aagvvve</t>
  </si>
  <si>
    <t>Hostless. Bogus? rb = 0.3... Very clear in cutout though</t>
  </si>
  <si>
    <t>19.7 (r)</t>
  </si>
  <si>
    <t>0.1 (r)</t>
  </si>
  <si>
    <t>ZTF20aagvvvh</t>
  </si>
  <si>
    <t>Hostless, rising</t>
  </si>
  <si>
    <t>0.3 (r)</t>
  </si>
  <si>
    <t>ZTF20aagvvvk</t>
  </si>
  <si>
    <t>19.9 (r)</t>
  </si>
  <si>
    <t>ZTF20aagvvvn</t>
  </si>
  <si>
    <t>ZTF20aagwcup</t>
  </si>
  <si>
    <t>AT2020dtc</t>
  </si>
  <si>
    <t>No significant temporal evolution, star nearby poorly subtracted</t>
  </si>
  <si>
    <t>ZTF20aagwcuq</t>
  </si>
  <si>
    <t>Clear in image, hostless, no significant temporal evolution</t>
  </si>
  <si>
    <t>ZTF20aagwcuu</t>
  </si>
  <si>
    <t>ZTF20aagwcuv</t>
  </si>
  <si>
    <t>ZTF20aagxfta</t>
  </si>
  <si>
    <t>0.3 (g)</t>
  </si>
  <si>
    <t>Our GCNs</t>
  </si>
  <si>
    <t>SDSS Galaxy, good transient, nuclear</t>
  </si>
  <si>
    <t>1.6 (g)</t>
  </si>
  <si>
    <t>ZTF19adceqeb</t>
  </si>
  <si>
    <t>Q'-type source, No significant temporal evolution, No contemporaneous flaring activity</t>
  </si>
  <si>
    <t>SDSS J074432.96+295654.5</t>
  </si>
  <si>
    <t>ZTF20aacztcp</t>
  </si>
  <si>
    <t>AT2020ko</t>
  </si>
  <si>
    <t>QX'-type source, No signficant temporal evolution, No contemporaneous flaring activity</t>
  </si>
  <si>
    <t>19.0 (r)</t>
  </si>
  <si>
    <t>1WGA J0745.0+2926</t>
  </si>
  <si>
    <t>SDSS galaxy, young SN?</t>
  </si>
  <si>
    <t>Sep from plane</t>
  </si>
  <si>
    <t>ZTF18aazvbyj</t>
  </si>
  <si>
    <t>17.5 (r)</t>
  </si>
  <si>
    <t>1.7 (g)</t>
  </si>
  <si>
    <t>ZTF18abjnqos</t>
  </si>
  <si>
    <t>Gorgeous periodic star</t>
  </si>
  <si>
    <t>12.9 (r)</t>
  </si>
  <si>
    <t>5.6 (r)</t>
  </si>
  <si>
    <t>ZTF18abmfxbh</t>
  </si>
  <si>
    <t>star</t>
  </si>
  <si>
    <t>ZTF18abmfzmm</t>
  </si>
  <si>
    <t>17.1 (r)</t>
  </si>
  <si>
    <t>ZTF19acgpzgi</t>
  </si>
  <si>
    <t>15.5 (g)</t>
  </si>
  <si>
    <t>ZTF20aazqsfe</t>
  </si>
  <si>
    <t>ZTF18aaimsgg</t>
  </si>
  <si>
    <t>AT2018lnq</t>
  </si>
  <si>
    <t>Bad Sub</t>
  </si>
  <si>
    <t>16.6 (r)</t>
  </si>
  <si>
    <t>2.0 (g)</t>
  </si>
  <si>
    <t>ZTF18aamjqes</t>
  </si>
  <si>
    <t>AT2020llg</t>
  </si>
  <si>
    <t>SDSS Galaxy, small flux increase, no significant temporal evolution, history of variability, NCFA in forced photometry</t>
  </si>
  <si>
    <t>16.9 (r)</t>
  </si>
  <si>
    <t>2.6 (r)</t>
  </si>
  <si>
    <t>ZTF18aaneyxs</t>
  </si>
  <si>
    <t>Bad Sub, star (gaia)</t>
  </si>
  <si>
    <t>14.6 (r)</t>
  </si>
  <si>
    <t>3.2 (g)</t>
  </si>
  <si>
    <t>ZTF18aavecmo</t>
  </si>
  <si>
    <t>AT2020llh</t>
  </si>
  <si>
    <t>SDSS Galaxy, Likely QSO (prob = 88.0%), crazy lightcurve!</t>
  </si>
  <si>
    <t>19.6 (i)</t>
  </si>
  <si>
    <t>WISEA J170539.32+273641.2</t>
  </si>
  <si>
    <t>ZTF18aazkjyd</t>
  </si>
  <si>
    <t>14.7 (r)</t>
  </si>
  <si>
    <t>ZTF18abrwqpr</t>
  </si>
  <si>
    <t>AT2020lli</t>
  </si>
  <si>
    <t>Likely QSO (prob = 99.0%), crazy lightcurve!</t>
  </si>
  <si>
    <t>WISEA J165707.06+234643.8</t>
  </si>
  <si>
    <t>ZTF19aaonfhr</t>
  </si>
  <si>
    <t>AT2020llj</t>
  </si>
  <si>
    <t>SDSS Galaxy, no significant temporal variability, No contemporaneous flaring activity</t>
  </si>
  <si>
    <t>ZTF19aascfca</t>
  </si>
  <si>
    <t>Likely QSO (prob = 97.0%), No significant temporal variability, No contemporaneous flaring activity</t>
  </si>
  <si>
    <t>SDSS J165249.20+280943.5</t>
  </si>
  <si>
    <t>ZTF19aascffj</t>
  </si>
  <si>
    <t>blended? No significant temporal variability, No contemporaneous flaring activity</t>
  </si>
  <si>
    <t>Probable TDE</t>
  </si>
  <si>
    <t>17.9 (i)</t>
  </si>
  <si>
    <t>3.3 (g)</t>
  </si>
  <si>
    <t>ZTF19abregmj</t>
  </si>
  <si>
    <t>AT2020llk</t>
  </si>
  <si>
    <t>Likely QSO (prob = 100.0%), No significant temporal variability, No contemporaneous flaring activity</t>
  </si>
  <si>
    <t>WISEA J170115.27+282236.8</t>
  </si>
  <si>
    <t>ZTF20aaifyfd</t>
  </si>
  <si>
    <t>AT2020lll</t>
  </si>
  <si>
    <t>No significant temporal variability, No contemporaneous flaring activity</t>
  </si>
  <si>
    <t>ZTF20aaifyrs</t>
  </si>
  <si>
    <t>SN2020awa</t>
  </si>
  <si>
    <t>17.0 (r)</t>
  </si>
  <si>
    <t>4.2 (g)</t>
  </si>
  <si>
    <t>ZTF20aarbktd</t>
  </si>
  <si>
    <t>SN2020djn</t>
  </si>
  <si>
    <t>Not significantly bright (-17) so no evidence of CSM-interaction, Peaked three months before neutrino</t>
  </si>
  <si>
    <t>18.0 (i)</t>
  </si>
  <si>
    <t>2.3 (r)</t>
  </si>
  <si>
    <t>ZTF20aavnpug</t>
  </si>
  <si>
    <t>AT2020idu</t>
  </si>
  <si>
    <t>Dwarf Nova</t>
  </si>
  <si>
    <t>Source: 2020ATel13680....1I</t>
  </si>
  <si>
    <t>15.9 (i)</t>
  </si>
  <si>
    <t>5.1 (g)</t>
  </si>
  <si>
    <t>AT2020lpp</t>
  </si>
  <si>
    <t>A'-type source, QSO Broadline, no significant temporal variability, No contemporaneous flaring activity</t>
  </si>
  <si>
    <t>19.7 (i)</t>
  </si>
  <si>
    <t>2MASX J16564334+2541369</t>
  </si>
  <si>
    <t>AT2020lpq</t>
  </si>
  <si>
    <t>SDSS Galaxy, Offset from host, probable supernova?</t>
  </si>
  <si>
    <t>20.1 (r)</t>
  </si>
  <si>
    <t>1.5 (r)</t>
  </si>
  <si>
    <t>ZTF20aaxyglx</t>
  </si>
  <si>
    <t>AT2020llm</t>
  </si>
  <si>
    <t>Likely QSO (prob = 93.0%), No significant temporal variability, No contemporaneous flaring activity</t>
  </si>
  <si>
    <t>WISEA J170243.61+262550.1</t>
  </si>
  <si>
    <t>AT2020lpr</t>
  </si>
  <si>
    <t>SDSS Galaxy, No significant temporal variability, No contemporaneous flaring activity</t>
  </si>
  <si>
    <t>1.4 (g)</t>
  </si>
  <si>
    <t>no sign for interaction</t>
  </si>
  <si>
    <t>18.8 (g)</t>
  </si>
  <si>
    <t>ZTF20abcnrcb</t>
  </si>
  <si>
    <t>Q'-type source, No significant temporal variability, No contemporaneous flaring activity</t>
  </si>
  <si>
    <t>SDSS J170932.21+233213.1</t>
  </si>
  <si>
    <t>ZTF20abdnovz</t>
  </si>
  <si>
    <t>21.3 (r)</t>
  </si>
  <si>
    <t>ZTF20abdnowa</t>
  </si>
  <si>
    <t>AT2020lln</t>
  </si>
  <si>
    <t>hostless, prior detections, rising. Bad sub?</t>
  </si>
  <si>
    <t xml:space="preserve">Faint, SDSS galaxy, </t>
  </si>
  <si>
    <t>ZTF20abdnowx</t>
  </si>
  <si>
    <t>Likely QSO (prob = 99.0%), No significant temporal variability, No contemporaneous flaring activity</t>
  </si>
  <si>
    <t>SDSS J165546.12+274447.8</t>
  </si>
  <si>
    <t>ZTF20abdnoxe</t>
  </si>
  <si>
    <t>WISEA J170809.83+275332.6</t>
  </si>
  <si>
    <t>AT2020llp</t>
  </si>
  <si>
    <t>Starforming Galaxy, several old detections in FP, consistent with SN post-peak with g;ade redshift (-17)</t>
  </si>
  <si>
    <t>AT2020lps</t>
  </si>
  <si>
    <t>Faint, SDSS Galaxy, faint host</t>
  </si>
  <si>
    <t>21.4 (g)</t>
  </si>
  <si>
    <t>ZTF20abdnozk</t>
  </si>
  <si>
    <t>AT2020llq</t>
  </si>
  <si>
    <t>AT2020lpt</t>
  </si>
  <si>
    <t>SDSS Galaxy, significant fading (0.3 mag/day)</t>
  </si>
  <si>
    <t>QSO Starburst Broadline, 'AX'-type source, No significant temporal variability, No contemporaneous flaring activity</t>
  </si>
  <si>
    <t>20.7 (r)</t>
  </si>
  <si>
    <t>SDSS J170435.99+235233.8</t>
  </si>
  <si>
    <t>No signficant temporal variation, No contemporaneous flaring activity</t>
  </si>
  <si>
    <t>21.0 (r)</t>
  </si>
  <si>
    <t>No significant temporal evolution. Offset?</t>
  </si>
  <si>
    <t>21.0 (g)</t>
  </si>
  <si>
    <t>no sign for interaction (explosion days before neutrino, possible optical pre-detection in forced photometry</t>
  </si>
  <si>
    <t>ZTF20abdqzjl</t>
  </si>
  <si>
    <t>ZTF20abdqzjr</t>
  </si>
  <si>
    <t>Likely QSO (prob = 97.0%), No significant temporal evolution, No contemnporaneous flaring activity</t>
  </si>
  <si>
    <t>21.1 (r)</t>
  </si>
  <si>
    <t>SDSS J165400.03+284414.2</t>
  </si>
  <si>
    <t xml:space="preserve">SDSS Galaxy, Faint host, </t>
  </si>
  <si>
    <t>ZTF20abdqzkr</t>
  </si>
  <si>
    <t>QX'-type source, No significant temporal evolution, No contemporaneous flaring activity</t>
  </si>
  <si>
    <t>SDSS J170606.15+240305.5</t>
  </si>
  <si>
    <t>ZTF20abdrnjw</t>
  </si>
  <si>
    <t>SDSS Morphology: 'Star'-type source</t>
  </si>
  <si>
    <t>AT2020lpv</t>
  </si>
  <si>
    <t xml:space="preserve">SDSS Galaxy, </t>
  </si>
  <si>
    <t>20.9 (r)</t>
  </si>
  <si>
    <t>ZTF20abdrnmp</t>
  </si>
  <si>
    <t>21.6 (r)</t>
  </si>
  <si>
    <t>SDSS J170443.58+242331.2</t>
  </si>
  <si>
    <t>Milliquas Q, No significant temporal evolution, No contemporaneous flaring activity</t>
  </si>
  <si>
    <t>SDSS J104816.25+120734.7</t>
  </si>
  <si>
    <t>ZTF18acccxxf</t>
  </si>
  <si>
    <t>SAME AS ZTF18adbbnry</t>
  </si>
  <si>
    <t>history of variability, faint variable detection in PS1, NCFA in forced photometry</t>
  </si>
  <si>
    <t>SN2020tno</t>
  </si>
  <si>
    <t>GCNed, rising after 1 day, retraction GCNed</t>
  </si>
  <si>
    <t>18.9 (r)</t>
  </si>
  <si>
    <t>ZTF20acaapwn</t>
  </si>
  <si>
    <t>fainter on day 2</t>
  </si>
  <si>
    <t>GCNed, constant after 1 day</t>
  </si>
  <si>
    <t>ZTF20acayuno</t>
  </si>
  <si>
    <t>Likely QSO (prob = 95.0%), no significant temporal evolution, No contemporaneous flaring activity</t>
  </si>
  <si>
    <t>WISEA J071801.69+135133.5</t>
  </si>
  <si>
    <t>ZTF18achvmdz</t>
  </si>
  <si>
    <t>18.9 (i)</t>
  </si>
  <si>
    <t>ZTF18acwfrle</t>
  </si>
  <si>
    <t>Bad sub?</t>
  </si>
  <si>
    <t>15.4 (g)</t>
  </si>
  <si>
    <t>2.2 (g)</t>
  </si>
  <si>
    <t>ZTF20aamoxyt</t>
  </si>
  <si>
    <t>WISE/Marshal, Interesting Lightcurve</t>
  </si>
  <si>
    <t>ZTF18abmkdiy</t>
  </si>
  <si>
    <t>AT2019cvb</t>
  </si>
  <si>
    <t>Likely QSO (prob = 87.0%). No significant temporal variability, No contemporanous flaring activity</t>
  </si>
  <si>
    <t>18.7 (i)</t>
  </si>
  <si>
    <t>WISEA J172032.08+135312.7</t>
  </si>
  <si>
    <t>ZTF20abfaado</t>
  </si>
  <si>
    <t>AT2020nbr</t>
  </si>
  <si>
    <t>looks like a variable star, PS1 history, star/galaxy score 0.8</t>
  </si>
  <si>
    <t>19.3 (i)</t>
  </si>
  <si>
    <t>ZTF20acinqzo</t>
  </si>
  <si>
    <t>Likely QSO (prob = 100.0%). No significant temporal evolution, No contemporaneous flaring activity</t>
  </si>
  <si>
    <t>WISEA J171957.03+143255.0</t>
  </si>
  <si>
    <t>Likely QSO (prob = 98.0%) (host). predetections 9 days prior to neutrino. We triggered + GCN-ed. --&gt; SN IIn ???</t>
  </si>
  <si>
    <t>WISEA J172150.78+144627.5</t>
  </si>
  <si>
    <t>ZTF17aadmvpm</t>
  </si>
  <si>
    <t>subtraction artifact</t>
  </si>
  <si>
    <t>16.1 (g)</t>
  </si>
  <si>
    <t>ZTF18abxrpgu</t>
  </si>
  <si>
    <t>AT2021ury</t>
  </si>
  <si>
    <t>AGN, not especially flaring, radio-bright, flaring?</t>
  </si>
  <si>
    <t>ZTF18achpvrl</t>
  </si>
  <si>
    <t>19.1 (r)</t>
  </si>
  <si>
    <t>ZTF19aaagxcv</t>
  </si>
  <si>
    <t>18.4 (g)</t>
  </si>
  <si>
    <t>ZTF20aceidvg</t>
  </si>
  <si>
    <t>ZTF20acmnnwf</t>
  </si>
  <si>
    <t>Likely QSO (prob = 96.0%), No significant temporal evolution, No contemporaneous flaring activity</t>
  </si>
  <si>
    <t>WISEA J020243.93-112200.5</t>
  </si>
  <si>
    <t>ZTF20acuqdeu</t>
  </si>
  <si>
    <t>AT2020aehs</t>
  </si>
  <si>
    <t>Need to see subs</t>
  </si>
  <si>
    <t>ZTF20acxbkpz</t>
  </si>
  <si>
    <t>Transient? AGN? Should do WISE colours</t>
  </si>
  <si>
    <t>ZTF18abwhosy</t>
  </si>
  <si>
    <t>Q, no significant temporal evolution, NCFA in forced photometry</t>
  </si>
  <si>
    <t>SDSS J002553.11-091252.1</t>
  </si>
  <si>
    <t>ZTF20abvxjup</t>
  </si>
  <si>
    <t>Q, no significant temporal evolution, No contemporaneous flaring activity</t>
  </si>
  <si>
    <t>SDSS J003049.23-090133.7</t>
  </si>
  <si>
    <t>ZTF20acycunv</t>
  </si>
  <si>
    <t>SN2020addp</t>
  </si>
  <si>
    <t>SN IIP</t>
  </si>
  <si>
    <t>ZTF19aaapmca</t>
  </si>
  <si>
    <t>N2X, history of variability, NCFA in forced photometry</t>
  </si>
  <si>
    <t>18.6 (r)</t>
  </si>
  <si>
    <t>4C 05.57</t>
  </si>
  <si>
    <t>ZTF19aailrrn</t>
  </si>
  <si>
    <t>A, No significant temporal evolution, No contemporaneous flaring activity</t>
  </si>
  <si>
    <t>SDSS J134752.20+044729.3</t>
  </si>
  <si>
    <t>ZTF19aasfvho</t>
  </si>
  <si>
    <t>Q, No significant temporal evolution, No contemporaneous flaring activity</t>
  </si>
  <si>
    <t>19.4 (g)</t>
  </si>
  <si>
    <t>SDSS J134655.48+041500.5</t>
  </si>
  <si>
    <t>ZTF19aasfvqm</t>
  </si>
  <si>
    <t>Q, coherent flare</t>
  </si>
  <si>
    <t>18.2 (r)</t>
  </si>
  <si>
    <t>2.2 (r)</t>
  </si>
  <si>
    <t>SDSS J134034.75+045241.3</t>
  </si>
  <si>
    <t>ZTF20aadynqa</t>
  </si>
  <si>
    <t>Likely QSO host, No significant temporal evolution, No contemporaneous flaring activity</t>
  </si>
  <si>
    <t>20.1 (g)</t>
  </si>
  <si>
    <t>WISEA J134837.32+042343.4</t>
  </si>
  <si>
    <t>ZTF20aajcpde</t>
  </si>
  <si>
    <t>Duplicate of ZTF19aasfvho? Q, No significant temporal evolution, No contemporaneous flaring activity</t>
  </si>
  <si>
    <t>19.5 (g)</t>
  </si>
  <si>
    <t>ZTF21aafmkun</t>
  </si>
  <si>
    <t>Likely QSO, No significant temporal evolution, No contemporaneous flaring activity</t>
  </si>
  <si>
    <t>SDSS J134430.39+045817.7</t>
  </si>
  <si>
    <t>ZTF21aajxjmv</t>
  </si>
  <si>
    <t>ZTF21aajxjmy</t>
  </si>
  <si>
    <t>ZTF21aajxjnb</t>
  </si>
  <si>
    <t>22.1 (g)</t>
  </si>
  <si>
    <t>SDSS J134658.52+045018.3</t>
  </si>
  <si>
    <t>ZTF21aajxjnc</t>
  </si>
  <si>
    <t>21.7 (g)</t>
  </si>
  <si>
    <t>SDSS J134522.08+050140.6</t>
  </si>
  <si>
    <t>ZTF21aajxjrn</t>
  </si>
  <si>
    <t>SDSS J134803.94+051702.4</t>
  </si>
  <si>
    <t>AT2021clu</t>
  </si>
  <si>
    <t>young transient? GCNed. SDSS Galaxy, OSIRIS spectrum taken by Jesper</t>
  </si>
  <si>
    <t>AT2021clv</t>
  </si>
  <si>
    <t>young transient? GCNed. SDSS Galaxy</t>
  </si>
  <si>
    <t>21.5 (r)</t>
  </si>
  <si>
    <t>ZTF21aajxjsa</t>
  </si>
  <si>
    <t>21.7 (r)</t>
  </si>
  <si>
    <t>SDSS J134852.73+052210.8</t>
  </si>
  <si>
    <t>ZTF21aajxkls</t>
  </si>
  <si>
    <t>SDSS J134048.85+050046.6</t>
  </si>
  <si>
    <t>ZTF21aakiqpj</t>
  </si>
  <si>
    <t>ZTF19aadzayi</t>
  </si>
  <si>
    <t>Gaia 4 sigma parallax</t>
  </si>
  <si>
    <t>15.0 (r)</t>
  </si>
  <si>
    <t>1.8 (r)</t>
  </si>
  <si>
    <t>ZTF19aawqcum</t>
  </si>
  <si>
    <t>19.1 (g)</t>
  </si>
  <si>
    <t>ZTF20abhfiyd</t>
  </si>
  <si>
    <t>SDSS Star morphology</t>
  </si>
  <si>
    <t>ZTF20acinvxv</t>
  </si>
  <si>
    <t>No significant temporal evolution, might be AGN?</t>
  </si>
  <si>
    <t>ZTF20acinwlt</t>
  </si>
  <si>
    <t>Likely QSO (prob = 99.0%)</t>
  </si>
  <si>
    <t>WISEA J175441.45+040849.1</t>
  </si>
  <si>
    <t>ZTF21aaiuekm</t>
  </si>
  <si>
    <t>SDSS Star Morphology</t>
  </si>
  <si>
    <t>https://gcn.gsfc.nasa.gov/gcn/gcn3/30349.gcn3</t>
  </si>
  <si>
    <t>https://gcn.gsfc.nasa.gov/gcn/gcn3/30419.gcn3</t>
  </si>
  <si>
    <t>ZTF18abteipt</t>
  </si>
  <si>
    <t>AT2019gnu</t>
  </si>
  <si>
    <t>Probable AGN (WISE colours). NCFA in forced photometry</t>
  </si>
  <si>
    <t>WISE J224645.73+122935.7</t>
  </si>
  <si>
    <t>AT2021osi</t>
  </si>
  <si>
    <t>Likely AGN (our Gemini spectrum). No significant temporal evolution. No contemporaneous flaring activity</t>
  </si>
  <si>
    <t>ZTF21abllruf</t>
  </si>
  <si>
    <t>Star. Subtraction artifact</t>
  </si>
  <si>
    <t>17.5 (i)</t>
  </si>
  <si>
    <t>Star?</t>
  </si>
  <si>
    <t>1.1 (r)</t>
  </si>
  <si>
    <t>SDSS J180116.94+243524.8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</si>
</sst>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7">
    <font>
      <sz val="10.0"/>
      <color rgb="FF000000"/>
      <name val="Arial"/>
    </font>
    <font>
      <b/>
      <color theme="1"/>
      <name val="Arial"/>
    </font>
    <font>
      <sz val="11.0"/>
      <color theme="1"/>
      <name val="Arial"/>
    </font>
    <font>
      <color theme="1"/>
      <name val="Arial"/>
    </font>
    <font>
      <sz val="10.0"/>
      <color theme="1"/>
      <name val="Arial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1155CC"/>
      <name val="&quot;Arial&quot;"/>
    </font>
    <font>
      <color rgb="FF1D1C1D"/>
      <name val="&quot;Arial&quot;"/>
    </font>
    <font>
      <sz val="10.0"/>
      <color rgb="FF1D1C1D"/>
      <name val="Arial"/>
    </font>
    <font>
      <color rgb="FF000000"/>
      <name val="Arial"/>
    </font>
    <font>
      <u/>
      <color rgb="FF000000"/>
      <name val="Roboto"/>
    </font>
    <font>
      <sz val="9.0"/>
      <color rgb="FF1D1C1D"/>
      <name val="Monaco"/>
    </font>
    <font>
      <sz val="10.0"/>
      <color rgb="FF999999"/>
      <name val="Arial"/>
    </font>
    <font>
      <color rgb="FF999999"/>
      <name val="Arial"/>
    </font>
    <font>
      <color rgb="FF999999"/>
      <name val="&quot;Arial&quot;"/>
    </font>
    <font>
      <sz val="10.0"/>
      <color rgb="FFFF0000"/>
      <name val="Arial"/>
    </font>
    <font>
      <color rgb="FFFF0000"/>
      <name val="&quot;Arial&quot;"/>
    </font>
    <font>
      <color rgb="FFFF0000"/>
      <name val="Arial"/>
    </font>
    <font>
      <b/>
      <color rgb="FF000000"/>
      <name val="Arial"/>
    </font>
    <font>
      <b/>
      <sz val="11.0"/>
      <color rgb="FF000000"/>
      <name val="Arial"/>
    </font>
    <font>
      <u/>
      <color rgb="FF1155CC"/>
      <name val="Arial"/>
    </font>
    <font>
      <sz val="10.0"/>
      <color rgb="FF1D1C1D"/>
      <name val="Slack-Lato"/>
    </font>
    <font>
      <b/>
      <sz val="10.0"/>
      <color theme="1"/>
      <name val="Arial"/>
    </font>
    <font>
      <u/>
      <color rgb="FF0000FF"/>
    </font>
    <font>
      <sz val="9.0"/>
      <color rgb="FF000000"/>
      <name val="Serif"/>
    </font>
    <font/>
    <font>
      <sz val="10.0"/>
      <color rgb="FF222222"/>
      <name val="Arial"/>
    </font>
    <font>
      <u/>
      <color rgb="FF0000FF"/>
    </font>
    <font>
      <sz val="10.0"/>
      <color rgb="FF000000"/>
      <name val="Serif"/>
    </font>
    <font>
      <u/>
      <sz val="10.0"/>
      <color rgb="FF1155CC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2200FF"/>
      <name val="Serif"/>
    </font>
    <font>
      <u/>
      <color rgb="FF000000"/>
      <name val="Arial"/>
    </font>
    <font>
      <u/>
      <color rgb="FF1155CC"/>
      <name val="Arial"/>
    </font>
    <font>
      <u/>
      <color rgb="FF2200FF"/>
      <name val="Serif"/>
    </font>
    <font>
      <u/>
      <color rgb="FF000000"/>
      <name val="Arial"/>
    </font>
    <font>
      <u/>
      <color rgb="FF1155CC"/>
      <name val="Arial"/>
    </font>
    <font>
      <u/>
      <color rgb="FF000000"/>
      <name val="Serif"/>
    </font>
    <font>
      <sz val="11.0"/>
      <color rgb="FF000000"/>
      <name val="Inconsolata"/>
    </font>
    <font>
      <u/>
      <color rgb="FF0000FF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z val="11.0"/>
      <color rgb="FF1D1C1D"/>
      <name val="Arial"/>
    </font>
    <font>
      <u/>
      <color rgb="FF1155CC"/>
      <name val="Arial"/>
    </font>
    <font>
      <u/>
      <sz val="11.0"/>
      <color rgb="FF1155CC"/>
      <name val="&quot;Google Sans&quot;"/>
    </font>
    <font>
      <u/>
      <color rgb="FF0000FF"/>
      <name val="Arial"/>
    </font>
    <font>
      <sz val="11.0"/>
      <color theme="1"/>
      <name val="Sans-serif"/>
    </font>
    <font>
      <u/>
      <color rgb="FF0000FF"/>
      <name val="Arial"/>
    </font>
    <font>
      <u/>
      <color rgb="FF0000FF"/>
    </font>
    <font>
      <u/>
      <color rgb="FF1155CC"/>
    </font>
    <font>
      <color rgb="FF000000"/>
      <name val="&quot;Arial&quot;"/>
    </font>
    <font>
      <u/>
      <color rgb="FF1155CC"/>
      <name val="Arial"/>
    </font>
    <font>
      <color theme="1"/>
      <name val="'DejaVuSerif'"/>
    </font>
    <font>
      <u/>
      <color rgb="FF2200FF"/>
      <name val="Arial"/>
    </font>
    <font>
      <u/>
      <color rgb="FF2200FF"/>
      <name val="Serif"/>
    </font>
    <font>
      <u/>
      <color rgb="FF000000"/>
      <name val="Serif"/>
    </font>
    <font>
      <u/>
      <color rgb="FF1155CC"/>
      <name val="Arial"/>
    </font>
    <font>
      <u/>
      <color rgb="FF1155CC"/>
      <name val="Arial"/>
    </font>
    <font>
      <color rgb="FF000000"/>
      <name val="'Arial'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</fills>
  <borders count="7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3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Font="1"/>
    <xf borderId="0" fillId="2" fontId="4" numFmtId="0" xfId="0" applyAlignment="1" applyFont="1">
      <alignment horizontal="left" readingOrder="0"/>
    </xf>
    <xf borderId="0" fillId="3" fontId="3" numFmtId="4" xfId="0" applyAlignment="1" applyFill="1" applyFont="1" applyNumberFormat="1">
      <alignment readingOrder="0"/>
    </xf>
    <xf borderId="0" fillId="2" fontId="3" numFmtId="4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4" xfId="0" applyFont="1" applyNumberForma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3" numFmtId="10" xfId="0" applyFont="1" applyNumberFormat="1"/>
    <xf borderId="0" fillId="0" fontId="15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vertical="bottom"/>
    </xf>
    <xf borderId="0" fillId="0" fontId="22" numFmtId="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right" readingOrder="0"/>
    </xf>
    <xf borderId="0" fillId="0" fontId="23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20" numFmtId="0" xfId="0" applyAlignment="1" applyFont="1">
      <alignment horizontal="left"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2" fontId="4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0" fontId="18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2" fontId="24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25" numFmtId="0" xfId="0" applyAlignment="1" applyFont="1">
      <alignment readingOrder="0"/>
    </xf>
    <xf borderId="0" fillId="4" fontId="4" numFmtId="0" xfId="0" applyFill="1" applyFont="1"/>
    <xf borderId="0" fillId="0" fontId="1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4" numFmtId="0" xfId="0" applyFont="1"/>
    <xf borderId="2" fillId="0" fontId="25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4" fontId="25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/>
    </xf>
    <xf borderId="2" fillId="0" fontId="1" numFmtId="0" xfId="0" applyBorder="1" applyFont="1"/>
    <xf borderId="0" fillId="0" fontId="1" numFmtId="0" xfId="0" applyFont="1"/>
    <xf borderId="0" fillId="5" fontId="3" numFmtId="0" xfId="0" applyAlignment="1" applyFill="1" applyFont="1">
      <alignment readingOrder="0"/>
    </xf>
    <xf borderId="0" fillId="5" fontId="26" numFmtId="0" xfId="0" applyAlignment="1" applyFont="1">
      <alignment readingOrder="0"/>
    </xf>
    <xf borderId="0" fillId="5" fontId="27" numFmtId="0" xfId="0" applyAlignment="1" applyFont="1">
      <alignment readingOrder="0"/>
    </xf>
    <xf borderId="0" fillId="5" fontId="3" numFmtId="0" xfId="0" applyFont="1"/>
    <xf borderId="4" fillId="0" fontId="1" numFmtId="0" xfId="0" applyAlignment="1" applyBorder="1" applyFont="1">
      <alignment readingOrder="0"/>
    </xf>
    <xf borderId="5" fillId="2" fontId="3" numFmtId="0" xfId="0" applyBorder="1" applyFont="1"/>
    <xf borderId="5" fillId="0" fontId="1" numFmtId="0" xfId="0" applyAlignment="1" applyBorder="1" applyFont="1">
      <alignment horizontal="center" readingOrder="0"/>
    </xf>
    <xf borderId="5" fillId="0" fontId="28" numFmtId="0" xfId="0" applyBorder="1" applyFont="1"/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3" fillId="0" fontId="3" numFmtId="0" xfId="0" applyBorder="1" applyFont="1"/>
    <xf borderId="5" fillId="5" fontId="29" numFmtId="0" xfId="0" applyAlignment="1" applyBorder="1" applyFont="1">
      <alignment readingOrder="0"/>
    </xf>
    <xf borderId="5" fillId="5" fontId="30" numFmtId="0" xfId="0" applyAlignment="1" applyBorder="1" applyFont="1">
      <alignment readingOrder="0"/>
    </xf>
    <xf borderId="5" fillId="5" fontId="3" numFmtId="0" xfId="0" applyAlignment="1" applyBorder="1" applyFont="1">
      <alignment readingOrder="0"/>
    </xf>
    <xf borderId="5" fillId="5" fontId="4" numFmtId="0" xfId="0" applyAlignment="1" applyBorder="1" applyFont="1">
      <alignment readingOrder="0"/>
    </xf>
    <xf borderId="5" fillId="5" fontId="31" numFmtId="0" xfId="0" applyAlignment="1" applyBorder="1" applyFont="1">
      <alignment readingOrder="0"/>
    </xf>
    <xf borderId="5" fillId="5" fontId="3" numFmtId="0" xfId="0" applyBorder="1" applyFont="1"/>
    <xf borderId="0" fillId="5" fontId="12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32" numFmtId="0" xfId="0" applyAlignment="1" applyFont="1">
      <alignment readingOrder="0"/>
    </xf>
    <xf borderId="0" fillId="6" fontId="4" numFmtId="0" xfId="0" applyAlignment="1" applyFill="1" applyFont="1">
      <alignment vertical="bottom"/>
    </xf>
    <xf borderId="0" fillId="6" fontId="33" numFmtId="0" xfId="0" applyAlignment="1" applyFont="1">
      <alignment vertical="bottom"/>
    </xf>
    <xf borderId="0" fillId="6" fontId="3" numFmtId="0" xfId="0" applyAlignment="1" applyFont="1">
      <alignment readingOrder="0"/>
    </xf>
    <xf borderId="0" fillId="6" fontId="3" numFmtId="0" xfId="0" applyFont="1"/>
    <xf borderId="0" fillId="6" fontId="34" numFmtId="0" xfId="0" applyAlignment="1" applyFont="1">
      <alignment readingOrder="0"/>
    </xf>
    <xf borderId="0" fillId="6" fontId="35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7" fontId="36" numFmtId="0" xfId="0" applyAlignment="1" applyFont="1">
      <alignment readingOrder="0"/>
    </xf>
    <xf borderId="0" fillId="7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7" fontId="3" numFmtId="0" xfId="0" applyAlignment="1" applyFont="1">
      <alignment readingOrder="0"/>
    </xf>
    <xf borderId="0" fillId="7" fontId="37" numFmtId="0" xfId="0" applyAlignment="1" applyFont="1">
      <alignment readingOrder="0" vertical="bottom"/>
    </xf>
    <xf borderId="0" fillId="7" fontId="38" numFmtId="0" xfId="0" applyAlignment="1" applyFont="1">
      <alignment vertical="bottom"/>
    </xf>
    <xf borderId="0" fillId="5" fontId="4" numFmtId="0" xfId="0" applyFont="1"/>
    <xf borderId="0" fillId="8" fontId="4" numFmtId="0" xfId="0" applyAlignment="1" applyFill="1" applyFont="1">
      <alignment vertical="bottom"/>
    </xf>
    <xf borderId="0" fillId="8" fontId="39" numFmtId="0" xfId="0" applyAlignment="1" applyFont="1">
      <alignment readingOrder="0"/>
    </xf>
    <xf borderId="0" fillId="8" fontId="3" numFmtId="0" xfId="0" applyAlignment="1" applyFont="1">
      <alignment vertical="bottom"/>
    </xf>
    <xf borderId="0" fillId="8" fontId="3" numFmtId="0" xfId="0" applyAlignment="1" applyFont="1">
      <alignment readingOrder="0" vertical="bottom"/>
    </xf>
    <xf borderId="0" fillId="8" fontId="3" numFmtId="0" xfId="0" applyAlignment="1" applyFont="1">
      <alignment readingOrder="0"/>
    </xf>
    <xf borderId="0" fillId="8" fontId="40" numFmtId="0" xfId="0" applyAlignment="1" applyFont="1">
      <alignment readingOrder="0" vertical="bottom"/>
    </xf>
    <xf borderId="0" fillId="8" fontId="41" numFmtId="0" xfId="0" applyAlignment="1" applyFont="1">
      <alignment vertical="bottom"/>
    </xf>
    <xf borderId="0" fillId="8" fontId="42" numFmtId="0" xfId="0" applyAlignment="1" applyFont="1">
      <alignment readingOrder="0"/>
    </xf>
    <xf borderId="0" fillId="8" fontId="3" numFmtId="0" xfId="0" applyFont="1"/>
    <xf borderId="0" fillId="8" fontId="12" numFmtId="0" xfId="0" applyAlignment="1" applyFont="1">
      <alignment readingOrder="0" vertical="bottom"/>
    </xf>
    <xf borderId="0" fillId="6" fontId="12" numFmtId="0" xfId="0" applyAlignment="1" applyFont="1">
      <alignment readingOrder="0" vertical="bottom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6" fillId="8" fontId="3" numFmtId="0" xfId="0" applyAlignment="1" applyBorder="1" applyFont="1">
      <alignment shrinkToFit="0" vertical="bottom" wrapText="0"/>
    </xf>
    <xf borderId="0" fillId="8" fontId="4" numFmtId="0" xfId="0" applyAlignment="1" applyFont="1">
      <alignment vertical="bottom"/>
    </xf>
    <xf borderId="0" fillId="8" fontId="12" numFmtId="0" xfId="0" applyAlignment="1" applyFont="1">
      <alignment vertical="bottom"/>
    </xf>
    <xf borderId="0" fillId="0" fontId="43" numFmtId="0" xfId="0" applyFont="1"/>
    <xf borderId="0" fillId="5" fontId="3" numFmtId="0" xfId="0" applyAlignment="1" applyFont="1">
      <alignment vertical="bottom"/>
    </xf>
    <xf borderId="3" fillId="0" fontId="1" numFmtId="0" xfId="0" applyAlignment="1" applyBorder="1" applyFont="1">
      <alignment readingOrder="0" vertical="bottom"/>
    </xf>
    <xf borderId="0" fillId="8" fontId="44" numFmtId="0" xfId="0" applyAlignment="1" applyFont="1">
      <alignment readingOrder="0" vertical="bottom"/>
    </xf>
    <xf borderId="0" fillId="8" fontId="0" numFmtId="0" xfId="0" applyAlignment="1" applyFont="1">
      <alignment readingOrder="0"/>
    </xf>
    <xf borderId="3" fillId="2" fontId="3" numFmtId="0" xfId="0" applyBorder="1" applyFont="1"/>
    <xf borderId="0" fillId="5" fontId="45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3" fontId="4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12" numFmtId="0" xfId="0" applyAlignment="1" applyFont="1">
      <alignment readingOrder="0" vertical="bottom"/>
    </xf>
    <xf borderId="0" fillId="3" fontId="46" numFmtId="0" xfId="0" applyAlignment="1" applyFont="1">
      <alignment vertical="bottom"/>
    </xf>
    <xf borderId="6" fillId="3" fontId="3" numFmtId="0" xfId="0" applyAlignment="1" applyBorder="1" applyFont="1">
      <alignment vertical="bottom"/>
    </xf>
    <xf borderId="0" fillId="9" fontId="4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3" numFmtId="0" xfId="0" applyAlignment="1" applyFont="1">
      <alignment readingOrder="0" vertical="bottom"/>
    </xf>
    <xf borderId="0" fillId="9" fontId="12" numFmtId="0" xfId="0" applyAlignment="1" applyFont="1">
      <alignment readingOrder="0" vertical="bottom"/>
    </xf>
    <xf borderId="0" fillId="9" fontId="47" numFmtId="0" xfId="0" applyAlignment="1" applyFont="1">
      <alignment vertical="bottom"/>
    </xf>
    <xf borderId="6" fillId="9" fontId="3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10" fontId="48" numFmtId="0" xfId="0" applyAlignment="1" applyFill="1" applyFont="1">
      <alignment vertical="bottom"/>
    </xf>
    <xf borderId="0" fillId="10" fontId="49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10" fontId="3" numFmtId="0" xfId="0" applyAlignment="1" applyFont="1">
      <alignment readingOrder="0" vertical="bottom"/>
    </xf>
    <xf borderId="0" fillId="10" fontId="3" numFmtId="0" xfId="0" applyFont="1"/>
    <xf borderId="0" fillId="10" fontId="3" numFmtId="0" xfId="0" applyAlignment="1" applyFont="1">
      <alignment readingOrder="0"/>
    </xf>
    <xf borderId="0" fillId="10" fontId="12" numFmtId="0" xfId="0" applyAlignment="1" applyFont="1">
      <alignment vertical="bottom"/>
    </xf>
    <xf borderId="6" fillId="10" fontId="3" numFmtId="0" xfId="0" applyAlignment="1" applyBorder="1" applyFont="1">
      <alignment shrinkToFit="0" vertical="bottom" wrapText="0"/>
    </xf>
    <xf borderId="0" fillId="9" fontId="3" numFmtId="0" xfId="0" applyFont="1"/>
    <xf borderId="6" fillId="9" fontId="3" numFmtId="0" xfId="0" applyAlignment="1" applyBorder="1" applyFont="1">
      <alignment shrinkToFit="0" vertical="bottom" wrapText="0"/>
    </xf>
    <xf borderId="0" fillId="4" fontId="3" numFmtId="0" xfId="0" applyFont="1"/>
    <xf borderId="0" fillId="3" fontId="11" numFmtId="0" xfId="0" applyAlignment="1" applyFont="1">
      <alignment horizontal="left" readingOrder="0"/>
    </xf>
    <xf borderId="0" fillId="9" fontId="50" numFmtId="0" xfId="0" applyAlignment="1" applyFont="1">
      <alignment horizontal="left" readingOrder="0"/>
    </xf>
    <xf borderId="0" fillId="2" fontId="3" numFmtId="0" xfId="0" applyAlignment="1" applyFont="1">
      <alignment vertical="bottom"/>
    </xf>
    <xf borderId="0" fillId="9" fontId="11" numFmtId="0" xfId="0" applyAlignment="1" applyFont="1">
      <alignment horizontal="left" readingOrder="0"/>
    </xf>
    <xf borderId="0" fillId="11" fontId="4" numFmtId="0" xfId="0" applyAlignment="1" applyFill="1" applyFont="1">
      <alignment readingOrder="0"/>
    </xf>
    <xf borderId="0" fillId="11" fontId="3" numFmtId="0" xfId="0" applyAlignment="1" applyFont="1">
      <alignment readingOrder="0"/>
    </xf>
    <xf borderId="0" fillId="11" fontId="12" numFmtId="0" xfId="0" applyAlignment="1" applyFont="1">
      <alignment readingOrder="0" vertical="bottom"/>
    </xf>
    <xf borderId="0" fillId="11" fontId="51" numFmtId="0" xfId="0" applyAlignment="1" applyFont="1">
      <alignment vertical="bottom"/>
    </xf>
    <xf borderId="0" fillId="11" fontId="3" numFmtId="0" xfId="0" applyAlignment="1" applyFont="1">
      <alignment readingOrder="0" vertical="bottom"/>
    </xf>
    <xf borderId="0" fillId="5" fontId="4" numFmtId="0" xfId="0" applyAlignment="1" applyFont="1">
      <alignment readingOrder="0"/>
    </xf>
    <xf borderId="1" fillId="5" fontId="3" numFmtId="0" xfId="0" applyAlignment="1" applyBorder="1" applyFont="1">
      <alignment vertical="bottom"/>
    </xf>
    <xf borderId="0" fillId="4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11" numFmtId="0" xfId="0" applyAlignment="1" applyFont="1">
      <alignment readingOrder="0"/>
    </xf>
    <xf borderId="0" fillId="3" fontId="4" numFmtId="0" xfId="0" applyAlignment="1" applyFont="1">
      <alignment readingOrder="0"/>
    </xf>
    <xf borderId="1" fillId="3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3" fontId="3" numFmtId="0" xfId="0" applyFont="1"/>
    <xf borderId="0" fillId="3" fontId="12" numFmtId="0" xfId="0" applyFont="1"/>
    <xf borderId="1" fillId="3" fontId="3" numFmtId="0" xfId="0" applyAlignment="1" applyBorder="1" applyFont="1">
      <alignment vertical="bottom"/>
    </xf>
    <xf borderId="0" fillId="2" fontId="52" numFmtId="0" xfId="0" applyAlignment="1" applyFont="1">
      <alignment readingOrder="0"/>
    </xf>
    <xf borderId="0" fillId="11" fontId="0" numFmtId="0" xfId="0" applyAlignment="1" applyFont="1">
      <alignment readingOrder="0"/>
    </xf>
    <xf borderId="0" fillId="0" fontId="5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9" fontId="54" numFmtId="0" xfId="0" applyAlignment="1" applyFont="1">
      <alignment readingOrder="0"/>
    </xf>
    <xf borderId="0" fillId="9" fontId="55" numFmtId="0" xfId="0" applyAlignment="1" applyFont="1">
      <alignment readingOrder="0" vertical="bottom"/>
    </xf>
    <xf borderId="0" fillId="11" fontId="56" numFmtId="0" xfId="0" applyAlignment="1" applyFont="1">
      <alignment readingOrder="0"/>
    </xf>
    <xf borderId="0" fillId="11" fontId="57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12" fontId="3" numFmtId="0" xfId="0" applyFont="1"/>
    <xf borderId="0" fillId="12" fontId="12" numFmtId="0" xfId="0" applyAlignment="1" applyFont="1">
      <alignment readingOrder="0"/>
    </xf>
    <xf borderId="0" fillId="12" fontId="58" numFmtId="0" xfId="0" applyAlignment="1" applyFont="1">
      <alignment readingOrder="0"/>
    </xf>
    <xf borderId="0" fillId="13" fontId="3" numFmtId="0" xfId="0" applyAlignment="1" applyFill="1" applyFont="1">
      <alignment readingOrder="0"/>
    </xf>
    <xf borderId="0" fillId="13" fontId="3" numFmtId="0" xfId="0" applyFont="1"/>
    <xf quotePrefix="1" borderId="0" fillId="12" fontId="3" numFmtId="0" xfId="0" applyAlignment="1" applyFont="1">
      <alignment readingOrder="0"/>
    </xf>
    <xf borderId="0" fillId="9" fontId="12" numFmtId="0" xfId="0" applyAlignment="1" applyFont="1">
      <alignment readingOrder="0"/>
    </xf>
    <xf borderId="0" fillId="14" fontId="12" numFmtId="0" xfId="0" applyAlignment="1" applyFill="1" applyFont="1">
      <alignment readingOrder="0"/>
    </xf>
    <xf borderId="0" fillId="14" fontId="3" numFmtId="0" xfId="0" applyAlignment="1" applyFont="1">
      <alignment readingOrder="0"/>
    </xf>
    <xf quotePrefix="1" borderId="0" fillId="14" fontId="12" numFmtId="0" xfId="0" applyAlignment="1" applyFont="1">
      <alignment readingOrder="0"/>
    </xf>
    <xf borderId="0" fillId="12" fontId="3" numFmtId="0" xfId="0" applyAlignment="1" applyFont="1">
      <alignment readingOrder="0" vertical="bottom"/>
    </xf>
    <xf borderId="0" fillId="12" fontId="59" numFmtId="0" xfId="0" applyAlignment="1" applyFont="1">
      <alignment vertical="bottom"/>
    </xf>
    <xf borderId="0" fillId="12" fontId="12" numFmtId="0" xfId="0" applyFont="1"/>
    <xf borderId="0" fillId="3" fontId="60" numFmtId="0" xfId="0" applyAlignment="1" applyFont="1">
      <alignment readingOrder="0"/>
    </xf>
    <xf borderId="0" fillId="14" fontId="3" numFmtId="0" xfId="0" applyFont="1"/>
    <xf borderId="0" fillId="9" fontId="60" numFmtId="0" xfId="0" applyAlignment="1" applyFont="1">
      <alignment readingOrder="0"/>
    </xf>
    <xf borderId="0" fillId="9" fontId="61" numFmtId="0" xfId="0" applyAlignment="1" applyFont="1">
      <alignment readingOrder="0"/>
    </xf>
    <xf borderId="0" fillId="13" fontId="62" numFmtId="0" xfId="0" applyAlignment="1" applyFont="1">
      <alignment readingOrder="0"/>
    </xf>
    <xf borderId="0" fillId="13" fontId="60" numFmtId="0" xfId="0" applyAlignment="1" applyFont="1">
      <alignment readingOrder="0"/>
    </xf>
    <xf borderId="0" fillId="13" fontId="6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64" numFmtId="0" xfId="0" applyAlignment="1" applyFont="1">
      <alignment vertical="bottom"/>
    </xf>
    <xf borderId="0" fillId="0" fontId="60" numFmtId="0" xfId="0" applyAlignment="1" applyFont="1">
      <alignment readingOrder="0"/>
    </xf>
    <xf borderId="0" fillId="0" fontId="12" numFmtId="0" xfId="0" applyFont="1"/>
    <xf borderId="0" fillId="0" fontId="12" numFmtId="0" xfId="0" applyAlignment="1" applyFont="1">
      <alignment readingOrder="0"/>
    </xf>
    <xf borderId="0" fillId="14" fontId="65" numFmtId="0" xfId="0" applyAlignment="1" applyFont="1">
      <alignment vertical="bottom"/>
    </xf>
    <xf quotePrefix="1" borderId="0" fillId="14" fontId="3" numFmtId="0" xfId="0" applyAlignment="1" applyFont="1">
      <alignment readingOrder="0"/>
    </xf>
    <xf borderId="0" fillId="7" fontId="3" numFmtId="0" xfId="0" applyFont="1"/>
    <xf borderId="0" fillId="14" fontId="12" numFmtId="0" xfId="0" applyFont="1"/>
    <xf borderId="0" fillId="14" fontId="58" numFmtId="0" xfId="0" applyAlignment="1" applyFont="1">
      <alignment readingOrder="0"/>
    </xf>
    <xf borderId="0" fillId="12" fontId="66" numFmtId="0" xfId="0" applyAlignment="1" applyFont="1">
      <alignment readingOrder="0"/>
    </xf>
    <xf borderId="0" fillId="13" fontId="0" numFmtId="0" xfId="0" applyAlignment="1" applyFont="1">
      <alignment horizontal="left" readingOrder="0"/>
    </xf>
    <xf borderId="0" fillId="13" fontId="58" numFmtId="0" xfId="0" applyAlignment="1" applyFont="1">
      <alignment readingOrder="0"/>
    </xf>
    <xf borderId="0" fillId="10" fontId="0" numFmtId="0" xfId="0" applyAlignment="1" applyFont="1">
      <alignment readingOrder="0"/>
    </xf>
    <xf borderId="0" fillId="10" fontId="28" numFmtId="0" xfId="0" applyAlignment="1" applyFont="1">
      <alignment readingOrder="0"/>
    </xf>
    <xf borderId="0" fillId="12" fontId="0" numFmtId="0" xfId="0" applyAlignment="1" applyFont="1">
      <alignment readingOrder="0"/>
    </xf>
    <xf borderId="0" fillId="13" fontId="0" numFmtId="0" xfId="0" applyAlignment="1" applyFont="1">
      <alignment readingOrder="0"/>
    </xf>
    <xf borderId="0" fillId="15" fontId="3" numFmtId="0" xfId="0" applyAlignment="1" applyFill="1" applyFont="1">
      <alignment readingOrder="0"/>
    </xf>
    <xf borderId="0" fillId="15" fontId="3" numFmtId="0" xfId="0" applyFont="1"/>
    <xf borderId="0" fillId="13" fontId="3" numFmtId="0" xfId="0" applyAlignment="1" applyFont="1">
      <alignment readingOrder="0"/>
    </xf>
    <xf borderId="0" fillId="12" fontId="3" numFmtId="0" xfId="0" applyAlignment="1" applyFont="1">
      <alignment readingOrder="0"/>
    </xf>
    <xf borderId="0" fillId="12" fontId="50" numFmtId="0" xfId="0" applyAlignment="1" applyFont="1">
      <alignment horizontal="left" readingOrder="0"/>
    </xf>
    <xf borderId="0" fillId="14" fontId="50" numFmtId="0" xfId="0" applyAlignment="1" applyFont="1">
      <alignment horizontal="left" readingOrder="0"/>
    </xf>
    <xf borderId="0" fillId="0" fontId="58" numFmtId="0" xfId="0" applyAlignment="1" applyFont="1">
      <alignment readingOrder="0"/>
    </xf>
    <xf borderId="0" fillId="2" fontId="11" numFmtId="0" xfId="0" applyAlignment="1" applyFont="1">
      <alignment readingOrder="0"/>
    </xf>
    <xf borderId="0" fillId="14" fontId="0" numFmtId="0" xfId="0" applyAlignment="1" applyFont="1">
      <alignment readingOrder="0"/>
    </xf>
    <xf borderId="0" fillId="2" fontId="12" numFmtId="0" xfId="0" applyFont="1"/>
    <xf borderId="0" fillId="9" fontId="12" numFmtId="0" xfId="0" applyFont="1"/>
    <xf borderId="0" fillId="2" fontId="12" numFmtId="0" xfId="0" applyAlignment="1" applyFont="1">
      <alignment readingOrder="0"/>
    </xf>
    <xf borderId="0" fillId="9" fontId="2" numFmtId="0" xfId="0" applyAlignment="1" applyFont="1">
      <alignment readingOrder="0"/>
    </xf>
    <xf borderId="0" fillId="0" fontId="5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OVERVIEW_NOT_FU!$L$4:$L$14</c:f>
            </c:strRef>
          </c:cat>
          <c:val>
            <c:numRef>
              <c:f>OVERVIEW_NOT_FU!$M$4:$M$14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OVERVIEW_NOT_FU!$R$17:$R$27</c:f>
            </c:strRef>
          </c:cat>
          <c:val>
            <c:numRef>
              <c:f>OVERVIEW_NOT_FU!$S$17:$S$27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GCNed'!$R$10:$R$14</c:f>
            </c:strRef>
          </c:cat>
          <c:val>
            <c:numRef>
              <c:f>'OVERVIEW GCNed'!$S$10:$S$14</c:f>
              <c:numCache/>
            </c:numRef>
          </c:val>
        </c:ser>
        <c:axId val="1863782462"/>
        <c:axId val="1117925612"/>
      </c:barChart>
      <c:catAx>
        <c:axId val="1863782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925612"/>
      </c:catAx>
      <c:valAx>
        <c:axId val="1117925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782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GCNed'!$X$5:$X$13</c:f>
            </c:strRef>
          </c:cat>
          <c:val>
            <c:numRef>
              <c:f>'OVERVIEW GCNed'!$Y$5:$Y$13</c:f>
              <c:numCache/>
            </c:numRef>
          </c:val>
        </c:ser>
        <c:axId val="864795867"/>
        <c:axId val="488482851"/>
      </c:barChart>
      <c:catAx>
        <c:axId val="864795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482851"/>
      </c:catAx>
      <c:valAx>
        <c:axId val="488482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795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2020 CDF</a:t>
            </a:r>
          </a:p>
        </c:rich>
      </c:tx>
      <c:layout>
        <c:manualLayout>
          <c:xMode val="edge"/>
          <c:yMode val="edge"/>
          <c:x val="0.027583333333333335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'OVERVIEW GCNed'!$S$22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GCNed'!$R$23:$R$30</c:f>
            </c:strRef>
          </c:cat>
          <c:val>
            <c:numRef>
              <c:f>'OVERVIEW GCNed'!$S$23:$S$30</c:f>
              <c:numCache/>
            </c:numRef>
          </c:val>
        </c:ser>
        <c:axId val="38952557"/>
        <c:axId val="1846178219"/>
      </c:barChart>
      <c:catAx>
        <c:axId val="38952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178219"/>
      </c:catAx>
      <c:valAx>
        <c:axId val="1846178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52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2020 PDF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'OVERVIEW GCNed'!$Y$22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GCNed'!$X$23:$X$29</c:f>
            </c:strRef>
          </c:cat>
          <c:val>
            <c:numRef>
              <c:f>'OVERVIEW GCNed'!$Y$23:$Y$29</c:f>
              <c:numCache/>
            </c:numRef>
          </c:val>
        </c:ser>
        <c:axId val="236001227"/>
        <c:axId val="1945340454"/>
      </c:barChart>
      <c:catAx>
        <c:axId val="236001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340454"/>
      </c:catAx>
      <c:valAx>
        <c:axId val="1945340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001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 eintries und Brightness @ nu arrival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GCNed'!$R$37:$R$44</c:f>
            </c:strRef>
          </c:cat>
          <c:val>
            <c:numRef>
              <c:f>'OVERVIEW GCNed'!$S$37:$S$44</c:f>
              <c:numCache/>
            </c:numRef>
          </c:val>
        </c:ser>
        <c:axId val="764816921"/>
        <c:axId val="1967052377"/>
      </c:barChart>
      <c:catAx>
        <c:axId val="764816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Brightness @ nu arrival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052377"/>
      </c:catAx>
      <c:valAx>
        <c:axId val="1967052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eintries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816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561975</xdr:colOff>
      <xdr:row>17</xdr:row>
      <xdr:rowOff>0</xdr:rowOff>
    </xdr:from>
    <xdr:ext cx="6829425" cy="2381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647700</xdr:colOff>
      <xdr:row>29</xdr:row>
      <xdr:rowOff>95250</xdr:rowOff>
    </xdr:from>
    <xdr:ext cx="6829425" cy="260032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257175</xdr:colOff>
      <xdr:row>5</xdr:row>
      <xdr:rowOff>38100</xdr:rowOff>
    </xdr:from>
    <xdr:ext cx="2952750" cy="1828800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628650</xdr:colOff>
      <xdr:row>4</xdr:row>
      <xdr:rowOff>161925</xdr:rowOff>
    </xdr:from>
    <xdr:ext cx="2952750" cy="1828800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257175</xdr:colOff>
      <xdr:row>21</xdr:row>
      <xdr:rowOff>114300</xdr:rowOff>
    </xdr:from>
    <xdr:ext cx="2952750" cy="1828800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628650</xdr:colOff>
      <xdr:row>22</xdr:row>
      <xdr:rowOff>38100</xdr:rowOff>
    </xdr:from>
    <xdr:ext cx="2952750" cy="1828800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257175</xdr:colOff>
      <xdr:row>35</xdr:row>
      <xdr:rowOff>0</xdr:rowOff>
    </xdr:from>
    <xdr:ext cx="2952750" cy="1828800"/>
    <xdr:graphicFrame>
      <xdr:nvGraphicFramePr>
        <xdr:cNvPr id="7" name="Chart 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cn.gsfc.nasa.gov/gcn3/29031.gcn3" TargetMode="External"/><Relationship Id="rId42" Type="http://schemas.openxmlformats.org/officeDocument/2006/relationships/hyperlink" Target="https://gcn.gsfc.nasa.gov/gcn3/29172.gcn3" TargetMode="External"/><Relationship Id="rId41" Type="http://schemas.openxmlformats.org/officeDocument/2006/relationships/hyperlink" Target="https://gcn.gsfc.nasa.gov/gcn3/29120.gcn3" TargetMode="External"/><Relationship Id="rId44" Type="http://schemas.openxmlformats.org/officeDocument/2006/relationships/hyperlink" Target="https://gcn.gsfc.nasa.gov/gcn3/29461.gcn3" TargetMode="External"/><Relationship Id="rId43" Type="http://schemas.openxmlformats.org/officeDocument/2006/relationships/hyperlink" Target="https://gcn.gsfc.nasa.gov/gcn3/29454.gcn3" TargetMode="External"/><Relationship Id="rId46" Type="http://schemas.openxmlformats.org/officeDocument/2006/relationships/hyperlink" Target="https://gcn.gsfc.nasa.gov/gcn3/29999.gcn3" TargetMode="External"/><Relationship Id="rId45" Type="http://schemas.openxmlformats.org/officeDocument/2006/relationships/hyperlink" Target="https://gcn.gsfc.nasa.gov/gcn3/29976.gcn3" TargetMode="External"/><Relationship Id="rId1" Type="http://schemas.openxmlformats.org/officeDocument/2006/relationships/hyperlink" Target="https://gcn.gsfc.nasa.gov/gcn3/24378.gcn3" TargetMode="External"/><Relationship Id="rId2" Type="http://schemas.openxmlformats.org/officeDocument/2006/relationships/hyperlink" Target="http://www.astronomerstelegram.org/?read=12730" TargetMode="External"/><Relationship Id="rId3" Type="http://schemas.openxmlformats.org/officeDocument/2006/relationships/hyperlink" Target="https://gcn.gsfc.nasa.gov/gcn3/24910.gcn3" TargetMode="External"/><Relationship Id="rId4" Type="http://schemas.openxmlformats.org/officeDocument/2006/relationships/hyperlink" Target="http://www.astronomerstelegram.org/?read=12879" TargetMode="External"/><Relationship Id="rId9" Type="http://schemas.openxmlformats.org/officeDocument/2006/relationships/hyperlink" Target="https://gcn.gsfc.nasa.gov/gcn3/25913.gcn3" TargetMode="External"/><Relationship Id="rId48" Type="http://schemas.openxmlformats.org/officeDocument/2006/relationships/hyperlink" Target="https://gcn.gsfc.nasa.gov/gcn3/30349.gcn3" TargetMode="External"/><Relationship Id="rId47" Type="http://schemas.openxmlformats.org/officeDocument/2006/relationships/hyperlink" Target="https://gcn.gsfc.nasa.gov/gcn3/30342.gcn3" TargetMode="External"/><Relationship Id="rId49" Type="http://schemas.openxmlformats.org/officeDocument/2006/relationships/hyperlink" Target="https://gcn.gsfc.nasa.gov/gcn3/30627.gcn3" TargetMode="External"/><Relationship Id="rId5" Type="http://schemas.openxmlformats.org/officeDocument/2006/relationships/hyperlink" Target="https://gcn.gsfc.nasa.gov/gcn3/25225.gcn3" TargetMode="External"/><Relationship Id="rId6" Type="http://schemas.openxmlformats.org/officeDocument/2006/relationships/hyperlink" Target="http://www.astronomerstelegram.org/?read=12974" TargetMode="External"/><Relationship Id="rId7" Type="http://schemas.openxmlformats.org/officeDocument/2006/relationships/hyperlink" Target="https://gcn.gsfc.nasa.gov/gcn3/25806.gcn3" TargetMode="External"/><Relationship Id="rId8" Type="http://schemas.openxmlformats.org/officeDocument/2006/relationships/hyperlink" Target="https://gcn.gsfc.nasa.gov/gcn3/25824.gcn3" TargetMode="External"/><Relationship Id="rId31" Type="http://schemas.openxmlformats.org/officeDocument/2006/relationships/hyperlink" Target="https://gcn.gsfc.nasa.gov/gcn3/28532.gcn3" TargetMode="External"/><Relationship Id="rId30" Type="http://schemas.openxmlformats.org/officeDocument/2006/relationships/hyperlink" Target="https://gcn.gsfc.nasa.gov/gcn3/28520.gcn3" TargetMode="External"/><Relationship Id="rId33" Type="http://schemas.openxmlformats.org/officeDocument/2006/relationships/hyperlink" Target="https://gcn.gsfc.nasa.gov/gcn3/28575.gcn3" TargetMode="External"/><Relationship Id="rId32" Type="http://schemas.openxmlformats.org/officeDocument/2006/relationships/hyperlink" Target="https://gcn.gsfc.nasa.gov/gcn3/28551.gcn3" TargetMode="External"/><Relationship Id="rId35" Type="http://schemas.openxmlformats.org/officeDocument/2006/relationships/hyperlink" Target="https://gcn.gsfc.nasa.gov/gcn3/28715.gcn3" TargetMode="External"/><Relationship Id="rId34" Type="http://schemas.openxmlformats.org/officeDocument/2006/relationships/hyperlink" Target="https://gcn.gsfc.nasa.gov/gcn3/28609.gcn3" TargetMode="External"/><Relationship Id="rId37" Type="http://schemas.openxmlformats.org/officeDocument/2006/relationships/hyperlink" Target="https://gcn.gsfc.nasa.gov/gcn3/28969.gcn3" TargetMode="External"/><Relationship Id="rId36" Type="http://schemas.openxmlformats.org/officeDocument/2006/relationships/hyperlink" Target="https://gcn.gsfc.nasa.gov/gcn3/28757.gcn3" TargetMode="External"/><Relationship Id="rId39" Type="http://schemas.openxmlformats.org/officeDocument/2006/relationships/hyperlink" Target="https://gcn.gsfc.nasa.gov/gcn3/29012.gcn3" TargetMode="External"/><Relationship Id="rId38" Type="http://schemas.openxmlformats.org/officeDocument/2006/relationships/hyperlink" Target="https://gcn.gsfc.nasa.gov/gcn3/28989.gcn3" TargetMode="External"/><Relationship Id="rId20" Type="http://schemas.openxmlformats.org/officeDocument/2006/relationships/hyperlink" Target="https://gcn.gsfc.nasa.gov/gcn3/27865.gcn3" TargetMode="External"/><Relationship Id="rId22" Type="http://schemas.openxmlformats.org/officeDocument/2006/relationships/hyperlink" Target="https://gcn.gsfc.nasa.gov/gcn3/27910.gcn3" TargetMode="External"/><Relationship Id="rId21" Type="http://schemas.openxmlformats.org/officeDocument/2006/relationships/hyperlink" Target="https://gcn.gsfc.nasa.gov/gcn3/27872.gcn3" TargetMode="External"/><Relationship Id="rId24" Type="http://schemas.openxmlformats.org/officeDocument/2006/relationships/hyperlink" Target="https://gcn.gsfc.nasa.gov/gcn3/27997.gcn3" TargetMode="External"/><Relationship Id="rId23" Type="http://schemas.openxmlformats.org/officeDocument/2006/relationships/hyperlink" Target="https://gcn.gsfc.nasa.gov/gcn3/27980.gcn3" TargetMode="External"/><Relationship Id="rId26" Type="http://schemas.openxmlformats.org/officeDocument/2006/relationships/hyperlink" Target="https://gcn.gsfc.nasa.gov/gcn3/28433.gcn3" TargetMode="External"/><Relationship Id="rId25" Type="http://schemas.openxmlformats.org/officeDocument/2006/relationships/hyperlink" Target="https://gcn.gsfc.nasa.gov/gcn3/28005.gcn3" TargetMode="External"/><Relationship Id="rId28" Type="http://schemas.openxmlformats.org/officeDocument/2006/relationships/hyperlink" Target="https://gcn.gsfc.nasa.gov/gcn3/28465.gcn3" TargetMode="External"/><Relationship Id="rId27" Type="http://schemas.openxmlformats.org/officeDocument/2006/relationships/hyperlink" Target="https://gcn.gsfc.nasa.gov/gcn3/28441.gcn3" TargetMode="External"/><Relationship Id="rId29" Type="http://schemas.openxmlformats.org/officeDocument/2006/relationships/hyperlink" Target="https://gcn.gsfc.nasa.gov/gcn3/28504.gcn3" TargetMode="External"/><Relationship Id="rId51" Type="http://schemas.openxmlformats.org/officeDocument/2006/relationships/hyperlink" Target="https://gcn.gsfc.nasa.gov/gcn3/30862.gcn3" TargetMode="External"/><Relationship Id="rId50" Type="http://schemas.openxmlformats.org/officeDocument/2006/relationships/hyperlink" Target="https://gcn.gsfc.nasa.gov/gcn3/30644.gcn3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gcn.gsfc.nasa.gov/gcn3/30870.gcn3" TargetMode="External"/><Relationship Id="rId11" Type="http://schemas.openxmlformats.org/officeDocument/2006/relationships/hyperlink" Target="https://gcn.gsfc.nasa.gov/gcn3/26655.gcn3" TargetMode="External"/><Relationship Id="rId10" Type="http://schemas.openxmlformats.org/officeDocument/2006/relationships/hyperlink" Target="https://gcn.gsfc.nasa.gov/gcn3/25929.gcn3" TargetMode="External"/><Relationship Id="rId13" Type="http://schemas.openxmlformats.org/officeDocument/2006/relationships/hyperlink" Target="https://gcn.gsfc.nasa.gov/gcn3/26696.gcn3" TargetMode="External"/><Relationship Id="rId12" Type="http://schemas.openxmlformats.org/officeDocument/2006/relationships/hyperlink" Target="https://gcn.gsfc.nasa.gov/gcn3/26667.gcn3" TargetMode="External"/><Relationship Id="rId15" Type="http://schemas.openxmlformats.org/officeDocument/2006/relationships/hyperlink" Target="https://gcn.gsfc.nasa.gov/gcn3/26802.gcn3" TargetMode="External"/><Relationship Id="rId14" Type="http://schemas.openxmlformats.org/officeDocument/2006/relationships/hyperlink" Target="https://gcn.gsfc.nasa.gov/gcn3/26747.gcn3" TargetMode="External"/><Relationship Id="rId17" Type="http://schemas.openxmlformats.org/officeDocument/2006/relationships/hyperlink" Target="https://gcn.gsfc.nasa.gov/gcn3/26816.gcn3" TargetMode="External"/><Relationship Id="rId16" Type="http://schemas.openxmlformats.org/officeDocument/2006/relationships/hyperlink" Target="https://gcn.gsfc.nasa.gov/gcn3/26813.gcn3" TargetMode="External"/><Relationship Id="rId19" Type="http://schemas.openxmlformats.org/officeDocument/2006/relationships/hyperlink" Target="https://gcn.gsfc.nasa.gov/gcn3/27721.gcn3" TargetMode="External"/><Relationship Id="rId18" Type="http://schemas.openxmlformats.org/officeDocument/2006/relationships/hyperlink" Target="https://gcn.gsfc.nasa.gov/gcn3/27719.gcn3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6696.gcn3" TargetMode="External"/><Relationship Id="rId2" Type="http://schemas.openxmlformats.org/officeDocument/2006/relationships/hyperlink" Target="https://gcn.gsfc.nasa.gov/gcn3/26747.gcn3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6802.gcn3" TargetMode="External"/><Relationship Id="rId2" Type="http://schemas.openxmlformats.org/officeDocument/2006/relationships/hyperlink" Target="https://gcn.gsfc.nasa.gov/gcn3/26813.gcn3" TargetMode="External"/><Relationship Id="rId3" Type="http://schemas.openxmlformats.org/officeDocument/2006/relationships/hyperlink" Target="https://gcn.gsfc.nasa.gov/gcn3/26816.gcn3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7719.gcn3" TargetMode="External"/><Relationship Id="rId2" Type="http://schemas.openxmlformats.org/officeDocument/2006/relationships/hyperlink" Target="https://gcn.gsfc.nasa.gov/gcn3/27721.gcn3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7865.gcn3" TargetMode="External"/><Relationship Id="rId2" Type="http://schemas.openxmlformats.org/officeDocument/2006/relationships/hyperlink" Target="https://gcn.gsfc.nasa.gov/gcn3/27872.gcn3" TargetMode="External"/><Relationship Id="rId3" Type="http://schemas.openxmlformats.org/officeDocument/2006/relationships/hyperlink" Target="https://gcn.gsfc.nasa.gov/gcn3/27910.gcn3" TargetMode="External"/><Relationship Id="rId4" Type="http://schemas.openxmlformats.org/officeDocument/2006/relationships/hyperlink" Target="https://gcn.gsfc.nasa.gov/gcn3/27980.gcn3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7997.gcn3" TargetMode="External"/><Relationship Id="rId2" Type="http://schemas.openxmlformats.org/officeDocument/2006/relationships/hyperlink" Target="https://gcn.gsfc.nasa.gov/gcn3/28005.gcn3" TargetMode="External"/><Relationship Id="rId3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433.gcn3" TargetMode="External"/><Relationship Id="rId2" Type="http://schemas.openxmlformats.org/officeDocument/2006/relationships/hyperlink" Target="https://gcn.gsfc.nasa.gov/gcn3/28441.gcn3" TargetMode="External"/><Relationship Id="rId3" Type="http://schemas.openxmlformats.org/officeDocument/2006/relationships/hyperlink" Target="https://gcn.gsfc.nasa.gov/gcn3/28465.gcn3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504.gcn3" TargetMode="External"/><Relationship Id="rId2" Type="http://schemas.openxmlformats.org/officeDocument/2006/relationships/hyperlink" Target="https://gcn.gsfc.nasa.gov/gcn3/28520.gcn3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532.gcn3" TargetMode="External"/><Relationship Id="rId2" Type="http://schemas.openxmlformats.org/officeDocument/2006/relationships/hyperlink" Target="https://gcn.gsfc.nasa.gov/gcn3/28551.gcn3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575.gcn3" TargetMode="External"/><Relationship Id="rId2" Type="http://schemas.openxmlformats.org/officeDocument/2006/relationships/hyperlink" Target="https://gcn.gsfc.nasa.gov/gcn3/28609.gcn3" TargetMode="External"/><Relationship Id="rId3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715.gcn3" TargetMode="External"/><Relationship Id="rId2" Type="http://schemas.openxmlformats.org/officeDocument/2006/relationships/hyperlink" Target="https://gcn.gsfc.nasa.gov/gcn3/28757.gcn3" TargetMode="External"/><Relationship Id="rId3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969.gcn3" TargetMode="External"/><Relationship Id="rId2" Type="http://schemas.openxmlformats.org/officeDocument/2006/relationships/hyperlink" Target="https://gcn.gsfc.nasa.gov/gcn3/28989.gcn3" TargetMode="External"/><Relationship Id="rId3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012.gcn3" TargetMode="External"/><Relationship Id="rId2" Type="http://schemas.openxmlformats.org/officeDocument/2006/relationships/hyperlink" Target="https://gcn.gsfc.nasa.gov/gcn3/29031.gcn3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120.gcn3" TargetMode="External"/><Relationship Id="rId2" Type="http://schemas.openxmlformats.org/officeDocument/2006/relationships/hyperlink" Target="https://gcn.gsfc.nasa.gov/gcn3/29172.gcn3" TargetMode="External"/><Relationship Id="rId3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454.gcn3" TargetMode="External"/><Relationship Id="rId2" Type="http://schemas.openxmlformats.org/officeDocument/2006/relationships/hyperlink" Target="https://gcn.gsfc.nasa.gov/gcn3/29461.gcn3" TargetMode="External"/><Relationship Id="rId3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976.gcn3" TargetMode="External"/><Relationship Id="rId2" Type="http://schemas.openxmlformats.org/officeDocument/2006/relationships/hyperlink" Target="https://gcn.gsfc.nasa.gov/gcn3/29999.gcn3" TargetMode="External"/><Relationship Id="rId3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30342.gcn3" TargetMode="External"/><Relationship Id="rId2" Type="http://schemas.openxmlformats.org/officeDocument/2006/relationships/hyperlink" Target="https://gcn.gsfc.nasa.gov/gcn/gcn3/30349.gcn3" TargetMode="External"/><Relationship Id="rId3" Type="http://schemas.openxmlformats.org/officeDocument/2006/relationships/hyperlink" Target="https://gcn.gsfc.nasa.gov/gcn/gcn3/30419.gcn3" TargetMode="External"/><Relationship Id="rId4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30627.gcn3" TargetMode="External"/><Relationship Id="rId2" Type="http://schemas.openxmlformats.org/officeDocument/2006/relationships/hyperlink" Target="https://gcn.gsfc.nasa.gov/gcn3/30644.gcn3" TargetMode="External"/><Relationship Id="rId3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30862.gcn3" TargetMode="External"/><Relationship Id="rId2" Type="http://schemas.openxmlformats.org/officeDocument/2006/relationships/hyperlink" Target="https://gcn.gsfc.nasa.gov/gcn3/30870.gcn3" TargetMode="External"/><Relationship Id="rId3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cn.gsfc.nasa.gov/gcn3/27980.gcn3" TargetMode="External"/><Relationship Id="rId42" Type="http://schemas.openxmlformats.org/officeDocument/2006/relationships/hyperlink" Target="http://skipper.caltech.edu:8080/cgi-bin/growth/add_autoannotation.cgi?name=ZTF20abdnowp&amp;id=338881" TargetMode="External"/><Relationship Id="rId41" Type="http://schemas.openxmlformats.org/officeDocument/2006/relationships/hyperlink" Target="https://fritz.science/source/ZTF20abdnpdo" TargetMode="External"/><Relationship Id="rId44" Type="http://schemas.openxmlformats.org/officeDocument/2006/relationships/hyperlink" Target="http://skipper.caltech.edu:8080/cgi-bin/growth/add_autoannotation.cgi?name=ZTF20abdnpbp&amp;id=338876" TargetMode="External"/><Relationship Id="rId43" Type="http://schemas.openxmlformats.org/officeDocument/2006/relationships/hyperlink" Target="http://skipper.caltech.edu:8080/cgi-bin/growth/add_autoannotation.cgi?name=ZTF20abdnowp&amp;id=338881" TargetMode="External"/><Relationship Id="rId46" Type="http://schemas.openxmlformats.org/officeDocument/2006/relationships/hyperlink" Target="https://gcn.gsfc.nasa.gov/gcn3/27997.gcn3" TargetMode="External"/><Relationship Id="rId45" Type="http://schemas.openxmlformats.org/officeDocument/2006/relationships/hyperlink" Target="http://skipper.caltech.edu:8080/cgi-bin/growth/add_autoannotation.cgi?name=ZTF20abdnpbp&amp;id=338876" TargetMode="External"/><Relationship Id="rId80" Type="http://schemas.openxmlformats.org/officeDocument/2006/relationships/hyperlink" Target="https://fritz.science/source/ZTF20abjezpo" TargetMode="External"/><Relationship Id="rId82" Type="http://schemas.openxmlformats.org/officeDocument/2006/relationships/drawing" Target="../drawings/drawing3.xml"/><Relationship Id="rId81" Type="http://schemas.openxmlformats.org/officeDocument/2006/relationships/hyperlink" Target="https://fritz.science/source/ZTF21absmcwm" TargetMode="External"/><Relationship Id="rId1" Type="http://schemas.openxmlformats.org/officeDocument/2006/relationships/hyperlink" Target="https://gcn.gsfc.nasa.gov/gcn3/24378.gcn3" TargetMode="External"/><Relationship Id="rId2" Type="http://schemas.openxmlformats.org/officeDocument/2006/relationships/hyperlink" Target="http://www.astronomerstelegram.org/?read=12730" TargetMode="External"/><Relationship Id="rId3" Type="http://schemas.openxmlformats.org/officeDocument/2006/relationships/hyperlink" Target="https://fritz.science/source/ZTF19aaycool" TargetMode="External"/><Relationship Id="rId4" Type="http://schemas.openxmlformats.org/officeDocument/2006/relationships/hyperlink" Target="https://gcn.gsfc.nasa.gov/gcn3/25225.gcn3" TargetMode="External"/><Relationship Id="rId9" Type="http://schemas.openxmlformats.org/officeDocument/2006/relationships/hyperlink" Target="https://fritz.science/source/ZTF19abxtupj" TargetMode="External"/><Relationship Id="rId48" Type="http://schemas.openxmlformats.org/officeDocument/2006/relationships/hyperlink" Target="https://fritz.science/source/ZTF20abgvabi" TargetMode="External"/><Relationship Id="rId47" Type="http://schemas.openxmlformats.org/officeDocument/2006/relationships/hyperlink" Target="https://gcn.gsfc.nasa.gov/gcn3/28005.gcn3" TargetMode="External"/><Relationship Id="rId49" Type="http://schemas.openxmlformats.org/officeDocument/2006/relationships/hyperlink" Target="https://gcn.gsfc.nasa.gov/gcn3/28433.gcn3" TargetMode="External"/><Relationship Id="rId5" Type="http://schemas.openxmlformats.org/officeDocument/2006/relationships/hyperlink" Target="http://www.astronomerstelegram.org/?read=12974" TargetMode="External"/><Relationship Id="rId6" Type="http://schemas.openxmlformats.org/officeDocument/2006/relationships/hyperlink" Target="https://gcn.gsfc.nasa.gov/gcn3/25806.gcn3" TargetMode="External"/><Relationship Id="rId7" Type="http://schemas.openxmlformats.org/officeDocument/2006/relationships/hyperlink" Target="http://www.astronomerstelegram.org/?read=13125" TargetMode="External"/><Relationship Id="rId8" Type="http://schemas.openxmlformats.org/officeDocument/2006/relationships/hyperlink" Target="https://wis-tns.weizmann.ac.il/object/2019pqh" TargetMode="External"/><Relationship Id="rId73" Type="http://schemas.openxmlformats.org/officeDocument/2006/relationships/hyperlink" Target="https://gcn.gsfc.nasa.gov/gcn3/29976.gcn3" TargetMode="External"/><Relationship Id="rId72" Type="http://schemas.openxmlformats.org/officeDocument/2006/relationships/hyperlink" Target="https://fritz.science/source/ZTF21aajxjry" TargetMode="External"/><Relationship Id="rId31" Type="http://schemas.openxmlformats.org/officeDocument/2006/relationships/hyperlink" Target="https://gcn.gsfc.nasa.gov/gcn3/26816.gcn3" TargetMode="External"/><Relationship Id="rId75" Type="http://schemas.openxmlformats.org/officeDocument/2006/relationships/hyperlink" Target="https://gcn.gsfc.nasa.gov/gcn3/30342.gcn3" TargetMode="External"/><Relationship Id="rId30" Type="http://schemas.openxmlformats.org/officeDocument/2006/relationships/hyperlink" Target="https://fritz.science/source/ZTF19acxopgh" TargetMode="External"/><Relationship Id="rId74" Type="http://schemas.openxmlformats.org/officeDocument/2006/relationships/hyperlink" Target="https://gcn.gsfc.nasa.gov/gcn3/29999.gcn3" TargetMode="External"/><Relationship Id="rId33" Type="http://schemas.openxmlformats.org/officeDocument/2006/relationships/hyperlink" Target="https://gcn.gsfc.nasa.gov/gcn3/27719.gcn3" TargetMode="External"/><Relationship Id="rId77" Type="http://schemas.openxmlformats.org/officeDocument/2006/relationships/hyperlink" Target="https://fritz.science/source/ZTF21abecljv" TargetMode="External"/><Relationship Id="rId32" Type="http://schemas.openxmlformats.org/officeDocument/2006/relationships/hyperlink" Target="https://fritz.science/source/ZTF20aaglixd" TargetMode="External"/><Relationship Id="rId76" Type="http://schemas.openxmlformats.org/officeDocument/2006/relationships/hyperlink" Target="https://gcn.gsfc.nasa.gov/gcn3/30349.gcn3" TargetMode="External"/><Relationship Id="rId35" Type="http://schemas.openxmlformats.org/officeDocument/2006/relationships/hyperlink" Target="https://gcn.gsfc.nasa.gov/gcn3/27865.gcn3" TargetMode="External"/><Relationship Id="rId79" Type="http://schemas.openxmlformats.org/officeDocument/2006/relationships/hyperlink" Target="https://gcn.gsfc.nasa.gov/gcn3/30644.gcn3" TargetMode="External"/><Relationship Id="rId34" Type="http://schemas.openxmlformats.org/officeDocument/2006/relationships/hyperlink" Target="https://gcn.gsfc.nasa.gov/gcn3/27721.gcn3" TargetMode="External"/><Relationship Id="rId78" Type="http://schemas.openxmlformats.org/officeDocument/2006/relationships/hyperlink" Target="https://gcn.gsfc.nasa.gov/gcn3/30627.gcn3" TargetMode="External"/><Relationship Id="rId71" Type="http://schemas.openxmlformats.org/officeDocument/2006/relationships/hyperlink" Target="https://fritz.science/source/ZTF21aajxjrv" TargetMode="External"/><Relationship Id="rId70" Type="http://schemas.openxmlformats.org/officeDocument/2006/relationships/hyperlink" Target="https://gcn.gsfc.nasa.gov/gcn3/29461.gcn3" TargetMode="External"/><Relationship Id="rId37" Type="http://schemas.openxmlformats.org/officeDocument/2006/relationships/hyperlink" Target="https://fritz.science/source/ZTF19aatubsj" TargetMode="External"/><Relationship Id="rId36" Type="http://schemas.openxmlformats.org/officeDocument/2006/relationships/hyperlink" Target="https://gcn.gsfc.nasa.gov/gcn3/27872.gcn3" TargetMode="External"/><Relationship Id="rId39" Type="http://schemas.openxmlformats.org/officeDocument/2006/relationships/hyperlink" Target="https://fritz.science/source/ZTF20abbpkpa" TargetMode="External"/><Relationship Id="rId38" Type="http://schemas.openxmlformats.org/officeDocument/2006/relationships/hyperlink" Target="https://gcn.gsfc.nasa.gov/gcn3/27910.gcn3" TargetMode="External"/><Relationship Id="rId62" Type="http://schemas.openxmlformats.org/officeDocument/2006/relationships/hyperlink" Target="https://fritz.science/source/ZTF20acmxnpa" TargetMode="External"/><Relationship Id="rId61" Type="http://schemas.openxmlformats.org/officeDocument/2006/relationships/hyperlink" Target="https://gcn.gsfc.nasa.gov/gcn3/28757.gcn3" TargetMode="External"/><Relationship Id="rId20" Type="http://schemas.openxmlformats.org/officeDocument/2006/relationships/hyperlink" Target="https://gcn.gsfc.nasa.gov/gcn3/26667.gcn3" TargetMode="External"/><Relationship Id="rId64" Type="http://schemas.openxmlformats.org/officeDocument/2006/relationships/hyperlink" Target="https://gcn.gsfc.nasa.gov/gcn3/28989.gcn3" TargetMode="External"/><Relationship Id="rId63" Type="http://schemas.openxmlformats.org/officeDocument/2006/relationships/hyperlink" Target="https://gcn.gsfc.nasa.gov/gcn3/28969.gcn3" TargetMode="External"/><Relationship Id="rId22" Type="http://schemas.openxmlformats.org/officeDocument/2006/relationships/hyperlink" Target="https://gcn.gsfc.nasa.gov/gcn3/26747.gcn3" TargetMode="External"/><Relationship Id="rId66" Type="http://schemas.openxmlformats.org/officeDocument/2006/relationships/hyperlink" Target="https://gcn.gsfc.nasa.gov/gcn3/29031.gcn3" TargetMode="External"/><Relationship Id="rId21" Type="http://schemas.openxmlformats.org/officeDocument/2006/relationships/hyperlink" Target="https://gcn.gsfc.nasa.gov/gcn3/26696.gcn3" TargetMode="External"/><Relationship Id="rId65" Type="http://schemas.openxmlformats.org/officeDocument/2006/relationships/hyperlink" Target="https://gcn.gsfc.nasa.gov/gcn3/29012.gcn3" TargetMode="External"/><Relationship Id="rId24" Type="http://schemas.openxmlformats.org/officeDocument/2006/relationships/hyperlink" Target="https://fritz.science/source/ZTF20aaeuufe" TargetMode="External"/><Relationship Id="rId68" Type="http://schemas.openxmlformats.org/officeDocument/2006/relationships/hyperlink" Target="https://gcn.gsfc.nasa.gov/gcn3/29172.gcn3" TargetMode="External"/><Relationship Id="rId23" Type="http://schemas.openxmlformats.org/officeDocument/2006/relationships/hyperlink" Target="https://fritz.science/source/ZTF19acmwlds" TargetMode="External"/><Relationship Id="rId67" Type="http://schemas.openxmlformats.org/officeDocument/2006/relationships/hyperlink" Target="https://gcn.gsfc.nasa.gov/gcn3/29120.gcn3" TargetMode="External"/><Relationship Id="rId60" Type="http://schemas.openxmlformats.org/officeDocument/2006/relationships/hyperlink" Target="https://gcn.gsfc.nasa.gov/gcn3/28715.gcn3" TargetMode="External"/><Relationship Id="rId26" Type="http://schemas.openxmlformats.org/officeDocument/2006/relationships/hyperlink" Target="https://fritz.science/source/ZTF20aaevgvt" TargetMode="External"/><Relationship Id="rId25" Type="http://schemas.openxmlformats.org/officeDocument/2006/relationships/hyperlink" Target="https://fritz.science/source/ZTF20aaevfwa" TargetMode="External"/><Relationship Id="rId69" Type="http://schemas.openxmlformats.org/officeDocument/2006/relationships/hyperlink" Target="https://gcn.gsfc.nasa.gov/gcn3/29454.gcn3" TargetMode="External"/><Relationship Id="rId28" Type="http://schemas.openxmlformats.org/officeDocument/2006/relationships/hyperlink" Target="https://gcn.gsfc.nasa.gov/gcn3/26802.gcn3" TargetMode="External"/><Relationship Id="rId27" Type="http://schemas.openxmlformats.org/officeDocument/2006/relationships/hyperlink" Target="https://fritz.science/source/ZTF20aaevfth" TargetMode="External"/><Relationship Id="rId29" Type="http://schemas.openxmlformats.org/officeDocument/2006/relationships/hyperlink" Target="https://gcn.gsfc.nasa.gov/gcn3/26813.gcn3" TargetMode="External"/><Relationship Id="rId51" Type="http://schemas.openxmlformats.org/officeDocument/2006/relationships/hyperlink" Target="https://fritz.science/source/ZTF20acaapwk" TargetMode="External"/><Relationship Id="rId50" Type="http://schemas.openxmlformats.org/officeDocument/2006/relationships/hyperlink" Target="https://gcn.gsfc.nasa.gov/gcn3/28441.gcn3" TargetMode="External"/><Relationship Id="rId53" Type="http://schemas.openxmlformats.org/officeDocument/2006/relationships/hyperlink" Target="https://fritz.science/source/ZTF20acaapwo" TargetMode="External"/><Relationship Id="rId52" Type="http://schemas.openxmlformats.org/officeDocument/2006/relationships/hyperlink" Target="https://gcn.gsfc.nasa.gov/gcn3/28465.gcn3" TargetMode="External"/><Relationship Id="rId11" Type="http://schemas.openxmlformats.org/officeDocument/2006/relationships/hyperlink" Target="http://www.astronomerstelegram.org/?read=13160" TargetMode="External"/><Relationship Id="rId55" Type="http://schemas.openxmlformats.org/officeDocument/2006/relationships/hyperlink" Target="https://gcn.gsfc.nasa.gov/gcn3/28520.gcn3" TargetMode="External"/><Relationship Id="rId10" Type="http://schemas.openxmlformats.org/officeDocument/2006/relationships/hyperlink" Target="https://gcn.gsfc.nasa.gov/gcn3/25913.gcn3" TargetMode="External"/><Relationship Id="rId54" Type="http://schemas.openxmlformats.org/officeDocument/2006/relationships/hyperlink" Target="https://gcn.gsfc.nasa.gov/gcn3/28504.gcn3" TargetMode="External"/><Relationship Id="rId13" Type="http://schemas.openxmlformats.org/officeDocument/2006/relationships/hyperlink" Target="https://fritz.science/source/ZTF19abzkexb" TargetMode="External"/><Relationship Id="rId57" Type="http://schemas.openxmlformats.org/officeDocument/2006/relationships/hyperlink" Target="https://gcn.gsfc.nasa.gov/gcn3/28551.gcn3" TargetMode="External"/><Relationship Id="rId12" Type="http://schemas.openxmlformats.org/officeDocument/2006/relationships/hyperlink" Target="https://wis-tns.weizmann.ac.il/object/2019qhl" TargetMode="External"/><Relationship Id="rId56" Type="http://schemas.openxmlformats.org/officeDocument/2006/relationships/hyperlink" Target="https://gcn.gsfc.nasa.gov/gcn3/28532.gcn3" TargetMode="External"/><Relationship Id="rId15" Type="http://schemas.openxmlformats.org/officeDocument/2006/relationships/hyperlink" Target="https://fritz.science/source/ZTF19acbpqfn" TargetMode="External"/><Relationship Id="rId59" Type="http://schemas.openxmlformats.org/officeDocument/2006/relationships/hyperlink" Target="https://gcn.gsfc.nasa.gov/gcn3/28609.gcn3" TargetMode="External"/><Relationship Id="rId14" Type="http://schemas.openxmlformats.org/officeDocument/2006/relationships/hyperlink" Target="https://wis-tns.weizmann.ac.il/object/2019rsj" TargetMode="External"/><Relationship Id="rId58" Type="http://schemas.openxmlformats.org/officeDocument/2006/relationships/hyperlink" Target="https://gcn.gsfc.nasa.gov/gcn3/28575.gcn3" TargetMode="External"/><Relationship Id="rId17" Type="http://schemas.openxmlformats.org/officeDocument/2006/relationships/hyperlink" Target="https://fritz.science/source/ZTF19acbxbjq" TargetMode="External"/><Relationship Id="rId16" Type="http://schemas.openxmlformats.org/officeDocument/2006/relationships/hyperlink" Target="https://wis-tns.weizmann.ac.il/object/2019rsk" TargetMode="External"/><Relationship Id="rId19" Type="http://schemas.openxmlformats.org/officeDocument/2006/relationships/hyperlink" Target="https://gcn.gsfc.nasa.gov/gcn3/26655.gcn3" TargetMode="External"/><Relationship Id="rId18" Type="http://schemas.openxmlformats.org/officeDocument/2006/relationships/hyperlink" Target="https://fritz.science/source/ZTF19aaprei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4378.gcn3" TargetMode="External"/><Relationship Id="rId2" Type="http://schemas.openxmlformats.org/officeDocument/2006/relationships/hyperlink" Target="http://www.astronomerstelegram.org/?read=12730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4910.gcn3" TargetMode="External"/><Relationship Id="rId2" Type="http://schemas.openxmlformats.org/officeDocument/2006/relationships/hyperlink" Target="http://www.astronomerstelegram.org/?read=12879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5225.gcn3" TargetMode="External"/><Relationship Id="rId2" Type="http://schemas.openxmlformats.org/officeDocument/2006/relationships/hyperlink" Target="http://www.astronomerstelegram.org/?read=12974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5806.gcn3" TargetMode="External"/><Relationship Id="rId2" Type="http://schemas.openxmlformats.org/officeDocument/2006/relationships/hyperlink" Target="http://www.astronomerstelegram.org/?read=13125" TargetMode="External"/><Relationship Id="rId3" Type="http://schemas.openxmlformats.org/officeDocument/2006/relationships/hyperlink" Target="https://wis-tns.weizmann.ac.il/object/2019pqh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5913.gcn3" TargetMode="External"/><Relationship Id="rId2" Type="http://schemas.openxmlformats.org/officeDocument/2006/relationships/hyperlink" Target="http://www.astronomerstelegram.org/?read=13160" TargetMode="External"/><Relationship Id="rId3" Type="http://schemas.openxmlformats.org/officeDocument/2006/relationships/hyperlink" Target="https://wis-tns.weizmann.ac.il/object/2019qhl" TargetMode="External"/><Relationship Id="rId4" Type="http://schemas.openxmlformats.org/officeDocument/2006/relationships/hyperlink" Target="https://wis-tns.weizmann.ac.il/object/2019rsj" TargetMode="External"/><Relationship Id="rId5" Type="http://schemas.openxmlformats.org/officeDocument/2006/relationships/hyperlink" Target="https://wis-tns.weizmann.ac.il/object/2019rsk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6655.gcn3" TargetMode="External"/><Relationship Id="rId2" Type="http://schemas.openxmlformats.org/officeDocument/2006/relationships/hyperlink" Target="https://gcn.gsfc.nasa.gov/gcn3/26667.gcn3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9.71"/>
    <col customWidth="1" min="3" max="3" width="8.29"/>
    <col customWidth="1" min="4" max="4" width="16.71"/>
    <col customWidth="1" min="5" max="5" width="7.86"/>
    <col customWidth="1" min="6" max="6" width="14.86"/>
    <col customWidth="1" min="7" max="8" width="15.14"/>
    <col customWidth="1" min="9" max="9" width="14.0"/>
    <col customWidth="1" min="10" max="10" width="8.29"/>
    <col customWidth="1" min="11" max="11" width="9.29"/>
    <col customWidth="1" min="12" max="12" width="12.43"/>
    <col customWidth="1" min="13" max="13" width="38.0"/>
    <col customWidth="1" min="14" max="14" width="43.71"/>
    <col customWidth="1" min="15" max="15" width="37.86"/>
    <col customWidth="1" min="16" max="16" width="38.0"/>
  </cols>
  <sheetData>
    <row r="1">
      <c r="A1" s="1" t="s">
        <v>0</v>
      </c>
      <c r="I1" s="1" t="s">
        <v>1</v>
      </c>
      <c r="J1" s="2">
        <f>COUNTIF(C6:C1008, "&gt;0")</f>
        <v>23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</row>
    <row r="3" ht="19.5" customHeight="1">
      <c r="A3" s="5" t="s">
        <v>2</v>
      </c>
      <c r="C3" s="6">
        <f>COUNT(C5:C300)</f>
        <v>24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ht="54.0" customHeight="1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17</v>
      </c>
    </row>
    <row r="5">
      <c r="A5" s="3" t="s">
        <v>18</v>
      </c>
      <c r="B5" s="3" t="s">
        <v>19</v>
      </c>
      <c r="C5" s="3">
        <v>120.28</v>
      </c>
      <c r="D5" s="7" t="s">
        <v>20</v>
      </c>
      <c r="E5" s="4">
        <f>6.35</f>
        <v>6.35</v>
      </c>
      <c r="F5" s="7" t="s">
        <v>21</v>
      </c>
      <c r="G5" s="3">
        <v>1.94428356211566</v>
      </c>
      <c r="H5" s="3">
        <v>1.64252389160467</v>
      </c>
      <c r="I5" s="8">
        <v>1.37368764587296</v>
      </c>
      <c r="J5" s="9">
        <v>0.36</v>
      </c>
      <c r="K5" s="3"/>
      <c r="L5" s="3">
        <v>18.38</v>
      </c>
      <c r="M5" s="10" t="s">
        <v>22</v>
      </c>
      <c r="N5" s="10" t="s">
        <v>23</v>
      </c>
    </row>
    <row r="6">
      <c r="A6" s="3" t="s">
        <v>24</v>
      </c>
      <c r="B6" s="3" t="s">
        <v>25</v>
      </c>
      <c r="C6" s="3">
        <v>343.26</v>
      </c>
      <c r="D6" s="7" t="s">
        <v>26</v>
      </c>
      <c r="E6" s="3">
        <v>10.73</v>
      </c>
      <c r="F6" s="7" t="s">
        <v>27</v>
      </c>
      <c r="G6" s="3">
        <v>27.2099916306755</v>
      </c>
      <c r="H6" s="3">
        <v>25.7328743018064</v>
      </c>
      <c r="I6" s="8">
        <v>21.5724694745683</v>
      </c>
      <c r="J6" s="9">
        <v>0.55</v>
      </c>
      <c r="K6" s="3">
        <f>198.7</f>
        <v>198.7</v>
      </c>
      <c r="L6" s="3">
        <v>21.63</v>
      </c>
      <c r="M6" s="10" t="s">
        <v>28</v>
      </c>
      <c r="N6" s="11" t="s">
        <v>29</v>
      </c>
    </row>
    <row r="7">
      <c r="A7" s="3" t="s">
        <v>30</v>
      </c>
      <c r="B7" s="3" t="s">
        <v>25</v>
      </c>
      <c r="C7" s="3">
        <v>225.79</v>
      </c>
      <c r="D7" s="7" t="s">
        <v>31</v>
      </c>
      <c r="E7" s="4">
        <f>10.47</f>
        <v>10.47</v>
      </c>
      <c r="F7" s="7" t="s">
        <v>32</v>
      </c>
      <c r="G7" s="3">
        <v>5.40751052686515</v>
      </c>
      <c r="H7" s="3">
        <v>4.96035658283006</v>
      </c>
      <c r="I7" s="8">
        <v>4.52103881541484</v>
      </c>
      <c r="J7" s="9">
        <v>0.67</v>
      </c>
      <c r="K7" s="3">
        <f>298.81         </f>
        <v>298.81</v>
      </c>
      <c r="L7" s="3">
        <v>54.83</v>
      </c>
      <c r="M7" s="10" t="s">
        <v>33</v>
      </c>
      <c r="N7" s="10" t="s">
        <v>34</v>
      </c>
    </row>
    <row r="8">
      <c r="A8" s="12" t="s">
        <v>35</v>
      </c>
      <c r="B8" s="12" t="s">
        <v>25</v>
      </c>
      <c r="C8" s="12">
        <v>5.76</v>
      </c>
      <c r="D8" s="13" t="s">
        <v>36</v>
      </c>
      <c r="E8" s="12">
        <v>-1.57</v>
      </c>
      <c r="F8" s="13" t="s">
        <v>37</v>
      </c>
      <c r="G8" s="12">
        <v>4.47843396048777</v>
      </c>
      <c r="H8" s="14">
        <v>4.11450595601568</v>
      </c>
      <c r="I8" s="8">
        <v>4.09483501120604</v>
      </c>
      <c r="J8" s="15">
        <v>0.51</v>
      </c>
      <c r="K8" s="12">
        <f>187.37</f>
        <v>187.37</v>
      </c>
      <c r="L8" s="12">
        <v>-63.55</v>
      </c>
      <c r="M8" s="16" t="s">
        <v>38</v>
      </c>
      <c r="N8" s="17" t="s">
        <v>39</v>
      </c>
    </row>
    <row r="9">
      <c r="A9" s="12" t="s">
        <v>40</v>
      </c>
      <c r="B9" s="12" t="s">
        <v>25</v>
      </c>
      <c r="C9" s="12">
        <v>314.08</v>
      </c>
      <c r="D9" s="13" t="s">
        <v>41</v>
      </c>
      <c r="E9" s="12">
        <v>12.94</v>
      </c>
      <c r="F9" s="13" t="s">
        <v>42</v>
      </c>
      <c r="G9" s="12">
        <v>25.5286338246394</v>
      </c>
      <c r="H9" s="14">
        <v>28.6510307285101</v>
      </c>
      <c r="I9" s="8">
        <v>23.0576258076958</v>
      </c>
      <c r="J9" s="15">
        <v>0.59</v>
      </c>
      <c r="K9" s="12">
        <f>217.42</f>
        <v>217.42</v>
      </c>
      <c r="L9" s="12">
        <v>-20.33</v>
      </c>
      <c r="M9" s="16" t="s">
        <v>43</v>
      </c>
      <c r="N9" s="17" t="s">
        <v>44</v>
      </c>
    </row>
    <row r="10">
      <c r="A10" s="12" t="s">
        <v>45</v>
      </c>
      <c r="B10" s="12" t="s">
        <v>46</v>
      </c>
      <c r="C10" s="12">
        <v>148.18</v>
      </c>
      <c r="D10" s="13" t="s">
        <v>47</v>
      </c>
      <c r="E10" s="6">
        <f>35.46</f>
        <v>35.46</v>
      </c>
      <c r="F10" s="13" t="s">
        <v>48</v>
      </c>
      <c r="G10" s="12">
        <v>7.62111883894369</v>
      </c>
      <c r="H10" s="14">
        <v>7.45856657365392</v>
      </c>
      <c r="I10" s="8">
        <v>6.28158837587733</v>
      </c>
      <c r="J10" s="18"/>
      <c r="K10" s="12"/>
      <c r="L10" s="12">
        <v>51.26</v>
      </c>
      <c r="M10" s="16" t="s">
        <v>49</v>
      </c>
      <c r="N10" s="16" t="s">
        <v>50</v>
      </c>
    </row>
    <row r="11">
      <c r="A11" s="12" t="s">
        <v>51</v>
      </c>
      <c r="B11" s="12" t="s">
        <v>25</v>
      </c>
      <c r="C11" s="12">
        <v>164.49</v>
      </c>
      <c r="D11" s="13" t="s">
        <v>52</v>
      </c>
      <c r="E11" s="6">
        <f>11.87</f>
        <v>11.87</v>
      </c>
      <c r="F11" s="13" t="s">
        <v>53</v>
      </c>
      <c r="G11" s="12">
        <v>22.5238497594332</v>
      </c>
      <c r="H11" s="14">
        <v>25.0153733756683</v>
      </c>
      <c r="I11" s="8">
        <v>22.3560287761521</v>
      </c>
      <c r="J11" s="15">
        <v>0.77</v>
      </c>
      <c r="K11" s="12">
        <f>375.23</f>
        <v>375.23</v>
      </c>
      <c r="L11" s="12">
        <v>59.33</v>
      </c>
      <c r="M11" s="16" t="s">
        <v>54</v>
      </c>
      <c r="N11" s="17" t="s">
        <v>55</v>
      </c>
    </row>
    <row r="12">
      <c r="A12" s="12" t="s">
        <v>56</v>
      </c>
      <c r="B12" s="12" t="s">
        <v>57</v>
      </c>
      <c r="C12" s="12">
        <v>116.24</v>
      </c>
      <c r="D12" s="13" t="s">
        <v>58</v>
      </c>
      <c r="E12" s="12">
        <v>29.14</v>
      </c>
      <c r="F12" s="13" t="s">
        <v>59</v>
      </c>
      <c r="G12" s="12">
        <v>2.85969272513588</v>
      </c>
      <c r="H12" s="14">
        <v>2.65885604010256</v>
      </c>
      <c r="I12" s="8">
        <v>2.65557754930096</v>
      </c>
      <c r="J12" s="15">
        <v>0.38</v>
      </c>
      <c r="K12" s="12">
        <f>108.39</f>
        <v>108.39</v>
      </c>
      <c r="L12" s="12">
        <v>23.7</v>
      </c>
      <c r="M12" s="16" t="s">
        <v>60</v>
      </c>
      <c r="N12" s="17" t="s">
        <v>61</v>
      </c>
      <c r="O12" s="17" t="s">
        <v>62</v>
      </c>
    </row>
    <row r="13">
      <c r="A13" s="12" t="s">
        <v>63</v>
      </c>
      <c r="B13" s="12" t="s">
        <v>57</v>
      </c>
      <c r="C13" s="12">
        <v>295.18</v>
      </c>
      <c r="D13" s="13" t="s">
        <v>64</v>
      </c>
      <c r="E13" s="12">
        <v>15.79</v>
      </c>
      <c r="F13" s="13" t="s">
        <v>65</v>
      </c>
      <c r="G13" s="12">
        <v>9.76675523527461</v>
      </c>
      <c r="H13" s="14">
        <v>9.34042029377584</v>
      </c>
      <c r="I13" s="8">
        <v>9.25845802373568</v>
      </c>
      <c r="J13" s="15">
        <v>0.32</v>
      </c>
      <c r="K13" s="12">
        <f>108.77</f>
        <v>108.77</v>
      </c>
      <c r="L13" s="3">
        <v>-3.36</v>
      </c>
      <c r="M13" s="16" t="s">
        <v>66</v>
      </c>
      <c r="N13" s="19" t="s">
        <v>67</v>
      </c>
      <c r="O13" s="12"/>
      <c r="P13" s="12"/>
    </row>
    <row r="14">
      <c r="A14" s="12" t="s">
        <v>68</v>
      </c>
      <c r="B14" s="12" t="s">
        <v>25</v>
      </c>
      <c r="C14" s="12">
        <v>255.37</v>
      </c>
      <c r="D14" s="13" t="s">
        <v>69</v>
      </c>
      <c r="E14" s="12">
        <v>26.61</v>
      </c>
      <c r="F14" s="13" t="s">
        <v>70</v>
      </c>
      <c r="G14" s="12">
        <v>25.3835875886059</v>
      </c>
      <c r="H14" s="14">
        <v>24.5012144130864</v>
      </c>
      <c r="I14" s="8">
        <v>22.0478506408012</v>
      </c>
      <c r="J14" s="15">
        <v>0.59</v>
      </c>
      <c r="K14" s="12">
        <f>82.186</f>
        <v>82.186</v>
      </c>
      <c r="L14" s="12">
        <v>34.86</v>
      </c>
      <c r="M14" s="17" t="s">
        <v>71</v>
      </c>
      <c r="N14" s="19" t="s">
        <v>72</v>
      </c>
      <c r="O14" s="16" t="s">
        <v>73</v>
      </c>
      <c r="P14" s="16" t="s">
        <v>74</v>
      </c>
    </row>
    <row r="15">
      <c r="A15" s="12" t="s">
        <v>75</v>
      </c>
      <c r="B15" s="12" t="s">
        <v>57</v>
      </c>
      <c r="C15" s="12">
        <v>162.11</v>
      </c>
      <c r="D15" s="13" t="s">
        <v>76</v>
      </c>
      <c r="E15" s="12">
        <v>11.95</v>
      </c>
      <c r="F15" s="13" t="s">
        <v>77</v>
      </c>
      <c r="G15" s="12">
        <v>1.72617242696782</v>
      </c>
      <c r="H15" s="14">
        <v>1.59990351118379</v>
      </c>
      <c r="I15" s="8">
        <v>1.24254801380872</v>
      </c>
      <c r="J15" s="15">
        <v>0.32</v>
      </c>
      <c r="K15" s="12">
        <f>113.5</f>
        <v>113.5</v>
      </c>
      <c r="L15" s="12">
        <v>57.43</v>
      </c>
      <c r="M15" s="16" t="s">
        <v>78</v>
      </c>
      <c r="N15" s="16" t="s">
        <v>79</v>
      </c>
    </row>
    <row r="16">
      <c r="A16" s="12" t="s">
        <v>80</v>
      </c>
      <c r="B16" s="12" t="s">
        <v>57</v>
      </c>
      <c r="C16" s="12">
        <v>109.78</v>
      </c>
      <c r="D16" s="13" t="s">
        <v>81</v>
      </c>
      <c r="E16" s="12">
        <v>14.36</v>
      </c>
      <c r="F16" s="13" t="s">
        <v>82</v>
      </c>
      <c r="G16" s="12">
        <v>4.2231078137226</v>
      </c>
      <c r="H16" s="14">
        <v>3.95385990673698</v>
      </c>
      <c r="I16" s="8">
        <v>3.61289686336994</v>
      </c>
      <c r="J16" s="15">
        <v>0.32</v>
      </c>
      <c r="K16" s="12">
        <f>110.48</f>
        <v>110.48</v>
      </c>
      <c r="L16" s="12">
        <v>12.53</v>
      </c>
      <c r="M16" s="16" t="s">
        <v>83</v>
      </c>
      <c r="N16" s="16" t="s">
        <v>84</v>
      </c>
      <c r="O16" s="16" t="s">
        <v>85</v>
      </c>
    </row>
    <row r="17">
      <c r="A17" s="12" t="s">
        <v>86</v>
      </c>
      <c r="B17" s="12" t="s">
        <v>25</v>
      </c>
      <c r="C17" s="12">
        <v>96.46</v>
      </c>
      <c r="D17" s="13" t="s">
        <v>87</v>
      </c>
      <c r="E17" s="12">
        <v>-4.33</v>
      </c>
      <c r="F17" s="13" t="s">
        <v>88</v>
      </c>
      <c r="G17" s="12">
        <v>1.74841995929877</v>
      </c>
      <c r="H17" s="14">
        <v>1.43925746190509</v>
      </c>
      <c r="I17" s="8">
        <v>1.28844688503121</v>
      </c>
      <c r="J17" s="15">
        <v>0.44</v>
      </c>
      <c r="K17" s="12">
        <f>670.5</f>
        <v>670.5</v>
      </c>
      <c r="L17" s="3">
        <v>-7.66</v>
      </c>
      <c r="M17" s="16" t="s">
        <v>89</v>
      </c>
      <c r="N17" s="16" t="s">
        <v>90</v>
      </c>
    </row>
    <row r="18">
      <c r="A18" s="12" t="s">
        <v>91</v>
      </c>
      <c r="B18" s="12" t="s">
        <v>25</v>
      </c>
      <c r="C18" s="12">
        <v>29.53</v>
      </c>
      <c r="D18" s="13" t="s">
        <v>92</v>
      </c>
      <c r="E18" s="12">
        <v>3.47</v>
      </c>
      <c r="F18" s="13" t="s">
        <v>93</v>
      </c>
      <c r="G18" s="12">
        <v>1.12132083734361</v>
      </c>
      <c r="H18" s="14">
        <v>0.895648243854991</v>
      </c>
      <c r="I18" s="8">
        <v>0.872078553227228</v>
      </c>
      <c r="J18" s="15">
        <v>0.47</v>
      </c>
      <c r="K18" s="12">
        <f>182.89</f>
        <v>182.89</v>
      </c>
      <c r="L18" s="12">
        <v>-53.75</v>
      </c>
      <c r="M18" s="16" t="s">
        <v>94</v>
      </c>
      <c r="N18" s="16" t="s">
        <v>95</v>
      </c>
    </row>
    <row r="19">
      <c r="A19" s="12" t="s">
        <v>96</v>
      </c>
      <c r="B19" s="12" t="s">
        <v>25</v>
      </c>
      <c r="C19" s="12">
        <v>265.17</v>
      </c>
      <c r="D19" s="13" t="s">
        <v>97</v>
      </c>
      <c r="E19" s="12">
        <v>5.34</v>
      </c>
      <c r="F19" s="13" t="s">
        <v>98</v>
      </c>
      <c r="G19" s="12">
        <v>0.569475516886967</v>
      </c>
      <c r="H19" s="14">
        <v>0.629470233908375</v>
      </c>
      <c r="I19" s="8">
        <v>0.550786454669828</v>
      </c>
      <c r="J19" s="15">
        <v>0.88</v>
      </c>
      <c r="K19" s="12">
        <f>682.65</f>
        <v>682.65</v>
      </c>
      <c r="L19" s="12">
        <v>18.16</v>
      </c>
      <c r="M19" s="16" t="s">
        <v>99</v>
      </c>
      <c r="N19" s="16" t="s">
        <v>100</v>
      </c>
    </row>
    <row r="20">
      <c r="A20" s="12" t="s">
        <v>101</v>
      </c>
      <c r="B20" s="12" t="s">
        <v>57</v>
      </c>
      <c r="C20" s="12">
        <v>260.82</v>
      </c>
      <c r="D20" s="13" t="s">
        <v>102</v>
      </c>
      <c r="E20" s="12">
        <v>14.55</v>
      </c>
      <c r="F20" s="13" t="s">
        <v>103</v>
      </c>
      <c r="G20" s="12">
        <v>6.88870284438698</v>
      </c>
      <c r="H20" s="14">
        <v>6.5864880204267</v>
      </c>
      <c r="I20" s="8">
        <v>6.30453781148857</v>
      </c>
      <c r="J20" s="15">
        <v>0.3</v>
      </c>
      <c r="K20" s="6">
        <f>105.27</f>
        <v>105.27</v>
      </c>
      <c r="L20" s="12">
        <v>25.96</v>
      </c>
      <c r="M20" s="16" t="s">
        <v>104</v>
      </c>
      <c r="N20" s="16" t="s">
        <v>105</v>
      </c>
    </row>
    <row r="21">
      <c r="A21" s="12" t="s">
        <v>106</v>
      </c>
      <c r="B21" s="12" t="s">
        <v>25</v>
      </c>
      <c r="C21" s="12">
        <v>30.54</v>
      </c>
      <c r="D21" s="13" t="s">
        <v>107</v>
      </c>
      <c r="E21" s="12">
        <v>-12.1</v>
      </c>
      <c r="F21" s="13" t="s">
        <v>108</v>
      </c>
      <c r="G21" s="12">
        <v>5.43980715145337</v>
      </c>
      <c r="H21" s="14">
        <v>4.59339484474497</v>
      </c>
      <c r="I21" s="8">
        <v>4.51448183381163</v>
      </c>
      <c r="J21" s="15">
        <v>0.15</v>
      </c>
      <c r="K21" s="12">
        <f>203.47</f>
        <v>203.47</v>
      </c>
      <c r="L21" s="20">
        <v>-67.62</v>
      </c>
      <c r="M21" s="17" t="s">
        <v>109</v>
      </c>
      <c r="N21" s="17" t="s">
        <v>110</v>
      </c>
    </row>
    <row r="22">
      <c r="A22" s="12" t="s">
        <v>111</v>
      </c>
      <c r="B22" s="12" t="s">
        <v>25</v>
      </c>
      <c r="C22" s="14">
        <v>6.86</v>
      </c>
      <c r="D22" s="13" t="s">
        <v>112</v>
      </c>
      <c r="E22" s="12">
        <v>-9.25</v>
      </c>
      <c r="F22" s="13" t="s">
        <v>113</v>
      </c>
      <c r="G22" s="12">
        <v>4.70814911443826</v>
      </c>
      <c r="H22" s="14">
        <v>3.89484707230807</v>
      </c>
      <c r="I22" s="8">
        <v>3.19652853156597</v>
      </c>
      <c r="J22" s="15">
        <v>0.19</v>
      </c>
      <c r="K22" s="12">
        <f>418.6</f>
        <v>418.6</v>
      </c>
      <c r="L22" s="12">
        <v>-71.24</v>
      </c>
      <c r="M22" s="17" t="s">
        <v>114</v>
      </c>
      <c r="N22" s="16" t="s">
        <v>115</v>
      </c>
    </row>
    <row r="23">
      <c r="A23" s="12" t="s">
        <v>116</v>
      </c>
      <c r="B23" s="12" t="s">
        <v>25</v>
      </c>
      <c r="C23" s="12">
        <v>206.37</v>
      </c>
      <c r="D23" s="13" t="s">
        <v>117</v>
      </c>
      <c r="E23" s="12">
        <v>13.44</v>
      </c>
      <c r="F23" s="13" t="s">
        <v>118</v>
      </c>
      <c r="G23" s="12">
        <v>1.53715565753859</v>
      </c>
      <c r="H23" s="14">
        <v>1.99962959920437</v>
      </c>
      <c r="I23" s="8">
        <v>1.39663708148421</v>
      </c>
      <c r="J23" s="15">
        <v>0.53</v>
      </c>
      <c r="K23" s="12">
        <f>185.78</f>
        <v>185.78</v>
      </c>
      <c r="L23" s="12">
        <v>71.38</v>
      </c>
      <c r="M23" s="16" t="s">
        <v>119</v>
      </c>
      <c r="N23" s="16" t="s">
        <v>120</v>
      </c>
    </row>
    <row r="24">
      <c r="A24" s="12" t="s">
        <v>121</v>
      </c>
      <c r="B24" s="12" t="s">
        <v>25</v>
      </c>
      <c r="C24" s="12">
        <v>206.06</v>
      </c>
      <c r="D24" s="13" t="s">
        <v>122</v>
      </c>
      <c r="E24" s="12">
        <v>4.78</v>
      </c>
      <c r="F24" s="13" t="s">
        <v>123</v>
      </c>
      <c r="G24" s="12">
        <v>2.76323415822598</v>
      </c>
      <c r="H24" s="14">
        <v>2.60967867807847</v>
      </c>
      <c r="I24" s="8">
        <v>2.05233524180543</v>
      </c>
      <c r="J24" s="15">
        <v>0.65</v>
      </c>
      <c r="K24" s="12">
        <f>287.41</f>
        <v>287.41</v>
      </c>
      <c r="L24" s="12">
        <v>64.28</v>
      </c>
      <c r="M24" s="16" t="s">
        <v>124</v>
      </c>
      <c r="N24" s="17" t="s">
        <v>125</v>
      </c>
    </row>
    <row r="25">
      <c r="A25" s="12" t="s">
        <v>126</v>
      </c>
      <c r="B25" s="12" t="s">
        <v>57</v>
      </c>
      <c r="C25" s="12">
        <v>268.42</v>
      </c>
      <c r="D25" s="13" t="s">
        <v>127</v>
      </c>
      <c r="E25" s="12">
        <v>3.81</v>
      </c>
      <c r="F25" s="13" t="s">
        <v>128</v>
      </c>
      <c r="G25" s="12">
        <v>4.04334949377894</v>
      </c>
      <c r="H25" s="14">
        <v>4.12816683796412</v>
      </c>
      <c r="I25" s="8">
        <v>3.66535271619564</v>
      </c>
      <c r="J25" s="15">
        <v>0.28</v>
      </c>
      <c r="K25" s="12">
        <f>113.03</f>
        <v>113.03</v>
      </c>
      <c r="L25" s="12">
        <v>14.6</v>
      </c>
      <c r="M25" s="16" t="s">
        <v>129</v>
      </c>
      <c r="N25" s="17" t="s">
        <v>130</v>
      </c>
    </row>
    <row r="26">
      <c r="A26" s="21" t="s">
        <v>131</v>
      </c>
      <c r="B26" s="12" t="s">
        <v>57</v>
      </c>
      <c r="C26" s="12">
        <v>340.75</v>
      </c>
      <c r="D26" s="21" t="s">
        <v>132</v>
      </c>
      <c r="E26" s="12">
        <v>12.94</v>
      </c>
      <c r="F26" s="21" t="s">
        <v>133</v>
      </c>
      <c r="G26" s="12">
        <v>5.98977319327458</v>
      </c>
      <c r="H26" s="14">
        <v>5.76686532002516</v>
      </c>
      <c r="I26" s="8">
        <v>4.59316561305017</v>
      </c>
      <c r="J26" s="22">
        <v>0.35075</v>
      </c>
      <c r="K26" s="12">
        <v>120.95</v>
      </c>
      <c r="L26" s="23">
        <v>-39.43</v>
      </c>
      <c r="M26" s="16" t="s">
        <v>134</v>
      </c>
      <c r="N26" s="17" t="s">
        <v>135</v>
      </c>
    </row>
    <row r="27">
      <c r="A27" s="21" t="s">
        <v>136</v>
      </c>
      <c r="B27" s="12" t="s">
        <v>25</v>
      </c>
      <c r="C27" s="12">
        <v>270.79</v>
      </c>
      <c r="D27" s="12" t="s">
        <v>137</v>
      </c>
      <c r="E27" s="12">
        <v>25.28</v>
      </c>
      <c r="F27" s="12" t="s">
        <v>138</v>
      </c>
      <c r="G27" s="14">
        <v>3.16953258965517</v>
      </c>
      <c r="H27" s="14">
        <v>3.02932550068406</v>
      </c>
      <c r="I27" s="8">
        <v>2.65885604010256</v>
      </c>
      <c r="J27" s="12">
        <v>0.658</v>
      </c>
      <c r="K27" s="12">
        <v>217.71</v>
      </c>
      <c r="L27" s="12">
        <v>21.28</v>
      </c>
      <c r="M27" s="16" t="s">
        <v>139</v>
      </c>
      <c r="N27" s="24" t="s">
        <v>140</v>
      </c>
    </row>
    <row r="28">
      <c r="A28" s="21" t="s">
        <v>141</v>
      </c>
      <c r="B28" s="12" t="s">
        <v>25</v>
      </c>
      <c r="C28" s="12">
        <v>60.73</v>
      </c>
      <c r="D28" s="12" t="s">
        <v>142</v>
      </c>
      <c r="E28" s="12">
        <v>-4.18</v>
      </c>
      <c r="F28" s="12" t="s">
        <v>143</v>
      </c>
      <c r="G28" s="12">
        <v>1.567089</v>
      </c>
      <c r="H28" s="12">
        <v>1.478599</v>
      </c>
      <c r="I28" s="25">
        <v>1.16</v>
      </c>
      <c r="J28" s="12">
        <v>0.925</v>
      </c>
      <c r="K28" s="12">
        <v>750.88</v>
      </c>
      <c r="L28" s="12">
        <v>-38.95</v>
      </c>
      <c r="M28" s="17" t="s">
        <v>144</v>
      </c>
      <c r="N28" s="16" t="s">
        <v>145</v>
      </c>
    </row>
    <row r="29">
      <c r="C29" s="26"/>
      <c r="D29" s="27"/>
    </row>
    <row r="30">
      <c r="A30" s="5" t="s">
        <v>146</v>
      </c>
      <c r="G30" s="6">
        <f t="shared" ref="G30:J30" si="1">SUM(G5:G28)</f>
        <v>178.2191474</v>
      </c>
      <c r="H30" s="6">
        <f t="shared" si="1"/>
        <v>176.6808564</v>
      </c>
      <c r="I30" s="18">
        <f t="shared" si="1"/>
        <v>154.3278118</v>
      </c>
      <c r="J30" s="18">
        <f t="shared" si="1"/>
        <v>11.20375</v>
      </c>
    </row>
  </sheetData>
  <hyperlinks>
    <hyperlink r:id="rId1" ref="M5"/>
    <hyperlink r:id="rId2" ref="N5"/>
    <hyperlink r:id="rId3" ref="M6"/>
    <hyperlink r:id="rId4" ref="N6"/>
    <hyperlink r:id="rId5" ref="M7"/>
    <hyperlink r:id="rId6" ref="N7"/>
    <hyperlink r:id="rId7" ref="M8"/>
    <hyperlink r:id="rId8" ref="N8"/>
    <hyperlink r:id="rId9" ref="M9"/>
    <hyperlink r:id="rId10" ref="N9"/>
    <hyperlink r:id="rId11" ref="M10"/>
    <hyperlink r:id="rId12" ref="N10"/>
    <hyperlink r:id="rId13" ref="M11"/>
    <hyperlink r:id="rId14" ref="N11"/>
    <hyperlink r:id="rId15" ref="M12"/>
    <hyperlink r:id="rId16" ref="N12"/>
    <hyperlink r:id="rId17" ref="O12"/>
    <hyperlink r:id="rId18" ref="M13"/>
    <hyperlink r:id="rId19" ref="N13"/>
    <hyperlink r:id="rId20" ref="M14"/>
    <hyperlink r:id="rId21" ref="N14"/>
    <hyperlink r:id="rId22" ref="O14"/>
    <hyperlink r:id="rId23" ref="P14"/>
    <hyperlink r:id="rId24" ref="M15"/>
    <hyperlink r:id="rId25" ref="N15"/>
    <hyperlink r:id="rId26" ref="M16"/>
    <hyperlink r:id="rId27" ref="N16"/>
    <hyperlink r:id="rId28" ref="O16"/>
    <hyperlink r:id="rId29" ref="M17"/>
    <hyperlink r:id="rId30" ref="N17"/>
    <hyperlink r:id="rId31" ref="M18"/>
    <hyperlink r:id="rId32" ref="N18"/>
    <hyperlink r:id="rId33" ref="M19"/>
    <hyperlink r:id="rId34" ref="N19"/>
    <hyperlink r:id="rId35" ref="M20"/>
    <hyperlink r:id="rId36" ref="N20"/>
    <hyperlink r:id="rId37" ref="M21"/>
    <hyperlink r:id="rId38" ref="N21"/>
    <hyperlink r:id="rId39" ref="M22"/>
    <hyperlink r:id="rId40" ref="N22"/>
    <hyperlink r:id="rId41" ref="M23"/>
    <hyperlink r:id="rId42" ref="N23"/>
    <hyperlink r:id="rId43" ref="M24"/>
    <hyperlink r:id="rId44" ref="N24"/>
    <hyperlink r:id="rId45" ref="M25"/>
    <hyperlink r:id="rId46" ref="N25"/>
    <hyperlink r:id="rId47" ref="M26"/>
    <hyperlink r:id="rId48" ref="N26"/>
    <hyperlink r:id="rId49" ref="M27"/>
    <hyperlink r:id="rId50" ref="N27"/>
    <hyperlink r:id="rId51" ref="M28"/>
    <hyperlink r:id="rId52" ref="N28"/>
  </hyperlinks>
  <drawing r:id="rId5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.71"/>
    <col customWidth="1" min="4" max="4" width="18.14"/>
    <col customWidth="1" min="5" max="5" width="82.86"/>
    <col customWidth="1" min="7" max="7" width="10.43"/>
    <col customWidth="1" min="8" max="8" width="26.71"/>
    <col customWidth="1" min="9" max="9" width="8.86"/>
  </cols>
  <sheetData>
    <row r="1">
      <c r="A1" s="12" t="s">
        <v>351</v>
      </c>
      <c r="B1" s="16" t="s">
        <v>54</v>
      </c>
    </row>
    <row r="2">
      <c r="A2" s="12" t="s">
        <v>697</v>
      </c>
      <c r="B2" s="16" t="s">
        <v>55</v>
      </c>
    </row>
    <row r="3">
      <c r="A3" s="12"/>
      <c r="B3" s="12"/>
    </row>
    <row r="4">
      <c r="A4" s="12"/>
      <c r="B4" s="12"/>
    </row>
    <row r="5">
      <c r="A5" s="12" t="s">
        <v>531</v>
      </c>
      <c r="B5" s="12">
        <v>59.33</v>
      </c>
    </row>
    <row r="6" ht="16.5" customHeight="1">
      <c r="A6" s="12"/>
      <c r="B6" s="12"/>
      <c r="C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A8" s="4"/>
      <c r="B8" s="195" t="s">
        <v>698</v>
      </c>
      <c r="C8" s="212"/>
      <c r="D8" s="194" t="s">
        <v>627</v>
      </c>
      <c r="E8" s="213" t="s">
        <v>699</v>
      </c>
      <c r="F8" s="195" t="s">
        <v>700</v>
      </c>
      <c r="G8" s="195" t="s">
        <v>556</v>
      </c>
      <c r="H8" s="195" t="s">
        <v>701</v>
      </c>
      <c r="I8" s="195">
        <v>0.22</v>
      </c>
      <c r="Z8" s="214"/>
    </row>
    <row r="9">
      <c r="A9" s="4"/>
      <c r="B9" s="195" t="s">
        <v>702</v>
      </c>
      <c r="C9" s="215"/>
      <c r="D9" s="194" t="s">
        <v>627</v>
      </c>
      <c r="E9" s="196" t="s">
        <v>703</v>
      </c>
      <c r="F9" s="195" t="s">
        <v>642</v>
      </c>
      <c r="G9" s="195" t="s">
        <v>611</v>
      </c>
      <c r="H9" s="216" t="s">
        <v>704</v>
      </c>
      <c r="I9" s="195">
        <v>0.29</v>
      </c>
      <c r="Z9" s="214"/>
    </row>
    <row r="10">
      <c r="A10" s="4"/>
      <c r="B10" s="195" t="s">
        <v>705</v>
      </c>
      <c r="C10" s="215"/>
      <c r="D10" s="194" t="s">
        <v>627</v>
      </c>
      <c r="E10" s="196" t="s">
        <v>706</v>
      </c>
      <c r="F10" s="195" t="s">
        <v>555</v>
      </c>
      <c r="G10" s="195" t="s">
        <v>588</v>
      </c>
      <c r="H10" s="195" t="s">
        <v>707</v>
      </c>
      <c r="I10" s="195">
        <v>0.28</v>
      </c>
      <c r="Z10" s="214"/>
    </row>
    <row r="11" ht="16.5" customHeight="1">
      <c r="A11" s="4"/>
      <c r="B11" s="133" t="s">
        <v>708</v>
      </c>
      <c r="C11" s="133"/>
      <c r="D11" s="133" t="s">
        <v>709</v>
      </c>
      <c r="E11" s="133" t="s">
        <v>710</v>
      </c>
      <c r="F11" s="133" t="s">
        <v>711</v>
      </c>
      <c r="G11" s="133" t="s">
        <v>588</v>
      </c>
      <c r="H11" s="155"/>
      <c r="I11" s="155"/>
      <c r="Z11" s="214"/>
    </row>
    <row r="12" ht="17.25" customHeight="1">
      <c r="A12" s="4"/>
      <c r="B12" s="195" t="s">
        <v>712</v>
      </c>
      <c r="C12" s="201"/>
      <c r="D12" s="195" t="s">
        <v>713</v>
      </c>
      <c r="E12" s="213" t="s">
        <v>714</v>
      </c>
      <c r="F12" s="195" t="s">
        <v>715</v>
      </c>
      <c r="G12" s="195" t="s">
        <v>560</v>
      </c>
      <c r="H12" s="195" t="s">
        <v>716</v>
      </c>
      <c r="I12" s="195">
        <v>0.75</v>
      </c>
      <c r="Z12" s="214"/>
    </row>
    <row r="13">
      <c r="A13" s="4"/>
      <c r="B13" s="186" t="s">
        <v>717</v>
      </c>
      <c r="C13" s="187"/>
      <c r="D13" s="186" t="s">
        <v>540</v>
      </c>
      <c r="E13" s="186" t="s">
        <v>718</v>
      </c>
      <c r="F13" s="186" t="s">
        <v>719</v>
      </c>
      <c r="G13" s="186" t="s">
        <v>720</v>
      </c>
      <c r="H13" s="186" t="s">
        <v>721</v>
      </c>
      <c r="I13" s="186">
        <v>0.47</v>
      </c>
      <c r="Z13" s="214"/>
    </row>
    <row r="14">
      <c r="A14" s="4"/>
      <c r="B14" s="190" t="s">
        <v>405</v>
      </c>
      <c r="C14" s="190" t="s">
        <v>406</v>
      </c>
      <c r="D14" s="190" t="s">
        <v>592</v>
      </c>
      <c r="E14" s="190" t="s">
        <v>722</v>
      </c>
      <c r="F14" s="190" t="s">
        <v>600</v>
      </c>
      <c r="G14" s="190" t="s">
        <v>630</v>
      </c>
      <c r="H14" s="191"/>
      <c r="I14" s="191"/>
      <c r="Z14" s="117"/>
    </row>
    <row r="15" ht="15.0" customHeight="1">
      <c r="A15" s="4"/>
      <c r="B15" s="186" t="s">
        <v>723</v>
      </c>
      <c r="C15" s="187"/>
      <c r="D15" s="186" t="s">
        <v>540</v>
      </c>
      <c r="E15" s="186" t="s">
        <v>724</v>
      </c>
      <c r="F15" s="186" t="s">
        <v>725</v>
      </c>
      <c r="G15" s="186" t="s">
        <v>726</v>
      </c>
      <c r="H15" s="186" t="s">
        <v>727</v>
      </c>
      <c r="I15" s="186">
        <v>0.59</v>
      </c>
      <c r="Z15" s="214"/>
    </row>
    <row r="16">
      <c r="A16" s="4"/>
      <c r="B16" s="186" t="s">
        <v>728</v>
      </c>
      <c r="C16" s="187"/>
      <c r="D16" s="186" t="s">
        <v>540</v>
      </c>
      <c r="E16" s="217" t="s">
        <v>729</v>
      </c>
      <c r="F16" s="186" t="s">
        <v>677</v>
      </c>
      <c r="G16" s="186" t="s">
        <v>730</v>
      </c>
      <c r="H16" s="186" t="s">
        <v>731</v>
      </c>
      <c r="I16" s="186">
        <v>0.39</v>
      </c>
      <c r="Z16" s="214"/>
    </row>
    <row r="17">
      <c r="A17" s="4"/>
      <c r="B17" s="190" t="s">
        <v>409</v>
      </c>
      <c r="C17" s="190" t="s">
        <v>410</v>
      </c>
      <c r="D17" s="190" t="s">
        <v>592</v>
      </c>
      <c r="E17" s="190" t="s">
        <v>732</v>
      </c>
      <c r="F17" s="190" t="s">
        <v>733</v>
      </c>
      <c r="G17" s="190" t="s">
        <v>734</v>
      </c>
      <c r="H17" s="191"/>
      <c r="I17" s="191"/>
      <c r="Z17" s="117"/>
    </row>
    <row r="18">
      <c r="A18" s="4"/>
      <c r="B18" s="133" t="s">
        <v>735</v>
      </c>
      <c r="C18" s="155"/>
      <c r="D18" s="133" t="s">
        <v>736</v>
      </c>
      <c r="E18" s="133" t="s">
        <v>737</v>
      </c>
      <c r="F18" s="133" t="s">
        <v>738</v>
      </c>
      <c r="G18" s="133" t="s">
        <v>543</v>
      </c>
      <c r="H18" s="155"/>
      <c r="I18" s="133">
        <v>0.45</v>
      </c>
      <c r="Z18" s="214"/>
    </row>
    <row r="19">
      <c r="A19" s="4"/>
      <c r="B19" s="190" t="s">
        <v>422</v>
      </c>
      <c r="C19" s="190" t="s">
        <v>423</v>
      </c>
      <c r="D19" s="190" t="s">
        <v>592</v>
      </c>
      <c r="E19" s="190" t="s">
        <v>739</v>
      </c>
      <c r="F19" s="190" t="s">
        <v>740</v>
      </c>
      <c r="G19" s="190">
        <v>0.0</v>
      </c>
      <c r="H19" s="191"/>
      <c r="I19" s="191"/>
      <c r="Z19" s="117"/>
    </row>
    <row r="20">
      <c r="A20" s="4"/>
      <c r="B20" s="190" t="s">
        <v>413</v>
      </c>
      <c r="C20" s="218" t="s">
        <v>414</v>
      </c>
      <c r="D20" s="190" t="s">
        <v>592</v>
      </c>
      <c r="E20" s="190" t="s">
        <v>741</v>
      </c>
      <c r="F20" s="190" t="s">
        <v>688</v>
      </c>
      <c r="G20" s="190" t="s">
        <v>742</v>
      </c>
      <c r="H20" s="191"/>
      <c r="I20" s="191"/>
      <c r="K20" s="12"/>
      <c r="Z20" s="117"/>
    </row>
    <row r="21">
      <c r="A21" s="4"/>
      <c r="B21" s="133" t="s">
        <v>417</v>
      </c>
      <c r="C21" s="133" t="s">
        <v>418</v>
      </c>
      <c r="D21" s="133" t="s">
        <v>619</v>
      </c>
      <c r="E21" s="133" t="s">
        <v>743</v>
      </c>
      <c r="F21" s="133" t="s">
        <v>690</v>
      </c>
      <c r="G21" s="133">
        <v>0.0</v>
      </c>
      <c r="H21" s="155"/>
      <c r="I21" s="155"/>
      <c r="K21" s="12"/>
      <c r="Z21" s="117"/>
    </row>
    <row r="22">
      <c r="B22" s="133" t="s">
        <v>744</v>
      </c>
      <c r="C22" s="155"/>
      <c r="D22" s="133" t="s">
        <v>619</v>
      </c>
      <c r="E22" s="133" t="s">
        <v>745</v>
      </c>
      <c r="F22" s="133" t="s">
        <v>746</v>
      </c>
      <c r="G22" s="133" t="s">
        <v>747</v>
      </c>
      <c r="H22" s="155"/>
      <c r="I22" s="155"/>
    </row>
    <row r="23">
      <c r="B23" s="133" t="s">
        <v>748</v>
      </c>
      <c r="C23" s="155"/>
      <c r="D23" s="133" t="s">
        <v>619</v>
      </c>
      <c r="E23" s="133" t="s">
        <v>749</v>
      </c>
      <c r="F23" s="133" t="s">
        <v>719</v>
      </c>
      <c r="G23" s="133" t="s">
        <v>750</v>
      </c>
      <c r="H23" s="155"/>
      <c r="I23" s="155"/>
    </row>
    <row r="24">
      <c r="B24" s="133" t="s">
        <v>751</v>
      </c>
      <c r="C24" s="155"/>
      <c r="D24" s="133" t="s">
        <v>619</v>
      </c>
      <c r="E24" s="133" t="s">
        <v>749</v>
      </c>
      <c r="F24" s="133" t="s">
        <v>752</v>
      </c>
      <c r="G24" s="133" t="s">
        <v>747</v>
      </c>
      <c r="H24" s="155"/>
      <c r="I24" s="155"/>
    </row>
    <row r="25">
      <c r="B25" s="133" t="s">
        <v>753</v>
      </c>
      <c r="C25" s="155"/>
      <c r="D25" s="133" t="s">
        <v>619</v>
      </c>
      <c r="E25" s="133" t="s">
        <v>749</v>
      </c>
      <c r="F25" s="133" t="s">
        <v>615</v>
      </c>
      <c r="G25" s="133" t="s">
        <v>696</v>
      </c>
      <c r="H25" s="155"/>
      <c r="I25" s="155"/>
    </row>
    <row r="26">
      <c r="B26" s="133" t="s">
        <v>754</v>
      </c>
      <c r="C26" s="133" t="s">
        <v>755</v>
      </c>
      <c r="D26" s="133" t="s">
        <v>619</v>
      </c>
      <c r="E26" s="133" t="s">
        <v>756</v>
      </c>
      <c r="F26" s="133" t="s">
        <v>752</v>
      </c>
      <c r="G26" s="133" t="s">
        <v>750</v>
      </c>
      <c r="H26" s="155"/>
      <c r="I26" s="155"/>
    </row>
    <row r="27">
      <c r="B27" s="190" t="s">
        <v>757</v>
      </c>
      <c r="C27" s="191"/>
      <c r="D27" s="190" t="s">
        <v>592</v>
      </c>
      <c r="E27" s="190" t="s">
        <v>758</v>
      </c>
      <c r="F27" s="190" t="s">
        <v>615</v>
      </c>
      <c r="G27" s="190" t="s">
        <v>750</v>
      </c>
      <c r="H27" s="191"/>
      <c r="I27" s="191"/>
    </row>
    <row r="28">
      <c r="B28" s="190" t="s">
        <v>759</v>
      </c>
      <c r="C28" s="191"/>
      <c r="D28" s="190" t="s">
        <v>592</v>
      </c>
      <c r="E28" s="190" t="s">
        <v>758</v>
      </c>
      <c r="F28" s="190" t="s">
        <v>615</v>
      </c>
      <c r="G28" s="190" t="s">
        <v>696</v>
      </c>
      <c r="H28" s="191"/>
      <c r="I28" s="191"/>
    </row>
    <row r="29">
      <c r="B29" s="190" t="s">
        <v>760</v>
      </c>
      <c r="C29" s="191"/>
      <c r="D29" s="190" t="s">
        <v>592</v>
      </c>
      <c r="E29" s="219" t="s">
        <v>758</v>
      </c>
      <c r="F29" s="190" t="s">
        <v>752</v>
      </c>
      <c r="G29" s="190" t="s">
        <v>750</v>
      </c>
      <c r="H29" s="191"/>
      <c r="I29" s="191"/>
    </row>
    <row r="30">
      <c r="B30" s="190" t="s">
        <v>761</v>
      </c>
      <c r="C30" s="191"/>
      <c r="D30" s="190" t="s">
        <v>592</v>
      </c>
      <c r="E30" s="219" t="s">
        <v>758</v>
      </c>
      <c r="F30" s="190" t="s">
        <v>681</v>
      </c>
      <c r="G30" s="190" t="s">
        <v>762</v>
      </c>
      <c r="H30" s="191"/>
      <c r="I30" s="191"/>
    </row>
  </sheetData>
  <hyperlinks>
    <hyperlink r:id="rId1" ref="B1"/>
    <hyperlink r:id="rId2" ref="B2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2.71"/>
    <col customWidth="1" min="6" max="6" width="15.86"/>
    <col customWidth="1" min="7" max="7" width="11.29"/>
    <col customWidth="1" min="8" max="8" width="25.86"/>
  </cols>
  <sheetData>
    <row r="1">
      <c r="A1" s="12" t="s">
        <v>351</v>
      </c>
      <c r="B1" s="16" t="s">
        <v>60</v>
      </c>
    </row>
    <row r="2">
      <c r="A2" s="12" t="s">
        <v>763</v>
      </c>
      <c r="B2" s="16" t="s">
        <v>61</v>
      </c>
      <c r="C2" s="17" t="s">
        <v>62</v>
      </c>
    </row>
    <row r="3">
      <c r="A3" s="12"/>
      <c r="B3" s="49"/>
    </row>
    <row r="4">
      <c r="A4" s="12"/>
      <c r="B4" s="12"/>
    </row>
    <row r="5">
      <c r="A5" s="12" t="s">
        <v>531</v>
      </c>
      <c r="B5" s="12">
        <v>23.7</v>
      </c>
    </row>
    <row r="6">
      <c r="A6" s="12"/>
      <c r="B6" s="12"/>
      <c r="C6" s="12"/>
      <c r="D6" s="12"/>
      <c r="E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A8" s="4"/>
      <c r="B8" s="220" t="s">
        <v>426</v>
      </c>
      <c r="C8" s="220" t="s">
        <v>427</v>
      </c>
      <c r="D8" s="221" t="s">
        <v>393</v>
      </c>
      <c r="E8" s="152" t="s">
        <v>764</v>
      </c>
      <c r="F8" s="152" t="s">
        <v>550</v>
      </c>
      <c r="G8" s="152" t="s">
        <v>765</v>
      </c>
      <c r="H8" s="151"/>
      <c r="I8" s="151"/>
    </row>
    <row r="9">
      <c r="A9" s="4"/>
      <c r="B9" s="186" t="s">
        <v>766</v>
      </c>
      <c r="C9" s="222"/>
      <c r="D9" s="186" t="s">
        <v>540</v>
      </c>
      <c r="E9" s="192" t="s">
        <v>767</v>
      </c>
      <c r="F9" s="186" t="s">
        <v>725</v>
      </c>
      <c r="G9" s="186" t="s">
        <v>556</v>
      </c>
      <c r="H9" s="186" t="s">
        <v>768</v>
      </c>
      <c r="I9" s="186">
        <v>0.11</v>
      </c>
    </row>
    <row r="10">
      <c r="A10" s="4"/>
      <c r="B10" s="186" t="s">
        <v>769</v>
      </c>
      <c r="C10" s="186" t="s">
        <v>770</v>
      </c>
      <c r="D10" s="186" t="s">
        <v>540</v>
      </c>
      <c r="E10" s="189" t="s">
        <v>771</v>
      </c>
      <c r="F10" s="186" t="s">
        <v>772</v>
      </c>
      <c r="G10" s="186" t="s">
        <v>595</v>
      </c>
      <c r="H10" s="186" t="s">
        <v>773</v>
      </c>
      <c r="I10" s="186">
        <v>0.57</v>
      </c>
    </row>
    <row r="11">
      <c r="A11" s="4"/>
      <c r="B11" s="223" t="s">
        <v>430</v>
      </c>
      <c r="C11" s="223" t="s">
        <v>431</v>
      </c>
      <c r="D11" s="190" t="s">
        <v>592</v>
      </c>
      <c r="E11" s="190" t="s">
        <v>774</v>
      </c>
      <c r="F11" s="190" t="s">
        <v>740</v>
      </c>
      <c r="G11" s="191"/>
      <c r="H11" s="191"/>
      <c r="I11" s="191"/>
    </row>
  </sheetData>
  <hyperlinks>
    <hyperlink r:id="rId1" ref="B1"/>
    <hyperlink r:id="rId2" ref="B2"/>
    <hyperlink r:id="rId3" ref="C2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9.57"/>
    <col customWidth="1" min="8" max="8" width="15.86"/>
  </cols>
  <sheetData>
    <row r="1">
      <c r="A1" s="12" t="s">
        <v>351</v>
      </c>
      <c r="B1" s="16" t="s">
        <v>66</v>
      </c>
    </row>
    <row r="2">
      <c r="A2" s="12" t="s">
        <v>697</v>
      </c>
      <c r="B2" s="16" t="s">
        <v>67</v>
      </c>
    </row>
    <row r="5">
      <c r="A5" s="12" t="s">
        <v>775</v>
      </c>
      <c r="B5" s="133">
        <v>-3.36</v>
      </c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B8" s="133" t="s">
        <v>776</v>
      </c>
      <c r="C8" s="133"/>
      <c r="D8" s="133" t="s">
        <v>736</v>
      </c>
      <c r="E8" s="133"/>
      <c r="F8" s="133" t="s">
        <v>777</v>
      </c>
      <c r="G8" s="133" t="s">
        <v>778</v>
      </c>
      <c r="H8" s="155"/>
      <c r="I8" s="155"/>
    </row>
    <row r="9">
      <c r="B9" s="133" t="s">
        <v>779</v>
      </c>
      <c r="C9" s="133"/>
      <c r="D9" s="133" t="s">
        <v>736</v>
      </c>
      <c r="E9" s="133" t="s">
        <v>780</v>
      </c>
      <c r="F9" s="133" t="s">
        <v>781</v>
      </c>
      <c r="G9" s="133" t="s">
        <v>782</v>
      </c>
      <c r="H9" s="155"/>
      <c r="I9" s="155"/>
    </row>
    <row r="10">
      <c r="B10" s="133" t="s">
        <v>783</v>
      </c>
      <c r="C10" s="133"/>
      <c r="D10" s="133" t="s">
        <v>619</v>
      </c>
      <c r="E10" s="133" t="s">
        <v>784</v>
      </c>
      <c r="F10" s="133" t="s">
        <v>777</v>
      </c>
      <c r="G10" s="133" t="s">
        <v>638</v>
      </c>
      <c r="H10" s="155"/>
      <c r="I10" s="155"/>
    </row>
    <row r="11">
      <c r="B11" s="133" t="s">
        <v>785</v>
      </c>
      <c r="C11" s="133"/>
      <c r="D11" s="133" t="s">
        <v>619</v>
      </c>
      <c r="E11" s="133"/>
      <c r="F11" s="133" t="s">
        <v>786</v>
      </c>
      <c r="G11" s="133" t="s">
        <v>638</v>
      </c>
      <c r="H11" s="155"/>
      <c r="I11" s="155"/>
    </row>
    <row r="12">
      <c r="B12" s="133" t="s">
        <v>787</v>
      </c>
      <c r="C12" s="155"/>
      <c r="D12" s="133" t="s">
        <v>619</v>
      </c>
      <c r="E12" s="133" t="s">
        <v>784</v>
      </c>
      <c r="F12" s="133" t="s">
        <v>788</v>
      </c>
      <c r="G12" s="133" t="s">
        <v>572</v>
      </c>
      <c r="H12" s="155"/>
      <c r="I12" s="155"/>
    </row>
    <row r="13">
      <c r="B13" s="133" t="s">
        <v>789</v>
      </c>
      <c r="C13" s="155"/>
      <c r="D13" s="133" t="s">
        <v>736</v>
      </c>
      <c r="E13" s="133" t="s">
        <v>559</v>
      </c>
      <c r="F13" s="133" t="s">
        <v>725</v>
      </c>
      <c r="G13" s="133" t="s">
        <v>543</v>
      </c>
      <c r="H13" s="155"/>
      <c r="I13" s="155"/>
    </row>
  </sheetData>
  <hyperlinks>
    <hyperlink r:id="rId1" ref="B1"/>
    <hyperlink r:id="rId2" ref="B2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90.71"/>
    <col customWidth="1" min="6" max="6" width="14.57"/>
    <col customWidth="1" min="7" max="7" width="10.57"/>
    <col customWidth="1" min="8" max="8" width="27.57"/>
    <col customWidth="1" min="9" max="9" width="9.0"/>
  </cols>
  <sheetData>
    <row r="1">
      <c r="A1" s="12" t="s">
        <v>351</v>
      </c>
      <c r="B1" s="16" t="s">
        <v>71</v>
      </c>
    </row>
    <row r="2">
      <c r="A2" s="12" t="s">
        <v>763</v>
      </c>
      <c r="B2" s="17" t="s">
        <v>72</v>
      </c>
      <c r="C2" s="16" t="s">
        <v>73</v>
      </c>
      <c r="D2" s="16" t="s">
        <v>74</v>
      </c>
    </row>
    <row r="3">
      <c r="A3" s="12"/>
    </row>
    <row r="4">
      <c r="A4" s="12"/>
      <c r="B4" s="12"/>
    </row>
    <row r="5">
      <c r="A5" s="12" t="s">
        <v>531</v>
      </c>
      <c r="B5" s="12">
        <v>34.86</v>
      </c>
    </row>
    <row r="6">
      <c r="A6" s="12"/>
      <c r="B6" s="12"/>
      <c r="C6" s="12"/>
      <c r="D6" s="12"/>
      <c r="E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B8" s="133" t="s">
        <v>790</v>
      </c>
      <c r="C8" s="133" t="s">
        <v>791</v>
      </c>
      <c r="D8" s="133" t="s">
        <v>619</v>
      </c>
      <c r="E8" s="133" t="s">
        <v>792</v>
      </c>
      <c r="F8" s="133" t="s">
        <v>793</v>
      </c>
      <c r="G8" s="133" t="s">
        <v>794</v>
      </c>
      <c r="H8" s="155"/>
      <c r="I8" s="155"/>
    </row>
    <row r="9">
      <c r="B9" s="195" t="s">
        <v>795</v>
      </c>
      <c r="C9" s="195" t="s">
        <v>796</v>
      </c>
      <c r="D9" s="195" t="s">
        <v>627</v>
      </c>
      <c r="E9" s="195" t="s">
        <v>797</v>
      </c>
      <c r="F9" s="195" t="s">
        <v>798</v>
      </c>
      <c r="G9" s="195" t="s">
        <v>799</v>
      </c>
      <c r="H9" s="201"/>
      <c r="I9" s="201"/>
    </row>
    <row r="10">
      <c r="B10" s="133" t="s">
        <v>800</v>
      </c>
      <c r="C10" s="133"/>
      <c r="D10" s="133" t="s">
        <v>619</v>
      </c>
      <c r="E10" s="133" t="s">
        <v>801</v>
      </c>
      <c r="F10" s="133" t="s">
        <v>802</v>
      </c>
      <c r="G10" s="133" t="s">
        <v>803</v>
      </c>
      <c r="H10" s="155"/>
      <c r="I10" s="133">
        <v>1.0</v>
      </c>
    </row>
    <row r="11">
      <c r="B11" s="25" t="s">
        <v>804</v>
      </c>
      <c r="C11" s="25" t="s">
        <v>805</v>
      </c>
      <c r="D11" s="25" t="s">
        <v>478</v>
      </c>
      <c r="E11" s="25" t="s">
        <v>806</v>
      </c>
      <c r="F11" s="25" t="s">
        <v>807</v>
      </c>
      <c r="G11" s="25" t="s">
        <v>572</v>
      </c>
      <c r="H11" s="25" t="s">
        <v>808</v>
      </c>
      <c r="I11" s="25">
        <v>0.1</v>
      </c>
    </row>
    <row r="12">
      <c r="B12" s="133" t="s">
        <v>809</v>
      </c>
      <c r="C12" s="155"/>
      <c r="D12" s="133" t="s">
        <v>619</v>
      </c>
      <c r="E12" s="133" t="s">
        <v>792</v>
      </c>
      <c r="F12" s="133" t="s">
        <v>810</v>
      </c>
      <c r="G12" s="133" t="s">
        <v>584</v>
      </c>
      <c r="H12" s="155"/>
      <c r="I12" s="155"/>
    </row>
    <row r="13">
      <c r="B13" s="25" t="s">
        <v>811</v>
      </c>
      <c r="C13" s="25" t="s">
        <v>812</v>
      </c>
      <c r="D13" s="25" t="s">
        <v>366</v>
      </c>
      <c r="E13" s="25" t="s">
        <v>813</v>
      </c>
      <c r="F13" s="25" t="s">
        <v>725</v>
      </c>
      <c r="G13" s="25" t="s">
        <v>611</v>
      </c>
      <c r="H13" s="25" t="s">
        <v>814</v>
      </c>
      <c r="I13" s="25">
        <v>0.4</v>
      </c>
    </row>
    <row r="14">
      <c r="B14" s="186" t="s">
        <v>815</v>
      </c>
      <c r="C14" s="186" t="s">
        <v>816</v>
      </c>
      <c r="D14" s="186" t="s">
        <v>570</v>
      </c>
      <c r="E14" s="186" t="s">
        <v>817</v>
      </c>
      <c r="F14" s="186" t="s">
        <v>733</v>
      </c>
      <c r="G14" s="186" t="s">
        <v>584</v>
      </c>
      <c r="H14" s="187"/>
      <c r="I14" s="187"/>
    </row>
    <row r="15">
      <c r="B15" s="186" t="s">
        <v>818</v>
      </c>
      <c r="C15" s="186"/>
      <c r="D15" s="186" t="s">
        <v>540</v>
      </c>
      <c r="E15" s="186" t="s">
        <v>819</v>
      </c>
      <c r="F15" s="186" t="s">
        <v>738</v>
      </c>
      <c r="G15" s="186" t="s">
        <v>580</v>
      </c>
      <c r="H15" s="186" t="s">
        <v>820</v>
      </c>
      <c r="I15" s="186">
        <v>0.1</v>
      </c>
    </row>
    <row r="16">
      <c r="B16" s="186" t="s">
        <v>821</v>
      </c>
      <c r="C16" s="186"/>
      <c r="D16" s="186" t="s">
        <v>570</v>
      </c>
      <c r="E16" s="186" t="s">
        <v>822</v>
      </c>
      <c r="F16" s="186" t="s">
        <v>571</v>
      </c>
      <c r="G16" s="186" t="s">
        <v>584</v>
      </c>
      <c r="H16" s="187"/>
      <c r="I16" s="187"/>
    </row>
    <row r="17">
      <c r="B17" s="25" t="s">
        <v>434</v>
      </c>
      <c r="C17" s="25" t="s">
        <v>435</v>
      </c>
      <c r="D17" s="25" t="s">
        <v>402</v>
      </c>
      <c r="E17" s="25" t="s">
        <v>823</v>
      </c>
      <c r="F17" s="25" t="s">
        <v>824</v>
      </c>
      <c r="G17" s="25" t="s">
        <v>825</v>
      </c>
      <c r="H17" s="175"/>
      <c r="I17" s="175"/>
    </row>
    <row r="18">
      <c r="B18" s="186" t="s">
        <v>826</v>
      </c>
      <c r="C18" s="186" t="s">
        <v>827</v>
      </c>
      <c r="D18" s="186" t="s">
        <v>540</v>
      </c>
      <c r="E18" s="186" t="s">
        <v>828</v>
      </c>
      <c r="F18" s="186" t="s">
        <v>681</v>
      </c>
      <c r="G18" s="186" t="s">
        <v>572</v>
      </c>
      <c r="H18" s="186" t="s">
        <v>829</v>
      </c>
      <c r="I18" s="186">
        <v>0.1</v>
      </c>
    </row>
    <row r="19">
      <c r="B19" s="186" t="s">
        <v>830</v>
      </c>
      <c r="C19" s="186" t="s">
        <v>831</v>
      </c>
      <c r="D19" s="186" t="s">
        <v>570</v>
      </c>
      <c r="E19" s="186" t="s">
        <v>832</v>
      </c>
      <c r="F19" s="186" t="s">
        <v>681</v>
      </c>
      <c r="G19" s="186" t="s">
        <v>584</v>
      </c>
      <c r="H19" s="187"/>
      <c r="I19" s="187"/>
    </row>
    <row r="20">
      <c r="B20" s="133" t="s">
        <v>833</v>
      </c>
      <c r="C20" s="133" t="s">
        <v>834</v>
      </c>
      <c r="D20" s="133" t="s">
        <v>501</v>
      </c>
      <c r="E20" s="133"/>
      <c r="F20" s="133" t="s">
        <v>835</v>
      </c>
      <c r="G20" s="133" t="s">
        <v>836</v>
      </c>
      <c r="H20" s="155"/>
      <c r="I20" s="155"/>
    </row>
    <row r="21">
      <c r="B21" s="224" t="s">
        <v>837</v>
      </c>
      <c r="C21" s="224" t="s">
        <v>838</v>
      </c>
      <c r="D21" s="224" t="s">
        <v>441</v>
      </c>
      <c r="E21" s="224" t="s">
        <v>839</v>
      </c>
      <c r="F21" s="224" t="s">
        <v>840</v>
      </c>
      <c r="G21" s="224" t="s">
        <v>841</v>
      </c>
      <c r="H21" s="225"/>
      <c r="I21" s="225"/>
    </row>
    <row r="22">
      <c r="B22" s="133" t="s">
        <v>842</v>
      </c>
      <c r="C22" s="133" t="s">
        <v>843</v>
      </c>
      <c r="D22" s="133" t="s">
        <v>844</v>
      </c>
      <c r="E22" s="133" t="s">
        <v>845</v>
      </c>
      <c r="F22" s="133" t="s">
        <v>846</v>
      </c>
      <c r="G22" s="133" t="s">
        <v>847</v>
      </c>
      <c r="H22" s="155"/>
      <c r="I22" s="155"/>
    </row>
    <row r="23">
      <c r="B23" s="186" t="s">
        <v>468</v>
      </c>
      <c r="C23" s="186" t="s">
        <v>848</v>
      </c>
      <c r="D23" s="186" t="s">
        <v>540</v>
      </c>
      <c r="E23" s="192" t="s">
        <v>849</v>
      </c>
      <c r="F23" s="186" t="s">
        <v>850</v>
      </c>
      <c r="G23" s="186" t="s">
        <v>551</v>
      </c>
      <c r="H23" s="186" t="s">
        <v>851</v>
      </c>
      <c r="I23" s="186">
        <v>0.15</v>
      </c>
    </row>
    <row r="24">
      <c r="B24" s="190" t="s">
        <v>472</v>
      </c>
      <c r="C24" s="190" t="s">
        <v>852</v>
      </c>
      <c r="D24" s="190" t="s">
        <v>592</v>
      </c>
      <c r="E24" s="190" t="s">
        <v>853</v>
      </c>
      <c r="F24" s="190" t="s">
        <v>854</v>
      </c>
      <c r="G24" s="190" t="s">
        <v>855</v>
      </c>
      <c r="H24" s="191"/>
      <c r="I24" s="191"/>
    </row>
    <row r="25">
      <c r="B25" s="186" t="s">
        <v>856</v>
      </c>
      <c r="C25" s="186" t="s">
        <v>857</v>
      </c>
      <c r="D25" s="186" t="s">
        <v>540</v>
      </c>
      <c r="E25" s="186" t="s">
        <v>858</v>
      </c>
      <c r="F25" s="186" t="s">
        <v>579</v>
      </c>
      <c r="G25" s="186" t="s">
        <v>595</v>
      </c>
      <c r="H25" s="186" t="s">
        <v>859</v>
      </c>
      <c r="I25" s="186">
        <v>0.35</v>
      </c>
    </row>
    <row r="26">
      <c r="B26" s="186" t="s">
        <v>476</v>
      </c>
      <c r="C26" s="186" t="s">
        <v>860</v>
      </c>
      <c r="D26" s="186" t="s">
        <v>570</v>
      </c>
      <c r="E26" s="186" t="s">
        <v>861</v>
      </c>
      <c r="F26" s="186" t="s">
        <v>752</v>
      </c>
      <c r="G26" s="186" t="s">
        <v>862</v>
      </c>
      <c r="H26" s="187"/>
      <c r="I26" s="187"/>
    </row>
    <row r="27">
      <c r="B27" s="224" t="s">
        <v>439</v>
      </c>
      <c r="C27" s="224" t="s">
        <v>440</v>
      </c>
      <c r="D27" s="224" t="s">
        <v>441</v>
      </c>
      <c r="E27" s="224" t="s">
        <v>863</v>
      </c>
      <c r="F27" s="224" t="s">
        <v>864</v>
      </c>
      <c r="G27" s="224" t="s">
        <v>643</v>
      </c>
      <c r="H27" s="225"/>
      <c r="I27" s="225"/>
    </row>
    <row r="28">
      <c r="B28" s="186" t="s">
        <v>865</v>
      </c>
      <c r="C28" s="187"/>
      <c r="D28" s="186" t="s">
        <v>540</v>
      </c>
      <c r="E28" s="192" t="s">
        <v>866</v>
      </c>
      <c r="F28" s="186" t="s">
        <v>555</v>
      </c>
      <c r="G28" s="186" t="s">
        <v>778</v>
      </c>
      <c r="H28" s="186" t="s">
        <v>867</v>
      </c>
      <c r="I28" s="186">
        <v>0.1</v>
      </c>
    </row>
    <row r="29">
      <c r="B29" s="133" t="s">
        <v>868</v>
      </c>
      <c r="C29" s="155"/>
      <c r="D29" s="133" t="s">
        <v>736</v>
      </c>
      <c r="E29" s="133" t="s">
        <v>737</v>
      </c>
      <c r="F29" s="133" t="s">
        <v>869</v>
      </c>
      <c r="G29" s="133" t="s">
        <v>691</v>
      </c>
      <c r="H29" s="155"/>
      <c r="I29" s="133">
        <v>0.5</v>
      </c>
    </row>
    <row r="30">
      <c r="B30" s="133" t="s">
        <v>870</v>
      </c>
      <c r="C30" s="133" t="s">
        <v>871</v>
      </c>
      <c r="D30" s="133" t="s">
        <v>619</v>
      </c>
      <c r="E30" s="133" t="s">
        <v>872</v>
      </c>
      <c r="F30" s="133" t="s">
        <v>738</v>
      </c>
      <c r="G30" s="133" t="s">
        <v>580</v>
      </c>
      <c r="H30" s="155"/>
      <c r="I30" s="155"/>
    </row>
    <row r="31">
      <c r="B31" s="190" t="s">
        <v>449</v>
      </c>
      <c r="C31" s="226" t="s">
        <v>450</v>
      </c>
      <c r="D31" s="190" t="s">
        <v>592</v>
      </c>
      <c r="E31" s="190" t="s">
        <v>873</v>
      </c>
      <c r="F31" s="190" t="s">
        <v>684</v>
      </c>
      <c r="G31" s="190" t="s">
        <v>543</v>
      </c>
      <c r="H31" s="191"/>
      <c r="I31" s="191"/>
    </row>
    <row r="32">
      <c r="B32" s="186" t="s">
        <v>874</v>
      </c>
      <c r="C32" s="227"/>
      <c r="D32" s="186" t="s">
        <v>540</v>
      </c>
      <c r="E32" s="186" t="s">
        <v>875</v>
      </c>
      <c r="F32" s="186" t="s">
        <v>666</v>
      </c>
      <c r="G32" s="186" t="s">
        <v>685</v>
      </c>
      <c r="H32" s="186" t="s">
        <v>876</v>
      </c>
      <c r="I32" s="186">
        <v>0.2</v>
      </c>
    </row>
    <row r="33">
      <c r="B33" s="186" t="s">
        <v>877</v>
      </c>
      <c r="C33" s="227"/>
      <c r="D33" s="186" t="s">
        <v>540</v>
      </c>
      <c r="E33" s="186" t="s">
        <v>828</v>
      </c>
      <c r="F33" s="186" t="s">
        <v>579</v>
      </c>
      <c r="G33" s="186" t="s">
        <v>730</v>
      </c>
      <c r="H33" s="186" t="s">
        <v>878</v>
      </c>
      <c r="I33" s="186">
        <v>0.4</v>
      </c>
    </row>
    <row r="34">
      <c r="B34" s="190" t="s">
        <v>452</v>
      </c>
      <c r="C34" s="190" t="s">
        <v>879</v>
      </c>
      <c r="D34" s="190" t="s">
        <v>592</v>
      </c>
      <c r="E34" s="190" t="s">
        <v>880</v>
      </c>
      <c r="F34" s="190" t="s">
        <v>694</v>
      </c>
      <c r="G34" s="190" t="s">
        <v>603</v>
      </c>
      <c r="H34" s="191"/>
      <c r="I34" s="191"/>
    </row>
    <row r="35">
      <c r="B35" s="190" t="s">
        <v>480</v>
      </c>
      <c r="C35" s="190" t="s">
        <v>881</v>
      </c>
      <c r="D35" s="190" t="s">
        <v>592</v>
      </c>
      <c r="E35" s="190" t="s">
        <v>882</v>
      </c>
      <c r="F35" s="190" t="s">
        <v>883</v>
      </c>
      <c r="G35" s="190" t="s">
        <v>691</v>
      </c>
      <c r="H35" s="191"/>
      <c r="I35" s="191"/>
    </row>
    <row r="36">
      <c r="B36" s="186" t="s">
        <v>884</v>
      </c>
      <c r="C36" s="186" t="s">
        <v>885</v>
      </c>
      <c r="D36" s="186" t="s">
        <v>570</v>
      </c>
      <c r="E36" s="186" t="s">
        <v>861</v>
      </c>
      <c r="F36" s="186" t="s">
        <v>688</v>
      </c>
      <c r="G36" s="186" t="s">
        <v>603</v>
      </c>
      <c r="H36" s="187"/>
      <c r="I36" s="187"/>
    </row>
    <row r="37">
      <c r="B37" s="190" t="s">
        <v>483</v>
      </c>
      <c r="C37" s="190" t="s">
        <v>886</v>
      </c>
      <c r="D37" s="190" t="s">
        <v>592</v>
      </c>
      <c r="E37" s="190" t="s">
        <v>887</v>
      </c>
      <c r="F37" s="190" t="s">
        <v>660</v>
      </c>
      <c r="G37" s="190" t="s">
        <v>580</v>
      </c>
      <c r="H37" s="191"/>
      <c r="I37" s="191"/>
    </row>
    <row r="38">
      <c r="B38" s="186" t="s">
        <v>456</v>
      </c>
      <c r="C38" s="227" t="s">
        <v>457</v>
      </c>
      <c r="D38" s="186" t="s">
        <v>540</v>
      </c>
      <c r="E38" s="186" t="s">
        <v>888</v>
      </c>
      <c r="F38" s="186" t="s">
        <v>889</v>
      </c>
      <c r="G38" s="186" t="s">
        <v>747</v>
      </c>
      <c r="H38" s="186" t="s">
        <v>890</v>
      </c>
      <c r="I38" s="186">
        <v>0.2</v>
      </c>
    </row>
    <row r="39">
      <c r="B39" s="186" t="s">
        <v>460</v>
      </c>
      <c r="C39" s="186" t="s">
        <v>461</v>
      </c>
      <c r="D39" s="186" t="s">
        <v>570</v>
      </c>
      <c r="E39" s="186" t="s">
        <v>891</v>
      </c>
      <c r="F39" s="186" t="s">
        <v>892</v>
      </c>
      <c r="G39" s="186" t="s">
        <v>543</v>
      </c>
      <c r="H39" s="187"/>
      <c r="I39" s="187"/>
    </row>
    <row r="40">
      <c r="B40" s="190" t="s">
        <v>465</v>
      </c>
      <c r="C40" s="190" t="s">
        <v>466</v>
      </c>
      <c r="D40" s="190" t="s">
        <v>592</v>
      </c>
      <c r="E40" s="190" t="s">
        <v>893</v>
      </c>
      <c r="F40" s="190" t="s">
        <v>894</v>
      </c>
      <c r="G40" s="190" t="s">
        <v>580</v>
      </c>
      <c r="H40" s="191"/>
      <c r="I40" s="191"/>
    </row>
    <row r="41">
      <c r="B41" s="224" t="s">
        <v>444</v>
      </c>
      <c r="C41" s="224" t="s">
        <v>445</v>
      </c>
      <c r="D41" s="224" t="s">
        <v>446</v>
      </c>
      <c r="E41" s="224" t="s">
        <v>895</v>
      </c>
      <c r="F41" s="224" t="s">
        <v>772</v>
      </c>
      <c r="G41" s="225"/>
      <c r="H41" s="225"/>
      <c r="I41" s="225"/>
    </row>
    <row r="42">
      <c r="B42" s="133" t="s">
        <v>896</v>
      </c>
      <c r="C42" s="133"/>
      <c r="D42" s="133" t="s">
        <v>736</v>
      </c>
      <c r="E42" s="133" t="s">
        <v>737</v>
      </c>
      <c r="F42" s="133" t="s">
        <v>733</v>
      </c>
      <c r="G42" s="133" t="s">
        <v>657</v>
      </c>
      <c r="H42" s="155"/>
      <c r="I42" s="133">
        <v>0.4</v>
      </c>
    </row>
    <row r="43">
      <c r="B43" s="186" t="s">
        <v>897</v>
      </c>
      <c r="C43" s="186"/>
      <c r="D43" s="186" t="s">
        <v>540</v>
      </c>
      <c r="E43" s="186" t="s">
        <v>898</v>
      </c>
      <c r="F43" s="186" t="s">
        <v>899</v>
      </c>
      <c r="G43" s="186" t="s">
        <v>747</v>
      </c>
      <c r="H43" s="186" t="s">
        <v>900</v>
      </c>
      <c r="I43" s="186">
        <v>0.33</v>
      </c>
    </row>
    <row r="44">
      <c r="B44" s="133" t="s">
        <v>485</v>
      </c>
      <c r="C44" s="133" t="s">
        <v>486</v>
      </c>
      <c r="D44" s="133" t="s">
        <v>736</v>
      </c>
      <c r="E44" s="133" t="s">
        <v>901</v>
      </c>
      <c r="F44" s="133" t="s">
        <v>738</v>
      </c>
      <c r="G44" s="133" t="s">
        <v>580</v>
      </c>
      <c r="H44" s="155"/>
      <c r="I44" s="155"/>
    </row>
    <row r="45">
      <c r="B45" s="186" t="s">
        <v>902</v>
      </c>
      <c r="C45" s="186"/>
      <c r="D45" s="186" t="s">
        <v>540</v>
      </c>
      <c r="E45" s="192" t="s">
        <v>903</v>
      </c>
      <c r="F45" s="186" t="s">
        <v>684</v>
      </c>
      <c r="G45" s="186" t="s">
        <v>543</v>
      </c>
      <c r="H45" s="186" t="s">
        <v>904</v>
      </c>
      <c r="I45" s="186">
        <v>0.17</v>
      </c>
    </row>
    <row r="46">
      <c r="B46" s="133" t="s">
        <v>905</v>
      </c>
      <c r="C46" s="133"/>
      <c r="D46" s="133" t="s">
        <v>736</v>
      </c>
      <c r="E46" s="133" t="s">
        <v>906</v>
      </c>
      <c r="F46" s="133" t="s">
        <v>869</v>
      </c>
      <c r="G46" s="133">
        <v>0.0</v>
      </c>
      <c r="H46" s="155"/>
      <c r="I46" s="133">
        <v>0.2</v>
      </c>
    </row>
    <row r="47">
      <c r="B47" s="152" t="s">
        <v>488</v>
      </c>
      <c r="C47" s="152" t="s">
        <v>907</v>
      </c>
      <c r="D47" s="152" t="s">
        <v>592</v>
      </c>
      <c r="E47" s="152" t="s">
        <v>908</v>
      </c>
      <c r="F47" s="152" t="s">
        <v>909</v>
      </c>
      <c r="G47" s="151"/>
      <c r="H47" s="151"/>
      <c r="I47" s="151"/>
    </row>
    <row r="48">
      <c r="B48" s="186" t="s">
        <v>910</v>
      </c>
      <c r="C48" s="186"/>
      <c r="D48" s="186" t="s">
        <v>540</v>
      </c>
      <c r="E48" s="186" t="s">
        <v>875</v>
      </c>
      <c r="F48" s="186" t="s">
        <v>911</v>
      </c>
      <c r="G48" s="186">
        <v>0.0</v>
      </c>
      <c r="H48" s="186" t="s">
        <v>912</v>
      </c>
      <c r="I48" s="186">
        <v>0.12</v>
      </c>
    </row>
  </sheetData>
  <hyperlinks>
    <hyperlink r:id="rId1" ref="B1"/>
    <hyperlink r:id="rId2" ref="B2"/>
    <hyperlink r:id="rId3" ref="C2"/>
    <hyperlink r:id="rId4" ref="D2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5.71"/>
    <col customWidth="1" min="6" max="6" width="15.57"/>
    <col customWidth="1" min="8" max="8" width="26.14"/>
  </cols>
  <sheetData>
    <row r="1">
      <c r="A1" s="12" t="s">
        <v>351</v>
      </c>
      <c r="B1" s="16" t="s">
        <v>78</v>
      </c>
    </row>
    <row r="2">
      <c r="A2" s="12" t="s">
        <v>697</v>
      </c>
      <c r="B2" s="16" t="s">
        <v>79</v>
      </c>
    </row>
    <row r="3">
      <c r="A3" s="12"/>
      <c r="B3" s="12"/>
    </row>
    <row r="4">
      <c r="A4" s="12"/>
      <c r="B4" s="12"/>
    </row>
    <row r="5">
      <c r="A5" s="12" t="s">
        <v>531</v>
      </c>
      <c r="B5" s="12">
        <v>57.43</v>
      </c>
    </row>
    <row r="6">
      <c r="A6" s="12"/>
      <c r="B6" s="12"/>
      <c r="C6" s="12"/>
      <c r="D6" s="12"/>
      <c r="E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A8" s="4"/>
      <c r="B8" s="228" t="s">
        <v>495</v>
      </c>
      <c r="C8" s="186" t="s">
        <v>496</v>
      </c>
      <c r="D8" s="186" t="s">
        <v>540</v>
      </c>
      <c r="E8" s="186" t="s">
        <v>913</v>
      </c>
      <c r="F8" s="186" t="s">
        <v>746</v>
      </c>
      <c r="G8" s="186" t="s">
        <v>595</v>
      </c>
      <c r="H8" s="186" t="s">
        <v>914</v>
      </c>
      <c r="I8" s="186">
        <v>0.55</v>
      </c>
    </row>
    <row r="9">
      <c r="A9" s="4"/>
      <c r="B9" s="228" t="s">
        <v>491</v>
      </c>
      <c r="C9" s="186" t="s">
        <v>492</v>
      </c>
      <c r="D9" s="186" t="s">
        <v>570</v>
      </c>
      <c r="E9" s="186" t="s">
        <v>680</v>
      </c>
      <c r="F9" s="186" t="s">
        <v>656</v>
      </c>
      <c r="G9" s="186" t="s">
        <v>657</v>
      </c>
      <c r="H9" s="187"/>
      <c r="I9" s="187"/>
    </row>
    <row r="10">
      <c r="B10" s="4"/>
      <c r="C10" s="4"/>
      <c r="D10" s="4"/>
      <c r="E10" s="4"/>
      <c r="F10" s="4"/>
    </row>
    <row r="11">
      <c r="B11" s="3"/>
      <c r="C11" s="4"/>
      <c r="D11" s="3"/>
      <c r="E11" s="3"/>
      <c r="F11" s="4"/>
    </row>
    <row r="12">
      <c r="B12" s="3"/>
      <c r="C12" s="3"/>
      <c r="D12" s="3"/>
      <c r="E12" s="3"/>
      <c r="F12" s="4"/>
    </row>
    <row r="13">
      <c r="B13" s="3"/>
      <c r="C13" s="4"/>
      <c r="D13" s="3"/>
      <c r="E13" s="3"/>
      <c r="F13" s="4"/>
    </row>
    <row r="14">
      <c r="B14" s="3"/>
      <c r="C14" s="4"/>
      <c r="D14" s="3"/>
      <c r="E14" s="3"/>
      <c r="F14" s="4"/>
    </row>
    <row r="15">
      <c r="B15" s="3"/>
      <c r="C15" s="4"/>
      <c r="D15" s="3"/>
      <c r="E15" s="3"/>
      <c r="F15" s="4"/>
    </row>
    <row r="16">
      <c r="B16" s="3"/>
      <c r="C16" s="3"/>
      <c r="D16" s="3"/>
      <c r="E16" s="3"/>
      <c r="F16" s="4"/>
    </row>
    <row r="17">
      <c r="B17" s="4"/>
      <c r="C17" s="4"/>
      <c r="D17" s="4"/>
      <c r="E17" s="4"/>
      <c r="F17" s="4"/>
    </row>
    <row r="18">
      <c r="B18" s="4"/>
      <c r="C18" s="4"/>
      <c r="D18" s="4"/>
      <c r="E18" s="4"/>
      <c r="F18" s="4"/>
    </row>
    <row r="19">
      <c r="B19" s="3"/>
      <c r="C19" s="3"/>
      <c r="D19" s="3"/>
      <c r="E19" s="3"/>
      <c r="F19" s="4"/>
    </row>
    <row r="20">
      <c r="B20" s="4"/>
      <c r="C20" s="4"/>
      <c r="D20" s="4"/>
      <c r="E20" s="4"/>
      <c r="F20" s="4"/>
    </row>
    <row r="21">
      <c r="B21" s="3"/>
      <c r="C21" s="3"/>
      <c r="D21" s="3"/>
      <c r="E21" s="3"/>
      <c r="F21" s="4"/>
    </row>
    <row r="22">
      <c r="B22" s="3"/>
      <c r="C22" s="3"/>
      <c r="D22" s="4"/>
      <c r="E22" s="3"/>
      <c r="F22" s="4"/>
    </row>
    <row r="23">
      <c r="B23" s="4"/>
      <c r="C23" s="4"/>
      <c r="D23" s="4"/>
      <c r="E23" s="4"/>
      <c r="F23" s="4"/>
    </row>
    <row r="24">
      <c r="B24" s="3"/>
      <c r="C24" s="3"/>
      <c r="D24" s="3"/>
      <c r="E24" s="3"/>
      <c r="F24" s="4"/>
      <c r="G24" s="4"/>
    </row>
    <row r="25">
      <c r="B25" s="4"/>
      <c r="C25" s="4"/>
      <c r="D25" s="4"/>
      <c r="E25" s="4"/>
      <c r="F25" s="4"/>
    </row>
    <row r="26">
      <c r="B26" s="3"/>
      <c r="C26" s="3"/>
      <c r="D26" s="3"/>
      <c r="E26" s="3"/>
      <c r="F26" s="4"/>
    </row>
    <row r="27">
      <c r="B27" s="4"/>
      <c r="C27" s="4"/>
      <c r="D27" s="4"/>
      <c r="E27" s="4"/>
      <c r="F27" s="4"/>
    </row>
    <row r="28">
      <c r="B28" s="4"/>
      <c r="C28" s="4"/>
      <c r="D28" s="4"/>
      <c r="E28" s="4"/>
      <c r="F28" s="4"/>
    </row>
    <row r="29">
      <c r="B29" s="4"/>
      <c r="C29" s="4"/>
      <c r="D29" s="4"/>
      <c r="E29" s="4"/>
      <c r="F29" s="4"/>
    </row>
    <row r="30">
      <c r="B30" s="4"/>
      <c r="C30" s="4"/>
      <c r="D30" s="4"/>
      <c r="E30" s="4"/>
      <c r="F30" s="4"/>
    </row>
    <row r="31">
      <c r="B31" s="4"/>
      <c r="C31" s="4"/>
      <c r="D31" s="4"/>
      <c r="E31" s="4"/>
      <c r="F31" s="4"/>
    </row>
  </sheetData>
  <hyperlinks>
    <hyperlink r:id="rId1" ref="B1"/>
    <hyperlink r:id="rId2" ref="B2"/>
  </hyperlink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5" max="5" width="73.0"/>
    <col customWidth="1" min="6" max="6" width="15.14"/>
    <col customWidth="1" min="8" max="8" width="27.14"/>
  </cols>
  <sheetData>
    <row r="1">
      <c r="A1" s="12" t="s">
        <v>351</v>
      </c>
      <c r="B1" s="16" t="s">
        <v>83</v>
      </c>
    </row>
    <row r="2">
      <c r="A2" s="12" t="s">
        <v>763</v>
      </c>
      <c r="B2" s="16" t="s">
        <v>84</v>
      </c>
      <c r="C2" s="17" t="s">
        <v>85</v>
      </c>
    </row>
    <row r="3">
      <c r="B3" s="49"/>
    </row>
    <row r="5">
      <c r="A5" s="12" t="s">
        <v>531</v>
      </c>
      <c r="B5" s="12">
        <v>12.53</v>
      </c>
    </row>
    <row r="6">
      <c r="A6" s="12"/>
      <c r="B6" s="12"/>
      <c r="C6" s="12"/>
      <c r="D6" s="12"/>
      <c r="E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B8" s="195" t="s">
        <v>915</v>
      </c>
      <c r="C8" s="195" t="s">
        <v>509</v>
      </c>
      <c r="D8" s="216" t="s">
        <v>627</v>
      </c>
      <c r="E8" s="195" t="s">
        <v>916</v>
      </c>
      <c r="F8" s="195" t="s">
        <v>600</v>
      </c>
      <c r="G8" s="195" t="s">
        <v>572</v>
      </c>
      <c r="H8" s="201"/>
      <c r="I8" s="201"/>
    </row>
    <row r="9">
      <c r="B9" s="229" t="s">
        <v>508</v>
      </c>
      <c r="C9" s="195" t="s">
        <v>509</v>
      </c>
      <c r="D9" s="195" t="s">
        <v>627</v>
      </c>
      <c r="E9" s="195" t="s">
        <v>917</v>
      </c>
      <c r="F9" s="195" t="s">
        <v>711</v>
      </c>
      <c r="G9" s="195" t="s">
        <v>720</v>
      </c>
      <c r="H9" s="201"/>
      <c r="I9" s="201"/>
    </row>
    <row r="10">
      <c r="B10" s="159" t="s">
        <v>499</v>
      </c>
      <c r="C10" s="133" t="s">
        <v>918</v>
      </c>
      <c r="D10" s="133" t="s">
        <v>501</v>
      </c>
      <c r="E10" s="133" t="s">
        <v>919</v>
      </c>
      <c r="F10" s="133" t="s">
        <v>920</v>
      </c>
      <c r="G10" s="133" t="s">
        <v>595</v>
      </c>
      <c r="H10" s="155"/>
      <c r="I10" s="155"/>
    </row>
    <row r="11">
      <c r="B11" s="190" t="s">
        <v>921</v>
      </c>
      <c r="C11" s="190"/>
      <c r="D11" s="190" t="s">
        <v>592</v>
      </c>
      <c r="E11" s="190" t="s">
        <v>922</v>
      </c>
      <c r="F11" s="190" t="s">
        <v>894</v>
      </c>
      <c r="G11" s="190" t="s">
        <v>685</v>
      </c>
      <c r="H11" s="191"/>
      <c r="I11" s="191"/>
    </row>
    <row r="12">
      <c r="B12" s="190" t="s">
        <v>504</v>
      </c>
      <c r="C12" s="190" t="s">
        <v>505</v>
      </c>
      <c r="D12" s="190" t="s">
        <v>592</v>
      </c>
      <c r="E12" s="190" t="s">
        <v>923</v>
      </c>
      <c r="F12" s="190" t="s">
        <v>733</v>
      </c>
      <c r="G12" s="190" t="s">
        <v>543</v>
      </c>
      <c r="H12" s="191"/>
      <c r="I12" s="191"/>
    </row>
    <row r="13">
      <c r="B13" s="186" t="s">
        <v>924</v>
      </c>
      <c r="C13" s="187"/>
      <c r="D13" s="186" t="s">
        <v>540</v>
      </c>
      <c r="E13" s="186" t="s">
        <v>925</v>
      </c>
      <c r="F13" s="186" t="s">
        <v>899</v>
      </c>
      <c r="G13" s="186" t="s">
        <v>685</v>
      </c>
      <c r="H13" s="186" t="s">
        <v>926</v>
      </c>
      <c r="I13" s="186">
        <v>0.25</v>
      </c>
    </row>
  </sheetData>
  <hyperlinks>
    <hyperlink r:id="rId1" ref="B1"/>
    <hyperlink r:id="rId2" ref="B2"/>
    <hyperlink r:id="rId3" ref="C2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5" max="5" width="61.71"/>
    <col customWidth="1" min="6" max="6" width="15.43"/>
  </cols>
  <sheetData>
    <row r="1">
      <c r="A1" s="12" t="s">
        <v>351</v>
      </c>
      <c r="B1" s="16" t="s">
        <v>89</v>
      </c>
    </row>
    <row r="2">
      <c r="A2" s="12" t="s">
        <v>697</v>
      </c>
      <c r="B2" s="17" t="s">
        <v>90</v>
      </c>
    </row>
    <row r="3">
      <c r="A3" s="12"/>
      <c r="B3" s="12"/>
    </row>
    <row r="4">
      <c r="A4" s="12"/>
      <c r="B4" s="12"/>
    </row>
    <row r="5">
      <c r="A5" s="12" t="s">
        <v>531</v>
      </c>
      <c r="B5" s="133">
        <v>-7.66</v>
      </c>
    </row>
    <row r="6">
      <c r="A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230" t="s">
        <v>535</v>
      </c>
      <c r="G7" s="12" t="s">
        <v>536</v>
      </c>
      <c r="H7" s="12" t="s">
        <v>537</v>
      </c>
      <c r="I7" s="12" t="s">
        <v>538</v>
      </c>
    </row>
    <row r="8">
      <c r="A8" s="12"/>
      <c r="B8" s="186" t="s">
        <v>927</v>
      </c>
      <c r="C8" s="186"/>
      <c r="D8" s="186" t="s">
        <v>540</v>
      </c>
      <c r="E8" s="186" t="s">
        <v>680</v>
      </c>
      <c r="F8" s="186" t="s">
        <v>928</v>
      </c>
      <c r="G8" s="186" t="s">
        <v>720</v>
      </c>
      <c r="H8" s="187"/>
      <c r="I8" s="187"/>
    </row>
    <row r="9">
      <c r="B9" s="133" t="s">
        <v>929</v>
      </c>
      <c r="C9" s="133"/>
      <c r="D9" s="133" t="s">
        <v>736</v>
      </c>
      <c r="E9" s="133" t="s">
        <v>930</v>
      </c>
      <c r="F9" s="133" t="s">
        <v>931</v>
      </c>
      <c r="G9" s="133" t="s">
        <v>932</v>
      </c>
      <c r="H9" s="155"/>
      <c r="I9" s="155"/>
    </row>
    <row r="10">
      <c r="B10" s="12"/>
      <c r="D10" s="12"/>
      <c r="E10" s="12"/>
    </row>
    <row r="11">
      <c r="B11" s="12"/>
      <c r="E11" s="12"/>
    </row>
  </sheetData>
  <hyperlinks>
    <hyperlink r:id="rId1" ref="B1"/>
    <hyperlink r:id="rId2" ref="B2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351</v>
      </c>
      <c r="B1" s="16" t="s">
        <v>94</v>
      </c>
    </row>
    <row r="2">
      <c r="A2" s="12" t="s">
        <v>697</v>
      </c>
      <c r="B2" s="16" t="s">
        <v>95</v>
      </c>
    </row>
    <row r="5">
      <c r="A5" s="12" t="s">
        <v>531</v>
      </c>
      <c r="B5" s="12">
        <v>-53.75</v>
      </c>
    </row>
    <row r="6">
      <c r="A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230" t="s">
        <v>535</v>
      </c>
      <c r="G7" s="12" t="s">
        <v>536</v>
      </c>
      <c r="H7" s="12" t="s">
        <v>537</v>
      </c>
      <c r="I7" s="12" t="s">
        <v>538</v>
      </c>
    </row>
    <row r="8">
      <c r="A8" s="12"/>
      <c r="B8" s="25" t="s">
        <v>933</v>
      </c>
      <c r="C8" s="25"/>
      <c r="D8" s="25" t="s">
        <v>366</v>
      </c>
      <c r="E8" s="25" t="s">
        <v>934</v>
      </c>
      <c r="F8" s="25" t="s">
        <v>711</v>
      </c>
      <c r="G8" s="25" t="s">
        <v>551</v>
      </c>
      <c r="H8" s="175"/>
      <c r="I8" s="175"/>
    </row>
    <row r="9">
      <c r="B9" s="3"/>
      <c r="C9" s="3"/>
      <c r="D9" s="3"/>
      <c r="E9" s="3"/>
      <c r="F9" s="4"/>
    </row>
  </sheetData>
  <hyperlinks>
    <hyperlink r:id="rId1" ref="B1"/>
    <hyperlink r:id="rId2" ref="B2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351</v>
      </c>
      <c r="B1" s="16" t="s">
        <v>99</v>
      </c>
    </row>
    <row r="2">
      <c r="A2" s="12" t="s">
        <v>697</v>
      </c>
      <c r="B2" s="16" t="s">
        <v>100</v>
      </c>
    </row>
    <row r="3">
      <c r="A3" s="12"/>
      <c r="B3" s="12"/>
    </row>
    <row r="4">
      <c r="A4" s="12"/>
      <c r="B4" s="12"/>
    </row>
    <row r="5">
      <c r="A5" s="12" t="s">
        <v>531</v>
      </c>
      <c r="B5" s="12">
        <v>18.16</v>
      </c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</sheetData>
  <hyperlinks>
    <hyperlink r:id="rId1" ref="B1"/>
    <hyperlink r:id="rId2" ref="B2"/>
  </hyperlin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96.57"/>
    <col customWidth="1" min="6" max="6" width="14.43"/>
    <col customWidth="1" min="8" max="8" width="27.0"/>
  </cols>
  <sheetData>
    <row r="1">
      <c r="A1" s="12" t="s">
        <v>351</v>
      </c>
      <c r="B1" s="16" t="s">
        <v>104</v>
      </c>
    </row>
    <row r="2">
      <c r="A2" s="12" t="s">
        <v>697</v>
      </c>
      <c r="B2" s="16" t="s">
        <v>105</v>
      </c>
    </row>
    <row r="3">
      <c r="A3" s="12"/>
      <c r="B3" s="12"/>
    </row>
    <row r="4">
      <c r="A4" s="12"/>
      <c r="B4" s="12"/>
    </row>
    <row r="5">
      <c r="A5" s="12" t="s">
        <v>531</v>
      </c>
      <c r="B5" s="231">
        <v>25.96</v>
      </c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A8" s="12"/>
      <c r="B8" s="186" t="s">
        <v>935</v>
      </c>
      <c r="C8" s="186" t="s">
        <v>936</v>
      </c>
      <c r="D8" s="186" t="s">
        <v>540</v>
      </c>
      <c r="E8" s="186" t="s">
        <v>937</v>
      </c>
      <c r="F8" s="186" t="s">
        <v>938</v>
      </c>
      <c r="G8" s="186" t="s">
        <v>862</v>
      </c>
      <c r="H8" s="186" t="s">
        <v>939</v>
      </c>
      <c r="I8" s="186">
        <v>0.43</v>
      </c>
    </row>
    <row r="9">
      <c r="B9" s="133" t="s">
        <v>940</v>
      </c>
      <c r="C9" s="133" t="s">
        <v>941</v>
      </c>
      <c r="D9" s="133" t="s">
        <v>736</v>
      </c>
      <c r="E9" s="133" t="s">
        <v>942</v>
      </c>
      <c r="F9" s="133" t="s">
        <v>943</v>
      </c>
      <c r="G9" s="133" t="s">
        <v>638</v>
      </c>
      <c r="H9" s="155"/>
      <c r="I9" s="155"/>
    </row>
    <row r="10">
      <c r="B10" s="186" t="s">
        <v>944</v>
      </c>
      <c r="C10" s="186"/>
      <c r="D10" s="186" t="s">
        <v>540</v>
      </c>
      <c r="E10" s="186" t="s">
        <v>945</v>
      </c>
      <c r="F10" s="186" t="s">
        <v>807</v>
      </c>
      <c r="G10" s="186" t="s">
        <v>726</v>
      </c>
      <c r="H10" s="186" t="s">
        <v>946</v>
      </c>
      <c r="I10" s="186">
        <v>0.48</v>
      </c>
    </row>
    <row r="11">
      <c r="B11" s="152" t="s">
        <v>512</v>
      </c>
      <c r="C11" s="152" t="s">
        <v>513</v>
      </c>
      <c r="D11" s="152" t="s">
        <v>393</v>
      </c>
      <c r="E11" s="152" t="s">
        <v>947</v>
      </c>
      <c r="F11" s="152" t="s">
        <v>542</v>
      </c>
      <c r="G11" s="152" t="s">
        <v>580</v>
      </c>
      <c r="H11" s="152" t="s">
        <v>948</v>
      </c>
      <c r="I11" s="152">
        <v>0.39</v>
      </c>
    </row>
  </sheetData>
  <hyperlinks>
    <hyperlink r:id="rId1" ref="B1"/>
    <hyperlink r:id="rId2" ref="B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3" width="11.14"/>
    <col customWidth="1" min="4" max="4" width="13.14"/>
    <col customWidth="1" min="5" max="5" width="9.57"/>
    <col customWidth="1" min="6" max="6" width="12.43"/>
    <col customWidth="1" min="7" max="7" width="11.86"/>
    <col customWidth="1" min="8" max="8" width="13.43"/>
    <col customWidth="1" min="9" max="9" width="39.71"/>
    <col customWidth="1" min="10" max="10" width="7.86"/>
    <col customWidth="1" min="11" max="11" width="10.0"/>
    <col customWidth="1" min="12" max="12" width="34.14"/>
    <col customWidth="1" min="13" max="13" width="11.71"/>
    <col customWidth="1" min="14" max="14" width="10.29"/>
    <col customWidth="1" min="15" max="15" width="11.29"/>
    <col customWidth="1" min="16" max="16" width="38.0"/>
    <col customWidth="1" min="17" max="17" width="43.71"/>
    <col customWidth="1" min="18" max="18" width="37.86"/>
    <col customWidth="1" min="19" max="19" width="38.0"/>
  </cols>
  <sheetData>
    <row r="1">
      <c r="A1" s="1" t="s">
        <v>147</v>
      </c>
      <c r="B1" s="28"/>
    </row>
    <row r="2">
      <c r="B2" s="28"/>
      <c r="L2" s="29" t="s">
        <v>148</v>
      </c>
      <c r="R2" s="29" t="s">
        <v>149</v>
      </c>
    </row>
    <row r="3" ht="51.75" customHeight="1">
      <c r="A3" s="5" t="s">
        <v>3</v>
      </c>
      <c r="B3" s="30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12</v>
      </c>
      <c r="H3" s="5" t="s">
        <v>13</v>
      </c>
      <c r="I3" s="5" t="s">
        <v>150</v>
      </c>
      <c r="J3" s="5" t="s">
        <v>151</v>
      </c>
      <c r="K3" s="5"/>
      <c r="L3" s="5" t="s">
        <v>152</v>
      </c>
      <c r="M3" s="5" t="s">
        <v>153</v>
      </c>
      <c r="N3" s="5" t="s">
        <v>154</v>
      </c>
      <c r="O3" s="5"/>
      <c r="P3" s="5"/>
      <c r="Q3" s="5"/>
      <c r="R3" s="5" t="s">
        <v>152</v>
      </c>
      <c r="S3" s="5" t="s">
        <v>153</v>
      </c>
      <c r="T3" s="5" t="s">
        <v>154</v>
      </c>
    </row>
    <row r="4">
      <c r="A4" s="31" t="s">
        <v>155</v>
      </c>
      <c r="B4" s="32" t="s">
        <v>156</v>
      </c>
      <c r="C4" s="33">
        <v>240.57</v>
      </c>
      <c r="D4" s="31" t="s">
        <v>157</v>
      </c>
      <c r="E4" s="31">
        <v>9.34</v>
      </c>
      <c r="F4" s="31" t="s">
        <v>157</v>
      </c>
      <c r="G4" s="33"/>
      <c r="H4" s="33"/>
      <c r="I4" s="33" t="s">
        <v>158</v>
      </c>
      <c r="J4" s="33">
        <v>0.0</v>
      </c>
      <c r="L4" s="12" t="s">
        <v>159</v>
      </c>
      <c r="M4" s="15">
        <f>COUNTIF(J4:J76, 0)</f>
        <v>11</v>
      </c>
      <c r="N4" s="34">
        <f>1/SUM(M4:M14)*M4</f>
        <v>0.1195652174</v>
      </c>
      <c r="R4" s="12"/>
      <c r="S4" s="15"/>
      <c r="T4" s="34"/>
    </row>
    <row r="5">
      <c r="A5" s="31" t="s">
        <v>160</v>
      </c>
      <c r="B5" s="32" t="s">
        <v>161</v>
      </c>
      <c r="C5" s="33">
        <v>214.5</v>
      </c>
      <c r="D5" s="31" t="s">
        <v>162</v>
      </c>
      <c r="E5" s="31">
        <v>-0.33</v>
      </c>
      <c r="F5" s="31" t="s">
        <v>162</v>
      </c>
      <c r="G5" s="33">
        <v>0.84879</v>
      </c>
      <c r="H5" s="33"/>
      <c r="I5" s="33" t="s">
        <v>158</v>
      </c>
      <c r="J5" s="33">
        <v>0.0</v>
      </c>
      <c r="L5" s="12" t="s">
        <v>163</v>
      </c>
      <c r="M5" s="15">
        <f>COUNTIF(J4:J76, 1)</f>
        <v>12</v>
      </c>
      <c r="N5" s="34">
        <f>1/SUM(M4:M14)*M5</f>
        <v>0.1304347826</v>
      </c>
      <c r="R5" s="12"/>
      <c r="S5" s="15"/>
      <c r="T5" s="34"/>
    </row>
    <row r="6">
      <c r="A6" s="31" t="s">
        <v>164</v>
      </c>
      <c r="B6" s="35" t="s">
        <v>19</v>
      </c>
      <c r="C6" s="31">
        <v>122.81</v>
      </c>
      <c r="D6" s="31" t="s">
        <v>165</v>
      </c>
      <c r="E6" s="31">
        <v>-0.81</v>
      </c>
      <c r="F6" s="31" t="s">
        <v>166</v>
      </c>
      <c r="G6" s="33">
        <v>0.28016</v>
      </c>
      <c r="H6" s="33"/>
      <c r="I6" s="33" t="s">
        <v>158</v>
      </c>
      <c r="J6" s="33">
        <v>0.0</v>
      </c>
      <c r="L6" s="12" t="s">
        <v>167</v>
      </c>
      <c r="M6" s="15">
        <f>COUNTIF(J17:J76, 2)</f>
        <v>18</v>
      </c>
      <c r="N6" s="34">
        <f>1/SUM(M4:M14)*M6</f>
        <v>0.1956521739</v>
      </c>
      <c r="R6" s="12"/>
      <c r="S6" s="15"/>
      <c r="T6" s="34"/>
    </row>
    <row r="7">
      <c r="A7" s="31" t="s">
        <v>168</v>
      </c>
      <c r="B7" s="32" t="s">
        <v>156</v>
      </c>
      <c r="C7" s="31">
        <v>200.3</v>
      </c>
      <c r="D7" s="31" t="s">
        <v>169</v>
      </c>
      <c r="E7" s="31">
        <v>-32.4</v>
      </c>
      <c r="F7" s="31" t="s">
        <v>170</v>
      </c>
      <c r="G7" s="33"/>
      <c r="H7" s="33"/>
      <c r="I7" s="33" t="s">
        <v>158</v>
      </c>
      <c r="J7" s="33">
        <v>0.0</v>
      </c>
      <c r="L7" s="12" t="s">
        <v>171</v>
      </c>
      <c r="M7" s="15">
        <f>COUNTIF(J17:J76, 3)</f>
        <v>3</v>
      </c>
      <c r="N7" s="34">
        <f>1/SUM(M4:M14)*M7</f>
        <v>0.03260869565</v>
      </c>
      <c r="R7" s="12"/>
      <c r="S7" s="15"/>
      <c r="T7" s="34"/>
    </row>
    <row r="8">
      <c r="A8" s="31" t="s">
        <v>172</v>
      </c>
      <c r="B8" s="32" t="s">
        <v>156</v>
      </c>
      <c r="C8" s="31">
        <v>40.83</v>
      </c>
      <c r="D8" s="31" t="s">
        <v>173</v>
      </c>
      <c r="E8" s="31">
        <v>12.56</v>
      </c>
      <c r="F8" s="31" t="s">
        <v>174</v>
      </c>
      <c r="G8" s="33"/>
      <c r="H8" s="33"/>
      <c r="I8" s="33" t="s">
        <v>158</v>
      </c>
      <c r="J8" s="33">
        <v>0.0</v>
      </c>
      <c r="L8" s="12" t="s">
        <v>175</v>
      </c>
      <c r="M8" s="15">
        <f>COUNTIF(J17:J76, 4)</f>
        <v>15</v>
      </c>
      <c r="N8" s="34">
        <f>1/SUM(M4:M14)*M8</f>
        <v>0.1630434783</v>
      </c>
      <c r="R8" s="12"/>
      <c r="S8" s="15"/>
      <c r="T8" s="34"/>
    </row>
    <row r="9">
      <c r="A9" s="31" t="s">
        <v>176</v>
      </c>
      <c r="B9" s="35" t="s">
        <v>19</v>
      </c>
      <c r="C9" s="31">
        <v>46.58</v>
      </c>
      <c r="D9" s="33" t="s">
        <v>177</v>
      </c>
      <c r="E9" s="31">
        <v>14.98</v>
      </c>
      <c r="F9" s="31" t="s">
        <v>178</v>
      </c>
      <c r="G9" s="33">
        <v>0.49023</v>
      </c>
      <c r="H9" s="33"/>
      <c r="I9" s="33" t="s">
        <v>158</v>
      </c>
      <c r="J9" s="33">
        <v>0.0</v>
      </c>
      <c r="L9" s="12" t="s">
        <v>179</v>
      </c>
      <c r="M9" s="15">
        <f>COUNTIF(J17:J76, 5)</f>
        <v>3</v>
      </c>
      <c r="N9" s="34">
        <f>1/SUM(M4:M14)*M9</f>
        <v>0.03260869565</v>
      </c>
      <c r="R9" s="12"/>
      <c r="S9" s="15"/>
      <c r="T9" s="34"/>
    </row>
    <row r="10">
      <c r="A10" s="31" t="s">
        <v>180</v>
      </c>
      <c r="B10" s="32" t="s">
        <v>156</v>
      </c>
      <c r="C10" s="31">
        <v>305.15</v>
      </c>
      <c r="D10" s="33" t="s">
        <v>181</v>
      </c>
      <c r="E10" s="31">
        <v>-26.61</v>
      </c>
      <c r="F10" s="31" t="s">
        <v>181</v>
      </c>
      <c r="G10" s="33"/>
      <c r="H10" s="33"/>
      <c r="I10" s="33" t="s">
        <v>158</v>
      </c>
      <c r="J10" s="33">
        <v>0.0</v>
      </c>
      <c r="L10" s="12" t="s">
        <v>182</v>
      </c>
      <c r="M10" s="15">
        <f>COUNTIF(J17:J76, 6)</f>
        <v>2</v>
      </c>
      <c r="N10" s="34">
        <f>1/SUM(M4:M14)*M10</f>
        <v>0.02173913043</v>
      </c>
      <c r="R10" s="12"/>
      <c r="S10" s="15"/>
      <c r="T10" s="34"/>
    </row>
    <row r="11">
      <c r="A11" s="31" t="s">
        <v>183</v>
      </c>
      <c r="B11" s="35" t="s">
        <v>19</v>
      </c>
      <c r="C11" s="31">
        <v>98.3</v>
      </c>
      <c r="D11" s="36" t="s">
        <v>184</v>
      </c>
      <c r="E11" s="31">
        <v>-15.02</v>
      </c>
      <c r="F11" s="31" t="s">
        <v>184</v>
      </c>
      <c r="G11" s="33">
        <v>0.28016</v>
      </c>
      <c r="H11" s="33"/>
      <c r="I11" s="33" t="s">
        <v>158</v>
      </c>
      <c r="J11" s="33">
        <v>0.0</v>
      </c>
      <c r="L11" s="12" t="s">
        <v>185</v>
      </c>
      <c r="M11" s="15">
        <f>COUNTIF(J17:J76, 7)</f>
        <v>0</v>
      </c>
      <c r="N11" s="34">
        <f>1/SUM(M4:M14)*M11</f>
        <v>0</v>
      </c>
      <c r="R11" s="12"/>
      <c r="S11" s="15"/>
      <c r="T11" s="34"/>
    </row>
    <row r="12">
      <c r="A12" s="37" t="s">
        <v>186</v>
      </c>
      <c r="B12" s="32" t="s">
        <v>156</v>
      </c>
      <c r="C12" s="37">
        <v>221.8</v>
      </c>
      <c r="D12" s="38" t="s">
        <v>187</v>
      </c>
      <c r="E12" s="37">
        <v>-26.0</v>
      </c>
      <c r="F12" s="37" t="s">
        <v>188</v>
      </c>
      <c r="G12" s="39"/>
      <c r="H12" s="39"/>
      <c r="I12" s="39" t="s">
        <v>189</v>
      </c>
      <c r="J12" s="39">
        <v>1.0</v>
      </c>
      <c r="L12" s="12" t="s">
        <v>190</v>
      </c>
      <c r="M12" s="15">
        <f>COUNTIF(J17:J76, 8)</f>
        <v>4</v>
      </c>
      <c r="N12" s="34">
        <f>1/SUM(M4:M14)*M12</f>
        <v>0.04347826087</v>
      </c>
      <c r="R12" s="12"/>
      <c r="S12" s="15"/>
      <c r="T12" s="34"/>
    </row>
    <row r="13">
      <c r="A13" s="31" t="s">
        <v>191</v>
      </c>
      <c r="B13" s="35" t="s">
        <v>19</v>
      </c>
      <c r="C13" s="31">
        <v>77.43</v>
      </c>
      <c r="D13" s="36" t="s">
        <v>192</v>
      </c>
      <c r="E13" s="31">
        <v>5.72</v>
      </c>
      <c r="F13" s="31" t="s">
        <v>193</v>
      </c>
      <c r="G13" s="33">
        <v>0.56507</v>
      </c>
      <c r="H13" s="33"/>
      <c r="I13" s="33" t="s">
        <v>158</v>
      </c>
      <c r="J13" s="33">
        <v>0.0</v>
      </c>
      <c r="R13" s="12"/>
      <c r="S13" s="15"/>
      <c r="T13" s="34"/>
    </row>
    <row r="14">
      <c r="A14" s="31" t="s">
        <v>194</v>
      </c>
      <c r="B14" s="32" t="s">
        <v>156</v>
      </c>
      <c r="C14" s="33">
        <v>162.86</v>
      </c>
      <c r="D14" s="36" t="s">
        <v>195</v>
      </c>
      <c r="E14" s="31">
        <v>-15.44</v>
      </c>
      <c r="F14" s="31" t="s">
        <v>196</v>
      </c>
      <c r="G14" s="33"/>
      <c r="H14" s="33"/>
      <c r="I14" s="33" t="s">
        <v>158</v>
      </c>
      <c r="J14" s="33">
        <v>0.0</v>
      </c>
      <c r="L14" s="40" t="s">
        <v>197</v>
      </c>
      <c r="M14" s="41">
        <f>OVERVIEW_FU!C3</f>
        <v>24</v>
      </c>
      <c r="N14" s="34">
        <f>M14/M16</f>
        <v>0.2608695652</v>
      </c>
      <c r="R14" s="12"/>
      <c r="S14" s="15"/>
      <c r="T14" s="34"/>
    </row>
    <row r="15">
      <c r="A15" s="37" t="s">
        <v>198</v>
      </c>
      <c r="B15" s="32" t="s">
        <v>156</v>
      </c>
      <c r="C15" s="39"/>
      <c r="D15" s="38"/>
      <c r="E15" s="37"/>
      <c r="F15" s="37"/>
      <c r="G15" s="39"/>
      <c r="H15" s="39"/>
      <c r="I15" s="38" t="s">
        <v>189</v>
      </c>
      <c r="J15" s="39">
        <v>1.0</v>
      </c>
      <c r="L15" s="42" t="s">
        <v>199</v>
      </c>
      <c r="M15" s="43">
        <f>SUM(M4:M12)</f>
        <v>68</v>
      </c>
      <c r="N15" s="34">
        <f>M15/M16</f>
        <v>0.7391304348</v>
      </c>
      <c r="R15" s="12"/>
      <c r="S15" s="15"/>
      <c r="T15" s="34"/>
    </row>
    <row r="16">
      <c r="A16" s="31" t="s">
        <v>200</v>
      </c>
      <c r="B16" s="32" t="s">
        <v>19</v>
      </c>
      <c r="C16" s="33">
        <v>340.0</v>
      </c>
      <c r="D16" s="36" t="s">
        <v>201</v>
      </c>
      <c r="E16" s="31">
        <v>7.4</v>
      </c>
      <c r="F16" s="31" t="s">
        <v>202</v>
      </c>
      <c r="G16" s="33">
        <v>0.74593</v>
      </c>
      <c r="H16" s="33"/>
      <c r="I16" s="33" t="s">
        <v>158</v>
      </c>
      <c r="J16" s="33">
        <v>0.0</v>
      </c>
      <c r="L16" s="1" t="s">
        <v>203</v>
      </c>
      <c r="M16" s="44">
        <f>SUM(M14:M15)</f>
        <v>92</v>
      </c>
      <c r="N16" s="34">
        <f>M16/M16</f>
        <v>1</v>
      </c>
      <c r="R16" s="12"/>
      <c r="S16" s="15"/>
      <c r="T16" s="34"/>
    </row>
    <row r="17">
      <c r="A17" s="37" t="s">
        <v>204</v>
      </c>
      <c r="B17" s="32" t="s">
        <v>156</v>
      </c>
      <c r="C17" s="37"/>
      <c r="D17" s="37"/>
      <c r="E17" s="37"/>
      <c r="F17" s="37"/>
      <c r="G17" s="39"/>
      <c r="H17" s="39"/>
      <c r="I17" s="39" t="s">
        <v>189</v>
      </c>
      <c r="J17" s="39">
        <v>1.0</v>
      </c>
      <c r="M17" s="45"/>
      <c r="R17" s="12" t="s">
        <v>163</v>
      </c>
      <c r="S17" s="15">
        <f>COUNTIF($J$29:$J1008, 1)</f>
        <v>6</v>
      </c>
      <c r="T17" s="34">
        <f>1/SUM(S17:S27)*S17</f>
        <v>0.09090909091</v>
      </c>
    </row>
    <row r="18">
      <c r="A18" s="46" t="s">
        <v>205</v>
      </c>
      <c r="B18" s="47" t="s">
        <v>19</v>
      </c>
      <c r="C18" s="48">
        <v>144.58</v>
      </c>
      <c r="D18" s="47" t="s">
        <v>206</v>
      </c>
      <c r="E18" s="48">
        <v>-2.13</v>
      </c>
      <c r="F18" s="47" t="s">
        <v>207</v>
      </c>
      <c r="G18" s="12">
        <f>0.34364</f>
        <v>0.34364</v>
      </c>
      <c r="H18" s="12"/>
      <c r="I18" s="12" t="s">
        <v>208</v>
      </c>
      <c r="J18" s="12">
        <v>2.0</v>
      </c>
      <c r="Q18" s="49"/>
      <c r="R18" s="12" t="s">
        <v>167</v>
      </c>
      <c r="S18" s="15">
        <f>COUNTIF($J$29:$J1008, 2)</f>
        <v>15</v>
      </c>
      <c r="T18" s="34">
        <f>1/SUM(S17:S27)*S18</f>
        <v>0.2272727273</v>
      </c>
    </row>
    <row r="19">
      <c r="A19" s="46" t="s">
        <v>209</v>
      </c>
      <c r="B19" s="50" t="s">
        <v>156</v>
      </c>
      <c r="C19" s="51">
        <v>225.15</v>
      </c>
      <c r="D19" s="47" t="s">
        <v>210</v>
      </c>
      <c r="E19" s="48">
        <v>-34.8</v>
      </c>
      <c r="F19" s="47" t="s">
        <v>211</v>
      </c>
      <c r="G19" s="12"/>
      <c r="H19" s="12"/>
      <c r="I19" s="12" t="s">
        <v>208</v>
      </c>
      <c r="J19" s="12">
        <v>2.0</v>
      </c>
      <c r="R19" s="12" t="s">
        <v>171</v>
      </c>
      <c r="S19" s="15">
        <f>COUNTIF($J$29:$J1008, 3)</f>
        <v>2</v>
      </c>
      <c r="T19" s="34">
        <f>1/SUM(S17:S27)*S19</f>
        <v>0.0303030303</v>
      </c>
    </row>
    <row r="20">
      <c r="A20" s="46" t="s">
        <v>212</v>
      </c>
      <c r="B20" s="47" t="s">
        <v>19</v>
      </c>
      <c r="C20" s="51">
        <v>270.18</v>
      </c>
      <c r="D20" s="47" t="s">
        <v>213</v>
      </c>
      <c r="E20" s="48">
        <v>-8.57</v>
      </c>
      <c r="F20" s="47" t="s">
        <v>214</v>
      </c>
      <c r="G20" s="12">
        <f>0.28016</f>
        <v>0.28016</v>
      </c>
      <c r="H20" s="12"/>
      <c r="I20" s="12" t="s">
        <v>215</v>
      </c>
      <c r="J20" s="12">
        <v>3.0</v>
      </c>
      <c r="Q20" s="49"/>
      <c r="R20" s="12" t="s">
        <v>175</v>
      </c>
      <c r="S20" s="15">
        <f>COUNTIF($J$29:$J1008, 4)</f>
        <v>14</v>
      </c>
      <c r="T20" s="34">
        <f>1/SUM(S17:S27)*S20</f>
        <v>0.2121212121</v>
      </c>
    </row>
    <row r="21">
      <c r="A21" s="37" t="s">
        <v>216</v>
      </c>
      <c r="B21" s="52" t="s">
        <v>156</v>
      </c>
      <c r="C21" s="37"/>
      <c r="D21" s="37"/>
      <c r="E21" s="37"/>
      <c r="F21" s="37"/>
      <c r="G21" s="39"/>
      <c r="H21" s="39"/>
      <c r="I21" s="39" t="s">
        <v>189</v>
      </c>
      <c r="J21" s="39">
        <v>1.0</v>
      </c>
      <c r="Q21" s="49"/>
      <c r="R21" s="12" t="s">
        <v>179</v>
      </c>
      <c r="S21" s="15">
        <f>COUNTIF($J$29:$J1008, 5)</f>
        <v>0</v>
      </c>
      <c r="T21" s="34">
        <f>1/SUM(S17:S27)*S21</f>
        <v>0</v>
      </c>
    </row>
    <row r="22">
      <c r="A22" s="46" t="s">
        <v>217</v>
      </c>
      <c r="B22" s="50" t="s">
        <v>156</v>
      </c>
      <c r="C22" s="51">
        <v>357.98</v>
      </c>
      <c r="D22" s="47" t="s">
        <v>218</v>
      </c>
      <c r="E22" s="48">
        <v>-26.65</v>
      </c>
      <c r="F22" s="47" t="s">
        <v>219</v>
      </c>
      <c r="G22" s="12"/>
      <c r="H22" s="12"/>
      <c r="I22" s="12" t="s">
        <v>220</v>
      </c>
      <c r="J22" s="12">
        <v>5.0</v>
      </c>
      <c r="Q22" s="19"/>
      <c r="R22" s="12"/>
      <c r="S22" s="15"/>
      <c r="T22" s="34"/>
    </row>
    <row r="23">
      <c r="A23" s="46" t="s">
        <v>221</v>
      </c>
      <c r="B23" s="50" t="s">
        <v>156</v>
      </c>
      <c r="C23" s="51">
        <v>307.4</v>
      </c>
      <c r="D23" s="47" t="s">
        <v>222</v>
      </c>
      <c r="E23" s="48">
        <v>-32.18</v>
      </c>
      <c r="F23" s="47" t="s">
        <v>223</v>
      </c>
      <c r="G23" s="12"/>
      <c r="H23" s="12"/>
      <c r="I23" s="12" t="s">
        <v>208</v>
      </c>
      <c r="J23" s="12">
        <v>2.0</v>
      </c>
      <c r="Q23" s="19"/>
      <c r="R23" s="12" t="s">
        <v>182</v>
      </c>
      <c r="S23" s="15">
        <f>COUNTIF($J$29:$J1008, 6)</f>
        <v>2</v>
      </c>
      <c r="T23" s="34">
        <f>1/SUM(S17:S27)*S23</f>
        <v>0.0303030303</v>
      </c>
    </row>
    <row r="24">
      <c r="A24" s="37" t="s">
        <v>224</v>
      </c>
      <c r="B24" s="52" t="s">
        <v>156</v>
      </c>
      <c r="C24" s="37"/>
      <c r="D24" s="37"/>
      <c r="E24" s="37"/>
      <c r="F24" s="37"/>
      <c r="G24" s="39"/>
      <c r="H24" s="39"/>
      <c r="I24" s="39" t="s">
        <v>189</v>
      </c>
      <c r="J24" s="39">
        <v>1.0</v>
      </c>
      <c r="Q24" s="19"/>
      <c r="R24" s="12" t="s">
        <v>185</v>
      </c>
      <c r="S24" s="15">
        <f>COUNTIF($J$29:$J1008, 7)</f>
        <v>0</v>
      </c>
      <c r="T24" s="34">
        <f>1/SUM(S17:S27)*S24</f>
        <v>0</v>
      </c>
    </row>
    <row r="25">
      <c r="A25" s="53" t="s">
        <v>225</v>
      </c>
      <c r="B25" s="50" t="s">
        <v>156</v>
      </c>
      <c r="C25" s="51">
        <v>268.81</v>
      </c>
      <c r="D25" s="13" t="s">
        <v>226</v>
      </c>
      <c r="E25" s="51">
        <v>-17.04</v>
      </c>
      <c r="F25" s="13" t="s">
        <v>227</v>
      </c>
      <c r="G25" s="12"/>
      <c r="H25" s="12"/>
      <c r="I25" s="12" t="s">
        <v>228</v>
      </c>
      <c r="J25" s="12">
        <v>4.0</v>
      </c>
      <c r="R25" s="12" t="s">
        <v>190</v>
      </c>
      <c r="S25" s="15">
        <f>COUNTIF($J$29:$J1008, 8)</f>
        <v>4</v>
      </c>
      <c r="T25" s="34">
        <f>1/SUM(S17:S27)*S25</f>
        <v>0.06060606061</v>
      </c>
    </row>
    <row r="26">
      <c r="A26" s="46" t="s">
        <v>229</v>
      </c>
      <c r="B26" s="50" t="s">
        <v>156</v>
      </c>
      <c r="C26" s="51">
        <v>337.68</v>
      </c>
      <c r="D26" s="13" t="s">
        <v>230</v>
      </c>
      <c r="E26" s="51">
        <v>-20.7</v>
      </c>
      <c r="F26" s="13" t="s">
        <v>231</v>
      </c>
      <c r="G26" s="12"/>
      <c r="H26" s="12"/>
      <c r="I26" s="12" t="s">
        <v>220</v>
      </c>
      <c r="J26" s="12">
        <v>5.0</v>
      </c>
    </row>
    <row r="27">
      <c r="A27" s="46" t="s">
        <v>232</v>
      </c>
      <c r="B27" s="50" t="s">
        <v>156</v>
      </c>
      <c r="C27" s="46">
        <v>65.7866</v>
      </c>
      <c r="E27" s="46">
        <v>-37.4431</v>
      </c>
      <c r="F27" s="46"/>
      <c r="G27" s="12"/>
      <c r="H27" s="12"/>
      <c r="I27" s="12" t="s">
        <v>220</v>
      </c>
      <c r="J27" s="12">
        <v>5.0</v>
      </c>
      <c r="R27" s="40" t="s">
        <v>197</v>
      </c>
      <c r="S27" s="41">
        <f>OVERVIEW_FU!J1</f>
        <v>23</v>
      </c>
      <c r="T27" s="34">
        <f>S27/S29</f>
        <v>0.3484848485</v>
      </c>
    </row>
    <row r="28">
      <c r="A28" s="37" t="s">
        <v>233</v>
      </c>
      <c r="B28" s="52" t="s">
        <v>156</v>
      </c>
      <c r="C28" s="37"/>
      <c r="D28" s="37"/>
      <c r="E28" s="37"/>
      <c r="F28" s="37"/>
      <c r="G28" s="39"/>
      <c r="H28" s="39"/>
      <c r="I28" s="39" t="s">
        <v>189</v>
      </c>
      <c r="J28" s="39">
        <v>1.0</v>
      </c>
      <c r="R28" s="42" t="s">
        <v>199</v>
      </c>
      <c r="S28" s="43">
        <f>SUM(S17:S25)</f>
        <v>43</v>
      </c>
      <c r="T28" s="34">
        <f>S28/S29</f>
        <v>0.6515151515</v>
      </c>
    </row>
    <row r="29">
      <c r="A29" s="53" t="s">
        <v>234</v>
      </c>
      <c r="B29" s="47" t="s">
        <v>57</v>
      </c>
      <c r="C29" s="46">
        <v>27.22</v>
      </c>
      <c r="E29" s="46">
        <v>84.33</v>
      </c>
      <c r="F29" s="46" t="s">
        <v>235</v>
      </c>
      <c r="G29" s="12">
        <f>0.33892</f>
        <v>0.33892</v>
      </c>
      <c r="H29" s="12">
        <f>107.67</f>
        <v>107.67</v>
      </c>
      <c r="I29" s="12" t="s">
        <v>228</v>
      </c>
      <c r="J29" s="12">
        <v>4.0</v>
      </c>
      <c r="R29" s="1" t="s">
        <v>203</v>
      </c>
      <c r="S29" s="44">
        <f>SUM(S27:S28)</f>
        <v>66</v>
      </c>
      <c r="T29" s="34">
        <f>S29/S29</f>
        <v>1</v>
      </c>
    </row>
    <row r="30">
      <c r="A30" s="46" t="s">
        <v>236</v>
      </c>
      <c r="B30" s="13" t="s">
        <v>57</v>
      </c>
      <c r="C30" s="51">
        <v>161.85</v>
      </c>
      <c r="D30" s="13" t="s">
        <v>237</v>
      </c>
      <c r="E30" s="51">
        <v>27.11</v>
      </c>
      <c r="F30" s="13" t="s">
        <v>238</v>
      </c>
      <c r="G30" s="12">
        <f>0.48607</f>
        <v>0.48607</v>
      </c>
      <c r="H30" s="12">
        <f>154.99</f>
        <v>154.99</v>
      </c>
      <c r="I30" s="12" t="s">
        <v>208</v>
      </c>
      <c r="J30" s="12">
        <v>2.0</v>
      </c>
    </row>
    <row r="31">
      <c r="A31" s="46" t="s">
        <v>239</v>
      </c>
      <c r="B31" s="13" t="s">
        <v>57</v>
      </c>
      <c r="C31" s="51">
        <v>76.46</v>
      </c>
      <c r="D31" s="13" t="s">
        <v>240</v>
      </c>
      <c r="E31" s="51">
        <v>13.06</v>
      </c>
      <c r="F31" s="13" t="s">
        <v>241</v>
      </c>
      <c r="G31" s="12">
        <f>0.30332</f>
        <v>0.30332</v>
      </c>
      <c r="H31" s="12">
        <f>108.67</f>
        <v>108.67</v>
      </c>
      <c r="I31" s="12" t="s">
        <v>208</v>
      </c>
      <c r="J31" s="12">
        <v>2.0</v>
      </c>
    </row>
    <row r="32">
      <c r="A32" s="46" t="s">
        <v>242</v>
      </c>
      <c r="B32" s="13" t="s">
        <v>57</v>
      </c>
      <c r="C32" s="51">
        <v>148.8</v>
      </c>
      <c r="D32" s="13" t="s">
        <v>243</v>
      </c>
      <c r="E32" s="51">
        <v>1.38</v>
      </c>
      <c r="F32" s="13" t="s">
        <v>244</v>
      </c>
      <c r="G32" s="12">
        <f>0.29215</f>
        <v>0.29215</v>
      </c>
      <c r="H32" s="12">
        <f>113.16</f>
        <v>113.16</v>
      </c>
      <c r="I32" s="12" t="s">
        <v>208</v>
      </c>
      <c r="J32" s="12">
        <v>2.0</v>
      </c>
    </row>
    <row r="33">
      <c r="A33" s="46" t="s">
        <v>245</v>
      </c>
      <c r="B33" s="13" t="s">
        <v>25</v>
      </c>
      <c r="C33" s="51">
        <v>167.43</v>
      </c>
      <c r="D33" s="13" t="s">
        <v>246</v>
      </c>
      <c r="E33" s="51">
        <v>-22.39</v>
      </c>
      <c r="F33" s="13" t="s">
        <v>247</v>
      </c>
      <c r="G33" s="12">
        <f>0.20165</f>
        <v>0.20165</v>
      </c>
      <c r="H33" s="12">
        <f>3113.9</f>
        <v>3113.9</v>
      </c>
      <c r="I33" s="12" t="s">
        <v>228</v>
      </c>
      <c r="J33" s="12">
        <v>4.0</v>
      </c>
    </row>
    <row r="34">
      <c r="A34" s="46" t="s">
        <v>248</v>
      </c>
      <c r="B34" s="13" t="s">
        <v>25</v>
      </c>
      <c r="C34" s="51">
        <v>230.1</v>
      </c>
      <c r="D34" s="13" t="s">
        <v>249</v>
      </c>
      <c r="E34" s="51">
        <v>3.17</v>
      </c>
      <c r="F34" s="13" t="s">
        <v>250</v>
      </c>
      <c r="G34" s="12">
        <f>0.44999</f>
        <v>0.44999</v>
      </c>
      <c r="H34" s="12">
        <f>176.48</f>
        <v>176.48</v>
      </c>
      <c r="I34" s="12" t="s">
        <v>208</v>
      </c>
      <c r="J34" s="12">
        <v>2.0</v>
      </c>
    </row>
    <row r="35">
      <c r="A35" s="46" t="s">
        <v>251</v>
      </c>
      <c r="B35" s="13" t="s">
        <v>57</v>
      </c>
      <c r="C35" s="51">
        <v>27.25</v>
      </c>
      <c r="D35" s="13" t="s">
        <v>252</v>
      </c>
      <c r="E35" s="51">
        <v>-0.04</v>
      </c>
      <c r="F35" s="13" t="s">
        <v>253</v>
      </c>
      <c r="G35" s="12">
        <f>0.33128</f>
        <v>0.33128</v>
      </c>
      <c r="H35" s="12">
        <f>128.44</f>
        <v>128.44</v>
      </c>
      <c r="I35" s="12" t="s">
        <v>228</v>
      </c>
      <c r="J35" s="12">
        <v>4.0</v>
      </c>
    </row>
    <row r="36">
      <c r="A36" s="46" t="s">
        <v>254</v>
      </c>
      <c r="B36" s="13" t="s">
        <v>57</v>
      </c>
      <c r="C36" s="51">
        <v>79.72</v>
      </c>
      <c r="D36" s="13" t="s">
        <v>255</v>
      </c>
      <c r="E36" s="51">
        <v>2.8</v>
      </c>
      <c r="F36" s="13" t="s">
        <v>256</v>
      </c>
      <c r="G36" s="12">
        <f>0.32711</f>
        <v>0.32711</v>
      </c>
      <c r="H36" s="12">
        <f>130.2</f>
        <v>130.2</v>
      </c>
      <c r="I36" s="12" t="s">
        <v>228</v>
      </c>
      <c r="J36" s="12">
        <v>4.0</v>
      </c>
    </row>
    <row r="37">
      <c r="A37" s="46" t="s">
        <v>257</v>
      </c>
      <c r="B37" s="13" t="s">
        <v>57</v>
      </c>
      <c r="C37" s="51">
        <v>285.87</v>
      </c>
      <c r="D37" s="13" t="s">
        <v>258</v>
      </c>
      <c r="E37" s="51">
        <v>58.92</v>
      </c>
      <c r="F37" s="13" t="s">
        <v>259</v>
      </c>
      <c r="G37" s="12">
        <f>0.4749</f>
        <v>0.4749</v>
      </c>
      <c r="H37" s="12">
        <f>132.65</f>
        <v>132.65</v>
      </c>
      <c r="I37" s="12" t="s">
        <v>260</v>
      </c>
      <c r="J37" s="12">
        <v>6.0</v>
      </c>
    </row>
    <row r="38">
      <c r="A38" s="46" t="s">
        <v>261</v>
      </c>
      <c r="B38" s="13" t="s">
        <v>57</v>
      </c>
      <c r="C38" s="51">
        <v>46.36</v>
      </c>
      <c r="D38" s="13" t="s">
        <v>262</v>
      </c>
      <c r="E38" s="51">
        <v>20.42</v>
      </c>
      <c r="F38" s="13" t="s">
        <v>263</v>
      </c>
      <c r="G38" s="12">
        <f>0.46281</f>
        <v>0.46281</v>
      </c>
      <c r="H38" s="12">
        <f>155.38</f>
        <v>155.38</v>
      </c>
      <c r="I38" s="12" t="s">
        <v>228</v>
      </c>
      <c r="J38" s="12">
        <v>4.0</v>
      </c>
    </row>
    <row r="39">
      <c r="A39" s="37" t="s">
        <v>264</v>
      </c>
      <c r="B39" s="13" t="s">
        <v>57</v>
      </c>
      <c r="C39" s="51"/>
      <c r="D39" s="13"/>
      <c r="E39" s="51"/>
      <c r="F39" s="13"/>
      <c r="I39" s="39" t="s">
        <v>189</v>
      </c>
      <c r="J39" s="12">
        <v>1.0</v>
      </c>
    </row>
    <row r="40">
      <c r="A40" s="46" t="s">
        <v>265</v>
      </c>
      <c r="B40" s="13" t="s">
        <v>57</v>
      </c>
      <c r="C40" s="46">
        <v>348.26</v>
      </c>
      <c r="E40" s="54">
        <f>+21.32</f>
        <v>21.32</v>
      </c>
      <c r="F40" s="46"/>
      <c r="G40" s="12">
        <f>0.35075</f>
        <v>0.35075</v>
      </c>
      <c r="H40" s="12">
        <f>109.5</f>
        <v>109.5</v>
      </c>
      <c r="I40" s="12" t="s">
        <v>208</v>
      </c>
      <c r="J40" s="12">
        <v>2.0</v>
      </c>
    </row>
    <row r="41">
      <c r="A41" s="46" t="s">
        <v>266</v>
      </c>
      <c r="B41" s="13" t="s">
        <v>57</v>
      </c>
      <c r="C41" s="51">
        <v>242.58</v>
      </c>
      <c r="D41" s="13" t="s">
        <v>267</v>
      </c>
      <c r="E41" s="51">
        <v>11.61</v>
      </c>
      <c r="F41" s="13" t="s">
        <v>268</v>
      </c>
      <c r="G41" s="12">
        <f>0.30535</f>
        <v>0.30535</v>
      </c>
      <c r="H41" s="12">
        <f>110</f>
        <v>110</v>
      </c>
      <c r="I41" s="12" t="s">
        <v>228</v>
      </c>
      <c r="J41" s="12">
        <v>4.0</v>
      </c>
    </row>
    <row r="42">
      <c r="A42" s="46" t="s">
        <v>269</v>
      </c>
      <c r="B42" s="13" t="s">
        <v>57</v>
      </c>
      <c r="C42" s="46">
        <v>87.93</v>
      </c>
      <c r="D42" s="46" t="s">
        <v>270</v>
      </c>
      <c r="E42" s="46">
        <v>8.23</v>
      </c>
      <c r="F42" s="46" t="s">
        <v>271</v>
      </c>
      <c r="G42" s="12">
        <f>0.33312</f>
        <v>0.33312</v>
      </c>
      <c r="H42" s="12">
        <f>126.97</f>
        <v>126.97</v>
      </c>
      <c r="I42" s="12" t="s">
        <v>208</v>
      </c>
      <c r="J42" s="12">
        <v>2.0</v>
      </c>
    </row>
    <row r="43">
      <c r="A43" s="55" t="s">
        <v>272</v>
      </c>
      <c r="B43" s="7" t="s">
        <v>57</v>
      </c>
      <c r="C43" s="56">
        <v>100.1</v>
      </c>
      <c r="D43" s="7" t="s">
        <v>273</v>
      </c>
      <c r="E43" s="56">
        <v>53.57</v>
      </c>
      <c r="F43" s="7" t="s">
        <v>274</v>
      </c>
      <c r="G43" s="3">
        <f>0.48106</f>
        <v>0.48106</v>
      </c>
      <c r="H43" s="3">
        <f>134.87</f>
        <v>134.87</v>
      </c>
      <c r="I43" s="3" t="s">
        <v>228</v>
      </c>
      <c r="J43" s="12">
        <v>4.0</v>
      </c>
    </row>
    <row r="44">
      <c r="A44" s="46" t="s">
        <v>275</v>
      </c>
      <c r="B44" s="13" t="s">
        <v>57</v>
      </c>
      <c r="C44" s="51">
        <v>338.64</v>
      </c>
      <c r="D44" s="13" t="s">
        <v>276</v>
      </c>
      <c r="E44" s="51">
        <v>1.75</v>
      </c>
      <c r="F44" s="13" t="s">
        <v>277</v>
      </c>
      <c r="G44" s="12">
        <f>0.24998</f>
        <v>0.24998</v>
      </c>
      <c r="H44" s="12">
        <f>105.08</f>
        <v>105.08</v>
      </c>
      <c r="I44" s="12" t="s">
        <v>228</v>
      </c>
      <c r="J44" s="12">
        <v>4.0</v>
      </c>
    </row>
    <row r="45">
      <c r="A45" s="46" t="s">
        <v>278</v>
      </c>
      <c r="B45" s="13" t="s">
        <v>57</v>
      </c>
      <c r="C45" s="51">
        <v>33.84</v>
      </c>
      <c r="D45" s="13" t="s">
        <v>279</v>
      </c>
      <c r="E45" s="51">
        <v>31.61</v>
      </c>
      <c r="F45" s="13" t="s">
        <v>280</v>
      </c>
      <c r="G45" s="12">
        <f>0.41553</f>
        <v>0.41553</v>
      </c>
      <c r="H45" s="12">
        <f>115.05</f>
        <v>115.05</v>
      </c>
      <c r="I45" s="12" t="s">
        <v>228</v>
      </c>
      <c r="J45" s="12">
        <v>4.0</v>
      </c>
    </row>
    <row r="46">
      <c r="A46" s="46" t="s">
        <v>281</v>
      </c>
      <c r="B46" s="13" t="s">
        <v>25</v>
      </c>
      <c r="C46" s="51">
        <v>142.95</v>
      </c>
      <c r="D46" s="13" t="s">
        <v>282</v>
      </c>
      <c r="E46" s="51">
        <v>3.66</v>
      </c>
      <c r="F46" s="13" t="s">
        <v>283</v>
      </c>
      <c r="G46" s="12">
        <f>0.82832</f>
        <v>0.82832</v>
      </c>
      <c r="H46" s="12">
        <f>496.36</f>
        <v>496.36</v>
      </c>
      <c r="I46" s="12" t="s">
        <v>208</v>
      </c>
      <c r="J46" s="12">
        <v>2.0</v>
      </c>
    </row>
    <row r="47">
      <c r="A47" s="37" t="s">
        <v>284</v>
      </c>
      <c r="B47" s="57" t="s">
        <v>25</v>
      </c>
      <c r="C47" s="37"/>
      <c r="D47" s="37"/>
      <c r="E47" s="37"/>
      <c r="F47" s="37"/>
      <c r="G47" s="39"/>
      <c r="H47" s="39"/>
      <c r="I47" s="39" t="s">
        <v>189</v>
      </c>
      <c r="J47" s="39">
        <v>1.0</v>
      </c>
    </row>
    <row r="48">
      <c r="A48" s="46" t="s">
        <v>285</v>
      </c>
      <c r="B48" s="13" t="s">
        <v>57</v>
      </c>
      <c r="C48" s="51">
        <v>157.25</v>
      </c>
      <c r="D48" s="13" t="s">
        <v>286</v>
      </c>
      <c r="E48" s="51">
        <v>47.75</v>
      </c>
      <c r="F48" s="13" t="s">
        <v>287</v>
      </c>
      <c r="G48" s="12">
        <f>0.39728</f>
        <v>0.39728</v>
      </c>
      <c r="H48" s="12">
        <f>107.35</f>
        <v>107.35</v>
      </c>
      <c r="I48" s="12" t="s">
        <v>208</v>
      </c>
      <c r="J48" s="12">
        <v>2.0</v>
      </c>
    </row>
    <row r="49">
      <c r="A49" s="46" t="s">
        <v>288</v>
      </c>
      <c r="B49" s="13" t="s">
        <v>57</v>
      </c>
      <c r="C49" s="51">
        <v>51.11</v>
      </c>
      <c r="D49" s="13" t="s">
        <v>289</v>
      </c>
      <c r="E49" s="51">
        <v>38.11</v>
      </c>
      <c r="F49" s="13" t="s">
        <v>290</v>
      </c>
      <c r="G49" s="12">
        <f>0.40813</f>
        <v>0.40813</v>
      </c>
      <c r="H49" s="12">
        <f>110.79</f>
        <v>110.79</v>
      </c>
      <c r="I49" s="12" t="s">
        <v>228</v>
      </c>
      <c r="J49" s="12">
        <v>4.0</v>
      </c>
    </row>
    <row r="50">
      <c r="A50" s="46" t="s">
        <v>291</v>
      </c>
      <c r="B50" s="13" t="s">
        <v>57</v>
      </c>
      <c r="C50" s="51">
        <v>195.29</v>
      </c>
      <c r="D50" s="13" t="s">
        <v>292</v>
      </c>
      <c r="E50" s="51">
        <v>26.24</v>
      </c>
      <c r="F50" s="13" t="s">
        <v>293</v>
      </c>
      <c r="G50" s="12">
        <f>0.40945</f>
        <v>0.40945</v>
      </c>
      <c r="H50" s="12">
        <f>117.17</f>
        <v>117.17</v>
      </c>
      <c r="I50" s="12" t="s">
        <v>208</v>
      </c>
      <c r="J50" s="12">
        <v>2.0</v>
      </c>
    </row>
    <row r="51">
      <c r="A51" s="46" t="s">
        <v>294</v>
      </c>
      <c r="B51" s="13" t="s">
        <v>57</v>
      </c>
      <c r="C51" s="51">
        <v>184.75</v>
      </c>
      <c r="D51" s="13" t="s">
        <v>295</v>
      </c>
      <c r="E51" s="51">
        <v>32.93</v>
      </c>
      <c r="F51" s="13" t="s">
        <v>296</v>
      </c>
      <c r="G51" s="12">
        <f>0.43381</f>
        <v>0.43381</v>
      </c>
      <c r="H51" s="12">
        <f>121.42</f>
        <v>121.42</v>
      </c>
      <c r="I51" s="12" t="s">
        <v>208</v>
      </c>
      <c r="J51" s="12">
        <v>2.0</v>
      </c>
    </row>
    <row r="52">
      <c r="A52" s="46" t="s">
        <v>297</v>
      </c>
      <c r="B52" s="13" t="s">
        <v>57</v>
      </c>
      <c r="C52" s="51">
        <v>221.22</v>
      </c>
      <c r="D52" s="13" t="s">
        <v>244</v>
      </c>
      <c r="E52" s="51">
        <v>14.44</v>
      </c>
      <c r="F52" s="13" t="s">
        <v>298</v>
      </c>
      <c r="G52" s="6">
        <f>0.41371</f>
        <v>0.41371</v>
      </c>
      <c r="H52" s="12">
        <f>146.93</f>
        <v>146.93</v>
      </c>
      <c r="I52" s="12" t="s">
        <v>208</v>
      </c>
      <c r="J52" s="12">
        <v>2.0</v>
      </c>
    </row>
    <row r="53">
      <c r="A53" s="46" t="s">
        <v>299</v>
      </c>
      <c r="B53" s="13" t="s">
        <v>57</v>
      </c>
      <c r="C53" s="51">
        <v>105.25</v>
      </c>
      <c r="D53" s="13" t="s">
        <v>300</v>
      </c>
      <c r="E53" s="51">
        <v>6.05</v>
      </c>
      <c r="F53" s="13" t="s">
        <v>301</v>
      </c>
      <c r="G53" s="12">
        <f>0.56208</f>
        <v>0.56208</v>
      </c>
      <c r="H53" s="12">
        <f>214.29</f>
        <v>214.29</v>
      </c>
      <c r="I53" s="12" t="s">
        <v>302</v>
      </c>
      <c r="J53" s="12">
        <v>8.0</v>
      </c>
    </row>
    <row r="54">
      <c r="A54" s="46" t="s">
        <v>303</v>
      </c>
      <c r="B54" s="13" t="s">
        <v>25</v>
      </c>
      <c r="C54" s="51">
        <v>195.12</v>
      </c>
      <c r="D54" s="13" t="s">
        <v>304</v>
      </c>
      <c r="E54" s="51">
        <v>1.38</v>
      </c>
      <c r="F54" s="13" t="s">
        <v>305</v>
      </c>
      <c r="G54" s="12">
        <f>0.45973</f>
        <v>0.45973</v>
      </c>
      <c r="H54" s="12">
        <f>177.38</f>
        <v>177.38</v>
      </c>
      <c r="I54" s="12" t="s">
        <v>208</v>
      </c>
      <c r="J54" s="12">
        <v>2.0</v>
      </c>
    </row>
    <row r="55">
      <c r="A55" s="37" t="s">
        <v>306</v>
      </c>
      <c r="B55" s="57" t="s">
        <v>25</v>
      </c>
      <c r="C55" s="37"/>
      <c r="D55" s="37"/>
      <c r="E55" s="37"/>
      <c r="F55" s="37"/>
      <c r="G55" s="39"/>
      <c r="H55" s="39"/>
      <c r="I55" s="39" t="s">
        <v>189</v>
      </c>
      <c r="J55" s="39">
        <v>1.0</v>
      </c>
    </row>
    <row r="56">
      <c r="A56" s="46" t="s">
        <v>307</v>
      </c>
      <c r="B56" s="13" t="s">
        <v>57</v>
      </c>
      <c r="C56" s="51">
        <v>307.53</v>
      </c>
      <c r="D56" s="13" t="s">
        <v>308</v>
      </c>
      <c r="E56" s="51">
        <v>40.77</v>
      </c>
      <c r="F56" s="13" t="s">
        <v>309</v>
      </c>
      <c r="G56" s="12">
        <f>0.50338</f>
        <v>0.50338</v>
      </c>
      <c r="H56" s="12">
        <f>153.96</f>
        <v>153.96</v>
      </c>
      <c r="I56" s="12" t="s">
        <v>302</v>
      </c>
      <c r="J56" s="12">
        <v>8.0</v>
      </c>
    </row>
    <row r="57">
      <c r="A57" s="46" t="s">
        <v>310</v>
      </c>
      <c r="B57" s="13" t="s">
        <v>25</v>
      </c>
      <c r="C57" s="51">
        <v>261.69</v>
      </c>
      <c r="D57" s="13" t="s">
        <v>311</v>
      </c>
      <c r="E57" s="51">
        <v>41.81</v>
      </c>
      <c r="F57" s="13" t="s">
        <v>312</v>
      </c>
      <c r="G57" s="12">
        <f>0.56429</f>
        <v>0.56429</v>
      </c>
      <c r="H57" s="12">
        <f>174.54         </f>
        <v>174.54</v>
      </c>
      <c r="I57" s="12" t="s">
        <v>208</v>
      </c>
      <c r="J57" s="12">
        <v>2.0</v>
      </c>
    </row>
    <row r="58">
      <c r="A58" s="37" t="s">
        <v>313</v>
      </c>
      <c r="B58" s="57" t="s">
        <v>25</v>
      </c>
      <c r="C58" s="37"/>
      <c r="D58" s="37"/>
      <c r="E58" s="37"/>
      <c r="F58" s="37"/>
      <c r="G58" s="39"/>
      <c r="H58" s="39"/>
      <c r="I58" s="39" t="s">
        <v>189</v>
      </c>
      <c r="J58" s="39">
        <v>1.0</v>
      </c>
    </row>
    <row r="59">
      <c r="A59" s="37" t="s">
        <v>314</v>
      </c>
      <c r="B59" s="57" t="s">
        <v>57</v>
      </c>
      <c r="C59" s="37"/>
      <c r="D59" s="37"/>
      <c r="E59" s="37"/>
      <c r="F59" s="37"/>
      <c r="G59" s="39"/>
      <c r="H59" s="39"/>
      <c r="I59" s="39" t="s">
        <v>189</v>
      </c>
      <c r="J59" s="39">
        <v>1.0</v>
      </c>
    </row>
    <row r="60">
      <c r="A60" s="46" t="s">
        <v>315</v>
      </c>
      <c r="B60" s="13" t="s">
        <v>57</v>
      </c>
      <c r="C60" s="51">
        <v>143.53</v>
      </c>
      <c r="D60" s="13" t="s">
        <v>316</v>
      </c>
      <c r="E60" s="51">
        <v>41.81</v>
      </c>
      <c r="F60" s="13" t="s">
        <v>317</v>
      </c>
      <c r="G60" s="12">
        <v>0.41387</v>
      </c>
      <c r="H60" s="12">
        <v>110.871</v>
      </c>
      <c r="I60" s="12" t="s">
        <v>228</v>
      </c>
      <c r="J60" s="12">
        <v>4.0</v>
      </c>
    </row>
    <row r="61">
      <c r="A61" s="46" t="s">
        <v>318</v>
      </c>
      <c r="B61" s="13" t="s">
        <v>57</v>
      </c>
      <c r="C61" s="51">
        <v>91.76</v>
      </c>
      <c r="D61" s="13" t="s">
        <v>319</v>
      </c>
      <c r="E61" s="51">
        <v>9.52</v>
      </c>
      <c r="F61" s="13" t="s">
        <v>320</v>
      </c>
      <c r="G61" s="12">
        <v>0.2886</v>
      </c>
      <c r="H61" s="12">
        <f>         109.12</f>
        <v>109.12</v>
      </c>
      <c r="I61" s="12" t="s">
        <v>302</v>
      </c>
      <c r="J61" s="12">
        <v>8.0</v>
      </c>
    </row>
    <row r="62">
      <c r="A62" s="37" t="s">
        <v>321</v>
      </c>
      <c r="B62" s="57" t="s">
        <v>57</v>
      </c>
      <c r="C62" s="37"/>
      <c r="D62" s="37"/>
      <c r="E62" s="37"/>
      <c r="F62" s="37"/>
      <c r="G62" s="39"/>
      <c r="H62" s="39"/>
      <c r="I62" s="39" t="s">
        <v>189</v>
      </c>
      <c r="J62" s="39">
        <v>1.0</v>
      </c>
    </row>
    <row r="63">
      <c r="A63" s="12" t="s">
        <v>322</v>
      </c>
      <c r="B63" s="58" t="s">
        <v>57</v>
      </c>
      <c r="C63" s="12">
        <v>337.41</v>
      </c>
      <c r="D63" s="12" t="s">
        <v>323</v>
      </c>
      <c r="E63" s="6">
        <f>+18.37</f>
        <v>18.37</v>
      </c>
      <c r="F63" s="12" t="s">
        <v>324</v>
      </c>
      <c r="G63" s="6">
        <f>0.31467</f>
        <v>0.31467</v>
      </c>
      <c r="H63" s="12">
        <v>105.187</v>
      </c>
      <c r="I63" s="12" t="s">
        <v>228</v>
      </c>
      <c r="J63" s="12">
        <v>4.0</v>
      </c>
    </row>
    <row r="64">
      <c r="A64" s="12" t="s">
        <v>325</v>
      </c>
      <c r="B64" s="58" t="s">
        <v>46</v>
      </c>
      <c r="C64" s="12">
        <v>46.49</v>
      </c>
      <c r="D64" s="12" t="s">
        <v>326</v>
      </c>
      <c r="E64" s="12">
        <v>-1.34</v>
      </c>
      <c r="F64" s="12" t="s">
        <v>327</v>
      </c>
      <c r="G64" s="12" t="s">
        <v>328</v>
      </c>
      <c r="H64" s="12" t="s">
        <v>328</v>
      </c>
      <c r="I64" s="12" t="s">
        <v>228</v>
      </c>
      <c r="J64" s="12">
        <v>4.0</v>
      </c>
    </row>
    <row r="65">
      <c r="A65" s="12" t="s">
        <v>329</v>
      </c>
      <c r="B65" s="58" t="s">
        <v>57</v>
      </c>
      <c r="C65" s="12">
        <v>105.73</v>
      </c>
      <c r="D65" s="12" t="s">
        <v>330</v>
      </c>
      <c r="E65" s="12">
        <v>14.79</v>
      </c>
      <c r="F65" s="12" t="s">
        <v>331</v>
      </c>
      <c r="G65" s="6">
        <f>0.31923</f>
        <v>0.31923</v>
      </c>
      <c r="H65" s="12">
        <v>109.445</v>
      </c>
      <c r="I65" s="12" t="s">
        <v>302</v>
      </c>
      <c r="J65" s="12">
        <v>8.0</v>
      </c>
    </row>
    <row r="66">
      <c r="A66" s="12" t="s">
        <v>332</v>
      </c>
      <c r="B66" s="58" t="s">
        <v>57</v>
      </c>
      <c r="C66" s="12">
        <v>253.3</v>
      </c>
      <c r="D66" s="12" t="s">
        <v>333</v>
      </c>
      <c r="E66" s="12">
        <v>-1.72</v>
      </c>
      <c r="F66" s="12" t="s">
        <v>334</v>
      </c>
      <c r="G66" s="12">
        <v>0.32599</v>
      </c>
      <c r="H66" s="12">
        <v>120.655</v>
      </c>
      <c r="I66" s="12" t="s">
        <v>260</v>
      </c>
      <c r="J66" s="12">
        <v>6.0</v>
      </c>
    </row>
    <row r="67">
      <c r="A67" s="12" t="s">
        <v>335</v>
      </c>
      <c r="B67" s="58" t="s">
        <v>57</v>
      </c>
      <c r="C67" s="12">
        <v>42.45</v>
      </c>
      <c r="D67" s="12" t="s">
        <v>336</v>
      </c>
      <c r="E67" s="12">
        <v>0.15</v>
      </c>
      <c r="F67" s="12" t="s">
        <v>337</v>
      </c>
      <c r="G67" s="12">
        <v>0.40159</v>
      </c>
      <c r="H67" s="59">
        <v>161.345</v>
      </c>
      <c r="I67" s="12" t="s">
        <v>215</v>
      </c>
      <c r="J67" s="12">
        <v>3.0</v>
      </c>
    </row>
    <row r="68">
      <c r="A68" s="12" t="s">
        <v>338</v>
      </c>
      <c r="B68" s="58" t="s">
        <v>25</v>
      </c>
      <c r="C68" s="12">
        <v>225.93</v>
      </c>
      <c r="D68" s="12" t="s">
        <v>339</v>
      </c>
      <c r="E68" s="12">
        <v>-0.2</v>
      </c>
      <c r="F68" s="12" t="s">
        <v>339</v>
      </c>
      <c r="G68" s="12">
        <v>0.52584</v>
      </c>
      <c r="H68" s="12">
        <v>195.047</v>
      </c>
      <c r="I68" s="12" t="s">
        <v>208</v>
      </c>
      <c r="J68" s="12">
        <v>2.0</v>
      </c>
    </row>
    <row r="69">
      <c r="A69" s="12" t="s">
        <v>340</v>
      </c>
      <c r="B69" s="58" t="s">
        <v>57</v>
      </c>
      <c r="C69" s="60">
        <v>265.52</v>
      </c>
      <c r="D69" s="12" t="s">
        <v>341</v>
      </c>
      <c r="E69" s="60">
        <v>7.33</v>
      </c>
      <c r="F69" s="12" t="s">
        <v>342</v>
      </c>
      <c r="G69" s="12">
        <v>0.3558</v>
      </c>
      <c r="H69" s="12">
        <v>142.07</v>
      </c>
      <c r="I69" s="12" t="s">
        <v>208</v>
      </c>
      <c r="J69" s="12">
        <v>2.0</v>
      </c>
    </row>
    <row r="70">
      <c r="A70" s="12" t="s">
        <v>343</v>
      </c>
      <c r="B70" s="58" t="s">
        <v>57</v>
      </c>
      <c r="C70" s="12">
        <v>43.59</v>
      </c>
      <c r="D70" s="12" t="s">
        <v>344</v>
      </c>
      <c r="E70" s="12">
        <v>22.59</v>
      </c>
      <c r="F70" s="12" t="s">
        <v>345</v>
      </c>
      <c r="G70" s="12">
        <v>0.38989</v>
      </c>
      <c r="H70" s="12">
        <v>117.5</v>
      </c>
      <c r="I70" s="12" t="s">
        <v>228</v>
      </c>
      <c r="J70" s="12">
        <v>4.0</v>
      </c>
    </row>
    <row r="71">
      <c r="A71" s="12" t="s">
        <v>346</v>
      </c>
      <c r="B71" s="58" t="s">
        <v>57</v>
      </c>
      <c r="C71" s="12">
        <v>114.52</v>
      </c>
      <c r="D71" s="12" t="s">
        <v>347</v>
      </c>
      <c r="E71" s="12">
        <v>15.56</v>
      </c>
      <c r="F71" s="12" t="s">
        <v>348</v>
      </c>
      <c r="G71" s="12">
        <v>0.50234</v>
      </c>
      <c r="H71" s="12">
        <v>171.08</v>
      </c>
      <c r="I71" s="12" t="s">
        <v>215</v>
      </c>
      <c r="J71" s="12">
        <v>3.0</v>
      </c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  <row r="1001">
      <c r="B1001" s="28"/>
    </row>
    <row r="1002">
      <c r="B1002" s="28"/>
    </row>
    <row r="1003">
      <c r="B1003" s="28"/>
    </row>
    <row r="1004">
      <c r="B1004" s="28"/>
    </row>
    <row r="1005">
      <c r="B1005" s="28"/>
    </row>
    <row r="1006">
      <c r="B1006" s="28"/>
    </row>
    <row r="1007">
      <c r="B1007" s="28"/>
    </row>
    <row r="1008">
      <c r="B1008" s="28"/>
    </row>
  </sheetData>
  <mergeCells count="2">
    <mergeCell ref="L2:N2"/>
    <mergeCell ref="R2:T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  <col customWidth="1" min="8" max="8" width="26.86"/>
  </cols>
  <sheetData>
    <row r="1">
      <c r="A1" s="12" t="s">
        <v>351</v>
      </c>
      <c r="B1" s="17" t="s">
        <v>109</v>
      </c>
    </row>
    <row r="2">
      <c r="A2" s="12" t="s">
        <v>697</v>
      </c>
      <c r="B2" s="17" t="s">
        <v>110</v>
      </c>
    </row>
    <row r="3">
      <c r="A3" s="12"/>
      <c r="B3" s="12"/>
    </row>
    <row r="4">
      <c r="A4" s="12"/>
      <c r="B4" s="12"/>
    </row>
    <row r="5">
      <c r="A5" s="12" t="s">
        <v>531</v>
      </c>
      <c r="B5" s="231">
        <v>-67.62</v>
      </c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230" t="s">
        <v>535</v>
      </c>
      <c r="G7" s="12" t="s">
        <v>536</v>
      </c>
      <c r="H7" s="12" t="s">
        <v>537</v>
      </c>
      <c r="I7" s="12" t="s">
        <v>538</v>
      </c>
    </row>
    <row r="8">
      <c r="A8" s="12"/>
      <c r="B8" s="133" t="s">
        <v>949</v>
      </c>
      <c r="C8" s="133"/>
      <c r="D8" s="133" t="s">
        <v>619</v>
      </c>
      <c r="E8" s="133" t="s">
        <v>950</v>
      </c>
      <c r="F8" s="133" t="s">
        <v>951</v>
      </c>
      <c r="G8" s="133" t="s">
        <v>551</v>
      </c>
      <c r="H8" s="155"/>
      <c r="I8" s="155"/>
    </row>
    <row r="9">
      <c r="B9" s="25" t="s">
        <v>952</v>
      </c>
      <c r="C9" s="25" t="s">
        <v>953</v>
      </c>
      <c r="D9" s="25" t="s">
        <v>366</v>
      </c>
      <c r="E9" s="25" t="s">
        <v>954</v>
      </c>
      <c r="F9" s="25" t="s">
        <v>715</v>
      </c>
      <c r="G9" s="25" t="s">
        <v>765</v>
      </c>
      <c r="H9" s="175"/>
      <c r="I9" s="175"/>
    </row>
    <row r="10">
      <c r="B10" s="186" t="s">
        <v>955</v>
      </c>
      <c r="C10" s="186"/>
      <c r="D10" s="186" t="s">
        <v>570</v>
      </c>
      <c r="E10" s="186" t="s">
        <v>680</v>
      </c>
      <c r="F10" s="186" t="s">
        <v>956</v>
      </c>
      <c r="G10" s="186">
        <v>0.0</v>
      </c>
      <c r="H10" s="187"/>
      <c r="I10" s="187"/>
    </row>
    <row r="11">
      <c r="B11" s="186" t="s">
        <v>957</v>
      </c>
      <c r="C11" s="187"/>
      <c r="D11" s="186" t="s">
        <v>540</v>
      </c>
      <c r="E11" s="186" t="s">
        <v>680</v>
      </c>
      <c r="F11" s="186" t="s">
        <v>958</v>
      </c>
      <c r="G11" s="186" t="s">
        <v>862</v>
      </c>
      <c r="H11" s="187"/>
      <c r="I11" s="186">
        <v>0.64</v>
      </c>
    </row>
    <row r="12">
      <c r="B12" s="186" t="s">
        <v>959</v>
      </c>
      <c r="C12" s="187"/>
      <c r="D12" s="186" t="s">
        <v>570</v>
      </c>
      <c r="E12" s="186" t="s">
        <v>680</v>
      </c>
      <c r="F12" s="186" t="s">
        <v>600</v>
      </c>
      <c r="G12" s="186" t="s">
        <v>584</v>
      </c>
      <c r="H12" s="187"/>
      <c r="I12" s="187"/>
    </row>
    <row r="13">
      <c r="B13" s="186" t="s">
        <v>960</v>
      </c>
      <c r="C13" s="187"/>
      <c r="D13" s="186" t="s">
        <v>570</v>
      </c>
      <c r="E13" s="186" t="s">
        <v>961</v>
      </c>
      <c r="F13" s="186" t="s">
        <v>752</v>
      </c>
      <c r="G13" s="186" t="s">
        <v>572</v>
      </c>
      <c r="H13" s="186" t="s">
        <v>962</v>
      </c>
      <c r="I13" s="186">
        <v>0.21</v>
      </c>
    </row>
    <row r="14">
      <c r="B14" s="190" t="s">
        <v>963</v>
      </c>
      <c r="C14" s="190" t="s">
        <v>964</v>
      </c>
      <c r="D14" s="190" t="s">
        <v>592</v>
      </c>
      <c r="E14" s="190" t="s">
        <v>965</v>
      </c>
      <c r="F14" s="190" t="s">
        <v>711</v>
      </c>
      <c r="G14" s="190" t="s">
        <v>588</v>
      </c>
      <c r="H14" s="191"/>
      <c r="I14" s="191"/>
    </row>
    <row r="15">
      <c r="B15" s="190" t="s">
        <v>966</v>
      </c>
      <c r="C15" s="191"/>
      <c r="D15" s="190" t="s">
        <v>592</v>
      </c>
      <c r="E15" s="190" t="s">
        <v>967</v>
      </c>
      <c r="F15" s="190" t="s">
        <v>690</v>
      </c>
      <c r="G15" s="190" t="s">
        <v>685</v>
      </c>
      <c r="H15" s="191"/>
      <c r="I15" s="191"/>
    </row>
  </sheetData>
  <hyperlinks>
    <hyperlink r:id="rId1" ref="B1"/>
    <hyperlink r:id="rId2" ref="B2"/>
  </hyperlinks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  <col customWidth="1" min="7" max="7" width="17.0"/>
    <col customWidth="1" min="8" max="8" width="24.86"/>
  </cols>
  <sheetData>
    <row r="1">
      <c r="A1" s="12" t="s">
        <v>351</v>
      </c>
      <c r="B1" s="17" t="s">
        <v>114</v>
      </c>
    </row>
    <row r="2">
      <c r="A2" s="12" t="s">
        <v>697</v>
      </c>
      <c r="B2" s="17" t="s">
        <v>115</v>
      </c>
    </row>
    <row r="3">
      <c r="A3" s="12"/>
      <c r="B3" s="12"/>
    </row>
    <row r="4">
      <c r="A4" s="12"/>
      <c r="B4" s="12"/>
    </row>
    <row r="5">
      <c r="A5" s="12" t="s">
        <v>531</v>
      </c>
      <c r="B5" s="231">
        <v>-71.24</v>
      </c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230" t="s">
        <v>535</v>
      </c>
      <c r="G7" s="12" t="s">
        <v>536</v>
      </c>
      <c r="H7" s="12" t="s">
        <v>537</v>
      </c>
      <c r="I7" s="12" t="s">
        <v>538</v>
      </c>
    </row>
    <row r="8">
      <c r="B8" s="195" t="s">
        <v>968</v>
      </c>
      <c r="C8" s="201"/>
      <c r="D8" s="195" t="s">
        <v>627</v>
      </c>
      <c r="E8" s="195" t="s">
        <v>969</v>
      </c>
      <c r="F8" s="195" t="s">
        <v>583</v>
      </c>
      <c r="G8" s="195" t="s">
        <v>572</v>
      </c>
      <c r="H8" s="195" t="s">
        <v>970</v>
      </c>
      <c r="I8" s="195">
        <v>0.16</v>
      </c>
    </row>
    <row r="9">
      <c r="B9" s="186" t="s">
        <v>971</v>
      </c>
      <c r="C9" s="187"/>
      <c r="D9" s="186" t="s">
        <v>540</v>
      </c>
      <c r="E9" s="186" t="s">
        <v>972</v>
      </c>
      <c r="F9" s="186" t="s">
        <v>571</v>
      </c>
      <c r="G9" s="186" t="s">
        <v>730</v>
      </c>
      <c r="H9" s="186" t="s">
        <v>973</v>
      </c>
      <c r="I9" s="186">
        <v>0.41</v>
      </c>
    </row>
    <row r="10">
      <c r="B10" s="224" t="s">
        <v>974</v>
      </c>
      <c r="C10" s="224" t="s">
        <v>975</v>
      </c>
      <c r="D10" s="224" t="s">
        <v>976</v>
      </c>
      <c r="E10" s="224"/>
      <c r="F10" s="224" t="s">
        <v>550</v>
      </c>
      <c r="G10" s="224" t="s">
        <v>734</v>
      </c>
      <c r="H10" s="225"/>
      <c r="I10" s="225"/>
    </row>
    <row r="11">
      <c r="B11" s="12"/>
      <c r="D11" s="12"/>
      <c r="E11" s="12"/>
    </row>
  </sheetData>
  <hyperlinks>
    <hyperlink r:id="rId1" ref="B1"/>
    <hyperlink r:id="rId2" ref="B2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</cols>
  <sheetData>
    <row r="1">
      <c r="A1" s="12" t="s">
        <v>351</v>
      </c>
      <c r="B1" s="16" t="s">
        <v>119</v>
      </c>
    </row>
    <row r="2">
      <c r="A2" s="12" t="s">
        <v>697</v>
      </c>
      <c r="B2" s="17" t="s">
        <v>120</v>
      </c>
    </row>
    <row r="3">
      <c r="A3" s="12"/>
      <c r="B3" s="12"/>
    </row>
    <row r="4">
      <c r="A4" s="12"/>
      <c r="B4" s="12"/>
    </row>
    <row r="5">
      <c r="A5" s="12" t="s">
        <v>531</v>
      </c>
      <c r="B5" s="12">
        <v>71.38</v>
      </c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230" t="s">
        <v>535</v>
      </c>
      <c r="G7" s="12" t="s">
        <v>536</v>
      </c>
      <c r="H7" s="12" t="s">
        <v>537</v>
      </c>
      <c r="I7" s="12" t="s">
        <v>538</v>
      </c>
    </row>
    <row r="8">
      <c r="B8" s="12"/>
      <c r="D8" s="12"/>
      <c r="E8" s="12"/>
    </row>
    <row r="9">
      <c r="B9" s="12"/>
      <c r="D9" s="12"/>
      <c r="E9" s="12"/>
    </row>
    <row r="10">
      <c r="B10" s="12"/>
      <c r="D10" s="12"/>
      <c r="E10" s="12"/>
    </row>
    <row r="11">
      <c r="B11" s="12"/>
      <c r="D11" s="12"/>
      <c r="E11" s="12"/>
    </row>
  </sheetData>
  <hyperlinks>
    <hyperlink r:id="rId1" ref="B1"/>
    <hyperlink r:id="rId2" ref="B2"/>
  </hyperlink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29"/>
    <col customWidth="1" min="5" max="5" width="52.14"/>
    <col customWidth="1" min="7" max="8" width="27.0"/>
  </cols>
  <sheetData>
    <row r="1">
      <c r="A1" s="12" t="s">
        <v>351</v>
      </c>
      <c r="B1" s="16" t="s">
        <v>124</v>
      </c>
    </row>
    <row r="2">
      <c r="A2" s="12" t="s">
        <v>697</v>
      </c>
      <c r="B2" s="17" t="s">
        <v>125</v>
      </c>
    </row>
    <row r="3">
      <c r="A3" s="12"/>
      <c r="B3" s="12"/>
    </row>
    <row r="4">
      <c r="A4" s="12"/>
      <c r="B4" s="12"/>
    </row>
    <row r="5">
      <c r="A5" s="12" t="s">
        <v>531</v>
      </c>
      <c r="B5" s="12">
        <v>64.28</v>
      </c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B8" s="195" t="s">
        <v>977</v>
      </c>
      <c r="C8" s="201"/>
      <c r="D8" s="195" t="s">
        <v>627</v>
      </c>
      <c r="E8" s="195" t="s">
        <v>978</v>
      </c>
      <c r="F8" s="195" t="s">
        <v>979</v>
      </c>
      <c r="G8" s="195" t="s">
        <v>932</v>
      </c>
      <c r="H8" s="195" t="s">
        <v>980</v>
      </c>
      <c r="I8" s="195">
        <v>0.29</v>
      </c>
    </row>
    <row r="9">
      <c r="B9" s="186" t="s">
        <v>981</v>
      </c>
      <c r="C9" s="187"/>
      <c r="D9" s="186" t="s">
        <v>540</v>
      </c>
      <c r="E9" s="186" t="s">
        <v>982</v>
      </c>
      <c r="F9" s="186" t="s">
        <v>571</v>
      </c>
      <c r="G9" s="186" t="s">
        <v>720</v>
      </c>
      <c r="H9" s="186" t="s">
        <v>983</v>
      </c>
      <c r="I9" s="186">
        <v>0.47</v>
      </c>
    </row>
    <row r="10">
      <c r="B10" s="186" t="s">
        <v>984</v>
      </c>
      <c r="C10" s="187"/>
      <c r="D10" s="186" t="s">
        <v>540</v>
      </c>
      <c r="E10" s="186" t="s">
        <v>985</v>
      </c>
      <c r="F10" s="186" t="s">
        <v>986</v>
      </c>
      <c r="G10" s="186" t="s">
        <v>622</v>
      </c>
      <c r="H10" s="186" t="s">
        <v>987</v>
      </c>
      <c r="I10" s="186">
        <v>0.48</v>
      </c>
    </row>
    <row r="11">
      <c r="B11" s="25" t="s">
        <v>988</v>
      </c>
      <c r="C11" s="175"/>
      <c r="D11" s="25" t="s">
        <v>366</v>
      </c>
      <c r="E11" s="25" t="s">
        <v>989</v>
      </c>
      <c r="F11" s="25" t="s">
        <v>990</v>
      </c>
      <c r="G11" s="25" t="s">
        <v>991</v>
      </c>
      <c r="H11" s="25" t="s">
        <v>992</v>
      </c>
      <c r="I11" s="25">
        <v>0.14</v>
      </c>
    </row>
    <row r="12">
      <c r="B12" s="186" t="s">
        <v>993</v>
      </c>
      <c r="C12" s="187"/>
      <c r="D12" s="186" t="s">
        <v>540</v>
      </c>
      <c r="E12" s="186" t="s">
        <v>994</v>
      </c>
      <c r="F12" s="186" t="s">
        <v>995</v>
      </c>
      <c r="G12" s="186" t="s">
        <v>616</v>
      </c>
      <c r="H12" s="186" t="s">
        <v>996</v>
      </c>
      <c r="I12" s="186">
        <v>1.18</v>
      </c>
    </row>
    <row r="13">
      <c r="B13" s="186" t="s">
        <v>997</v>
      </c>
      <c r="C13" s="187"/>
      <c r="D13" s="186" t="s">
        <v>540</v>
      </c>
      <c r="E13" s="186" t="s">
        <v>998</v>
      </c>
      <c r="F13" s="186" t="s">
        <v>999</v>
      </c>
      <c r="G13" s="186" t="s">
        <v>730</v>
      </c>
      <c r="H13" s="186" t="s">
        <v>987</v>
      </c>
      <c r="I13" s="186">
        <v>1.45</v>
      </c>
    </row>
    <row r="14">
      <c r="B14" s="186" t="s">
        <v>1000</v>
      </c>
      <c r="C14" s="187"/>
      <c r="D14" s="186" t="s">
        <v>540</v>
      </c>
      <c r="E14" s="186" t="s">
        <v>1001</v>
      </c>
      <c r="F14" s="186" t="s">
        <v>550</v>
      </c>
      <c r="G14" s="186" t="s">
        <v>720</v>
      </c>
      <c r="H14" s="186" t="s">
        <v>1002</v>
      </c>
      <c r="I14" s="186">
        <v>0.39</v>
      </c>
    </row>
    <row r="15">
      <c r="B15" s="133" t="s">
        <v>1003</v>
      </c>
      <c r="C15" s="155"/>
      <c r="D15" s="133" t="s">
        <v>736</v>
      </c>
      <c r="E15" s="133" t="s">
        <v>737</v>
      </c>
      <c r="F15" s="133" t="s">
        <v>869</v>
      </c>
      <c r="G15" s="133" t="s">
        <v>691</v>
      </c>
      <c r="H15" s="155"/>
      <c r="I15" s="133">
        <v>0.27</v>
      </c>
    </row>
    <row r="16">
      <c r="B16" s="133" t="s">
        <v>1004</v>
      </c>
      <c r="C16" s="155"/>
      <c r="D16" s="133" t="s">
        <v>736</v>
      </c>
      <c r="E16" s="133" t="s">
        <v>737</v>
      </c>
      <c r="F16" s="133" t="s">
        <v>684</v>
      </c>
      <c r="G16" s="133" t="s">
        <v>588</v>
      </c>
      <c r="H16" s="155"/>
      <c r="I16" s="133">
        <v>0.08</v>
      </c>
    </row>
    <row r="17">
      <c r="B17" s="186" t="s">
        <v>1005</v>
      </c>
      <c r="C17" s="187"/>
      <c r="D17" s="186" t="s">
        <v>540</v>
      </c>
      <c r="E17" s="186" t="s">
        <v>1001</v>
      </c>
      <c r="F17" s="186" t="s">
        <v>1006</v>
      </c>
      <c r="G17" s="186" t="s">
        <v>762</v>
      </c>
      <c r="H17" s="186" t="s">
        <v>1007</v>
      </c>
      <c r="I17" s="186">
        <v>0.09</v>
      </c>
    </row>
    <row r="18">
      <c r="B18" s="186" t="s">
        <v>1008</v>
      </c>
      <c r="C18" s="187"/>
      <c r="D18" s="186" t="s">
        <v>540</v>
      </c>
      <c r="E18" s="186" t="s">
        <v>1001</v>
      </c>
      <c r="F18" s="186" t="s">
        <v>1009</v>
      </c>
      <c r="G18" s="186" t="s">
        <v>543</v>
      </c>
      <c r="H18" s="186" t="s">
        <v>1010</v>
      </c>
      <c r="I18" s="186">
        <v>0.36</v>
      </c>
    </row>
    <row r="19">
      <c r="B19" s="186" t="s">
        <v>1011</v>
      </c>
      <c r="C19" s="187"/>
      <c r="D19" s="186" t="s">
        <v>540</v>
      </c>
      <c r="E19" s="186" t="s">
        <v>1001</v>
      </c>
      <c r="F19" s="186" t="s">
        <v>854</v>
      </c>
      <c r="G19" s="186" t="s">
        <v>726</v>
      </c>
      <c r="H19" s="186" t="s">
        <v>1012</v>
      </c>
      <c r="I19" s="186">
        <v>0.25</v>
      </c>
    </row>
    <row r="20">
      <c r="B20" s="152" t="s">
        <v>516</v>
      </c>
      <c r="C20" s="152" t="s">
        <v>1013</v>
      </c>
      <c r="D20" s="152" t="s">
        <v>592</v>
      </c>
      <c r="E20" s="152" t="s">
        <v>1014</v>
      </c>
      <c r="F20" s="152" t="s">
        <v>909</v>
      </c>
      <c r="G20" s="152" t="s">
        <v>696</v>
      </c>
      <c r="H20" s="151"/>
      <c r="I20" s="151"/>
    </row>
    <row r="21">
      <c r="B21" s="190" t="s">
        <v>519</v>
      </c>
      <c r="C21" s="190" t="s">
        <v>1015</v>
      </c>
      <c r="D21" s="190" t="s">
        <v>592</v>
      </c>
      <c r="E21" s="190" t="s">
        <v>1016</v>
      </c>
      <c r="F21" s="190" t="s">
        <v>1017</v>
      </c>
      <c r="G21" s="190" t="s">
        <v>543</v>
      </c>
      <c r="H21" s="191"/>
      <c r="I21" s="191"/>
    </row>
    <row r="22">
      <c r="B22" s="186" t="s">
        <v>1018</v>
      </c>
      <c r="C22" s="187"/>
      <c r="D22" s="186" t="s">
        <v>540</v>
      </c>
      <c r="E22" s="186" t="s">
        <v>1001</v>
      </c>
      <c r="F22" s="186" t="s">
        <v>1019</v>
      </c>
      <c r="G22" s="186" t="s">
        <v>691</v>
      </c>
      <c r="H22" s="186" t="s">
        <v>1020</v>
      </c>
      <c r="I22" s="186">
        <v>0.15</v>
      </c>
    </row>
    <row r="23">
      <c r="B23" s="186" t="s">
        <v>1021</v>
      </c>
      <c r="C23" s="187"/>
      <c r="D23" s="186" t="s">
        <v>540</v>
      </c>
      <c r="E23" s="186" t="s">
        <v>1001</v>
      </c>
      <c r="F23" s="186" t="s">
        <v>684</v>
      </c>
      <c r="G23" s="186" t="s">
        <v>747</v>
      </c>
      <c r="H23" s="186" t="s">
        <v>1022</v>
      </c>
      <c r="I23" s="186">
        <v>0.15</v>
      </c>
    </row>
    <row r="24">
      <c r="B24" s="133" t="s">
        <v>1023</v>
      </c>
      <c r="C24" s="155"/>
      <c r="D24" s="133" t="s">
        <v>736</v>
      </c>
      <c r="E24" s="133" t="s">
        <v>737</v>
      </c>
      <c r="F24" s="133" t="s">
        <v>1006</v>
      </c>
      <c r="G24" s="133" t="s">
        <v>607</v>
      </c>
      <c r="H24" s="155"/>
      <c r="I24" s="133">
        <v>0.46</v>
      </c>
    </row>
  </sheetData>
  <hyperlinks>
    <hyperlink r:id="rId1" ref="B1"/>
    <hyperlink r:id="rId2" ref="B2"/>
  </hyperlinks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  <col customWidth="1" min="7" max="7" width="18.43"/>
    <col customWidth="1" min="8" max="8" width="26.86"/>
  </cols>
  <sheetData>
    <row r="1">
      <c r="A1" s="12" t="s">
        <v>351</v>
      </c>
      <c r="B1" s="16" t="s">
        <v>129</v>
      </c>
    </row>
    <row r="2">
      <c r="A2" s="12" t="s">
        <v>697</v>
      </c>
      <c r="B2" s="17" t="s">
        <v>130</v>
      </c>
    </row>
    <row r="3">
      <c r="A3" s="12"/>
      <c r="B3" s="12"/>
    </row>
    <row r="4">
      <c r="A4" s="12" t="s">
        <v>531</v>
      </c>
      <c r="B4" s="12">
        <v>14.6</v>
      </c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B8" s="133" t="s">
        <v>1024</v>
      </c>
      <c r="C8" s="155"/>
      <c r="D8" s="133" t="s">
        <v>736</v>
      </c>
      <c r="E8" s="133" t="s">
        <v>1025</v>
      </c>
      <c r="F8" s="133" t="s">
        <v>1026</v>
      </c>
      <c r="G8" s="133" t="s">
        <v>1027</v>
      </c>
      <c r="H8" s="155"/>
      <c r="I8" s="133">
        <v>0.85</v>
      </c>
    </row>
    <row r="9">
      <c r="B9" s="186" t="s">
        <v>1028</v>
      </c>
      <c r="C9" s="187"/>
      <c r="D9" s="186" t="s">
        <v>570</v>
      </c>
      <c r="E9" s="186" t="s">
        <v>680</v>
      </c>
      <c r="F9" s="186" t="s">
        <v>1029</v>
      </c>
      <c r="G9" s="186" t="s">
        <v>611</v>
      </c>
      <c r="H9" s="187"/>
      <c r="I9" s="187"/>
    </row>
    <row r="10">
      <c r="B10" s="133" t="s">
        <v>1030</v>
      </c>
      <c r="C10" s="155"/>
      <c r="D10" s="133" t="s">
        <v>736</v>
      </c>
      <c r="E10" s="133" t="s">
        <v>1031</v>
      </c>
      <c r="F10" s="133" t="s">
        <v>725</v>
      </c>
      <c r="G10" s="133" t="s">
        <v>720</v>
      </c>
      <c r="H10" s="155"/>
      <c r="I10" s="133">
        <v>1.4</v>
      </c>
    </row>
    <row r="11">
      <c r="B11" s="190" t="s">
        <v>1032</v>
      </c>
      <c r="C11" s="190"/>
      <c r="D11" s="190" t="s">
        <v>592</v>
      </c>
      <c r="E11" s="190" t="s">
        <v>1033</v>
      </c>
      <c r="F11" s="190" t="s">
        <v>892</v>
      </c>
      <c r="G11" s="190">
        <v>0.0</v>
      </c>
      <c r="H11" s="191"/>
      <c r="I11" s="191"/>
    </row>
    <row r="12">
      <c r="B12" s="186" t="s">
        <v>1034</v>
      </c>
      <c r="C12" s="186"/>
      <c r="D12" s="186" t="s">
        <v>540</v>
      </c>
      <c r="E12" s="186" t="s">
        <v>1035</v>
      </c>
      <c r="F12" s="186" t="s">
        <v>892</v>
      </c>
      <c r="G12" s="186" t="s">
        <v>691</v>
      </c>
      <c r="H12" s="186" t="s">
        <v>1036</v>
      </c>
      <c r="I12" s="186">
        <v>0.5</v>
      </c>
    </row>
    <row r="13">
      <c r="B13" s="133" t="s">
        <v>1037</v>
      </c>
      <c r="C13" s="155"/>
      <c r="D13" s="133" t="s">
        <v>736</v>
      </c>
      <c r="E13" s="133" t="s">
        <v>1038</v>
      </c>
      <c r="F13" s="133" t="s">
        <v>999</v>
      </c>
      <c r="G13" s="133" t="s">
        <v>730</v>
      </c>
      <c r="H13" s="155"/>
      <c r="I13" s="133">
        <v>0.91</v>
      </c>
    </row>
    <row r="14">
      <c r="B14" s="12"/>
      <c r="D14" s="12"/>
    </row>
    <row r="15">
      <c r="B15" s="12"/>
      <c r="D15" s="12"/>
    </row>
    <row r="16">
      <c r="B16" s="12"/>
      <c r="D16" s="12"/>
    </row>
    <row r="17">
      <c r="B17" s="12"/>
      <c r="D17" s="12"/>
    </row>
    <row r="18">
      <c r="B18" s="12"/>
      <c r="D18" s="12"/>
    </row>
    <row r="19">
      <c r="B19" s="12"/>
      <c r="D19" s="12"/>
    </row>
  </sheetData>
  <hyperlinks>
    <hyperlink r:id="rId1" ref="B1"/>
    <hyperlink r:id="rId2" ref="B2"/>
  </hyperlinks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.14"/>
    <col customWidth="1" min="5" max="5" width="60.0"/>
    <col customWidth="1" min="7" max="7" width="21.29"/>
    <col customWidth="1" min="8" max="8" width="25.71"/>
  </cols>
  <sheetData>
    <row r="1">
      <c r="A1" s="12" t="s">
        <v>351</v>
      </c>
      <c r="B1" s="16" t="s">
        <v>134</v>
      </c>
    </row>
    <row r="2">
      <c r="A2" s="12" t="s">
        <v>697</v>
      </c>
      <c r="B2" s="17" t="s">
        <v>1039</v>
      </c>
      <c r="C2" s="16" t="s">
        <v>1040</v>
      </c>
    </row>
    <row r="3">
      <c r="A3" s="12"/>
      <c r="B3" s="12"/>
    </row>
    <row r="4">
      <c r="A4" s="12"/>
      <c r="B4" s="12"/>
    </row>
    <row r="5">
      <c r="A5" s="12" t="s">
        <v>531</v>
      </c>
      <c r="B5" s="23">
        <v>-39.43</v>
      </c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A8" s="4"/>
      <c r="B8" s="232" t="s">
        <v>1041</v>
      </c>
      <c r="C8" s="232" t="s">
        <v>1042</v>
      </c>
      <c r="D8" s="195" t="s">
        <v>627</v>
      </c>
      <c r="E8" s="195" t="s">
        <v>1043</v>
      </c>
      <c r="F8" s="195" t="s">
        <v>786</v>
      </c>
      <c r="G8" s="195" t="s">
        <v>799</v>
      </c>
      <c r="H8" s="195" t="s">
        <v>1044</v>
      </c>
      <c r="I8" s="195">
        <v>0.08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4"/>
      <c r="B9" s="222" t="s">
        <v>521</v>
      </c>
      <c r="C9" s="222" t="s">
        <v>1045</v>
      </c>
      <c r="D9" s="186" t="s">
        <v>570</v>
      </c>
      <c r="E9" s="186" t="s">
        <v>1046</v>
      </c>
      <c r="F9" s="186" t="s">
        <v>610</v>
      </c>
      <c r="G9" s="186" t="s">
        <v>720</v>
      </c>
      <c r="H9" s="187"/>
      <c r="I9" s="18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233"/>
      <c r="B10" s="193" t="s">
        <v>1047</v>
      </c>
      <c r="C10" s="193"/>
      <c r="D10" s="193" t="s">
        <v>619</v>
      </c>
      <c r="E10" s="193" t="s">
        <v>1048</v>
      </c>
      <c r="F10" s="193" t="s">
        <v>1049</v>
      </c>
      <c r="G10" s="193">
        <v>0.0</v>
      </c>
      <c r="H10" s="234"/>
      <c r="I10" s="193">
        <v>0.13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</row>
    <row r="11">
      <c r="A11" s="233"/>
      <c r="B11" s="235"/>
      <c r="C11" s="235"/>
      <c r="D11" s="235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</row>
    <row r="12">
      <c r="B12" s="12"/>
      <c r="D12" s="12"/>
    </row>
    <row r="20">
      <c r="A20" s="30"/>
      <c r="B20" s="21"/>
      <c r="C20" s="21"/>
      <c r="D20" s="21"/>
      <c r="E20" s="21"/>
      <c r="F20" s="3"/>
      <c r="G20" s="3"/>
      <c r="H20" s="3"/>
      <c r="I20" s="231"/>
    </row>
  </sheetData>
  <hyperlinks>
    <hyperlink r:id="rId1" ref="B1"/>
    <hyperlink r:id="rId2" ref="B2"/>
    <hyperlink r:id="rId3" ref="C2"/>
  </hyperlinks>
  <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0.29"/>
    <col customWidth="1" min="8" max="8" width="25.86"/>
  </cols>
  <sheetData>
    <row r="1">
      <c r="A1" s="12" t="s">
        <v>351</v>
      </c>
      <c r="B1" s="17" t="s">
        <v>139</v>
      </c>
    </row>
    <row r="2">
      <c r="A2" s="12" t="s">
        <v>697</v>
      </c>
      <c r="B2" s="17" t="s">
        <v>140</v>
      </c>
    </row>
    <row r="3">
      <c r="A3" s="12"/>
    </row>
    <row r="4">
      <c r="A4" s="12"/>
    </row>
    <row r="5">
      <c r="A5" s="12" t="s">
        <v>531</v>
      </c>
      <c r="B5" s="12">
        <v>21.28</v>
      </c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B8" s="236" t="s">
        <v>524</v>
      </c>
      <c r="C8" s="155"/>
      <c r="D8" s="133" t="s">
        <v>1050</v>
      </c>
      <c r="E8" s="133" t="s">
        <v>559</v>
      </c>
      <c r="F8" s="133" t="s">
        <v>746</v>
      </c>
      <c r="G8" s="133" t="s">
        <v>1051</v>
      </c>
      <c r="H8" s="155"/>
      <c r="I8" s="155"/>
    </row>
    <row r="9">
      <c r="B9" s="186" t="s">
        <v>527</v>
      </c>
      <c r="C9" s="186"/>
      <c r="D9" s="186" t="s">
        <v>540</v>
      </c>
      <c r="E9" s="186" t="s">
        <v>1001</v>
      </c>
      <c r="F9" s="186" t="s">
        <v>694</v>
      </c>
      <c r="G9" s="186" t="s">
        <v>720</v>
      </c>
      <c r="H9" s="186" t="s">
        <v>1052</v>
      </c>
      <c r="I9" s="186">
        <v>0.33</v>
      </c>
    </row>
    <row r="10">
      <c r="B10" s="3"/>
      <c r="C10" s="3"/>
      <c r="D10" s="3"/>
      <c r="E10" s="4"/>
      <c r="F10" s="4"/>
      <c r="G10" s="4"/>
    </row>
  </sheetData>
  <hyperlinks>
    <hyperlink r:id="rId1" ref="B1"/>
    <hyperlink r:id="rId2" ref="B2"/>
  </hyperlinks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351</v>
      </c>
      <c r="B1" s="17" t="s">
        <v>144</v>
      </c>
    </row>
    <row r="2">
      <c r="A2" s="12" t="s">
        <v>697</v>
      </c>
      <c r="B2" s="17" t="s">
        <v>145</v>
      </c>
    </row>
    <row r="3">
      <c r="A3" s="12"/>
    </row>
    <row r="4">
      <c r="A4" s="12" t="s">
        <v>531</v>
      </c>
      <c r="B4" s="230">
        <v>-38.95</v>
      </c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B8" s="237"/>
    </row>
    <row r="9">
      <c r="B9" s="12"/>
    </row>
  </sheetData>
  <hyperlinks>
    <hyperlink r:id="rId1" ref="B1"/>
    <hyperlink r:id="rId2" ref="B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43.43"/>
    <col customWidth="1" min="4" max="4" width="16.57"/>
    <col customWidth="1" min="5" max="5" width="17.71"/>
    <col customWidth="1" min="6" max="6" width="22.0"/>
    <col customWidth="1" min="8" max="8" width="22.0"/>
    <col customWidth="1" min="9" max="9" width="33.0"/>
    <col customWidth="1" min="10" max="10" width="20.71"/>
    <col customWidth="1" min="11" max="11" width="20.43"/>
    <col customWidth="1" min="13" max="13" width="39.43"/>
    <col customWidth="1" min="14" max="14" width="153.14"/>
    <col customWidth="1" min="15" max="15" width="9.71"/>
    <col customWidth="1" min="16" max="16" width="6.57"/>
    <col customWidth="1" min="17" max="17" width="15.71"/>
    <col customWidth="1" min="18" max="18" width="13.43"/>
    <col customWidth="1" min="30" max="35" width="12.14"/>
  </cols>
  <sheetData>
    <row r="1">
      <c r="A1" s="61" t="s">
        <v>349</v>
      </c>
      <c r="E1" s="62"/>
      <c r="K1" s="63"/>
      <c r="M1" s="64"/>
      <c r="N1" s="65"/>
    </row>
    <row r="2">
      <c r="A2" s="66"/>
      <c r="E2" s="62"/>
      <c r="K2" s="63"/>
      <c r="M2" s="64"/>
      <c r="N2" s="65"/>
    </row>
    <row r="3">
      <c r="A3" s="66"/>
      <c r="E3" s="62"/>
      <c r="K3" s="63"/>
      <c r="M3" s="64"/>
      <c r="N3" s="65"/>
    </row>
    <row r="4">
      <c r="A4" s="67" t="s">
        <v>350</v>
      </c>
      <c r="B4" s="68" t="s">
        <v>351</v>
      </c>
      <c r="C4" s="68" t="s">
        <v>352</v>
      </c>
      <c r="D4" s="68" t="s">
        <v>353</v>
      </c>
      <c r="E4" s="69" t="s">
        <v>354</v>
      </c>
      <c r="F4" s="68" t="s">
        <v>355</v>
      </c>
      <c r="G4" s="68" t="s">
        <v>356</v>
      </c>
      <c r="H4" s="68" t="s">
        <v>357</v>
      </c>
      <c r="I4" s="68" t="s">
        <v>358</v>
      </c>
      <c r="J4" s="68" t="s">
        <v>359</v>
      </c>
      <c r="K4" s="68" t="s">
        <v>360</v>
      </c>
      <c r="L4" s="68" t="s">
        <v>361</v>
      </c>
      <c r="M4" s="70" t="s">
        <v>362</v>
      </c>
      <c r="N4" s="70" t="s">
        <v>363</v>
      </c>
      <c r="O4" s="71" t="s">
        <v>364</v>
      </c>
      <c r="Q4" s="72"/>
      <c r="R4" s="73"/>
      <c r="S4" s="73"/>
      <c r="T4" s="72"/>
      <c r="U4" s="72"/>
      <c r="V4" s="72"/>
      <c r="W4" s="72"/>
      <c r="X4" s="72"/>
      <c r="Y4" s="72"/>
      <c r="Z4" s="72"/>
      <c r="AA4" s="72"/>
      <c r="AB4" s="72"/>
      <c r="AC4" s="73"/>
      <c r="AD4" s="73"/>
      <c r="AE4" s="73"/>
      <c r="AF4" s="73"/>
      <c r="AG4" s="73"/>
      <c r="AH4" s="73"/>
      <c r="AI4" s="73"/>
    </row>
    <row r="5">
      <c r="A5" s="74" t="s">
        <v>24</v>
      </c>
      <c r="B5" s="75" t="s">
        <v>22</v>
      </c>
      <c r="C5" s="75" t="s">
        <v>23</v>
      </c>
      <c r="D5" s="74">
        <v>18.38</v>
      </c>
      <c r="E5" s="76" t="s">
        <v>365</v>
      </c>
      <c r="F5" s="77"/>
      <c r="G5" s="74" t="s">
        <v>366</v>
      </c>
      <c r="H5" s="74">
        <v>18.93</v>
      </c>
      <c r="I5" s="74">
        <v>19.14</v>
      </c>
      <c r="J5" s="74">
        <v>19.79</v>
      </c>
      <c r="K5" s="74">
        <v>19.88</v>
      </c>
      <c r="L5" s="74" t="s">
        <v>367</v>
      </c>
      <c r="M5" s="77"/>
      <c r="N5" s="77"/>
      <c r="O5" s="78" t="s">
        <v>368</v>
      </c>
      <c r="P5" s="79">
        <f>COUNTIF(H:H, "&gt;0")</f>
        <v>35</v>
      </c>
      <c r="Q5" s="79"/>
      <c r="R5" s="80" t="s">
        <v>369</v>
      </c>
      <c r="S5" s="81"/>
      <c r="T5" s="79"/>
      <c r="U5" s="79"/>
      <c r="V5" s="79"/>
      <c r="W5" s="79"/>
      <c r="X5" s="82" t="s">
        <v>370</v>
      </c>
      <c r="Z5" s="79"/>
      <c r="AA5" s="79"/>
      <c r="AB5" s="79"/>
      <c r="AC5" s="79"/>
      <c r="AD5" s="79"/>
      <c r="AE5" s="79"/>
      <c r="AF5" s="79"/>
      <c r="AG5" s="79"/>
      <c r="AH5" s="79"/>
      <c r="AI5" s="79"/>
    </row>
    <row r="6">
      <c r="A6" s="77"/>
      <c r="B6" s="77"/>
      <c r="C6" s="77"/>
      <c r="D6" s="77"/>
      <c r="E6" s="76" t="s">
        <v>371</v>
      </c>
      <c r="F6" s="77"/>
      <c r="G6" s="77"/>
      <c r="H6" s="74">
        <v>20.31</v>
      </c>
      <c r="I6" s="74">
        <v>20.34</v>
      </c>
      <c r="J6" s="74">
        <v>20.31</v>
      </c>
      <c r="K6" s="74">
        <v>20.34</v>
      </c>
      <c r="L6" s="74">
        <v>5.0</v>
      </c>
      <c r="M6" s="75" t="s">
        <v>372</v>
      </c>
      <c r="N6" s="77"/>
      <c r="O6" s="71" t="s">
        <v>373</v>
      </c>
      <c r="P6" s="4">
        <f>MEDIAN(H:H)</f>
        <v>20.39</v>
      </c>
      <c r="Q6" s="4"/>
      <c r="R6" s="1" t="s">
        <v>374</v>
      </c>
      <c r="S6" s="1" t="s">
        <v>375</v>
      </c>
      <c r="T6" s="4"/>
      <c r="U6" s="4"/>
      <c r="V6" s="4"/>
      <c r="W6" s="4"/>
      <c r="X6" s="83" t="s">
        <v>374</v>
      </c>
      <c r="Y6" s="1" t="s">
        <v>375</v>
      </c>
      <c r="Z6" s="4"/>
      <c r="AA6" s="4"/>
      <c r="AB6" s="4"/>
      <c r="AC6" s="4"/>
      <c r="AD6" s="4"/>
      <c r="AE6" s="4"/>
      <c r="AF6" s="4"/>
      <c r="AG6" s="4"/>
      <c r="AH6" s="4"/>
      <c r="AI6" s="4"/>
    </row>
    <row r="7">
      <c r="O7" s="84"/>
      <c r="R7" s="12">
        <v>18.0</v>
      </c>
      <c r="S7" s="6">
        <f>COUNTIF(H:H, "&lt;=18")</f>
        <v>0</v>
      </c>
      <c r="X7" s="3">
        <f t="shared" ref="X7:X13" si="1">(R8+R7)/2</f>
        <v>18.25</v>
      </c>
      <c r="Y7" s="6">
        <f t="shared" ref="Y7:Y13" si="2">S8-S7</f>
        <v>2</v>
      </c>
    </row>
    <row r="8">
      <c r="A8" s="85" t="s">
        <v>30</v>
      </c>
      <c r="B8" s="86" t="s">
        <v>33</v>
      </c>
      <c r="C8" s="86" t="s">
        <v>34</v>
      </c>
      <c r="D8" s="87">
        <v>54.83</v>
      </c>
      <c r="E8" s="88" t="s">
        <v>376</v>
      </c>
      <c r="F8" s="87" t="s">
        <v>377</v>
      </c>
      <c r="G8" s="87" t="s">
        <v>378</v>
      </c>
      <c r="H8" s="89">
        <v>18.48</v>
      </c>
      <c r="I8" s="87">
        <v>17.85</v>
      </c>
      <c r="J8" s="90"/>
      <c r="K8" s="91"/>
      <c r="L8" s="77"/>
      <c r="M8" s="92"/>
      <c r="N8" s="92"/>
      <c r="O8" s="84"/>
      <c r="R8" s="12">
        <v>18.5</v>
      </c>
      <c r="S8" s="6">
        <f>COUNTIF(H:H, "&lt;=18.5")</f>
        <v>2</v>
      </c>
      <c r="X8" s="3">
        <f t="shared" si="1"/>
        <v>18.75</v>
      </c>
      <c r="Y8" s="6">
        <f t="shared" si="2"/>
        <v>3</v>
      </c>
    </row>
    <row r="9">
      <c r="A9" s="66"/>
      <c r="E9" s="62"/>
      <c r="K9" s="63"/>
      <c r="M9" s="64"/>
      <c r="N9" s="64"/>
      <c r="O9" s="84"/>
      <c r="R9" s="12">
        <v>19.0</v>
      </c>
      <c r="S9" s="6">
        <f>COUNTIF(H:H, "&lt;=19")</f>
        <v>5</v>
      </c>
      <c r="X9" s="3">
        <f t="shared" si="1"/>
        <v>19.25</v>
      </c>
      <c r="Y9" s="4">
        <f t="shared" si="2"/>
        <v>1</v>
      </c>
    </row>
    <row r="10">
      <c r="A10" s="93" t="s">
        <v>35</v>
      </c>
      <c r="B10" s="75" t="s">
        <v>38</v>
      </c>
      <c r="C10" s="75" t="s">
        <v>379</v>
      </c>
      <c r="D10" s="74">
        <v>-63.55</v>
      </c>
      <c r="E10" s="94" t="s">
        <v>380</v>
      </c>
      <c r="F10" s="95" t="s">
        <v>381</v>
      </c>
      <c r="G10" s="96" t="s">
        <v>382</v>
      </c>
      <c r="H10" s="97"/>
      <c r="I10" s="96">
        <v>20.31</v>
      </c>
      <c r="J10" s="98"/>
      <c r="K10" s="99">
        <v>20.456</v>
      </c>
      <c r="L10" s="96">
        <v>4.0</v>
      </c>
      <c r="M10" s="95" t="s">
        <v>383</v>
      </c>
      <c r="N10" s="100" t="s">
        <v>384</v>
      </c>
      <c r="O10" s="84"/>
      <c r="R10" s="12">
        <v>19.5</v>
      </c>
      <c r="S10" s="6">
        <f>COUNTIF(H:H, "&lt;=19.5")</f>
        <v>6</v>
      </c>
      <c r="X10" s="3">
        <f t="shared" si="1"/>
        <v>19.75</v>
      </c>
      <c r="Y10" s="6">
        <f t="shared" si="2"/>
        <v>4</v>
      </c>
    </row>
    <row r="11">
      <c r="A11" s="66"/>
      <c r="E11" s="66"/>
      <c r="K11" s="63"/>
      <c r="M11" s="64"/>
      <c r="N11" s="64"/>
      <c r="O11" s="84"/>
      <c r="R11" s="12">
        <v>20.0</v>
      </c>
      <c r="S11" s="6">
        <f>COUNTIF(H:H, "&lt;=20")</f>
        <v>10</v>
      </c>
      <c r="X11" s="3">
        <f t="shared" si="1"/>
        <v>20.25</v>
      </c>
      <c r="Y11" s="6">
        <f t="shared" si="2"/>
        <v>10</v>
      </c>
    </row>
    <row r="12">
      <c r="A12" s="93" t="s">
        <v>40</v>
      </c>
      <c r="B12" s="75" t="s">
        <v>43</v>
      </c>
      <c r="C12" s="75" t="s">
        <v>385</v>
      </c>
      <c r="D12" s="74">
        <v>-20.33</v>
      </c>
      <c r="E12" s="101" t="s">
        <v>386</v>
      </c>
      <c r="F12" s="102" t="s">
        <v>387</v>
      </c>
      <c r="G12" s="103" t="s">
        <v>388</v>
      </c>
      <c r="H12" s="104">
        <v>18.84</v>
      </c>
      <c r="I12" s="105">
        <v>19.02</v>
      </c>
      <c r="J12" s="105"/>
      <c r="K12" s="106">
        <v>19.02</v>
      </c>
      <c r="L12" s="105">
        <v>9.0</v>
      </c>
      <c r="M12" s="107" t="s">
        <v>389</v>
      </c>
      <c r="N12" s="103" t="s">
        <v>390</v>
      </c>
      <c r="O12" s="84"/>
      <c r="R12" s="12">
        <v>20.5</v>
      </c>
      <c r="S12" s="6">
        <f>COUNTIF(H:H, "&lt;=20.5")</f>
        <v>20</v>
      </c>
      <c r="X12" s="3">
        <f t="shared" si="1"/>
        <v>20.75</v>
      </c>
      <c r="Y12" s="6">
        <f t="shared" si="2"/>
        <v>9</v>
      </c>
    </row>
    <row r="13">
      <c r="A13" s="108"/>
      <c r="B13" s="77"/>
      <c r="C13" s="77"/>
      <c r="D13" s="77"/>
      <c r="E13" s="109" t="s">
        <v>391</v>
      </c>
      <c r="F13" s="110" t="s">
        <v>392</v>
      </c>
      <c r="G13" s="111" t="s">
        <v>393</v>
      </c>
      <c r="H13" s="112">
        <v>20.39</v>
      </c>
      <c r="I13" s="113">
        <v>20.46</v>
      </c>
      <c r="J13" s="113">
        <v>20.61</v>
      </c>
      <c r="K13" s="114">
        <v>20.69</v>
      </c>
      <c r="L13" s="113">
        <v>5.0</v>
      </c>
      <c r="M13" s="115" t="s">
        <v>394</v>
      </c>
      <c r="N13" s="111" t="s">
        <v>395</v>
      </c>
      <c r="O13" s="84"/>
      <c r="R13" s="12">
        <v>21.0</v>
      </c>
      <c r="S13" s="6">
        <f>COUNTIF(H:H, "&lt;=21")</f>
        <v>29</v>
      </c>
      <c r="X13" s="3">
        <f t="shared" si="1"/>
        <v>21.25</v>
      </c>
      <c r="Y13" s="6">
        <f t="shared" si="2"/>
        <v>5</v>
      </c>
    </row>
    <row r="14">
      <c r="A14" s="108"/>
      <c r="B14" s="74"/>
      <c r="C14" s="77"/>
      <c r="D14" s="77"/>
      <c r="E14" s="109" t="s">
        <v>396</v>
      </c>
      <c r="F14" s="116" t="s">
        <v>397</v>
      </c>
      <c r="G14" s="111" t="s">
        <v>393</v>
      </c>
      <c r="H14" s="112">
        <v>20.32</v>
      </c>
      <c r="I14" s="113">
        <v>20.47</v>
      </c>
      <c r="J14" s="117"/>
      <c r="K14" s="118">
        <v>20.47</v>
      </c>
      <c r="L14" s="113">
        <v>3.0</v>
      </c>
      <c r="M14" s="115" t="s">
        <v>398</v>
      </c>
      <c r="N14" s="111" t="s">
        <v>399</v>
      </c>
      <c r="O14" s="84"/>
      <c r="R14" s="12">
        <v>21.5</v>
      </c>
      <c r="S14" s="6">
        <f>COUNTIF(H:H, "&lt;=21.5")</f>
        <v>34</v>
      </c>
    </row>
    <row r="15">
      <c r="A15" s="108"/>
      <c r="B15" s="77"/>
      <c r="C15" s="77"/>
      <c r="D15" s="77"/>
      <c r="E15" s="96" t="s">
        <v>400</v>
      </c>
      <c r="F15" s="96" t="s">
        <v>401</v>
      </c>
      <c r="G15" s="96" t="s">
        <v>402</v>
      </c>
      <c r="H15" s="97"/>
      <c r="I15" s="96">
        <v>17.83</v>
      </c>
      <c r="J15" s="97"/>
      <c r="K15" s="119">
        <v>19.54</v>
      </c>
      <c r="L15" s="96" t="s">
        <v>367</v>
      </c>
      <c r="M15" s="95" t="s">
        <v>403</v>
      </c>
      <c r="N15" s="100" t="s">
        <v>404</v>
      </c>
      <c r="O15" s="120"/>
      <c r="P15" s="64"/>
      <c r="Q15" s="64"/>
      <c r="R15" s="121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122"/>
      <c r="AE15" s="122"/>
      <c r="AF15" s="122"/>
      <c r="AG15" s="122"/>
      <c r="AH15" s="122"/>
      <c r="AI15" s="122"/>
    </row>
    <row r="16">
      <c r="K16" s="63"/>
      <c r="M16" s="64"/>
      <c r="N16" s="64"/>
      <c r="O16" s="84"/>
      <c r="R16" s="1"/>
      <c r="S16" s="1"/>
    </row>
    <row r="17">
      <c r="A17" s="93" t="s">
        <v>45</v>
      </c>
      <c r="B17" s="75" t="s">
        <v>49</v>
      </c>
      <c r="C17" s="75" t="s">
        <v>50</v>
      </c>
      <c r="D17" s="74">
        <v>51.26</v>
      </c>
      <c r="E17" s="108"/>
      <c r="F17" s="77"/>
      <c r="G17" s="77"/>
      <c r="H17" s="77"/>
      <c r="I17" s="77"/>
      <c r="J17" s="77"/>
      <c r="K17" s="91"/>
      <c r="L17" s="77"/>
      <c r="M17" s="92"/>
      <c r="N17" s="92"/>
      <c r="O17" s="84"/>
      <c r="R17" s="3"/>
    </row>
    <row r="18">
      <c r="A18" s="66"/>
      <c r="E18" s="66"/>
      <c r="K18" s="63"/>
      <c r="M18" s="64"/>
      <c r="N18" s="64"/>
      <c r="O18" s="84"/>
      <c r="Q18" s="64"/>
      <c r="R18" s="121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122"/>
      <c r="AE18" s="122"/>
      <c r="AF18" s="122"/>
      <c r="AG18" s="122"/>
      <c r="AH18" s="122"/>
      <c r="AI18" s="122"/>
    </row>
    <row r="19">
      <c r="A19" s="93" t="s">
        <v>51</v>
      </c>
      <c r="B19" s="75" t="s">
        <v>54</v>
      </c>
      <c r="C19" s="75" t="s">
        <v>55</v>
      </c>
      <c r="D19" s="74">
        <v>59.33</v>
      </c>
      <c r="E19" s="109" t="s">
        <v>405</v>
      </c>
      <c r="F19" s="111" t="s">
        <v>406</v>
      </c>
      <c r="G19" s="111"/>
      <c r="H19" s="112">
        <v>19.69</v>
      </c>
      <c r="I19" s="112">
        <v>19.8</v>
      </c>
      <c r="J19" s="113">
        <v>20.67</v>
      </c>
      <c r="K19" s="113">
        <v>20.4</v>
      </c>
      <c r="L19" s="113">
        <v>17.0</v>
      </c>
      <c r="M19" s="115" t="s">
        <v>407</v>
      </c>
      <c r="N19" s="123" t="s">
        <v>408</v>
      </c>
      <c r="O19" s="120"/>
      <c r="P19" s="64"/>
      <c r="Q19" s="64"/>
      <c r="R19" s="121"/>
      <c r="S19" s="121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122"/>
      <c r="AE19" s="122"/>
      <c r="AF19" s="122"/>
      <c r="AG19" s="122"/>
      <c r="AH19" s="122"/>
      <c r="AI19" s="122"/>
    </row>
    <row r="20">
      <c r="A20" s="108"/>
      <c r="B20" s="77"/>
      <c r="C20" s="77"/>
      <c r="D20" s="92"/>
      <c r="E20" s="109" t="s">
        <v>409</v>
      </c>
      <c r="F20" s="111" t="s">
        <v>410</v>
      </c>
      <c r="G20" s="111"/>
      <c r="H20" s="113">
        <v>20.5</v>
      </c>
      <c r="I20" s="112">
        <v>20.42</v>
      </c>
      <c r="J20" s="113">
        <v>20.9</v>
      </c>
      <c r="K20" s="118"/>
      <c r="L20" s="113">
        <v>5.0</v>
      </c>
      <c r="M20" s="115" t="s">
        <v>411</v>
      </c>
      <c r="N20" s="111" t="s">
        <v>412</v>
      </c>
      <c r="O20" s="71">
        <v>2020.0</v>
      </c>
      <c r="Q20" s="64"/>
      <c r="R20" s="121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122"/>
      <c r="AE20" s="122"/>
      <c r="AF20" s="122"/>
      <c r="AG20" s="122"/>
      <c r="AH20" s="122"/>
      <c r="AI20" s="122"/>
    </row>
    <row r="21">
      <c r="A21" s="108"/>
      <c r="B21" s="74"/>
      <c r="C21" s="77"/>
      <c r="D21" s="92"/>
      <c r="E21" s="124" t="s">
        <v>413</v>
      </c>
      <c r="F21" s="125" t="s">
        <v>414</v>
      </c>
      <c r="G21" s="111"/>
      <c r="H21" s="117"/>
      <c r="I21" s="112">
        <v>20.56</v>
      </c>
      <c r="J21" s="117"/>
      <c r="K21" s="113">
        <v>20.7</v>
      </c>
      <c r="L21" s="113">
        <v>3.0</v>
      </c>
      <c r="M21" s="115" t="s">
        <v>415</v>
      </c>
      <c r="N21" s="111" t="s">
        <v>416</v>
      </c>
      <c r="O21" s="71" t="s">
        <v>368</v>
      </c>
      <c r="P21" s="126">
        <f>COUNTIF(H17:H65, "&gt;0")</f>
        <v>24</v>
      </c>
      <c r="R21" s="29" t="s">
        <v>369</v>
      </c>
      <c r="T21" s="4"/>
      <c r="U21" s="4"/>
      <c r="V21" s="4"/>
      <c r="W21" s="4"/>
      <c r="X21" s="82" t="s">
        <v>370</v>
      </c>
    </row>
    <row r="22">
      <c r="A22" s="108"/>
      <c r="B22" s="77"/>
      <c r="C22" s="74"/>
      <c r="D22" s="127"/>
      <c r="E22" s="109" t="s">
        <v>417</v>
      </c>
      <c r="F22" s="111" t="s">
        <v>418</v>
      </c>
      <c r="G22" s="111"/>
      <c r="H22" s="117"/>
      <c r="I22" s="112">
        <v>20.54</v>
      </c>
      <c r="J22" s="117"/>
      <c r="K22" s="113">
        <v>20.54</v>
      </c>
      <c r="L22" s="113">
        <v>1.0</v>
      </c>
      <c r="M22" s="115" t="s">
        <v>419</v>
      </c>
      <c r="N22" s="111" t="s">
        <v>420</v>
      </c>
      <c r="O22" s="128" t="s">
        <v>421</v>
      </c>
      <c r="P22" s="4">
        <f>MEDIAN(H17:H65)</f>
        <v>20.53</v>
      </c>
      <c r="R22" s="1" t="s">
        <v>374</v>
      </c>
      <c r="S22" s="1" t="s">
        <v>375</v>
      </c>
      <c r="T22" s="4"/>
      <c r="U22" s="4"/>
      <c r="V22" s="4"/>
      <c r="W22" s="4"/>
      <c r="X22" s="83" t="s">
        <v>374</v>
      </c>
      <c r="Y22" s="1" t="s">
        <v>375</v>
      </c>
    </row>
    <row r="23">
      <c r="A23" s="108"/>
      <c r="B23" s="77"/>
      <c r="C23" s="77"/>
      <c r="D23" s="77"/>
      <c r="E23" s="113" t="s">
        <v>422</v>
      </c>
      <c r="F23" s="113" t="s">
        <v>423</v>
      </c>
      <c r="G23" s="113"/>
      <c r="H23" s="117"/>
      <c r="I23" s="113">
        <v>21.25</v>
      </c>
      <c r="J23" s="117"/>
      <c r="K23" s="118">
        <v>21.25</v>
      </c>
      <c r="L23" s="113">
        <v>2.0</v>
      </c>
      <c r="M23" s="129" t="s">
        <v>424</v>
      </c>
      <c r="N23" s="113" t="s">
        <v>425</v>
      </c>
      <c r="O23" s="84"/>
      <c r="R23" s="12">
        <v>18.0</v>
      </c>
      <c r="S23" s="6">
        <f>COUNTIF(H17:H65, "&lt;=18")</f>
        <v>0</v>
      </c>
      <c r="X23" s="3">
        <f t="shared" ref="X23:X29" si="3">(R24+R23)/2</f>
        <v>18.25</v>
      </c>
      <c r="Y23" s="6">
        <f t="shared" ref="Y23:Y29" si="4">S24-S23</f>
        <v>1</v>
      </c>
    </row>
    <row r="24">
      <c r="O24" s="84"/>
      <c r="R24" s="12">
        <v>18.5</v>
      </c>
      <c r="S24" s="6">
        <f>COUNTIF(H17:H65, "&lt;=18.5")</f>
        <v>1</v>
      </c>
      <c r="X24" s="3">
        <f t="shared" si="3"/>
        <v>18.75</v>
      </c>
      <c r="Y24" s="6">
        <f t="shared" si="4"/>
        <v>1</v>
      </c>
    </row>
    <row r="25">
      <c r="A25" s="93" t="s">
        <v>56</v>
      </c>
      <c r="B25" s="75" t="s">
        <v>60</v>
      </c>
      <c r="C25" s="75" t="s">
        <v>61</v>
      </c>
      <c r="D25" s="74">
        <v>23.7</v>
      </c>
      <c r="E25" s="130" t="s">
        <v>426</v>
      </c>
      <c r="F25" s="130" t="s">
        <v>427</v>
      </c>
      <c r="G25" s="117"/>
      <c r="H25" s="113">
        <v>19.7</v>
      </c>
      <c r="I25" s="113">
        <v>19.63</v>
      </c>
      <c r="J25" s="117"/>
      <c r="K25" s="113">
        <v>20.7</v>
      </c>
      <c r="L25" s="113">
        <v>8.0</v>
      </c>
      <c r="M25" s="115" t="s">
        <v>428</v>
      </c>
      <c r="N25" s="111" t="s">
        <v>429</v>
      </c>
      <c r="O25" s="131"/>
      <c r="P25" s="4"/>
      <c r="Q25" s="4"/>
      <c r="R25" s="12">
        <v>19.0</v>
      </c>
      <c r="S25" s="6">
        <f>COUNTIF(H17:H65, "&lt;=19")</f>
        <v>2</v>
      </c>
      <c r="X25" s="3">
        <f t="shared" si="3"/>
        <v>19.25</v>
      </c>
      <c r="Y25" s="4">
        <f t="shared" si="4"/>
        <v>1</v>
      </c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>
      <c r="A26" s="108"/>
      <c r="B26" s="77"/>
      <c r="C26" s="132" t="s">
        <v>62</v>
      </c>
      <c r="D26" s="77"/>
      <c r="E26" s="130" t="s">
        <v>430</v>
      </c>
      <c r="F26" s="130" t="s">
        <v>431</v>
      </c>
      <c r="G26" s="117"/>
      <c r="H26" s="113">
        <v>21.25</v>
      </c>
      <c r="I26" s="113"/>
      <c r="J26" s="113">
        <v>20.6</v>
      </c>
      <c r="K26" s="117"/>
      <c r="L26" s="113">
        <v>2.0</v>
      </c>
      <c r="M26" s="115" t="s">
        <v>432</v>
      </c>
      <c r="N26" s="111" t="s">
        <v>433</v>
      </c>
      <c r="O26" s="84"/>
      <c r="R26" s="12">
        <v>19.5</v>
      </c>
      <c r="S26" s="6">
        <f>COUNTIF(H17:H65, "&lt;=19.5")</f>
        <v>3</v>
      </c>
      <c r="X26" s="3">
        <f t="shared" si="3"/>
        <v>19.75</v>
      </c>
      <c r="Y26" s="6">
        <f t="shared" si="4"/>
        <v>4</v>
      </c>
    </row>
    <row r="27">
      <c r="A27" s="66"/>
      <c r="E27" s="66"/>
      <c r="K27" s="63"/>
      <c r="M27" s="64"/>
      <c r="N27" s="64"/>
      <c r="O27" s="120"/>
      <c r="P27" s="64"/>
      <c r="Q27" s="64"/>
      <c r="R27" s="12">
        <v>20.0</v>
      </c>
      <c r="S27" s="6">
        <f>COUNTIF(H17:H65, "&lt;=20")</f>
        <v>7</v>
      </c>
      <c r="X27" s="3">
        <f t="shared" si="3"/>
        <v>20.25</v>
      </c>
      <c r="Y27" s="6">
        <f t="shared" si="4"/>
        <v>5</v>
      </c>
      <c r="Z27" s="64"/>
      <c r="AA27" s="64"/>
      <c r="AB27" s="64"/>
      <c r="AC27" s="64"/>
      <c r="AD27" s="64"/>
      <c r="AE27" s="64"/>
      <c r="AF27" s="64"/>
      <c r="AG27" s="64"/>
      <c r="AH27" s="64"/>
      <c r="AI27" s="64"/>
    </row>
    <row r="28">
      <c r="A28" s="93" t="s">
        <v>63</v>
      </c>
      <c r="B28" s="75" t="s">
        <v>66</v>
      </c>
      <c r="C28" s="75" t="s">
        <v>67</v>
      </c>
      <c r="D28" s="133">
        <v>-3.36</v>
      </c>
      <c r="E28" s="108"/>
      <c r="F28" s="77"/>
      <c r="G28" s="77"/>
      <c r="H28" s="77"/>
      <c r="I28" s="77"/>
      <c r="J28" s="77"/>
      <c r="K28" s="91"/>
      <c r="L28" s="77"/>
      <c r="M28" s="92"/>
      <c r="N28" s="92"/>
      <c r="O28" s="120"/>
      <c r="P28" s="64"/>
      <c r="Q28" s="64"/>
      <c r="R28" s="12">
        <v>20.5</v>
      </c>
      <c r="S28" s="6">
        <f>COUNTIF(H17:H65, "&lt;=20.5")</f>
        <v>12</v>
      </c>
      <c r="X28" s="3">
        <f t="shared" si="3"/>
        <v>20.75</v>
      </c>
      <c r="Y28" s="6">
        <f t="shared" si="4"/>
        <v>8</v>
      </c>
      <c r="Z28" s="64"/>
      <c r="AA28" s="64"/>
      <c r="AB28" s="64"/>
      <c r="AC28" s="64"/>
      <c r="AD28" s="64"/>
      <c r="AE28" s="64"/>
      <c r="AF28" s="64"/>
      <c r="AG28" s="64"/>
      <c r="AH28" s="64"/>
      <c r="AI28" s="64"/>
    </row>
    <row r="29">
      <c r="A29" s="66"/>
      <c r="E29" s="66"/>
      <c r="K29" s="63"/>
      <c r="M29" s="64"/>
      <c r="N29" s="64"/>
      <c r="O29" s="120"/>
      <c r="P29" s="64"/>
      <c r="Q29" s="64"/>
      <c r="R29" s="12">
        <v>21.0</v>
      </c>
      <c r="S29" s="6">
        <f>COUNTIF(H17:H65, "&lt;=21")</f>
        <v>20</v>
      </c>
      <c r="X29" s="3">
        <f t="shared" si="3"/>
        <v>21.25</v>
      </c>
      <c r="Y29" s="6">
        <f t="shared" si="4"/>
        <v>4</v>
      </c>
      <c r="Z29" s="64"/>
      <c r="AA29" s="64"/>
      <c r="AB29" s="64"/>
      <c r="AC29" s="64"/>
      <c r="AD29" s="64"/>
      <c r="AE29" s="64"/>
      <c r="AF29" s="64"/>
      <c r="AG29" s="64"/>
      <c r="AH29" s="64"/>
      <c r="AI29" s="64"/>
    </row>
    <row r="30">
      <c r="A30" s="93" t="s">
        <v>68</v>
      </c>
      <c r="B30" s="75" t="s">
        <v>71</v>
      </c>
      <c r="C30" s="132" t="s">
        <v>72</v>
      </c>
      <c r="D30" s="74">
        <v>34.86</v>
      </c>
      <c r="E30" s="134" t="s">
        <v>434</v>
      </c>
      <c r="F30" s="135" t="s">
        <v>435</v>
      </c>
      <c r="G30" s="135" t="s">
        <v>436</v>
      </c>
      <c r="H30" s="136">
        <v>18.1</v>
      </c>
      <c r="I30" s="25">
        <v>18.1</v>
      </c>
      <c r="J30" s="25"/>
      <c r="K30" s="137">
        <v>19.12</v>
      </c>
      <c r="L30" s="25" t="s">
        <v>367</v>
      </c>
      <c r="M30" s="138" t="s">
        <v>437</v>
      </c>
      <c r="N30" s="139" t="s">
        <v>438</v>
      </c>
      <c r="O30" s="131"/>
      <c r="P30" s="4"/>
      <c r="Q30" s="4"/>
      <c r="R30" s="12">
        <v>21.5</v>
      </c>
      <c r="S30" s="6">
        <f>COUNTIF(H17:H65, "&lt;=21.5")</f>
        <v>24</v>
      </c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>
      <c r="A31" s="108"/>
      <c r="B31" s="77"/>
      <c r="C31" s="75" t="s">
        <v>73</v>
      </c>
      <c r="D31" s="92"/>
      <c r="E31" s="140" t="s">
        <v>439</v>
      </c>
      <c r="F31" s="141" t="s">
        <v>440</v>
      </c>
      <c r="G31" s="141" t="s">
        <v>441</v>
      </c>
      <c r="H31" s="133">
        <v>18.8</v>
      </c>
      <c r="I31" s="142">
        <v>18.97</v>
      </c>
      <c r="J31" s="133">
        <v>19.6</v>
      </c>
      <c r="K31" s="143">
        <v>20.0</v>
      </c>
      <c r="L31" s="133" t="s">
        <v>367</v>
      </c>
      <c r="M31" s="144" t="s">
        <v>442</v>
      </c>
      <c r="N31" s="145" t="s">
        <v>443</v>
      </c>
      <c r="O31" s="84"/>
      <c r="R31" s="3"/>
    </row>
    <row r="32">
      <c r="A32" s="108"/>
      <c r="B32" s="77"/>
      <c r="C32" s="75" t="s">
        <v>74</v>
      </c>
      <c r="D32" s="127"/>
      <c r="E32" s="146" t="s">
        <v>444</v>
      </c>
      <c r="F32" s="135" t="s">
        <v>445</v>
      </c>
      <c r="G32" s="135" t="s">
        <v>446</v>
      </c>
      <c r="H32" s="25">
        <v>19.7</v>
      </c>
      <c r="I32" s="136">
        <v>18.97</v>
      </c>
      <c r="J32" s="25">
        <v>20.2</v>
      </c>
      <c r="K32" s="137">
        <v>20.2</v>
      </c>
      <c r="L32" s="25">
        <v>4.0</v>
      </c>
      <c r="M32" s="138" t="s">
        <v>447</v>
      </c>
      <c r="N32" s="139" t="s">
        <v>448</v>
      </c>
      <c r="O32" s="84"/>
      <c r="R32" s="3"/>
    </row>
    <row r="33">
      <c r="A33" s="108"/>
      <c r="B33" s="77"/>
      <c r="C33" s="77"/>
      <c r="D33" s="77"/>
      <c r="E33" s="147" t="s">
        <v>449</v>
      </c>
      <c r="F33" s="148" t="s">
        <v>450</v>
      </c>
      <c r="G33" s="149"/>
      <c r="H33" s="150">
        <v>21.11</v>
      </c>
      <c r="I33" s="151"/>
      <c r="J33" s="152">
        <v>21.08</v>
      </c>
      <c r="K33" s="153"/>
      <c r="L33" s="152">
        <v>3.0</v>
      </c>
      <c r="M33" s="149"/>
      <c r="N33" s="154" t="s">
        <v>451</v>
      </c>
      <c r="O33" s="84"/>
    </row>
    <row r="34">
      <c r="A34" s="77"/>
      <c r="B34" s="77"/>
      <c r="C34" s="77"/>
      <c r="D34" s="77"/>
      <c r="E34" s="149" t="s">
        <v>452</v>
      </c>
      <c r="F34" s="149" t="s">
        <v>453</v>
      </c>
      <c r="G34" s="149" t="s">
        <v>454</v>
      </c>
      <c r="H34" s="150">
        <v>20.82</v>
      </c>
      <c r="I34" s="152">
        <v>21.06</v>
      </c>
      <c r="J34" s="152">
        <v>21.39</v>
      </c>
      <c r="K34" s="152">
        <v>21.06</v>
      </c>
      <c r="L34" s="152">
        <v>3.0</v>
      </c>
      <c r="M34" s="151"/>
      <c r="N34" s="154" t="s">
        <v>455</v>
      </c>
    </row>
    <row r="35">
      <c r="A35" s="77"/>
      <c r="B35" s="77"/>
      <c r="C35" s="77"/>
      <c r="D35" s="77"/>
      <c r="E35" s="147" t="s">
        <v>456</v>
      </c>
      <c r="F35" s="148" t="s">
        <v>457</v>
      </c>
      <c r="G35" s="149" t="s">
        <v>458</v>
      </c>
      <c r="H35" s="150">
        <v>20.75</v>
      </c>
      <c r="I35" s="152">
        <v>20.69</v>
      </c>
      <c r="J35" s="152">
        <v>20.87</v>
      </c>
      <c r="K35" s="152">
        <v>20.69</v>
      </c>
      <c r="L35" s="152">
        <v>4.0</v>
      </c>
      <c r="M35" s="151"/>
      <c r="N35" s="154" t="s">
        <v>459</v>
      </c>
      <c r="R35" s="29" t="s">
        <v>369</v>
      </c>
    </row>
    <row r="36">
      <c r="A36" s="77"/>
      <c r="B36" s="77"/>
      <c r="C36" s="77"/>
      <c r="D36" s="77"/>
      <c r="E36" s="141" t="s">
        <v>460</v>
      </c>
      <c r="F36" s="141" t="s">
        <v>461</v>
      </c>
      <c r="G36" s="141"/>
      <c r="H36" s="142">
        <v>20.99</v>
      </c>
      <c r="I36" s="133">
        <v>20.97</v>
      </c>
      <c r="J36" s="133">
        <v>20.03</v>
      </c>
      <c r="K36" s="133">
        <v>20.97</v>
      </c>
      <c r="L36" s="133">
        <v>5.0</v>
      </c>
      <c r="M36" s="155"/>
      <c r="N36" s="156" t="s">
        <v>462</v>
      </c>
      <c r="O36" s="77"/>
      <c r="P36" s="77"/>
      <c r="Q36" s="4"/>
      <c r="R36" s="83" t="s">
        <v>463</v>
      </c>
      <c r="S36" s="83" t="s">
        <v>464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77"/>
      <c r="AH36" s="77"/>
      <c r="AI36" s="77"/>
    </row>
    <row r="37">
      <c r="A37" s="77"/>
      <c r="B37" s="77"/>
      <c r="C37" s="77"/>
      <c r="D37" s="77"/>
      <c r="E37" s="149" t="s">
        <v>465</v>
      </c>
      <c r="F37" s="149" t="s">
        <v>466</v>
      </c>
      <c r="G37" s="149"/>
      <c r="H37" s="150">
        <v>21.04</v>
      </c>
      <c r="I37" s="151"/>
      <c r="J37" s="152">
        <v>21.36</v>
      </c>
      <c r="K37" s="151"/>
      <c r="L37" s="152">
        <v>4.0</v>
      </c>
      <c r="M37" s="151"/>
      <c r="N37" s="154" t="s">
        <v>467</v>
      </c>
      <c r="Q37" s="4"/>
      <c r="R37" s="3">
        <v>18.0</v>
      </c>
      <c r="S37" s="6">
        <f>COUNTIF($J$17:$J$45, "&lt;=18")</f>
        <v>0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77"/>
      <c r="B38" s="77"/>
      <c r="C38" s="77"/>
      <c r="D38" s="77"/>
      <c r="E38" s="149" t="s">
        <v>468</v>
      </c>
      <c r="F38" s="149" t="s">
        <v>469</v>
      </c>
      <c r="G38" s="149" t="s">
        <v>470</v>
      </c>
      <c r="H38" s="150">
        <v>20.66</v>
      </c>
      <c r="I38" s="152">
        <v>20.02</v>
      </c>
      <c r="J38" s="152">
        <v>20.13</v>
      </c>
      <c r="K38" s="151"/>
      <c r="L38" s="152">
        <v>6.0</v>
      </c>
      <c r="M38" s="151"/>
      <c r="N38" s="154" t="s">
        <v>471</v>
      </c>
      <c r="O38" s="77"/>
      <c r="P38" s="77"/>
      <c r="Q38" s="4"/>
      <c r="R38" s="4">
        <f t="shared" ref="R38:R44" si="5">R37+0.5</f>
        <v>18.5</v>
      </c>
      <c r="S38" s="6">
        <f>COUNTIF($J$17:$J$45, "&lt;=18.5")</f>
        <v>0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77"/>
      <c r="AH38" s="77"/>
      <c r="AI38" s="77"/>
    </row>
    <row r="39">
      <c r="A39" s="77"/>
      <c r="B39" s="77"/>
      <c r="C39" s="77"/>
      <c r="D39" s="77"/>
      <c r="E39" s="149" t="s">
        <v>472</v>
      </c>
      <c r="F39" s="149" t="s">
        <v>473</v>
      </c>
      <c r="G39" s="149" t="s">
        <v>474</v>
      </c>
      <c r="H39" s="150">
        <v>20.25</v>
      </c>
      <c r="I39" s="152">
        <v>20.12</v>
      </c>
      <c r="J39" s="151"/>
      <c r="K39" s="152">
        <v>21.58</v>
      </c>
      <c r="L39" s="152">
        <v>11.0</v>
      </c>
      <c r="M39" s="151"/>
      <c r="N39" s="154" t="s">
        <v>475</v>
      </c>
      <c r="Q39" s="4"/>
      <c r="R39" s="4">
        <f t="shared" si="5"/>
        <v>19</v>
      </c>
      <c r="S39" s="6">
        <f>COUNTIF($J$17:$J$45, "&lt;=19")</f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77"/>
      <c r="B40" s="77"/>
      <c r="C40" s="77"/>
      <c r="D40" s="77"/>
      <c r="E40" s="149" t="s">
        <v>476</v>
      </c>
      <c r="F40" s="149" t="s">
        <v>477</v>
      </c>
      <c r="G40" s="149" t="s">
        <v>478</v>
      </c>
      <c r="H40" s="150">
        <v>20.64</v>
      </c>
      <c r="I40" s="152">
        <v>20.35</v>
      </c>
      <c r="J40" s="151"/>
      <c r="K40" s="152">
        <v>20.56</v>
      </c>
      <c r="L40" s="152">
        <v>20.0</v>
      </c>
      <c r="M40" s="151"/>
      <c r="N40" s="149" t="s">
        <v>479</v>
      </c>
      <c r="O40" s="77"/>
      <c r="P40" s="77"/>
      <c r="Q40" s="4"/>
      <c r="R40" s="4">
        <f t="shared" si="5"/>
        <v>19.5</v>
      </c>
      <c r="S40" s="6">
        <f>COUNTIF($J$17:$J$45, "&lt;=19.5")</f>
        <v>0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77"/>
      <c r="AH40" s="77"/>
      <c r="AI40" s="77"/>
    </row>
    <row r="41">
      <c r="A41" s="77"/>
      <c r="B41" s="77"/>
      <c r="C41" s="77"/>
      <c r="D41" s="77"/>
      <c r="E41" s="149" t="s">
        <v>480</v>
      </c>
      <c r="F41" s="149" t="s">
        <v>481</v>
      </c>
      <c r="G41" s="149"/>
      <c r="H41" s="150">
        <v>21.36</v>
      </c>
      <c r="I41" s="151"/>
      <c r="J41" s="152">
        <v>21.36</v>
      </c>
      <c r="K41" s="152"/>
      <c r="L41" s="152">
        <v>2.0</v>
      </c>
      <c r="M41" s="151"/>
      <c r="N41" s="154" t="s">
        <v>482</v>
      </c>
      <c r="Q41" s="4"/>
      <c r="R41" s="4">
        <f t="shared" si="5"/>
        <v>20</v>
      </c>
      <c r="S41" s="6">
        <f>COUNTIF($J$17:$J$45, "&lt;=20")</f>
        <v>1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77"/>
      <c r="B42" s="77"/>
      <c r="C42" s="77"/>
      <c r="D42" s="77"/>
      <c r="E42" s="149" t="s">
        <v>483</v>
      </c>
      <c r="F42" s="149" t="s">
        <v>484</v>
      </c>
      <c r="G42" s="149"/>
      <c r="H42" s="150">
        <v>20.89</v>
      </c>
      <c r="I42" s="151"/>
      <c r="J42" s="152">
        <v>20.89</v>
      </c>
      <c r="K42" s="151"/>
      <c r="L42" s="152">
        <v>2.0</v>
      </c>
      <c r="M42" s="151"/>
      <c r="N42" s="154" t="s">
        <v>482</v>
      </c>
      <c r="O42" s="157"/>
      <c r="P42" s="157"/>
      <c r="Q42" s="4"/>
      <c r="R42" s="4">
        <f t="shared" si="5"/>
        <v>20.5</v>
      </c>
      <c r="S42" s="6">
        <f>COUNTIF($J$17:$J$45, "&lt;=20.5")</f>
        <v>4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157"/>
      <c r="AH42" s="157"/>
      <c r="AI42" s="157"/>
    </row>
    <row r="43">
      <c r="A43" s="77"/>
      <c r="B43" s="77"/>
      <c r="C43" s="77"/>
      <c r="D43" s="77"/>
      <c r="E43" s="149" t="s">
        <v>485</v>
      </c>
      <c r="F43" s="149" t="s">
        <v>486</v>
      </c>
      <c r="G43" s="149" t="s">
        <v>474</v>
      </c>
      <c r="H43" s="150">
        <v>20.74</v>
      </c>
      <c r="I43" s="152">
        <v>20.86</v>
      </c>
      <c r="J43" s="152">
        <v>20.74</v>
      </c>
      <c r="K43" s="152">
        <v>20.8</v>
      </c>
      <c r="L43" s="152">
        <v>4.0</v>
      </c>
      <c r="M43" s="151"/>
      <c r="N43" s="154" t="s">
        <v>487</v>
      </c>
      <c r="Q43" s="4"/>
      <c r="R43" s="4">
        <f t="shared" si="5"/>
        <v>21</v>
      </c>
      <c r="S43" s="6">
        <f>COUNTIF($J$17:$J$45, "&lt;=21")</f>
        <v>10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77"/>
      <c r="B44" s="77"/>
      <c r="C44" s="77"/>
      <c r="D44" s="77"/>
      <c r="E44" s="149" t="s">
        <v>488</v>
      </c>
      <c r="F44" s="149" t="s">
        <v>489</v>
      </c>
      <c r="G44" s="149"/>
      <c r="H44" s="149"/>
      <c r="I44" s="152">
        <v>20.87</v>
      </c>
      <c r="J44" s="151"/>
      <c r="K44" s="152">
        <v>21.39</v>
      </c>
      <c r="L44" s="152">
        <v>2.0</v>
      </c>
      <c r="M44" s="151"/>
      <c r="N44" s="154" t="s">
        <v>490</v>
      </c>
      <c r="O44" s="77"/>
      <c r="P44" s="77"/>
      <c r="Q44" s="4"/>
      <c r="R44" s="4">
        <f t="shared" si="5"/>
        <v>21.5</v>
      </c>
      <c r="S44" s="6">
        <f>COUNTIF($J$17:$J$45, "&lt;=21.5")</f>
        <v>14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77"/>
      <c r="AH44" s="77"/>
      <c r="AI44" s="77"/>
    </row>
    <row r="45"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93" t="s">
        <v>75</v>
      </c>
      <c r="B46" s="75" t="s">
        <v>78</v>
      </c>
      <c r="C46" s="75" t="s">
        <v>79</v>
      </c>
      <c r="D46" s="74">
        <v>57.43</v>
      </c>
      <c r="E46" s="158" t="s">
        <v>491</v>
      </c>
      <c r="F46" s="25" t="s">
        <v>492</v>
      </c>
      <c r="G46" s="25"/>
      <c r="H46" s="25">
        <v>20.35</v>
      </c>
      <c r="I46" s="25">
        <v>20.2</v>
      </c>
      <c r="J46" s="25">
        <v>20.6</v>
      </c>
      <c r="K46" s="137">
        <v>20.81</v>
      </c>
      <c r="L46" s="25">
        <v>11.0</v>
      </c>
      <c r="M46" s="138" t="s">
        <v>493</v>
      </c>
      <c r="N46" s="135" t="s">
        <v>494</v>
      </c>
      <c r="O46" s="77"/>
      <c r="P46" s="77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77"/>
      <c r="AH46" s="77"/>
      <c r="AI46" s="77"/>
    </row>
    <row r="47">
      <c r="A47" s="108"/>
      <c r="B47" s="77"/>
      <c r="C47" s="77"/>
      <c r="D47" s="77"/>
      <c r="E47" s="159" t="s">
        <v>495</v>
      </c>
      <c r="F47" s="133" t="s">
        <v>496</v>
      </c>
      <c r="G47" s="133" t="s">
        <v>497</v>
      </c>
      <c r="H47" s="133">
        <v>20.2</v>
      </c>
      <c r="I47" s="133">
        <v>19.67</v>
      </c>
      <c r="J47" s="133">
        <v>20.46</v>
      </c>
      <c r="K47" s="143">
        <v>20.54</v>
      </c>
      <c r="L47" s="155"/>
      <c r="M47" s="141"/>
      <c r="N47" s="133" t="s">
        <v>498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P48" s="64"/>
      <c r="Q48" s="160"/>
      <c r="R48" s="122"/>
      <c r="S48" s="122"/>
      <c r="T48" s="122"/>
      <c r="U48" s="122"/>
      <c r="V48" s="122"/>
      <c r="W48" s="122"/>
      <c r="X48" s="122"/>
      <c r="Y48" s="4"/>
      <c r="Z48" s="4"/>
      <c r="AA48" s="4"/>
      <c r="AB48" s="4"/>
      <c r="AC48" s="4"/>
      <c r="AD48" s="4"/>
      <c r="AE48" s="4"/>
      <c r="AF48" s="4"/>
      <c r="AG48" s="77"/>
      <c r="AH48" s="77"/>
      <c r="AI48" s="77"/>
    </row>
    <row r="49">
      <c r="A49" s="93" t="s">
        <v>80</v>
      </c>
      <c r="B49" s="75" t="s">
        <v>83</v>
      </c>
      <c r="C49" s="75" t="s">
        <v>84</v>
      </c>
      <c r="D49" s="74">
        <v>12.53</v>
      </c>
      <c r="E49" s="161" t="s">
        <v>499</v>
      </c>
      <c r="F49" s="133" t="s">
        <v>500</v>
      </c>
      <c r="G49" s="133" t="s">
        <v>501</v>
      </c>
      <c r="H49" s="133">
        <v>19.36</v>
      </c>
      <c r="I49" s="133">
        <v>18.85</v>
      </c>
      <c r="J49" s="133">
        <v>19.53</v>
      </c>
      <c r="K49" s="143">
        <v>19.42</v>
      </c>
      <c r="L49" s="133">
        <v>7.0</v>
      </c>
      <c r="M49" s="144" t="s">
        <v>502</v>
      </c>
      <c r="N49" s="142" t="s">
        <v>503</v>
      </c>
      <c r="O49" s="126"/>
      <c r="Q49" s="82"/>
      <c r="S49" s="4"/>
      <c r="T49" s="4"/>
      <c r="U49" s="4"/>
      <c r="V49" s="4"/>
      <c r="W49" s="82"/>
      <c r="Y49" s="4"/>
      <c r="Z49" s="4"/>
      <c r="AA49" s="4"/>
      <c r="AB49" s="4"/>
      <c r="AC49" s="4"/>
      <c r="AD49" s="4"/>
      <c r="AE49" s="4"/>
      <c r="AF49" s="4"/>
    </row>
    <row r="50">
      <c r="A50" s="108"/>
      <c r="B50" s="77"/>
      <c r="C50" s="132" t="s">
        <v>85</v>
      </c>
      <c r="D50" s="77"/>
      <c r="E50" s="162" t="s">
        <v>504</v>
      </c>
      <c r="F50" s="163" t="s">
        <v>505</v>
      </c>
      <c r="G50" s="163" t="s">
        <v>433</v>
      </c>
      <c r="H50" s="163">
        <v>20.42</v>
      </c>
      <c r="I50" s="163">
        <v>20.41</v>
      </c>
      <c r="J50" s="163">
        <v>20.67</v>
      </c>
      <c r="K50" s="164">
        <v>20.41</v>
      </c>
      <c r="L50" s="163">
        <v>3.0</v>
      </c>
      <c r="M50" s="165" t="s">
        <v>506</v>
      </c>
      <c r="N50" s="166" t="s">
        <v>507</v>
      </c>
      <c r="O50" s="4"/>
      <c r="Q50" s="1"/>
      <c r="R50" s="1"/>
      <c r="S50" s="4"/>
      <c r="T50" s="4"/>
      <c r="U50" s="4"/>
      <c r="V50" s="4"/>
      <c r="W50" s="83"/>
      <c r="X50" s="1"/>
    </row>
    <row r="51">
      <c r="A51" s="108"/>
      <c r="B51" s="77"/>
      <c r="C51" s="77"/>
      <c r="D51" s="77"/>
      <c r="E51" s="159" t="s">
        <v>508</v>
      </c>
      <c r="F51" s="133" t="s">
        <v>509</v>
      </c>
      <c r="G51" s="133" t="s">
        <v>510</v>
      </c>
      <c r="H51" s="133">
        <v>19.78</v>
      </c>
      <c r="I51" s="133">
        <v>20.04</v>
      </c>
      <c r="J51" s="133">
        <v>20.24</v>
      </c>
      <c r="K51" s="143">
        <v>20.39</v>
      </c>
      <c r="L51" s="155"/>
      <c r="M51" s="141"/>
      <c r="N51" s="133" t="s">
        <v>511</v>
      </c>
      <c r="W51" s="3"/>
    </row>
    <row r="52">
      <c r="W52" s="3"/>
    </row>
    <row r="53">
      <c r="A53" s="93" t="s">
        <v>86</v>
      </c>
      <c r="B53" s="75" t="s">
        <v>89</v>
      </c>
      <c r="C53" s="132" t="s">
        <v>90</v>
      </c>
      <c r="D53" s="133">
        <v>-7.66</v>
      </c>
      <c r="E53" s="167"/>
      <c r="F53" s="77"/>
      <c r="G53" s="77"/>
      <c r="H53" s="77"/>
      <c r="I53" s="77"/>
      <c r="J53" s="77"/>
      <c r="K53" s="91"/>
      <c r="L53" s="77"/>
      <c r="M53" s="92"/>
      <c r="N53" s="168"/>
      <c r="O53" s="4"/>
      <c r="P53" s="4"/>
      <c r="W53" s="3"/>
      <c r="X53" s="4"/>
    </row>
    <row r="54">
      <c r="A54" s="62"/>
      <c r="B54" s="169"/>
      <c r="C54" s="157"/>
      <c r="E54" s="170"/>
      <c r="F54" s="157"/>
      <c r="G54" s="157"/>
      <c r="H54" s="157"/>
      <c r="K54" s="63"/>
      <c r="M54" s="64"/>
      <c r="N54" s="65"/>
      <c r="W54" s="3"/>
    </row>
    <row r="55">
      <c r="A55" s="93" t="s">
        <v>91</v>
      </c>
      <c r="B55" s="75" t="s">
        <v>94</v>
      </c>
      <c r="C55" s="75" t="s">
        <v>95</v>
      </c>
      <c r="D55" s="74">
        <v>-53.75</v>
      </c>
      <c r="E55" s="167"/>
      <c r="F55" s="74"/>
      <c r="G55" s="77"/>
      <c r="H55" s="77"/>
      <c r="I55" s="77"/>
      <c r="J55" s="77"/>
      <c r="K55" s="91"/>
      <c r="L55" s="77"/>
      <c r="M55" s="92"/>
      <c r="N55" s="168"/>
      <c r="O55" s="64"/>
      <c r="P55" s="64"/>
      <c r="W55" s="3"/>
    </row>
    <row r="56">
      <c r="A56" s="62"/>
      <c r="B56" s="169"/>
      <c r="C56" s="157"/>
      <c r="E56" s="170"/>
      <c r="F56" s="157"/>
      <c r="G56" s="157"/>
      <c r="H56" s="157"/>
      <c r="K56" s="63"/>
      <c r="M56" s="64"/>
      <c r="N56" s="65"/>
      <c r="O56" s="64"/>
      <c r="P56" s="64"/>
      <c r="W56" s="3"/>
    </row>
    <row r="57">
      <c r="A57" s="93" t="s">
        <v>96</v>
      </c>
      <c r="B57" s="75" t="s">
        <v>99</v>
      </c>
      <c r="C57" s="75" t="s">
        <v>100</v>
      </c>
      <c r="D57" s="74">
        <v>18.16</v>
      </c>
      <c r="E57" s="108"/>
      <c r="F57" s="77"/>
      <c r="G57" s="77"/>
      <c r="H57" s="77"/>
      <c r="I57" s="77"/>
      <c r="J57" s="77"/>
      <c r="K57" s="91"/>
      <c r="L57" s="77"/>
      <c r="M57" s="92"/>
      <c r="N57" s="168"/>
      <c r="O57" s="64"/>
      <c r="P57" s="64"/>
      <c r="W57" s="3"/>
    </row>
    <row r="58">
      <c r="A58" s="62"/>
      <c r="B58" s="169"/>
      <c r="C58" s="157"/>
      <c r="E58" s="170"/>
      <c r="F58" s="157"/>
      <c r="G58" s="157"/>
      <c r="H58" s="157"/>
      <c r="K58" s="63"/>
      <c r="M58" s="64"/>
      <c r="N58" s="65"/>
    </row>
    <row r="59">
      <c r="A59" s="93" t="s">
        <v>101</v>
      </c>
      <c r="B59" s="75" t="s">
        <v>104</v>
      </c>
      <c r="C59" s="75" t="s">
        <v>105</v>
      </c>
      <c r="D59" s="171">
        <v>25.96</v>
      </c>
      <c r="E59" s="172" t="s">
        <v>512</v>
      </c>
      <c r="F59" s="25" t="s">
        <v>513</v>
      </c>
      <c r="G59" s="25"/>
      <c r="H59" s="25">
        <v>20.56</v>
      </c>
      <c r="I59" s="25"/>
      <c r="J59" s="25">
        <v>19.7</v>
      </c>
      <c r="K59" s="137"/>
      <c r="L59" s="25">
        <v>3.0</v>
      </c>
      <c r="M59" s="138" t="s">
        <v>514</v>
      </c>
      <c r="N59" s="173" t="s">
        <v>515</v>
      </c>
    </row>
    <row r="60">
      <c r="A60" s="62"/>
      <c r="B60" s="169"/>
      <c r="C60" s="157"/>
      <c r="E60" s="170"/>
      <c r="F60" s="157"/>
      <c r="G60" s="157"/>
      <c r="H60" s="157"/>
      <c r="K60" s="63"/>
      <c r="M60" s="64"/>
      <c r="N60" s="65"/>
    </row>
    <row r="61">
      <c r="A61" s="93" t="s">
        <v>106</v>
      </c>
      <c r="B61" s="132" t="s">
        <v>109</v>
      </c>
      <c r="C61" s="132" t="s">
        <v>110</v>
      </c>
      <c r="D61" s="171">
        <v>-67.62</v>
      </c>
      <c r="E61" s="108"/>
      <c r="F61" s="77"/>
      <c r="G61" s="77"/>
      <c r="H61" s="77"/>
      <c r="I61" s="77"/>
      <c r="J61" s="77"/>
      <c r="K61" s="91"/>
      <c r="L61" s="77"/>
      <c r="M61" s="92"/>
      <c r="N61" s="168"/>
    </row>
    <row r="62">
      <c r="A62" s="62"/>
      <c r="B62" s="157"/>
      <c r="C62" s="157"/>
      <c r="E62" s="170"/>
      <c r="F62" s="157"/>
      <c r="G62" s="157"/>
      <c r="H62" s="157"/>
      <c r="K62" s="63"/>
      <c r="M62" s="64"/>
      <c r="N62" s="65"/>
    </row>
    <row r="63">
      <c r="A63" s="93" t="s">
        <v>111</v>
      </c>
      <c r="B63" s="132" t="s">
        <v>114</v>
      </c>
      <c r="C63" s="132" t="s">
        <v>115</v>
      </c>
      <c r="D63" s="171">
        <v>-71.24</v>
      </c>
      <c r="E63" s="108"/>
      <c r="F63" s="77"/>
      <c r="G63" s="77"/>
      <c r="H63" s="77"/>
      <c r="I63" s="77"/>
      <c r="J63" s="77"/>
      <c r="K63" s="91"/>
      <c r="L63" s="77"/>
      <c r="M63" s="92"/>
      <c r="N63" s="168"/>
    </row>
    <row r="64">
      <c r="A64" s="62"/>
      <c r="B64" s="157"/>
      <c r="C64" s="157"/>
      <c r="E64" s="62"/>
      <c r="F64" s="157"/>
      <c r="G64" s="157"/>
      <c r="H64" s="157"/>
      <c r="K64" s="63"/>
      <c r="M64" s="64"/>
      <c r="N64" s="65"/>
    </row>
    <row r="65">
      <c r="A65" s="93" t="s">
        <v>116</v>
      </c>
      <c r="B65" s="75" t="s">
        <v>119</v>
      </c>
      <c r="C65" s="132" t="s">
        <v>120</v>
      </c>
      <c r="D65" s="74">
        <v>71.38</v>
      </c>
      <c r="E65" s="108"/>
      <c r="F65" s="77"/>
      <c r="G65" s="77"/>
      <c r="H65" s="77"/>
      <c r="I65" s="77"/>
      <c r="J65" s="77"/>
      <c r="K65" s="91"/>
      <c r="L65" s="77"/>
      <c r="M65" s="92"/>
      <c r="N65" s="168"/>
    </row>
    <row r="66">
      <c r="A66" s="62"/>
      <c r="B66" s="157"/>
      <c r="C66" s="157"/>
      <c r="E66" s="62"/>
      <c r="F66" s="157"/>
      <c r="G66" s="157"/>
      <c r="H66" s="157"/>
      <c r="K66" s="63"/>
      <c r="M66" s="64"/>
      <c r="N66" s="174"/>
    </row>
    <row r="67">
      <c r="A67" s="93" t="s">
        <v>121</v>
      </c>
      <c r="B67" s="75" t="s">
        <v>124</v>
      </c>
      <c r="C67" s="132" t="s">
        <v>125</v>
      </c>
      <c r="D67" s="74">
        <v>64.28</v>
      </c>
      <c r="E67" s="172" t="s">
        <v>516</v>
      </c>
      <c r="F67" s="175"/>
      <c r="G67" s="175"/>
      <c r="H67" s="25">
        <v>21.35</v>
      </c>
      <c r="I67" s="25">
        <v>20.88</v>
      </c>
      <c r="J67" s="176"/>
      <c r="K67" s="25">
        <v>21.0</v>
      </c>
      <c r="L67" s="25">
        <v>2.0</v>
      </c>
      <c r="M67" s="138" t="s">
        <v>517</v>
      </c>
      <c r="N67" s="177" t="s">
        <v>518</v>
      </c>
    </row>
    <row r="68">
      <c r="A68" s="108"/>
      <c r="B68" s="77"/>
      <c r="C68" s="77"/>
      <c r="D68" s="77"/>
      <c r="E68" s="172" t="s">
        <v>519</v>
      </c>
      <c r="F68" s="175"/>
      <c r="G68" s="175"/>
      <c r="H68" s="25">
        <v>21.91</v>
      </c>
      <c r="I68" s="25">
        <v>21.47</v>
      </c>
      <c r="J68" s="176"/>
      <c r="K68" s="25">
        <v>20.7</v>
      </c>
      <c r="L68" s="25">
        <v>1.0</v>
      </c>
      <c r="M68" s="138" t="s">
        <v>520</v>
      </c>
      <c r="N68" s="177" t="s">
        <v>518</v>
      </c>
    </row>
    <row r="69">
      <c r="A69" s="66"/>
      <c r="E69" s="62"/>
      <c r="K69" s="63"/>
      <c r="M69" s="64"/>
      <c r="N69" s="65"/>
    </row>
    <row r="70">
      <c r="A70" s="93" t="s">
        <v>318</v>
      </c>
      <c r="B70" s="75" t="s">
        <v>129</v>
      </c>
      <c r="C70" s="132" t="s">
        <v>130</v>
      </c>
      <c r="D70" s="74">
        <v>14.6</v>
      </c>
      <c r="E70" s="108"/>
      <c r="F70" s="77"/>
      <c r="G70" s="77"/>
      <c r="H70" s="77"/>
      <c r="I70" s="77"/>
      <c r="J70" s="77"/>
      <c r="K70" s="91"/>
      <c r="L70" s="77"/>
      <c r="M70" s="92"/>
      <c r="N70" s="168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</row>
    <row r="71">
      <c r="A71" s="178" t="s">
        <v>131</v>
      </c>
      <c r="B71" s="16" t="s">
        <v>134</v>
      </c>
      <c r="C71" s="17" t="s">
        <v>135</v>
      </c>
      <c r="D71" s="23">
        <v>-39.43</v>
      </c>
      <c r="E71" s="179" t="s">
        <v>521</v>
      </c>
      <c r="H71" s="12">
        <v>20.02</v>
      </c>
      <c r="I71" s="12">
        <v>20.32</v>
      </c>
      <c r="J71" s="12">
        <v>24.61</v>
      </c>
      <c r="K71" s="63"/>
      <c r="L71" s="12">
        <v>10.0</v>
      </c>
      <c r="M71" s="180" t="s">
        <v>522</v>
      </c>
      <c r="N71" s="181" t="s">
        <v>523</v>
      </c>
    </row>
    <row r="72">
      <c r="A72" s="178" t="s">
        <v>136</v>
      </c>
      <c r="B72" s="17" t="s">
        <v>139</v>
      </c>
      <c r="C72" s="17" t="s">
        <v>140</v>
      </c>
      <c r="D72" s="12">
        <v>21.28</v>
      </c>
      <c r="E72" s="182" t="s">
        <v>524</v>
      </c>
      <c r="F72" s="155"/>
      <c r="G72" s="133"/>
      <c r="H72" s="133">
        <v>20.2</v>
      </c>
      <c r="I72" s="133">
        <v>19.7</v>
      </c>
      <c r="J72" s="133">
        <v>20.4</v>
      </c>
      <c r="K72" s="143">
        <v>19.7</v>
      </c>
      <c r="L72" s="133" t="s">
        <v>367</v>
      </c>
      <c r="M72" s="183" t="s">
        <v>525</v>
      </c>
      <c r="N72" s="133" t="s">
        <v>526</v>
      </c>
    </row>
    <row r="73">
      <c r="A73" s="66"/>
      <c r="E73" s="133" t="s">
        <v>527</v>
      </c>
      <c r="F73" s="133"/>
      <c r="G73" s="133" t="s">
        <v>478</v>
      </c>
      <c r="H73" s="133">
        <v>20.8</v>
      </c>
      <c r="I73" s="133">
        <v>21.5</v>
      </c>
      <c r="J73" s="133">
        <v>21.7</v>
      </c>
      <c r="K73" s="143">
        <v>21.5</v>
      </c>
      <c r="L73" s="133">
        <v>3.0</v>
      </c>
      <c r="M73" s="183" t="s">
        <v>528</v>
      </c>
      <c r="N73" s="133" t="s">
        <v>526</v>
      </c>
    </row>
    <row r="74">
      <c r="A74" s="66"/>
      <c r="H74" s="62"/>
      <c r="K74" s="63"/>
      <c r="M74" s="64"/>
      <c r="N74" s="65"/>
    </row>
    <row r="75">
      <c r="A75" s="66"/>
      <c r="K75" s="63"/>
      <c r="M75" s="64"/>
      <c r="N75" s="65"/>
    </row>
    <row r="76">
      <c r="A76" s="66"/>
      <c r="K76" s="63"/>
      <c r="M76" s="64"/>
      <c r="N76" s="65"/>
    </row>
    <row r="77">
      <c r="A77" s="66"/>
      <c r="K77" s="63"/>
      <c r="M77" s="64"/>
      <c r="N77" s="65"/>
    </row>
    <row r="78">
      <c r="A78" s="66"/>
      <c r="K78" s="63"/>
      <c r="M78" s="64"/>
      <c r="N78" s="65"/>
    </row>
    <row r="79">
      <c r="A79" s="66"/>
      <c r="K79" s="63"/>
      <c r="M79" s="64"/>
      <c r="N79" s="65"/>
    </row>
    <row r="80">
      <c r="A80" s="66"/>
      <c r="K80" s="63"/>
      <c r="M80" s="64"/>
      <c r="N80" s="65"/>
    </row>
    <row r="81">
      <c r="A81" s="66"/>
      <c r="K81" s="63"/>
      <c r="M81" s="64"/>
      <c r="N81" s="65"/>
    </row>
    <row r="82">
      <c r="A82" s="66"/>
      <c r="E82" s="62"/>
      <c r="K82" s="63"/>
      <c r="M82" s="64"/>
      <c r="N82" s="65"/>
    </row>
    <row r="83">
      <c r="A83" s="66"/>
      <c r="E83" s="62"/>
      <c r="K83" s="63"/>
      <c r="M83" s="64"/>
      <c r="N83" s="65"/>
    </row>
    <row r="84">
      <c r="A84" s="66"/>
      <c r="E84" s="62"/>
      <c r="K84" s="63"/>
      <c r="M84" s="64"/>
      <c r="N84" s="65"/>
    </row>
    <row r="85">
      <c r="A85" s="66"/>
      <c r="E85" s="62"/>
      <c r="K85" s="63"/>
      <c r="M85" s="64"/>
      <c r="N85" s="65"/>
    </row>
    <row r="86">
      <c r="A86" s="66"/>
      <c r="E86" s="62"/>
      <c r="K86" s="63"/>
      <c r="M86" s="64"/>
      <c r="N86" s="65"/>
    </row>
    <row r="87">
      <c r="A87" s="66"/>
      <c r="E87" s="62"/>
      <c r="K87" s="63"/>
      <c r="M87" s="64"/>
      <c r="N87" s="65"/>
    </row>
    <row r="88">
      <c r="A88" s="66"/>
      <c r="E88" s="62"/>
      <c r="K88" s="63"/>
      <c r="M88" s="64"/>
      <c r="N88" s="65"/>
    </row>
    <row r="89">
      <c r="A89" s="66"/>
      <c r="E89" s="62"/>
      <c r="K89" s="63"/>
      <c r="M89" s="64"/>
      <c r="N89" s="65"/>
    </row>
    <row r="90">
      <c r="A90" s="66"/>
      <c r="E90" s="62"/>
      <c r="K90" s="63"/>
      <c r="M90" s="64"/>
      <c r="N90" s="65"/>
    </row>
    <row r="91">
      <c r="A91" s="66"/>
      <c r="E91" s="62"/>
      <c r="K91" s="63"/>
      <c r="M91" s="64"/>
      <c r="N91" s="65"/>
    </row>
    <row r="92">
      <c r="A92" s="66"/>
      <c r="E92" s="62"/>
      <c r="K92" s="63"/>
      <c r="M92" s="64"/>
      <c r="N92" s="65"/>
    </row>
    <row r="93">
      <c r="A93" s="66"/>
      <c r="E93" s="62"/>
      <c r="K93" s="63"/>
      <c r="M93" s="64"/>
      <c r="N93" s="65"/>
    </row>
    <row r="94">
      <c r="A94" s="66"/>
      <c r="E94" s="62"/>
      <c r="K94" s="63"/>
      <c r="M94" s="64"/>
      <c r="N94" s="65"/>
    </row>
    <row r="95">
      <c r="A95" s="66"/>
      <c r="E95" s="62"/>
      <c r="K95" s="63"/>
      <c r="M95" s="64"/>
      <c r="N95" s="65"/>
    </row>
    <row r="96">
      <c r="A96" s="66"/>
      <c r="E96" s="62"/>
      <c r="K96" s="63"/>
      <c r="M96" s="64"/>
      <c r="N96" s="65"/>
    </row>
    <row r="97">
      <c r="A97" s="66"/>
      <c r="E97" s="62"/>
      <c r="K97" s="63"/>
      <c r="M97" s="64"/>
      <c r="N97" s="65"/>
    </row>
    <row r="98">
      <c r="A98" s="66"/>
      <c r="E98" s="62"/>
      <c r="K98" s="63"/>
      <c r="M98" s="64"/>
      <c r="N98" s="65"/>
    </row>
    <row r="99">
      <c r="A99" s="66"/>
      <c r="E99" s="62"/>
      <c r="K99" s="63"/>
      <c r="M99" s="64"/>
      <c r="N99" s="65"/>
    </row>
    <row r="100">
      <c r="A100" s="66"/>
      <c r="E100" s="62"/>
      <c r="K100" s="63"/>
      <c r="M100" s="64"/>
      <c r="N100" s="65"/>
    </row>
    <row r="101">
      <c r="A101" s="66"/>
      <c r="E101" s="62"/>
      <c r="K101" s="63"/>
      <c r="M101" s="64"/>
      <c r="N101" s="65"/>
    </row>
    <row r="102">
      <c r="A102" s="66"/>
      <c r="E102" s="62"/>
      <c r="K102" s="63"/>
      <c r="M102" s="64"/>
      <c r="N102" s="65"/>
    </row>
    <row r="103">
      <c r="A103" s="66"/>
      <c r="E103" s="62"/>
      <c r="K103" s="63"/>
      <c r="M103" s="64"/>
      <c r="N103" s="65"/>
    </row>
    <row r="104">
      <c r="A104" s="66"/>
      <c r="E104" s="62"/>
      <c r="K104" s="63"/>
      <c r="M104" s="64"/>
      <c r="N104" s="65"/>
    </row>
    <row r="105">
      <c r="A105" s="66"/>
      <c r="E105" s="62"/>
      <c r="K105" s="63"/>
      <c r="M105" s="64"/>
      <c r="N105" s="65"/>
    </row>
    <row r="106">
      <c r="A106" s="66"/>
      <c r="E106" s="62"/>
      <c r="K106" s="63"/>
      <c r="M106" s="64"/>
      <c r="N106" s="65"/>
    </row>
    <row r="107">
      <c r="A107" s="66"/>
      <c r="E107" s="62"/>
      <c r="K107" s="63"/>
      <c r="M107" s="64"/>
      <c r="N107" s="65"/>
    </row>
    <row r="108">
      <c r="A108" s="66"/>
      <c r="E108" s="62"/>
      <c r="K108" s="63"/>
      <c r="M108" s="64"/>
      <c r="N108" s="65"/>
    </row>
    <row r="109">
      <c r="A109" s="66"/>
      <c r="E109" s="62"/>
      <c r="K109" s="63"/>
      <c r="M109" s="64"/>
      <c r="N109" s="65"/>
    </row>
    <row r="110">
      <c r="A110" s="66"/>
      <c r="E110" s="62"/>
      <c r="K110" s="63"/>
      <c r="M110" s="64"/>
      <c r="N110" s="65"/>
    </row>
    <row r="111">
      <c r="A111" s="66"/>
      <c r="E111" s="62"/>
      <c r="K111" s="63"/>
      <c r="M111" s="64"/>
      <c r="N111" s="65"/>
    </row>
    <row r="112">
      <c r="A112" s="66"/>
      <c r="E112" s="62"/>
      <c r="K112" s="63"/>
      <c r="M112" s="64"/>
      <c r="N112" s="65"/>
    </row>
    <row r="113">
      <c r="A113" s="66"/>
      <c r="E113" s="62"/>
      <c r="K113" s="63"/>
      <c r="M113" s="64"/>
      <c r="N113" s="65"/>
    </row>
    <row r="114">
      <c r="A114" s="66"/>
      <c r="E114" s="62"/>
      <c r="K114" s="63"/>
      <c r="M114" s="64"/>
      <c r="N114" s="65"/>
    </row>
    <row r="115">
      <c r="A115" s="66"/>
      <c r="E115" s="62"/>
      <c r="K115" s="63"/>
      <c r="M115" s="64"/>
      <c r="N115" s="65"/>
    </row>
    <row r="116">
      <c r="A116" s="66"/>
      <c r="E116" s="62"/>
      <c r="K116" s="63"/>
      <c r="M116" s="64"/>
      <c r="N116" s="65"/>
    </row>
    <row r="117">
      <c r="A117" s="66"/>
      <c r="E117" s="62"/>
      <c r="K117" s="63"/>
      <c r="M117" s="64"/>
      <c r="N117" s="65"/>
    </row>
    <row r="118">
      <c r="A118" s="66"/>
      <c r="E118" s="62"/>
      <c r="K118" s="63"/>
      <c r="M118" s="64"/>
      <c r="N118" s="65"/>
    </row>
    <row r="119">
      <c r="A119" s="66"/>
      <c r="E119" s="62"/>
      <c r="K119" s="63"/>
      <c r="M119" s="64"/>
      <c r="N119" s="65"/>
    </row>
    <row r="120">
      <c r="A120" s="66"/>
      <c r="E120" s="62"/>
      <c r="K120" s="63"/>
      <c r="M120" s="64"/>
      <c r="N120" s="65"/>
    </row>
    <row r="121">
      <c r="A121" s="66"/>
      <c r="E121" s="62"/>
      <c r="K121" s="63"/>
      <c r="M121" s="64"/>
      <c r="N121" s="65"/>
    </row>
    <row r="122">
      <c r="A122" s="66"/>
      <c r="E122" s="62"/>
      <c r="K122" s="63"/>
      <c r="M122" s="64"/>
      <c r="N122" s="65"/>
    </row>
    <row r="123">
      <c r="A123" s="66"/>
      <c r="E123" s="62"/>
      <c r="K123" s="63"/>
      <c r="M123" s="64"/>
      <c r="N123" s="65"/>
    </row>
    <row r="124">
      <c r="A124" s="66"/>
      <c r="E124" s="62"/>
      <c r="K124" s="63"/>
      <c r="M124" s="64"/>
      <c r="N124" s="65"/>
    </row>
    <row r="125">
      <c r="A125" s="66"/>
      <c r="E125" s="62"/>
      <c r="K125" s="63"/>
      <c r="M125" s="64"/>
      <c r="N125" s="65"/>
    </row>
    <row r="126">
      <c r="A126" s="66"/>
      <c r="E126" s="62"/>
      <c r="K126" s="63"/>
      <c r="M126" s="64"/>
      <c r="N126" s="65"/>
    </row>
    <row r="127">
      <c r="A127" s="66"/>
      <c r="E127" s="62"/>
      <c r="K127" s="63"/>
      <c r="M127" s="64"/>
      <c r="N127" s="65"/>
    </row>
    <row r="128">
      <c r="A128" s="66"/>
      <c r="E128" s="62"/>
      <c r="K128" s="63"/>
      <c r="M128" s="64"/>
      <c r="N128" s="65"/>
    </row>
    <row r="129">
      <c r="A129" s="66"/>
      <c r="E129" s="62"/>
      <c r="K129" s="63"/>
      <c r="M129" s="64"/>
      <c r="N129" s="65"/>
    </row>
    <row r="130">
      <c r="A130" s="66"/>
      <c r="E130" s="62"/>
      <c r="K130" s="63"/>
      <c r="M130" s="64"/>
      <c r="N130" s="65"/>
    </row>
    <row r="131">
      <c r="A131" s="66"/>
      <c r="E131" s="62"/>
      <c r="K131" s="63"/>
      <c r="M131" s="64"/>
      <c r="N131" s="65"/>
    </row>
    <row r="132">
      <c r="A132" s="66"/>
      <c r="E132" s="62"/>
      <c r="K132" s="63"/>
      <c r="M132" s="64"/>
      <c r="N132" s="65"/>
    </row>
    <row r="133">
      <c r="A133" s="66"/>
      <c r="E133" s="62"/>
      <c r="K133" s="63"/>
      <c r="M133" s="64"/>
      <c r="N133" s="65"/>
    </row>
    <row r="134">
      <c r="A134" s="66"/>
      <c r="E134" s="62"/>
      <c r="K134" s="63"/>
      <c r="M134" s="64"/>
      <c r="N134" s="65"/>
    </row>
    <row r="135">
      <c r="A135" s="66"/>
      <c r="E135" s="62"/>
      <c r="K135" s="63"/>
      <c r="M135" s="64"/>
      <c r="N135" s="65"/>
    </row>
    <row r="136">
      <c r="A136" s="66"/>
      <c r="E136" s="62"/>
      <c r="K136" s="63"/>
      <c r="M136" s="64"/>
      <c r="N136" s="65"/>
    </row>
    <row r="137">
      <c r="A137" s="66"/>
      <c r="E137" s="62"/>
      <c r="K137" s="63"/>
      <c r="M137" s="64"/>
      <c r="N137" s="65"/>
    </row>
    <row r="138">
      <c r="A138" s="66"/>
      <c r="E138" s="62"/>
      <c r="K138" s="63"/>
      <c r="M138" s="64"/>
      <c r="N138" s="65"/>
    </row>
    <row r="139">
      <c r="A139" s="66"/>
      <c r="E139" s="62"/>
      <c r="K139" s="63"/>
      <c r="M139" s="64"/>
      <c r="N139" s="65"/>
    </row>
    <row r="140">
      <c r="A140" s="66"/>
      <c r="E140" s="62"/>
      <c r="K140" s="63"/>
      <c r="M140" s="64"/>
      <c r="N140" s="65"/>
    </row>
    <row r="141">
      <c r="A141" s="66"/>
      <c r="E141" s="62"/>
      <c r="K141" s="63"/>
      <c r="M141" s="64"/>
      <c r="N141" s="65"/>
    </row>
    <row r="142">
      <c r="A142" s="66"/>
      <c r="E142" s="62"/>
      <c r="K142" s="63"/>
      <c r="M142" s="64"/>
      <c r="N142" s="65"/>
    </row>
    <row r="143">
      <c r="A143" s="66"/>
      <c r="E143" s="62"/>
      <c r="K143" s="63"/>
      <c r="M143" s="64"/>
      <c r="N143" s="65"/>
    </row>
    <row r="144">
      <c r="A144" s="66"/>
      <c r="E144" s="62"/>
      <c r="K144" s="63"/>
      <c r="M144" s="64"/>
      <c r="N144" s="65"/>
    </row>
    <row r="145">
      <c r="A145" s="66"/>
      <c r="E145" s="62"/>
      <c r="K145" s="63"/>
      <c r="M145" s="64"/>
      <c r="N145" s="65"/>
    </row>
    <row r="146">
      <c r="A146" s="66"/>
      <c r="E146" s="62"/>
      <c r="K146" s="63"/>
      <c r="M146" s="64"/>
      <c r="N146" s="65"/>
    </row>
    <row r="147">
      <c r="A147" s="66"/>
      <c r="E147" s="62"/>
      <c r="K147" s="63"/>
      <c r="M147" s="64"/>
      <c r="N147" s="65"/>
    </row>
    <row r="148">
      <c r="A148" s="66"/>
      <c r="E148" s="62"/>
      <c r="K148" s="63"/>
      <c r="M148" s="64"/>
      <c r="N148" s="65"/>
    </row>
    <row r="149">
      <c r="A149" s="66"/>
      <c r="E149" s="62"/>
      <c r="K149" s="63"/>
      <c r="M149" s="64"/>
      <c r="N149" s="65"/>
    </row>
    <row r="150">
      <c r="A150" s="66"/>
      <c r="E150" s="62"/>
      <c r="K150" s="63"/>
      <c r="M150" s="64"/>
      <c r="N150" s="65"/>
    </row>
    <row r="151">
      <c r="A151" s="66"/>
      <c r="E151" s="62"/>
      <c r="K151" s="63"/>
      <c r="M151" s="64"/>
      <c r="N151" s="65"/>
    </row>
    <row r="152">
      <c r="A152" s="66"/>
      <c r="E152" s="62"/>
      <c r="K152" s="63"/>
      <c r="M152" s="64"/>
      <c r="N152" s="65"/>
    </row>
    <row r="153">
      <c r="A153" s="66"/>
      <c r="E153" s="62"/>
      <c r="K153" s="63"/>
      <c r="M153" s="64"/>
      <c r="N153" s="65"/>
    </row>
    <row r="154">
      <c r="A154" s="66"/>
      <c r="E154" s="62"/>
      <c r="K154" s="63"/>
      <c r="M154" s="64"/>
      <c r="N154" s="65"/>
    </row>
    <row r="155">
      <c r="A155" s="66"/>
      <c r="E155" s="62"/>
      <c r="K155" s="63"/>
      <c r="M155" s="64"/>
      <c r="N155" s="65"/>
    </row>
    <row r="156">
      <c r="A156" s="66"/>
      <c r="E156" s="62"/>
      <c r="K156" s="63"/>
      <c r="M156" s="64"/>
      <c r="N156" s="65"/>
    </row>
    <row r="157">
      <c r="A157" s="66"/>
      <c r="E157" s="62"/>
      <c r="K157" s="63"/>
      <c r="M157" s="64"/>
      <c r="N157" s="65"/>
    </row>
    <row r="158">
      <c r="A158" s="66"/>
      <c r="E158" s="62"/>
      <c r="K158" s="63"/>
      <c r="M158" s="64"/>
      <c r="N158" s="65"/>
    </row>
    <row r="159">
      <c r="A159" s="66"/>
      <c r="E159" s="62"/>
      <c r="K159" s="63"/>
      <c r="M159" s="64"/>
      <c r="N159" s="65"/>
    </row>
    <row r="160">
      <c r="A160" s="66"/>
      <c r="E160" s="62"/>
      <c r="K160" s="63"/>
      <c r="M160" s="64"/>
      <c r="N160" s="65"/>
    </row>
    <row r="161">
      <c r="A161" s="66"/>
      <c r="E161" s="62"/>
      <c r="K161" s="63"/>
      <c r="M161" s="64"/>
      <c r="N161" s="65"/>
    </row>
    <row r="162">
      <c r="A162" s="66"/>
      <c r="E162" s="62"/>
      <c r="K162" s="63"/>
      <c r="M162" s="64"/>
      <c r="N162" s="65"/>
    </row>
    <row r="163">
      <c r="A163" s="66"/>
      <c r="E163" s="62"/>
      <c r="K163" s="63"/>
      <c r="M163" s="64"/>
      <c r="N163" s="65"/>
    </row>
    <row r="164">
      <c r="A164" s="66"/>
      <c r="E164" s="62"/>
      <c r="K164" s="63"/>
      <c r="M164" s="64"/>
      <c r="N164" s="65"/>
    </row>
    <row r="165">
      <c r="A165" s="66"/>
      <c r="E165" s="62"/>
      <c r="K165" s="63"/>
      <c r="M165" s="64"/>
      <c r="N165" s="65"/>
    </row>
    <row r="166">
      <c r="A166" s="66"/>
      <c r="E166" s="62"/>
      <c r="K166" s="63"/>
      <c r="M166" s="64"/>
      <c r="N166" s="65"/>
    </row>
    <row r="167">
      <c r="A167" s="66"/>
      <c r="E167" s="62"/>
      <c r="K167" s="63"/>
      <c r="M167" s="64"/>
      <c r="N167" s="65"/>
    </row>
    <row r="168">
      <c r="A168" s="66"/>
      <c r="E168" s="62"/>
      <c r="K168" s="63"/>
      <c r="M168" s="64"/>
      <c r="N168" s="65"/>
    </row>
    <row r="169">
      <c r="A169" s="66"/>
      <c r="E169" s="62"/>
      <c r="K169" s="63"/>
      <c r="M169" s="64"/>
      <c r="N169" s="65"/>
    </row>
    <row r="170">
      <c r="A170" s="66"/>
      <c r="E170" s="62"/>
      <c r="K170" s="63"/>
      <c r="M170" s="64"/>
      <c r="N170" s="65"/>
    </row>
    <row r="171">
      <c r="A171" s="66"/>
      <c r="E171" s="62"/>
      <c r="K171" s="63"/>
      <c r="M171" s="64"/>
      <c r="N171" s="65"/>
    </row>
    <row r="172">
      <c r="A172" s="66"/>
      <c r="E172" s="62"/>
      <c r="K172" s="63"/>
      <c r="M172" s="64"/>
      <c r="N172" s="65"/>
    </row>
    <row r="173">
      <c r="A173" s="66"/>
      <c r="E173" s="62"/>
      <c r="K173" s="63"/>
      <c r="M173" s="64"/>
      <c r="N173" s="65"/>
    </row>
    <row r="174">
      <c r="A174" s="66"/>
      <c r="E174" s="62"/>
      <c r="K174" s="63"/>
      <c r="M174" s="64"/>
      <c r="N174" s="65"/>
    </row>
    <row r="175">
      <c r="A175" s="66"/>
      <c r="E175" s="62"/>
      <c r="K175" s="63"/>
      <c r="M175" s="64"/>
      <c r="N175" s="65"/>
    </row>
    <row r="176">
      <c r="A176" s="66"/>
      <c r="E176" s="62"/>
      <c r="K176" s="63"/>
      <c r="M176" s="64"/>
      <c r="N176" s="65"/>
    </row>
    <row r="177">
      <c r="A177" s="66"/>
      <c r="E177" s="62"/>
      <c r="K177" s="63"/>
      <c r="M177" s="64"/>
      <c r="N177" s="65"/>
    </row>
    <row r="178">
      <c r="A178" s="66"/>
      <c r="E178" s="62"/>
      <c r="K178" s="63"/>
      <c r="M178" s="64"/>
      <c r="N178" s="65"/>
    </row>
    <row r="179">
      <c r="A179" s="66"/>
      <c r="E179" s="62"/>
      <c r="K179" s="63"/>
      <c r="M179" s="64"/>
      <c r="N179" s="65"/>
    </row>
    <row r="180">
      <c r="A180" s="66"/>
      <c r="E180" s="62"/>
      <c r="K180" s="63"/>
      <c r="M180" s="64"/>
      <c r="N180" s="65"/>
    </row>
    <row r="181">
      <c r="A181" s="66"/>
      <c r="E181" s="62"/>
      <c r="K181" s="63"/>
      <c r="M181" s="64"/>
      <c r="N181" s="65"/>
    </row>
    <row r="182">
      <c r="A182" s="66"/>
      <c r="E182" s="62"/>
      <c r="K182" s="63"/>
      <c r="M182" s="64"/>
      <c r="N182" s="65"/>
    </row>
    <row r="183">
      <c r="A183" s="66"/>
      <c r="E183" s="62"/>
      <c r="K183" s="63"/>
      <c r="M183" s="64"/>
      <c r="N183" s="65"/>
    </row>
    <row r="184">
      <c r="A184" s="66"/>
      <c r="E184" s="62"/>
      <c r="K184" s="63"/>
      <c r="M184" s="64"/>
      <c r="N184" s="65"/>
    </row>
    <row r="185">
      <c r="A185" s="66"/>
      <c r="E185" s="62"/>
      <c r="K185" s="63"/>
      <c r="M185" s="64"/>
      <c r="N185" s="65"/>
    </row>
    <row r="186">
      <c r="A186" s="66"/>
      <c r="E186" s="62"/>
      <c r="K186" s="63"/>
      <c r="M186" s="64"/>
      <c r="N186" s="65"/>
    </row>
    <row r="187">
      <c r="A187" s="66"/>
      <c r="E187" s="62"/>
      <c r="K187" s="63"/>
      <c r="M187" s="64"/>
      <c r="N187" s="65"/>
    </row>
    <row r="188">
      <c r="A188" s="66"/>
      <c r="E188" s="62"/>
      <c r="K188" s="63"/>
      <c r="M188" s="64"/>
      <c r="N188" s="65"/>
    </row>
    <row r="189">
      <c r="A189" s="66"/>
      <c r="E189" s="62"/>
      <c r="K189" s="63"/>
      <c r="M189" s="64"/>
      <c r="N189" s="65"/>
    </row>
    <row r="190">
      <c r="A190" s="66"/>
      <c r="E190" s="62"/>
      <c r="K190" s="63"/>
      <c r="M190" s="64"/>
      <c r="N190" s="65"/>
    </row>
    <row r="191">
      <c r="A191" s="66"/>
      <c r="E191" s="62"/>
      <c r="K191" s="63"/>
      <c r="M191" s="64"/>
      <c r="N191" s="65"/>
    </row>
    <row r="192">
      <c r="A192" s="66"/>
      <c r="E192" s="62"/>
      <c r="K192" s="63"/>
      <c r="M192" s="64"/>
      <c r="N192" s="65"/>
    </row>
    <row r="193">
      <c r="A193" s="66"/>
      <c r="E193" s="62"/>
      <c r="K193" s="63"/>
      <c r="M193" s="64"/>
      <c r="N193" s="65"/>
    </row>
    <row r="194">
      <c r="A194" s="66"/>
      <c r="E194" s="62"/>
      <c r="K194" s="63"/>
      <c r="M194" s="64"/>
      <c r="N194" s="65"/>
    </row>
    <row r="195">
      <c r="A195" s="66"/>
      <c r="E195" s="62"/>
      <c r="K195" s="63"/>
      <c r="M195" s="64"/>
      <c r="N195" s="65"/>
    </row>
    <row r="196">
      <c r="A196" s="66"/>
      <c r="E196" s="62"/>
      <c r="K196" s="63"/>
      <c r="M196" s="64"/>
      <c r="N196" s="65"/>
    </row>
    <row r="197">
      <c r="A197" s="66"/>
      <c r="E197" s="62"/>
      <c r="K197" s="63"/>
      <c r="M197" s="64"/>
      <c r="N197" s="65"/>
    </row>
    <row r="198">
      <c r="A198" s="66"/>
      <c r="E198" s="62"/>
      <c r="K198" s="63"/>
      <c r="M198" s="64"/>
      <c r="N198" s="65"/>
    </row>
    <row r="199">
      <c r="A199" s="66"/>
      <c r="E199" s="62"/>
      <c r="K199" s="63"/>
      <c r="M199" s="64"/>
      <c r="N199" s="65"/>
    </row>
    <row r="200">
      <c r="A200" s="66"/>
      <c r="E200" s="62"/>
      <c r="K200" s="63"/>
      <c r="M200" s="64"/>
      <c r="N200" s="65"/>
    </row>
    <row r="201">
      <c r="A201" s="66"/>
      <c r="E201" s="62"/>
      <c r="K201" s="63"/>
      <c r="M201" s="64"/>
      <c r="N201" s="65"/>
    </row>
    <row r="202">
      <c r="A202" s="66"/>
      <c r="E202" s="62"/>
      <c r="K202" s="63"/>
      <c r="M202" s="64"/>
      <c r="N202" s="65"/>
    </row>
    <row r="203">
      <c r="A203" s="66"/>
      <c r="E203" s="62"/>
      <c r="K203" s="63"/>
      <c r="M203" s="64"/>
      <c r="N203" s="65"/>
    </row>
    <row r="204">
      <c r="A204" s="66"/>
      <c r="E204" s="62"/>
      <c r="K204" s="63"/>
      <c r="M204" s="64"/>
      <c r="N204" s="65"/>
    </row>
    <row r="205">
      <c r="A205" s="66"/>
      <c r="E205" s="62"/>
      <c r="K205" s="63"/>
      <c r="M205" s="64"/>
      <c r="N205" s="65"/>
    </row>
    <row r="206">
      <c r="A206" s="66"/>
      <c r="E206" s="62"/>
      <c r="K206" s="63"/>
      <c r="M206" s="64"/>
      <c r="N206" s="65"/>
    </row>
    <row r="207">
      <c r="A207" s="66"/>
      <c r="E207" s="62"/>
      <c r="K207" s="63"/>
      <c r="M207" s="64"/>
      <c r="N207" s="65"/>
    </row>
    <row r="208">
      <c r="A208" s="66"/>
      <c r="E208" s="62"/>
      <c r="K208" s="63"/>
      <c r="M208" s="64"/>
      <c r="N208" s="65"/>
    </row>
    <row r="209">
      <c r="A209" s="66"/>
      <c r="E209" s="62"/>
      <c r="K209" s="63"/>
      <c r="M209" s="64"/>
      <c r="N209" s="65"/>
    </row>
    <row r="210">
      <c r="A210" s="66"/>
      <c r="E210" s="62"/>
      <c r="K210" s="63"/>
      <c r="M210" s="64"/>
      <c r="N210" s="65"/>
    </row>
    <row r="211">
      <c r="A211" s="66"/>
      <c r="E211" s="62"/>
      <c r="K211" s="63"/>
      <c r="M211" s="64"/>
      <c r="N211" s="65"/>
    </row>
    <row r="212">
      <c r="A212" s="66"/>
      <c r="E212" s="62"/>
      <c r="K212" s="63"/>
      <c r="M212" s="64"/>
      <c r="N212" s="65"/>
    </row>
    <row r="213">
      <c r="A213" s="66"/>
      <c r="E213" s="62"/>
      <c r="K213" s="63"/>
      <c r="M213" s="64"/>
      <c r="N213" s="65"/>
    </row>
    <row r="214">
      <c r="A214" s="66"/>
      <c r="E214" s="62"/>
      <c r="K214" s="63"/>
      <c r="M214" s="64"/>
      <c r="N214" s="65"/>
    </row>
    <row r="215">
      <c r="A215" s="66"/>
      <c r="E215" s="62"/>
      <c r="K215" s="63"/>
      <c r="M215" s="64"/>
      <c r="N215" s="65"/>
    </row>
    <row r="216">
      <c r="A216" s="66"/>
      <c r="E216" s="62"/>
      <c r="K216" s="63"/>
      <c r="M216" s="64"/>
      <c r="N216" s="65"/>
    </row>
    <row r="217">
      <c r="A217" s="66"/>
      <c r="E217" s="62"/>
      <c r="K217" s="63"/>
      <c r="M217" s="64"/>
      <c r="N217" s="65"/>
    </row>
    <row r="218">
      <c r="A218" s="66"/>
      <c r="E218" s="62"/>
      <c r="K218" s="63"/>
      <c r="M218" s="64"/>
      <c r="N218" s="65"/>
    </row>
    <row r="219">
      <c r="A219" s="66"/>
      <c r="E219" s="62"/>
      <c r="K219" s="63"/>
      <c r="M219" s="64"/>
      <c r="N219" s="65"/>
    </row>
    <row r="220">
      <c r="A220" s="66"/>
      <c r="E220" s="62"/>
      <c r="K220" s="63"/>
      <c r="M220" s="64"/>
      <c r="N220" s="65"/>
    </row>
    <row r="221">
      <c r="A221" s="66"/>
      <c r="E221" s="62"/>
      <c r="K221" s="63"/>
      <c r="M221" s="64"/>
      <c r="N221" s="65"/>
    </row>
    <row r="222">
      <c r="A222" s="66"/>
      <c r="E222" s="62"/>
      <c r="K222" s="63"/>
      <c r="M222" s="64"/>
      <c r="N222" s="65"/>
    </row>
    <row r="223">
      <c r="A223" s="66"/>
      <c r="E223" s="62"/>
      <c r="K223" s="63"/>
      <c r="M223" s="64"/>
      <c r="N223" s="65"/>
    </row>
    <row r="224">
      <c r="A224" s="66"/>
      <c r="E224" s="62"/>
      <c r="K224" s="63"/>
      <c r="M224" s="64"/>
      <c r="N224" s="65"/>
    </row>
    <row r="225">
      <c r="A225" s="66"/>
      <c r="E225" s="62"/>
      <c r="K225" s="63"/>
      <c r="M225" s="64"/>
      <c r="N225" s="65"/>
    </row>
    <row r="226">
      <c r="A226" s="66"/>
      <c r="E226" s="62"/>
      <c r="K226" s="63"/>
      <c r="M226" s="64"/>
      <c r="N226" s="65"/>
    </row>
    <row r="227">
      <c r="A227" s="66"/>
      <c r="E227" s="62"/>
      <c r="K227" s="63"/>
      <c r="M227" s="64"/>
      <c r="N227" s="65"/>
    </row>
    <row r="228">
      <c r="A228" s="66"/>
      <c r="E228" s="62"/>
      <c r="K228" s="63"/>
      <c r="M228" s="64"/>
      <c r="N228" s="65"/>
    </row>
    <row r="229">
      <c r="A229" s="66"/>
      <c r="E229" s="62"/>
      <c r="K229" s="63"/>
      <c r="M229" s="64"/>
      <c r="N229" s="65"/>
    </row>
    <row r="230">
      <c r="A230" s="66"/>
      <c r="E230" s="62"/>
      <c r="K230" s="63"/>
      <c r="M230" s="64"/>
      <c r="N230" s="65"/>
    </row>
    <row r="231">
      <c r="A231" s="66"/>
      <c r="E231" s="62"/>
      <c r="K231" s="63"/>
      <c r="M231" s="64"/>
      <c r="N231" s="65"/>
    </row>
    <row r="232">
      <c r="A232" s="66"/>
      <c r="E232" s="62"/>
      <c r="K232" s="63"/>
      <c r="M232" s="64"/>
      <c r="N232" s="65"/>
    </row>
    <row r="233">
      <c r="A233" s="66"/>
      <c r="E233" s="62"/>
      <c r="K233" s="63"/>
      <c r="M233" s="64"/>
      <c r="N233" s="65"/>
    </row>
    <row r="234">
      <c r="A234" s="66"/>
      <c r="E234" s="62"/>
      <c r="K234" s="63"/>
      <c r="M234" s="64"/>
      <c r="N234" s="65"/>
    </row>
    <row r="235">
      <c r="A235" s="66"/>
      <c r="E235" s="62"/>
      <c r="K235" s="63"/>
      <c r="M235" s="64"/>
      <c r="N235" s="65"/>
    </row>
    <row r="236">
      <c r="A236" s="66"/>
      <c r="E236" s="62"/>
      <c r="K236" s="63"/>
      <c r="M236" s="64"/>
      <c r="N236" s="65"/>
    </row>
    <row r="237">
      <c r="A237" s="66"/>
      <c r="E237" s="62"/>
      <c r="K237" s="63"/>
      <c r="M237" s="64"/>
      <c r="N237" s="65"/>
    </row>
    <row r="238">
      <c r="A238" s="66"/>
      <c r="E238" s="62"/>
      <c r="K238" s="63"/>
      <c r="M238" s="64"/>
      <c r="N238" s="65"/>
    </row>
    <row r="239">
      <c r="A239" s="66"/>
      <c r="E239" s="62"/>
      <c r="K239" s="63"/>
      <c r="M239" s="64"/>
      <c r="N239" s="65"/>
    </row>
    <row r="240">
      <c r="A240" s="66"/>
      <c r="E240" s="62"/>
      <c r="K240" s="63"/>
      <c r="M240" s="64"/>
      <c r="N240" s="65"/>
    </row>
    <row r="241">
      <c r="A241" s="66"/>
      <c r="E241" s="62"/>
      <c r="K241" s="63"/>
      <c r="M241" s="64"/>
      <c r="N241" s="65"/>
    </row>
    <row r="242">
      <c r="A242" s="66"/>
      <c r="E242" s="62"/>
      <c r="K242" s="63"/>
      <c r="M242" s="64"/>
      <c r="N242" s="65"/>
    </row>
    <row r="243">
      <c r="A243" s="66"/>
      <c r="E243" s="62"/>
      <c r="K243" s="63"/>
      <c r="M243" s="64"/>
      <c r="N243" s="65"/>
    </row>
    <row r="244">
      <c r="A244" s="66"/>
      <c r="E244" s="62"/>
      <c r="K244" s="63"/>
      <c r="M244" s="64"/>
      <c r="N244" s="65"/>
    </row>
    <row r="245">
      <c r="A245" s="66"/>
      <c r="E245" s="62"/>
      <c r="K245" s="63"/>
      <c r="M245" s="64"/>
      <c r="N245" s="65"/>
    </row>
    <row r="246">
      <c r="A246" s="66"/>
      <c r="E246" s="62"/>
      <c r="K246" s="63"/>
      <c r="M246" s="64"/>
      <c r="N246" s="65"/>
    </row>
    <row r="247">
      <c r="A247" s="66"/>
      <c r="E247" s="62"/>
      <c r="K247" s="63"/>
      <c r="M247" s="64"/>
      <c r="N247" s="65"/>
    </row>
    <row r="248">
      <c r="A248" s="66"/>
      <c r="E248" s="62"/>
      <c r="K248" s="63"/>
      <c r="M248" s="64"/>
      <c r="N248" s="65"/>
    </row>
    <row r="249">
      <c r="A249" s="66"/>
      <c r="E249" s="62"/>
      <c r="K249" s="63"/>
      <c r="M249" s="64"/>
      <c r="N249" s="65"/>
    </row>
    <row r="250">
      <c r="A250" s="66"/>
      <c r="E250" s="62"/>
      <c r="K250" s="63"/>
      <c r="M250" s="64"/>
      <c r="N250" s="65"/>
    </row>
    <row r="251">
      <c r="A251" s="66"/>
      <c r="E251" s="62"/>
      <c r="K251" s="63"/>
      <c r="M251" s="64"/>
      <c r="N251" s="65"/>
    </row>
    <row r="252">
      <c r="A252" s="66"/>
      <c r="E252" s="62"/>
      <c r="K252" s="63"/>
      <c r="M252" s="64"/>
      <c r="N252" s="65"/>
    </row>
    <row r="253">
      <c r="A253" s="66"/>
      <c r="E253" s="62"/>
      <c r="K253" s="63"/>
      <c r="M253" s="64"/>
      <c r="N253" s="65"/>
    </row>
    <row r="254">
      <c r="A254" s="66"/>
      <c r="E254" s="62"/>
      <c r="K254" s="63"/>
      <c r="M254" s="64"/>
      <c r="N254" s="65"/>
    </row>
    <row r="255">
      <c r="A255" s="66"/>
      <c r="E255" s="62"/>
      <c r="K255" s="63"/>
      <c r="M255" s="64"/>
      <c r="N255" s="65"/>
    </row>
    <row r="256">
      <c r="A256" s="66"/>
      <c r="E256" s="62"/>
      <c r="K256" s="63"/>
      <c r="M256" s="64"/>
      <c r="N256" s="65"/>
    </row>
    <row r="257">
      <c r="A257" s="66"/>
      <c r="E257" s="62"/>
      <c r="K257" s="63"/>
      <c r="M257" s="64"/>
      <c r="N257" s="65"/>
    </row>
    <row r="258">
      <c r="A258" s="66"/>
      <c r="E258" s="62"/>
      <c r="K258" s="63"/>
      <c r="M258" s="64"/>
      <c r="N258" s="65"/>
    </row>
    <row r="259">
      <c r="A259" s="66"/>
      <c r="E259" s="62"/>
      <c r="K259" s="63"/>
      <c r="M259" s="64"/>
      <c r="N259" s="65"/>
    </row>
    <row r="260">
      <c r="A260" s="66"/>
      <c r="E260" s="62"/>
      <c r="K260" s="63"/>
      <c r="M260" s="64"/>
      <c r="N260" s="65"/>
    </row>
    <row r="261">
      <c r="A261" s="66"/>
      <c r="E261" s="62"/>
      <c r="K261" s="63"/>
      <c r="M261" s="64"/>
      <c r="N261" s="65"/>
    </row>
    <row r="262">
      <c r="A262" s="66"/>
      <c r="E262" s="62"/>
      <c r="K262" s="63"/>
      <c r="M262" s="64"/>
      <c r="N262" s="65"/>
    </row>
    <row r="263">
      <c r="A263" s="66"/>
      <c r="E263" s="62"/>
      <c r="K263" s="63"/>
      <c r="M263" s="64"/>
      <c r="N263" s="65"/>
    </row>
    <row r="264">
      <c r="A264" s="66"/>
      <c r="E264" s="62"/>
      <c r="K264" s="63"/>
      <c r="M264" s="64"/>
      <c r="N264" s="65"/>
    </row>
    <row r="265">
      <c r="A265" s="66"/>
      <c r="E265" s="62"/>
      <c r="K265" s="63"/>
      <c r="M265" s="64"/>
      <c r="N265" s="65"/>
    </row>
    <row r="266">
      <c r="A266" s="66"/>
      <c r="E266" s="62"/>
      <c r="K266" s="63"/>
      <c r="M266" s="64"/>
      <c r="N266" s="65"/>
    </row>
    <row r="267">
      <c r="A267" s="66"/>
      <c r="E267" s="62"/>
      <c r="K267" s="63"/>
      <c r="M267" s="64"/>
      <c r="N267" s="65"/>
    </row>
    <row r="268">
      <c r="A268" s="66"/>
      <c r="E268" s="62"/>
      <c r="K268" s="63"/>
      <c r="M268" s="64"/>
      <c r="N268" s="65"/>
    </row>
    <row r="269">
      <c r="A269" s="66"/>
      <c r="E269" s="62"/>
      <c r="K269" s="63"/>
      <c r="M269" s="64"/>
      <c r="N269" s="65"/>
    </row>
    <row r="270">
      <c r="A270" s="66"/>
      <c r="E270" s="62"/>
      <c r="K270" s="63"/>
      <c r="M270" s="64"/>
      <c r="N270" s="65"/>
    </row>
    <row r="271">
      <c r="A271" s="66"/>
      <c r="E271" s="62"/>
      <c r="K271" s="63"/>
      <c r="M271" s="64"/>
      <c r="N271" s="65"/>
    </row>
    <row r="272">
      <c r="A272" s="66"/>
      <c r="E272" s="62"/>
      <c r="K272" s="63"/>
      <c r="M272" s="64"/>
      <c r="N272" s="65"/>
    </row>
    <row r="273">
      <c r="A273" s="66"/>
      <c r="E273" s="62"/>
      <c r="K273" s="63"/>
      <c r="M273" s="64"/>
      <c r="N273" s="65"/>
    </row>
    <row r="274">
      <c r="A274" s="66"/>
      <c r="E274" s="62"/>
      <c r="K274" s="63"/>
      <c r="M274" s="64"/>
      <c r="N274" s="65"/>
    </row>
    <row r="275">
      <c r="A275" s="66"/>
      <c r="E275" s="62"/>
      <c r="K275" s="63"/>
      <c r="M275" s="64"/>
      <c r="N275" s="65"/>
    </row>
    <row r="276">
      <c r="A276" s="66"/>
      <c r="E276" s="62"/>
      <c r="K276" s="63"/>
      <c r="M276" s="64"/>
      <c r="N276" s="65"/>
    </row>
    <row r="277">
      <c r="A277" s="66"/>
      <c r="E277" s="62"/>
      <c r="K277" s="63"/>
      <c r="M277" s="64"/>
      <c r="N277" s="65"/>
    </row>
    <row r="278">
      <c r="A278" s="66"/>
      <c r="E278" s="62"/>
      <c r="K278" s="63"/>
      <c r="M278" s="64"/>
      <c r="N278" s="65"/>
    </row>
    <row r="279">
      <c r="A279" s="66"/>
      <c r="E279" s="62"/>
      <c r="K279" s="63"/>
      <c r="M279" s="64"/>
      <c r="N279" s="65"/>
    </row>
    <row r="280">
      <c r="A280" s="66"/>
      <c r="E280" s="62"/>
      <c r="K280" s="63"/>
      <c r="M280" s="64"/>
      <c r="N280" s="65"/>
    </row>
    <row r="281">
      <c r="A281" s="66"/>
      <c r="E281" s="62"/>
      <c r="K281" s="63"/>
      <c r="M281" s="64"/>
      <c r="N281" s="65"/>
    </row>
    <row r="282">
      <c r="A282" s="66"/>
      <c r="E282" s="62"/>
      <c r="K282" s="63"/>
      <c r="M282" s="64"/>
      <c r="N282" s="65"/>
    </row>
    <row r="283">
      <c r="A283" s="66"/>
      <c r="E283" s="62"/>
      <c r="K283" s="63"/>
      <c r="M283" s="64"/>
      <c r="N283" s="65"/>
    </row>
    <row r="284">
      <c r="A284" s="66"/>
      <c r="E284" s="62"/>
      <c r="K284" s="63"/>
      <c r="M284" s="64"/>
      <c r="N284" s="65"/>
    </row>
    <row r="285">
      <c r="A285" s="66"/>
      <c r="E285" s="62"/>
      <c r="K285" s="63"/>
      <c r="M285" s="64"/>
      <c r="N285" s="65"/>
    </row>
    <row r="286">
      <c r="A286" s="66"/>
      <c r="E286" s="62"/>
      <c r="K286" s="63"/>
      <c r="M286" s="64"/>
      <c r="N286" s="65"/>
    </row>
    <row r="287">
      <c r="A287" s="66"/>
      <c r="E287" s="62"/>
      <c r="K287" s="63"/>
      <c r="M287" s="64"/>
      <c r="N287" s="65"/>
    </row>
    <row r="288">
      <c r="A288" s="66"/>
      <c r="E288" s="62"/>
      <c r="K288" s="63"/>
      <c r="M288" s="64"/>
      <c r="N288" s="65"/>
    </row>
    <row r="289">
      <c r="A289" s="66"/>
      <c r="E289" s="62"/>
      <c r="K289" s="63"/>
      <c r="M289" s="64"/>
      <c r="N289" s="65"/>
    </row>
    <row r="290">
      <c r="A290" s="66"/>
      <c r="E290" s="62"/>
      <c r="K290" s="63"/>
      <c r="M290" s="64"/>
      <c r="N290" s="65"/>
    </row>
    <row r="291">
      <c r="A291" s="66"/>
      <c r="E291" s="62"/>
      <c r="K291" s="63"/>
      <c r="M291" s="64"/>
      <c r="N291" s="65"/>
    </row>
    <row r="292">
      <c r="A292" s="66"/>
      <c r="E292" s="62"/>
      <c r="K292" s="63"/>
      <c r="M292" s="64"/>
      <c r="N292" s="65"/>
    </row>
    <row r="293">
      <c r="A293" s="66"/>
      <c r="E293" s="62"/>
      <c r="K293" s="63"/>
      <c r="M293" s="64"/>
      <c r="N293" s="65"/>
    </row>
    <row r="294">
      <c r="A294" s="66"/>
      <c r="E294" s="62"/>
      <c r="K294" s="63"/>
      <c r="M294" s="64"/>
      <c r="N294" s="65"/>
    </row>
    <row r="295">
      <c r="A295" s="66"/>
      <c r="E295" s="62"/>
      <c r="K295" s="63"/>
      <c r="M295" s="64"/>
      <c r="N295" s="65"/>
    </row>
    <row r="296">
      <c r="A296" s="66"/>
      <c r="E296" s="62"/>
      <c r="K296" s="63"/>
      <c r="M296" s="64"/>
      <c r="N296" s="65"/>
    </row>
    <row r="297">
      <c r="A297" s="66"/>
      <c r="E297" s="62"/>
      <c r="K297" s="63"/>
      <c r="M297" s="64"/>
      <c r="N297" s="65"/>
    </row>
    <row r="298">
      <c r="A298" s="66"/>
      <c r="E298" s="62"/>
      <c r="K298" s="63"/>
      <c r="M298" s="64"/>
      <c r="N298" s="65"/>
    </row>
    <row r="299">
      <c r="A299" s="66"/>
      <c r="E299" s="62"/>
      <c r="K299" s="63"/>
      <c r="M299" s="64"/>
      <c r="N299" s="65"/>
    </row>
    <row r="300">
      <c r="A300" s="66"/>
      <c r="E300" s="62"/>
      <c r="K300" s="63"/>
      <c r="M300" s="64"/>
      <c r="N300" s="65"/>
    </row>
    <row r="301">
      <c r="A301" s="66"/>
      <c r="E301" s="62"/>
      <c r="K301" s="63"/>
      <c r="M301" s="64"/>
      <c r="N301" s="65"/>
    </row>
    <row r="302">
      <c r="A302" s="66"/>
      <c r="E302" s="62"/>
      <c r="K302" s="63"/>
      <c r="M302" s="64"/>
      <c r="N302" s="65"/>
    </row>
    <row r="303">
      <c r="A303" s="66"/>
      <c r="E303" s="62"/>
      <c r="K303" s="63"/>
      <c r="M303" s="64"/>
      <c r="N303" s="65"/>
    </row>
    <row r="304">
      <c r="A304" s="66"/>
      <c r="E304" s="62"/>
      <c r="K304" s="63"/>
      <c r="M304" s="64"/>
      <c r="N304" s="65"/>
    </row>
    <row r="305">
      <c r="A305" s="66"/>
      <c r="E305" s="62"/>
      <c r="K305" s="63"/>
      <c r="M305" s="64"/>
      <c r="N305" s="65"/>
    </row>
    <row r="306">
      <c r="A306" s="66"/>
      <c r="E306" s="62"/>
      <c r="K306" s="63"/>
      <c r="M306" s="64"/>
      <c r="N306" s="65"/>
    </row>
    <row r="307">
      <c r="A307" s="66"/>
      <c r="E307" s="62"/>
      <c r="K307" s="63"/>
      <c r="M307" s="64"/>
      <c r="N307" s="65"/>
    </row>
    <row r="308">
      <c r="A308" s="66"/>
      <c r="E308" s="62"/>
      <c r="K308" s="63"/>
      <c r="M308" s="64"/>
      <c r="N308" s="65"/>
    </row>
    <row r="309">
      <c r="A309" s="66"/>
      <c r="E309" s="62"/>
      <c r="K309" s="63"/>
      <c r="M309" s="64"/>
      <c r="N309" s="65"/>
    </row>
    <row r="310">
      <c r="A310" s="66"/>
      <c r="E310" s="62"/>
      <c r="K310" s="63"/>
      <c r="M310" s="64"/>
      <c r="N310" s="65"/>
    </row>
    <row r="311">
      <c r="A311" s="66"/>
      <c r="E311" s="62"/>
      <c r="K311" s="63"/>
      <c r="M311" s="64"/>
      <c r="N311" s="65"/>
    </row>
    <row r="312">
      <c r="A312" s="66"/>
      <c r="E312" s="62"/>
      <c r="K312" s="63"/>
      <c r="M312" s="64"/>
      <c r="N312" s="65"/>
    </row>
    <row r="313">
      <c r="A313" s="66"/>
      <c r="E313" s="62"/>
      <c r="K313" s="63"/>
      <c r="M313" s="64"/>
      <c r="N313" s="65"/>
    </row>
    <row r="314">
      <c r="A314" s="66"/>
      <c r="E314" s="62"/>
      <c r="K314" s="63"/>
      <c r="M314" s="64"/>
      <c r="N314" s="65"/>
    </row>
    <row r="315">
      <c r="A315" s="66"/>
      <c r="E315" s="62"/>
      <c r="K315" s="63"/>
      <c r="M315" s="64"/>
      <c r="N315" s="65"/>
    </row>
    <row r="316">
      <c r="A316" s="66"/>
      <c r="E316" s="62"/>
      <c r="K316" s="63"/>
      <c r="M316" s="64"/>
      <c r="N316" s="65"/>
    </row>
    <row r="317">
      <c r="A317" s="66"/>
      <c r="E317" s="62"/>
      <c r="K317" s="63"/>
      <c r="M317" s="64"/>
      <c r="N317" s="65"/>
    </row>
    <row r="318">
      <c r="A318" s="66"/>
      <c r="E318" s="62"/>
      <c r="K318" s="63"/>
      <c r="M318" s="64"/>
      <c r="N318" s="65"/>
    </row>
    <row r="319">
      <c r="A319" s="66"/>
      <c r="E319" s="62"/>
      <c r="K319" s="63"/>
      <c r="M319" s="64"/>
      <c r="N319" s="65"/>
    </row>
    <row r="320">
      <c r="A320" s="66"/>
      <c r="E320" s="62"/>
      <c r="K320" s="63"/>
      <c r="M320" s="64"/>
      <c r="N320" s="65"/>
    </row>
    <row r="321">
      <c r="A321" s="66"/>
      <c r="E321" s="62"/>
      <c r="K321" s="63"/>
      <c r="M321" s="64"/>
      <c r="N321" s="65"/>
    </row>
    <row r="322">
      <c r="A322" s="66"/>
      <c r="E322" s="62"/>
      <c r="K322" s="63"/>
      <c r="M322" s="64"/>
      <c r="N322" s="65"/>
    </row>
    <row r="323">
      <c r="A323" s="66"/>
      <c r="E323" s="62"/>
      <c r="K323" s="63"/>
      <c r="M323" s="64"/>
      <c r="N323" s="65"/>
    </row>
    <row r="324">
      <c r="A324" s="66"/>
      <c r="E324" s="62"/>
      <c r="K324" s="63"/>
      <c r="M324" s="64"/>
      <c r="N324" s="65"/>
    </row>
    <row r="325">
      <c r="A325" s="66"/>
      <c r="E325" s="62"/>
      <c r="K325" s="63"/>
      <c r="M325" s="64"/>
      <c r="N325" s="65"/>
    </row>
    <row r="326">
      <c r="A326" s="66"/>
      <c r="E326" s="62"/>
      <c r="K326" s="63"/>
      <c r="M326" s="64"/>
      <c r="N326" s="65"/>
    </row>
    <row r="327">
      <c r="A327" s="66"/>
      <c r="E327" s="62"/>
      <c r="K327" s="63"/>
      <c r="M327" s="64"/>
      <c r="N327" s="65"/>
    </row>
    <row r="328">
      <c r="A328" s="66"/>
      <c r="E328" s="62"/>
      <c r="K328" s="63"/>
      <c r="M328" s="64"/>
      <c r="N328" s="65"/>
    </row>
    <row r="329">
      <c r="A329" s="66"/>
      <c r="E329" s="62"/>
      <c r="K329" s="63"/>
      <c r="M329" s="64"/>
      <c r="N329" s="65"/>
    </row>
    <row r="330">
      <c r="A330" s="66"/>
      <c r="E330" s="62"/>
      <c r="K330" s="63"/>
      <c r="M330" s="64"/>
      <c r="N330" s="65"/>
    </row>
    <row r="331">
      <c r="A331" s="66"/>
      <c r="E331" s="62"/>
      <c r="K331" s="63"/>
      <c r="M331" s="64"/>
      <c r="N331" s="65"/>
    </row>
    <row r="332">
      <c r="A332" s="66"/>
      <c r="E332" s="62"/>
      <c r="K332" s="63"/>
      <c r="M332" s="64"/>
      <c r="N332" s="65"/>
    </row>
    <row r="333">
      <c r="A333" s="66"/>
      <c r="E333" s="62"/>
      <c r="K333" s="63"/>
      <c r="M333" s="64"/>
      <c r="N333" s="65"/>
    </row>
    <row r="334">
      <c r="A334" s="66"/>
      <c r="E334" s="62"/>
      <c r="K334" s="63"/>
      <c r="M334" s="64"/>
      <c r="N334" s="65"/>
    </row>
    <row r="335">
      <c r="A335" s="66"/>
      <c r="E335" s="62"/>
      <c r="K335" s="63"/>
      <c r="M335" s="64"/>
      <c r="N335" s="65"/>
    </row>
    <row r="336">
      <c r="A336" s="66"/>
      <c r="E336" s="62"/>
      <c r="K336" s="63"/>
      <c r="M336" s="64"/>
      <c r="N336" s="65"/>
    </row>
    <row r="337">
      <c r="A337" s="66"/>
      <c r="E337" s="62"/>
      <c r="K337" s="63"/>
      <c r="M337" s="64"/>
      <c r="N337" s="65"/>
    </row>
    <row r="338">
      <c r="A338" s="66"/>
      <c r="E338" s="62"/>
      <c r="K338" s="63"/>
      <c r="M338" s="64"/>
      <c r="N338" s="65"/>
    </row>
    <row r="339">
      <c r="A339" s="66"/>
      <c r="E339" s="62"/>
      <c r="K339" s="63"/>
      <c r="M339" s="64"/>
      <c r="N339" s="65"/>
    </row>
    <row r="340">
      <c r="A340" s="66"/>
      <c r="E340" s="62"/>
      <c r="K340" s="63"/>
      <c r="M340" s="64"/>
      <c r="N340" s="65"/>
    </row>
    <row r="341">
      <c r="A341" s="66"/>
      <c r="E341" s="62"/>
      <c r="K341" s="63"/>
      <c r="M341" s="64"/>
      <c r="N341" s="65"/>
    </row>
    <row r="342">
      <c r="A342" s="66"/>
      <c r="E342" s="62"/>
      <c r="K342" s="63"/>
      <c r="M342" s="64"/>
      <c r="N342" s="65"/>
    </row>
    <row r="343">
      <c r="A343" s="66"/>
      <c r="E343" s="62"/>
      <c r="K343" s="63"/>
      <c r="M343" s="64"/>
      <c r="N343" s="65"/>
    </row>
    <row r="344">
      <c r="A344" s="66"/>
      <c r="E344" s="62"/>
      <c r="K344" s="63"/>
      <c r="M344" s="64"/>
      <c r="N344" s="65"/>
    </row>
    <row r="345">
      <c r="A345" s="66"/>
      <c r="E345" s="62"/>
      <c r="K345" s="63"/>
      <c r="M345" s="64"/>
      <c r="N345" s="65"/>
    </row>
    <row r="346">
      <c r="A346" s="66"/>
      <c r="E346" s="62"/>
      <c r="K346" s="63"/>
      <c r="M346" s="64"/>
      <c r="N346" s="65"/>
    </row>
    <row r="347">
      <c r="A347" s="66"/>
      <c r="E347" s="62"/>
      <c r="K347" s="63"/>
      <c r="M347" s="64"/>
      <c r="N347" s="65"/>
    </row>
    <row r="348">
      <c r="A348" s="66"/>
      <c r="E348" s="62"/>
      <c r="K348" s="63"/>
      <c r="M348" s="64"/>
      <c r="N348" s="65"/>
    </row>
    <row r="349">
      <c r="A349" s="66"/>
      <c r="E349" s="62"/>
      <c r="K349" s="63"/>
      <c r="M349" s="64"/>
      <c r="N349" s="65"/>
    </row>
    <row r="350">
      <c r="A350" s="66"/>
      <c r="E350" s="62"/>
      <c r="K350" s="63"/>
      <c r="M350" s="64"/>
      <c r="N350" s="65"/>
    </row>
    <row r="351">
      <c r="A351" s="66"/>
      <c r="E351" s="62"/>
      <c r="K351" s="63"/>
      <c r="M351" s="64"/>
      <c r="N351" s="65"/>
    </row>
    <row r="352">
      <c r="A352" s="66"/>
      <c r="E352" s="62"/>
      <c r="K352" s="63"/>
      <c r="M352" s="64"/>
      <c r="N352" s="65"/>
    </row>
    <row r="353">
      <c r="A353" s="66"/>
      <c r="E353" s="62"/>
      <c r="K353" s="63"/>
      <c r="M353" s="64"/>
      <c r="N353" s="65"/>
    </row>
    <row r="354">
      <c r="A354" s="66"/>
      <c r="E354" s="62"/>
      <c r="K354" s="63"/>
      <c r="M354" s="64"/>
      <c r="N354" s="65"/>
    </row>
    <row r="355">
      <c r="A355" s="66"/>
      <c r="E355" s="62"/>
      <c r="K355" s="63"/>
      <c r="M355" s="64"/>
      <c r="N355" s="65"/>
    </row>
    <row r="356">
      <c r="A356" s="66"/>
      <c r="E356" s="62"/>
      <c r="K356" s="63"/>
      <c r="M356" s="64"/>
      <c r="N356" s="65"/>
    </row>
    <row r="357">
      <c r="A357" s="66"/>
      <c r="E357" s="62"/>
      <c r="K357" s="63"/>
      <c r="M357" s="64"/>
      <c r="N357" s="65"/>
    </row>
    <row r="358">
      <c r="A358" s="66"/>
      <c r="E358" s="62"/>
      <c r="K358" s="63"/>
      <c r="M358" s="64"/>
      <c r="N358" s="65"/>
    </row>
    <row r="359">
      <c r="A359" s="66"/>
      <c r="E359" s="62"/>
      <c r="K359" s="63"/>
      <c r="M359" s="64"/>
      <c r="N359" s="65"/>
    </row>
    <row r="360">
      <c r="A360" s="66"/>
      <c r="E360" s="62"/>
      <c r="K360" s="63"/>
      <c r="M360" s="64"/>
      <c r="N360" s="65"/>
    </row>
    <row r="361">
      <c r="A361" s="66"/>
      <c r="E361" s="62"/>
      <c r="K361" s="63"/>
      <c r="M361" s="64"/>
      <c r="N361" s="65"/>
    </row>
    <row r="362">
      <c r="A362" s="66"/>
      <c r="E362" s="62"/>
      <c r="K362" s="63"/>
      <c r="M362" s="64"/>
      <c r="N362" s="65"/>
    </row>
    <row r="363">
      <c r="A363" s="66"/>
      <c r="E363" s="62"/>
      <c r="K363" s="63"/>
      <c r="M363" s="64"/>
      <c r="N363" s="65"/>
    </row>
    <row r="364">
      <c r="A364" s="66"/>
      <c r="E364" s="62"/>
      <c r="K364" s="63"/>
      <c r="M364" s="64"/>
      <c r="N364" s="65"/>
    </row>
    <row r="365">
      <c r="A365" s="66"/>
      <c r="E365" s="62"/>
      <c r="K365" s="63"/>
      <c r="M365" s="64"/>
      <c r="N365" s="65"/>
    </row>
    <row r="366">
      <c r="A366" s="66"/>
      <c r="E366" s="62"/>
      <c r="K366" s="63"/>
      <c r="M366" s="64"/>
      <c r="N366" s="65"/>
    </row>
    <row r="367">
      <c r="A367" s="66"/>
      <c r="E367" s="62"/>
      <c r="K367" s="63"/>
      <c r="M367" s="64"/>
      <c r="N367" s="65"/>
    </row>
    <row r="368">
      <c r="A368" s="66"/>
      <c r="E368" s="62"/>
      <c r="K368" s="63"/>
      <c r="M368" s="64"/>
      <c r="N368" s="65"/>
    </row>
    <row r="369">
      <c r="A369" s="66"/>
      <c r="E369" s="62"/>
      <c r="K369" s="63"/>
      <c r="M369" s="64"/>
      <c r="N369" s="65"/>
    </row>
    <row r="370">
      <c r="A370" s="66"/>
      <c r="E370" s="62"/>
      <c r="K370" s="63"/>
      <c r="M370" s="64"/>
      <c r="N370" s="65"/>
    </row>
    <row r="371">
      <c r="A371" s="66"/>
      <c r="E371" s="62"/>
      <c r="K371" s="63"/>
      <c r="M371" s="64"/>
      <c r="N371" s="65"/>
    </row>
    <row r="372">
      <c r="A372" s="66"/>
      <c r="E372" s="62"/>
      <c r="K372" s="63"/>
      <c r="M372" s="64"/>
      <c r="N372" s="65"/>
    </row>
    <row r="373">
      <c r="A373" s="66"/>
      <c r="E373" s="62"/>
      <c r="K373" s="63"/>
      <c r="M373" s="64"/>
      <c r="N373" s="65"/>
    </row>
    <row r="374">
      <c r="A374" s="66"/>
      <c r="E374" s="62"/>
      <c r="K374" s="63"/>
      <c r="M374" s="64"/>
      <c r="N374" s="65"/>
    </row>
    <row r="375">
      <c r="A375" s="66"/>
      <c r="E375" s="62"/>
      <c r="K375" s="63"/>
      <c r="M375" s="64"/>
      <c r="N375" s="65"/>
    </row>
    <row r="376">
      <c r="A376" s="66"/>
      <c r="E376" s="62"/>
      <c r="K376" s="63"/>
      <c r="M376" s="64"/>
      <c r="N376" s="65"/>
    </row>
    <row r="377">
      <c r="A377" s="66"/>
      <c r="E377" s="62"/>
      <c r="K377" s="63"/>
      <c r="M377" s="64"/>
      <c r="N377" s="65"/>
    </row>
    <row r="378">
      <c r="A378" s="66"/>
      <c r="E378" s="62"/>
      <c r="K378" s="63"/>
      <c r="M378" s="64"/>
      <c r="N378" s="65"/>
    </row>
    <row r="379">
      <c r="A379" s="66"/>
      <c r="E379" s="62"/>
      <c r="K379" s="63"/>
      <c r="M379" s="64"/>
      <c r="N379" s="65"/>
    </row>
    <row r="380">
      <c r="A380" s="66"/>
      <c r="E380" s="62"/>
      <c r="K380" s="63"/>
      <c r="M380" s="64"/>
      <c r="N380" s="65"/>
    </row>
    <row r="381">
      <c r="A381" s="66"/>
      <c r="E381" s="62"/>
      <c r="K381" s="63"/>
      <c r="M381" s="64"/>
      <c r="N381" s="65"/>
    </row>
    <row r="382">
      <c r="A382" s="66"/>
      <c r="E382" s="62"/>
      <c r="K382" s="63"/>
      <c r="M382" s="64"/>
      <c r="N382" s="65"/>
    </row>
    <row r="383">
      <c r="A383" s="66"/>
      <c r="E383" s="62"/>
      <c r="K383" s="63"/>
      <c r="M383" s="64"/>
      <c r="N383" s="65"/>
    </row>
    <row r="384">
      <c r="A384" s="66"/>
      <c r="E384" s="62"/>
      <c r="K384" s="63"/>
      <c r="M384" s="64"/>
      <c r="N384" s="65"/>
    </row>
    <row r="385">
      <c r="A385" s="66"/>
      <c r="E385" s="62"/>
      <c r="K385" s="63"/>
      <c r="M385" s="64"/>
      <c r="N385" s="65"/>
    </row>
    <row r="386">
      <c r="A386" s="66"/>
      <c r="E386" s="62"/>
      <c r="K386" s="63"/>
      <c r="M386" s="64"/>
      <c r="N386" s="65"/>
    </row>
    <row r="387">
      <c r="A387" s="66"/>
      <c r="E387" s="62"/>
      <c r="K387" s="63"/>
      <c r="M387" s="64"/>
      <c r="N387" s="65"/>
    </row>
    <row r="388">
      <c r="A388" s="66"/>
      <c r="E388" s="62"/>
      <c r="K388" s="63"/>
      <c r="M388" s="64"/>
      <c r="N388" s="65"/>
    </row>
    <row r="389">
      <c r="A389" s="66"/>
      <c r="E389" s="62"/>
      <c r="K389" s="63"/>
      <c r="M389" s="64"/>
      <c r="N389" s="65"/>
    </row>
    <row r="390">
      <c r="A390" s="66"/>
      <c r="E390" s="62"/>
      <c r="K390" s="63"/>
      <c r="M390" s="64"/>
      <c r="N390" s="65"/>
    </row>
    <row r="391">
      <c r="A391" s="66"/>
      <c r="E391" s="62"/>
      <c r="K391" s="63"/>
      <c r="M391" s="64"/>
      <c r="N391" s="65"/>
    </row>
    <row r="392">
      <c r="A392" s="66"/>
      <c r="E392" s="62"/>
      <c r="K392" s="63"/>
      <c r="M392" s="64"/>
      <c r="N392" s="65"/>
    </row>
    <row r="393">
      <c r="A393" s="66"/>
      <c r="E393" s="62"/>
      <c r="K393" s="63"/>
      <c r="M393" s="64"/>
      <c r="N393" s="65"/>
    </row>
    <row r="394">
      <c r="A394" s="66"/>
      <c r="E394" s="62"/>
      <c r="K394" s="63"/>
      <c r="M394" s="64"/>
      <c r="N394" s="65"/>
    </row>
    <row r="395">
      <c r="A395" s="66"/>
      <c r="E395" s="62"/>
      <c r="K395" s="63"/>
      <c r="M395" s="64"/>
      <c r="N395" s="65"/>
    </row>
    <row r="396">
      <c r="A396" s="66"/>
      <c r="E396" s="62"/>
      <c r="K396" s="63"/>
      <c r="M396" s="64"/>
      <c r="N396" s="65"/>
    </row>
    <row r="397">
      <c r="A397" s="66"/>
      <c r="E397" s="62"/>
      <c r="K397" s="63"/>
      <c r="M397" s="64"/>
      <c r="N397" s="65"/>
    </row>
    <row r="398">
      <c r="A398" s="66"/>
      <c r="E398" s="62"/>
      <c r="K398" s="63"/>
      <c r="M398" s="64"/>
      <c r="N398" s="65"/>
    </row>
    <row r="399">
      <c r="A399" s="66"/>
      <c r="E399" s="62"/>
      <c r="K399" s="63"/>
      <c r="M399" s="64"/>
      <c r="N399" s="65"/>
    </row>
    <row r="400">
      <c r="A400" s="66"/>
      <c r="E400" s="62"/>
      <c r="K400" s="63"/>
      <c r="M400" s="64"/>
      <c r="N400" s="65"/>
    </row>
    <row r="401">
      <c r="A401" s="66"/>
      <c r="E401" s="62"/>
      <c r="K401" s="63"/>
      <c r="M401" s="64"/>
      <c r="N401" s="65"/>
    </row>
    <row r="402">
      <c r="A402" s="66"/>
      <c r="E402" s="62"/>
      <c r="K402" s="63"/>
      <c r="M402" s="64"/>
      <c r="N402" s="65"/>
    </row>
    <row r="403">
      <c r="A403" s="66"/>
      <c r="E403" s="62"/>
      <c r="K403" s="63"/>
      <c r="M403" s="64"/>
      <c r="N403" s="65"/>
    </row>
    <row r="404">
      <c r="A404" s="66"/>
      <c r="E404" s="62"/>
      <c r="K404" s="63"/>
      <c r="M404" s="64"/>
      <c r="N404" s="65"/>
    </row>
    <row r="405">
      <c r="A405" s="66"/>
      <c r="E405" s="62"/>
      <c r="K405" s="63"/>
      <c r="M405" s="64"/>
      <c r="N405" s="65"/>
    </row>
    <row r="406">
      <c r="A406" s="66"/>
      <c r="E406" s="62"/>
      <c r="K406" s="63"/>
      <c r="M406" s="64"/>
      <c r="N406" s="65"/>
    </row>
    <row r="407">
      <c r="A407" s="66"/>
      <c r="E407" s="62"/>
      <c r="K407" s="63"/>
      <c r="M407" s="64"/>
      <c r="N407" s="65"/>
    </row>
    <row r="408">
      <c r="A408" s="66"/>
      <c r="E408" s="62"/>
      <c r="K408" s="63"/>
      <c r="M408" s="64"/>
      <c r="N408" s="65"/>
    </row>
    <row r="409">
      <c r="A409" s="66"/>
      <c r="E409" s="62"/>
      <c r="K409" s="63"/>
      <c r="M409" s="64"/>
      <c r="N409" s="65"/>
    </row>
    <row r="410">
      <c r="A410" s="66"/>
      <c r="E410" s="62"/>
      <c r="K410" s="63"/>
      <c r="M410" s="64"/>
      <c r="N410" s="65"/>
    </row>
    <row r="411">
      <c r="A411" s="66"/>
      <c r="E411" s="62"/>
      <c r="K411" s="63"/>
      <c r="M411" s="64"/>
      <c r="N411" s="65"/>
    </row>
    <row r="412">
      <c r="A412" s="66"/>
      <c r="E412" s="62"/>
      <c r="K412" s="63"/>
      <c r="M412" s="64"/>
      <c r="N412" s="65"/>
    </row>
    <row r="413">
      <c r="A413" s="66"/>
      <c r="E413" s="62"/>
      <c r="K413" s="63"/>
      <c r="M413" s="64"/>
      <c r="N413" s="65"/>
    </row>
    <row r="414">
      <c r="A414" s="66"/>
      <c r="E414" s="62"/>
      <c r="K414" s="63"/>
      <c r="M414" s="64"/>
      <c r="N414" s="65"/>
    </row>
    <row r="415">
      <c r="A415" s="66"/>
      <c r="E415" s="62"/>
      <c r="K415" s="63"/>
      <c r="M415" s="64"/>
      <c r="N415" s="65"/>
    </row>
    <row r="416">
      <c r="A416" s="66"/>
      <c r="E416" s="62"/>
      <c r="K416" s="63"/>
      <c r="M416" s="64"/>
      <c r="N416" s="65"/>
    </row>
    <row r="417">
      <c r="A417" s="66"/>
      <c r="E417" s="62"/>
      <c r="K417" s="63"/>
      <c r="M417" s="64"/>
      <c r="N417" s="65"/>
    </row>
    <row r="418">
      <c r="A418" s="66"/>
      <c r="E418" s="62"/>
      <c r="K418" s="63"/>
      <c r="M418" s="64"/>
      <c r="N418" s="65"/>
    </row>
    <row r="419">
      <c r="A419" s="66"/>
      <c r="E419" s="62"/>
      <c r="K419" s="63"/>
      <c r="M419" s="64"/>
      <c r="N419" s="65"/>
    </row>
    <row r="420">
      <c r="A420" s="66"/>
      <c r="E420" s="62"/>
      <c r="K420" s="63"/>
      <c r="M420" s="64"/>
      <c r="N420" s="65"/>
    </row>
    <row r="421">
      <c r="A421" s="66"/>
      <c r="E421" s="62"/>
      <c r="K421" s="63"/>
      <c r="M421" s="64"/>
      <c r="N421" s="65"/>
    </row>
    <row r="422">
      <c r="A422" s="66"/>
      <c r="E422" s="62"/>
      <c r="K422" s="63"/>
      <c r="M422" s="64"/>
      <c r="N422" s="65"/>
    </row>
    <row r="423">
      <c r="A423" s="66"/>
      <c r="E423" s="62"/>
      <c r="K423" s="63"/>
      <c r="M423" s="64"/>
      <c r="N423" s="65"/>
    </row>
    <row r="424">
      <c r="A424" s="66"/>
      <c r="E424" s="62"/>
      <c r="K424" s="63"/>
      <c r="M424" s="64"/>
      <c r="N424" s="65"/>
    </row>
    <row r="425">
      <c r="A425" s="66"/>
      <c r="E425" s="62"/>
      <c r="K425" s="63"/>
      <c r="M425" s="64"/>
      <c r="N425" s="65"/>
    </row>
    <row r="426">
      <c r="A426" s="66"/>
      <c r="E426" s="62"/>
      <c r="K426" s="63"/>
      <c r="M426" s="64"/>
      <c r="N426" s="65"/>
    </row>
    <row r="427">
      <c r="A427" s="66"/>
      <c r="E427" s="62"/>
      <c r="K427" s="63"/>
      <c r="M427" s="64"/>
      <c r="N427" s="65"/>
    </row>
    <row r="428">
      <c r="A428" s="66"/>
      <c r="E428" s="62"/>
      <c r="K428" s="63"/>
      <c r="M428" s="64"/>
      <c r="N428" s="65"/>
    </row>
    <row r="429">
      <c r="A429" s="66"/>
      <c r="E429" s="62"/>
      <c r="K429" s="63"/>
      <c r="M429" s="64"/>
      <c r="N429" s="65"/>
    </row>
    <row r="430">
      <c r="A430" s="66"/>
      <c r="E430" s="62"/>
      <c r="K430" s="63"/>
      <c r="M430" s="64"/>
      <c r="N430" s="65"/>
    </row>
    <row r="431">
      <c r="A431" s="66"/>
      <c r="E431" s="62"/>
      <c r="K431" s="63"/>
      <c r="M431" s="64"/>
      <c r="N431" s="65"/>
    </row>
    <row r="432">
      <c r="A432" s="66"/>
      <c r="E432" s="62"/>
      <c r="K432" s="63"/>
      <c r="M432" s="64"/>
      <c r="N432" s="65"/>
    </row>
    <row r="433">
      <c r="A433" s="66"/>
      <c r="E433" s="62"/>
      <c r="K433" s="63"/>
      <c r="M433" s="64"/>
      <c r="N433" s="65"/>
    </row>
    <row r="434">
      <c r="A434" s="66"/>
      <c r="E434" s="62"/>
      <c r="K434" s="63"/>
      <c r="M434" s="64"/>
      <c r="N434" s="65"/>
    </row>
    <row r="435">
      <c r="A435" s="66"/>
      <c r="E435" s="62"/>
      <c r="K435" s="63"/>
      <c r="M435" s="64"/>
      <c r="N435" s="65"/>
    </row>
    <row r="436">
      <c r="A436" s="66"/>
      <c r="E436" s="62"/>
      <c r="K436" s="63"/>
      <c r="M436" s="64"/>
      <c r="N436" s="65"/>
    </row>
    <row r="437">
      <c r="A437" s="66"/>
      <c r="E437" s="62"/>
      <c r="K437" s="63"/>
      <c r="M437" s="64"/>
      <c r="N437" s="65"/>
    </row>
    <row r="438">
      <c r="A438" s="66"/>
      <c r="E438" s="62"/>
      <c r="K438" s="63"/>
      <c r="M438" s="64"/>
      <c r="N438" s="65"/>
    </row>
    <row r="439">
      <c r="A439" s="66"/>
      <c r="E439" s="62"/>
      <c r="K439" s="63"/>
      <c r="M439" s="64"/>
      <c r="N439" s="65"/>
    </row>
    <row r="440">
      <c r="A440" s="66"/>
      <c r="E440" s="62"/>
      <c r="K440" s="63"/>
      <c r="M440" s="64"/>
      <c r="N440" s="65"/>
    </row>
    <row r="441">
      <c r="A441" s="66"/>
      <c r="E441" s="62"/>
      <c r="K441" s="63"/>
      <c r="M441" s="64"/>
      <c r="N441" s="65"/>
    </row>
    <row r="442">
      <c r="A442" s="66"/>
      <c r="E442" s="62"/>
      <c r="K442" s="63"/>
      <c r="M442" s="64"/>
      <c r="N442" s="65"/>
    </row>
    <row r="443">
      <c r="A443" s="66"/>
      <c r="E443" s="62"/>
      <c r="K443" s="63"/>
      <c r="M443" s="64"/>
      <c r="N443" s="65"/>
    </row>
    <row r="444">
      <c r="A444" s="66"/>
      <c r="E444" s="62"/>
      <c r="K444" s="63"/>
      <c r="M444" s="64"/>
      <c r="N444" s="65"/>
    </row>
    <row r="445">
      <c r="A445" s="66"/>
      <c r="E445" s="62"/>
      <c r="K445" s="63"/>
      <c r="M445" s="64"/>
      <c r="N445" s="65"/>
    </row>
    <row r="446">
      <c r="A446" s="66"/>
      <c r="E446" s="62"/>
      <c r="K446" s="63"/>
      <c r="M446" s="64"/>
      <c r="N446" s="65"/>
    </row>
    <row r="447">
      <c r="A447" s="66"/>
      <c r="E447" s="62"/>
      <c r="K447" s="63"/>
      <c r="M447" s="64"/>
      <c r="N447" s="65"/>
    </row>
    <row r="448">
      <c r="A448" s="66"/>
      <c r="E448" s="62"/>
      <c r="K448" s="63"/>
      <c r="M448" s="64"/>
      <c r="N448" s="65"/>
    </row>
    <row r="449">
      <c r="A449" s="66"/>
      <c r="E449" s="62"/>
      <c r="K449" s="63"/>
      <c r="M449" s="64"/>
      <c r="N449" s="65"/>
    </row>
    <row r="450">
      <c r="A450" s="66"/>
      <c r="E450" s="62"/>
      <c r="K450" s="63"/>
      <c r="M450" s="64"/>
      <c r="N450" s="65"/>
    </row>
    <row r="451">
      <c r="A451" s="66"/>
      <c r="E451" s="62"/>
      <c r="K451" s="63"/>
      <c r="M451" s="64"/>
      <c r="N451" s="65"/>
    </row>
    <row r="452">
      <c r="A452" s="66"/>
      <c r="E452" s="62"/>
      <c r="K452" s="63"/>
      <c r="M452" s="64"/>
      <c r="N452" s="65"/>
    </row>
    <row r="453">
      <c r="A453" s="66"/>
      <c r="E453" s="62"/>
      <c r="K453" s="63"/>
      <c r="M453" s="64"/>
      <c r="N453" s="65"/>
    </row>
    <row r="454">
      <c r="A454" s="66"/>
      <c r="E454" s="62"/>
      <c r="K454" s="63"/>
      <c r="M454" s="64"/>
      <c r="N454" s="65"/>
    </row>
    <row r="455">
      <c r="A455" s="66"/>
      <c r="E455" s="62"/>
      <c r="K455" s="63"/>
      <c r="M455" s="64"/>
      <c r="N455" s="65"/>
    </row>
    <row r="456">
      <c r="A456" s="66"/>
      <c r="E456" s="62"/>
      <c r="K456" s="63"/>
      <c r="M456" s="64"/>
      <c r="N456" s="65"/>
    </row>
    <row r="457">
      <c r="A457" s="66"/>
      <c r="E457" s="62"/>
      <c r="K457" s="63"/>
      <c r="M457" s="64"/>
      <c r="N457" s="65"/>
    </row>
    <row r="458">
      <c r="A458" s="66"/>
      <c r="E458" s="62"/>
      <c r="K458" s="63"/>
      <c r="M458" s="64"/>
      <c r="N458" s="65"/>
    </row>
    <row r="459">
      <c r="A459" s="66"/>
      <c r="E459" s="62"/>
      <c r="K459" s="63"/>
      <c r="M459" s="64"/>
      <c r="N459" s="65"/>
    </row>
    <row r="460">
      <c r="A460" s="66"/>
      <c r="E460" s="62"/>
      <c r="K460" s="63"/>
      <c r="M460" s="64"/>
      <c r="N460" s="65"/>
    </row>
    <row r="461">
      <c r="A461" s="66"/>
      <c r="E461" s="62"/>
      <c r="K461" s="63"/>
      <c r="M461" s="64"/>
      <c r="N461" s="65"/>
    </row>
    <row r="462">
      <c r="A462" s="66"/>
      <c r="E462" s="62"/>
      <c r="K462" s="63"/>
      <c r="M462" s="64"/>
      <c r="N462" s="65"/>
    </row>
    <row r="463">
      <c r="A463" s="66"/>
      <c r="E463" s="62"/>
      <c r="K463" s="63"/>
      <c r="M463" s="64"/>
      <c r="N463" s="65"/>
    </row>
    <row r="464">
      <c r="A464" s="66"/>
      <c r="E464" s="62"/>
      <c r="K464" s="63"/>
      <c r="M464" s="64"/>
      <c r="N464" s="65"/>
    </row>
    <row r="465">
      <c r="A465" s="66"/>
      <c r="E465" s="62"/>
      <c r="K465" s="63"/>
      <c r="M465" s="64"/>
      <c r="N465" s="65"/>
    </row>
    <row r="466">
      <c r="A466" s="66"/>
      <c r="E466" s="62"/>
      <c r="K466" s="63"/>
      <c r="M466" s="64"/>
      <c r="N466" s="65"/>
    </row>
    <row r="467">
      <c r="A467" s="66"/>
      <c r="E467" s="62"/>
      <c r="K467" s="63"/>
      <c r="M467" s="64"/>
      <c r="N467" s="65"/>
    </row>
    <row r="468">
      <c r="A468" s="66"/>
      <c r="E468" s="62"/>
      <c r="K468" s="63"/>
      <c r="M468" s="64"/>
      <c r="N468" s="65"/>
    </row>
    <row r="469">
      <c r="A469" s="66"/>
      <c r="E469" s="62"/>
      <c r="K469" s="63"/>
      <c r="M469" s="64"/>
      <c r="N469" s="65"/>
    </row>
    <row r="470">
      <c r="A470" s="66"/>
      <c r="E470" s="62"/>
      <c r="K470" s="63"/>
      <c r="M470" s="64"/>
      <c r="N470" s="65"/>
    </row>
    <row r="471">
      <c r="A471" s="66"/>
      <c r="E471" s="62"/>
      <c r="K471" s="63"/>
      <c r="M471" s="64"/>
      <c r="N471" s="65"/>
    </row>
    <row r="472">
      <c r="A472" s="66"/>
      <c r="E472" s="62"/>
      <c r="K472" s="63"/>
      <c r="M472" s="64"/>
      <c r="N472" s="65"/>
    </row>
    <row r="473">
      <c r="A473" s="66"/>
      <c r="E473" s="62"/>
      <c r="K473" s="63"/>
      <c r="M473" s="64"/>
      <c r="N473" s="65"/>
    </row>
    <row r="474">
      <c r="A474" s="66"/>
      <c r="E474" s="62"/>
      <c r="K474" s="63"/>
      <c r="M474" s="64"/>
      <c r="N474" s="65"/>
    </row>
    <row r="475">
      <c r="A475" s="66"/>
      <c r="E475" s="62"/>
      <c r="K475" s="63"/>
      <c r="M475" s="64"/>
      <c r="N475" s="65"/>
    </row>
    <row r="476">
      <c r="A476" s="66"/>
      <c r="E476" s="62"/>
      <c r="K476" s="63"/>
      <c r="M476" s="64"/>
      <c r="N476" s="65"/>
    </row>
    <row r="477">
      <c r="A477" s="66"/>
      <c r="E477" s="62"/>
      <c r="K477" s="63"/>
      <c r="M477" s="64"/>
      <c r="N477" s="65"/>
    </row>
    <row r="478">
      <c r="A478" s="66"/>
      <c r="E478" s="62"/>
      <c r="K478" s="63"/>
      <c r="M478" s="64"/>
      <c r="N478" s="65"/>
    </row>
    <row r="479">
      <c r="A479" s="66"/>
      <c r="E479" s="62"/>
      <c r="K479" s="63"/>
      <c r="M479" s="64"/>
      <c r="N479" s="65"/>
    </row>
    <row r="480">
      <c r="A480" s="66"/>
      <c r="E480" s="62"/>
      <c r="K480" s="63"/>
      <c r="M480" s="64"/>
      <c r="N480" s="65"/>
    </row>
    <row r="481">
      <c r="A481" s="66"/>
      <c r="E481" s="62"/>
      <c r="K481" s="63"/>
      <c r="M481" s="64"/>
      <c r="N481" s="65"/>
    </row>
    <row r="482">
      <c r="A482" s="66"/>
      <c r="E482" s="62"/>
      <c r="K482" s="63"/>
      <c r="M482" s="64"/>
      <c r="N482" s="65"/>
    </row>
    <row r="483">
      <c r="A483" s="66"/>
      <c r="E483" s="62"/>
      <c r="K483" s="63"/>
      <c r="M483" s="64"/>
      <c r="N483" s="65"/>
    </row>
    <row r="484">
      <c r="A484" s="66"/>
      <c r="E484" s="62"/>
      <c r="K484" s="63"/>
      <c r="M484" s="64"/>
      <c r="N484" s="65"/>
    </row>
    <row r="485">
      <c r="A485" s="66"/>
      <c r="E485" s="62"/>
      <c r="K485" s="63"/>
      <c r="M485" s="64"/>
      <c r="N485" s="65"/>
    </row>
    <row r="486">
      <c r="A486" s="66"/>
      <c r="E486" s="62"/>
      <c r="K486" s="63"/>
      <c r="M486" s="64"/>
      <c r="N486" s="65"/>
    </row>
    <row r="487">
      <c r="A487" s="66"/>
      <c r="E487" s="62"/>
      <c r="K487" s="63"/>
      <c r="M487" s="64"/>
      <c r="N487" s="65"/>
    </row>
    <row r="488">
      <c r="A488" s="66"/>
      <c r="E488" s="62"/>
      <c r="K488" s="63"/>
      <c r="M488" s="64"/>
      <c r="N488" s="65"/>
    </row>
    <row r="489">
      <c r="A489" s="66"/>
      <c r="E489" s="62"/>
      <c r="K489" s="63"/>
      <c r="M489" s="64"/>
      <c r="N489" s="65"/>
    </row>
    <row r="490">
      <c r="A490" s="66"/>
      <c r="E490" s="62"/>
      <c r="K490" s="63"/>
      <c r="M490" s="64"/>
      <c r="N490" s="65"/>
    </row>
    <row r="491">
      <c r="A491" s="66"/>
      <c r="E491" s="62"/>
      <c r="K491" s="63"/>
      <c r="M491" s="64"/>
      <c r="N491" s="65"/>
    </row>
    <row r="492">
      <c r="A492" s="66"/>
      <c r="E492" s="62"/>
      <c r="K492" s="63"/>
      <c r="M492" s="64"/>
      <c r="N492" s="65"/>
    </row>
    <row r="493">
      <c r="A493" s="66"/>
      <c r="E493" s="62"/>
      <c r="K493" s="63"/>
      <c r="M493" s="64"/>
      <c r="N493" s="65"/>
    </row>
    <row r="494">
      <c r="A494" s="66"/>
      <c r="E494" s="62"/>
      <c r="K494" s="63"/>
      <c r="M494" s="64"/>
      <c r="N494" s="65"/>
    </row>
    <row r="495">
      <c r="A495" s="66"/>
      <c r="E495" s="62"/>
      <c r="K495" s="63"/>
      <c r="M495" s="64"/>
      <c r="N495" s="65"/>
    </row>
    <row r="496">
      <c r="A496" s="66"/>
      <c r="E496" s="62"/>
      <c r="K496" s="63"/>
      <c r="M496" s="64"/>
      <c r="N496" s="65"/>
    </row>
    <row r="497">
      <c r="A497" s="66"/>
      <c r="E497" s="62"/>
      <c r="K497" s="63"/>
      <c r="M497" s="64"/>
      <c r="N497" s="65"/>
    </row>
    <row r="498">
      <c r="A498" s="66"/>
      <c r="E498" s="62"/>
      <c r="K498" s="63"/>
      <c r="M498" s="64"/>
      <c r="N498" s="65"/>
    </row>
    <row r="499">
      <c r="A499" s="66"/>
      <c r="E499" s="62"/>
      <c r="K499" s="63"/>
      <c r="M499" s="64"/>
      <c r="N499" s="65"/>
    </row>
    <row r="500">
      <c r="A500" s="66"/>
      <c r="E500" s="62"/>
      <c r="K500" s="63"/>
      <c r="M500" s="64"/>
      <c r="N500" s="65"/>
    </row>
    <row r="501">
      <c r="A501" s="66"/>
      <c r="E501" s="62"/>
      <c r="K501" s="63"/>
      <c r="M501" s="64"/>
      <c r="N501" s="65"/>
    </row>
    <row r="502">
      <c r="A502" s="66"/>
      <c r="E502" s="62"/>
      <c r="K502" s="63"/>
      <c r="M502" s="64"/>
      <c r="N502" s="65"/>
    </row>
    <row r="503">
      <c r="A503" s="66"/>
      <c r="E503" s="62"/>
      <c r="K503" s="63"/>
      <c r="M503" s="64"/>
      <c r="N503" s="65"/>
    </row>
    <row r="504">
      <c r="A504" s="66"/>
      <c r="E504" s="62"/>
      <c r="K504" s="63"/>
      <c r="M504" s="64"/>
      <c r="N504" s="65"/>
    </row>
    <row r="505">
      <c r="A505" s="66"/>
      <c r="E505" s="62"/>
      <c r="K505" s="63"/>
      <c r="M505" s="64"/>
      <c r="N505" s="65"/>
    </row>
    <row r="506">
      <c r="A506" s="66"/>
      <c r="E506" s="62"/>
      <c r="K506" s="63"/>
      <c r="M506" s="64"/>
      <c r="N506" s="65"/>
    </row>
    <row r="507">
      <c r="A507" s="66"/>
      <c r="E507" s="62"/>
      <c r="K507" s="63"/>
      <c r="M507" s="64"/>
      <c r="N507" s="65"/>
    </row>
    <row r="508">
      <c r="A508" s="66"/>
      <c r="E508" s="62"/>
      <c r="K508" s="63"/>
      <c r="M508" s="64"/>
      <c r="N508" s="65"/>
    </row>
    <row r="509">
      <c r="A509" s="66"/>
      <c r="E509" s="62"/>
      <c r="K509" s="63"/>
      <c r="M509" s="64"/>
      <c r="N509" s="65"/>
    </row>
    <row r="510">
      <c r="A510" s="66"/>
      <c r="E510" s="62"/>
      <c r="K510" s="63"/>
      <c r="M510" s="64"/>
      <c r="N510" s="65"/>
    </row>
    <row r="511">
      <c r="A511" s="66"/>
      <c r="E511" s="62"/>
      <c r="K511" s="63"/>
      <c r="M511" s="64"/>
      <c r="N511" s="65"/>
    </row>
    <row r="512">
      <c r="A512" s="66"/>
      <c r="E512" s="62"/>
      <c r="K512" s="63"/>
      <c r="M512" s="64"/>
      <c r="N512" s="65"/>
    </row>
    <row r="513">
      <c r="A513" s="66"/>
      <c r="E513" s="62"/>
      <c r="K513" s="63"/>
      <c r="M513" s="64"/>
      <c r="N513" s="65"/>
    </row>
    <row r="514">
      <c r="A514" s="66"/>
      <c r="E514" s="62"/>
      <c r="K514" s="63"/>
      <c r="M514" s="64"/>
      <c r="N514" s="65"/>
    </row>
    <row r="515">
      <c r="A515" s="66"/>
      <c r="E515" s="62"/>
      <c r="K515" s="63"/>
      <c r="M515" s="64"/>
      <c r="N515" s="65"/>
    </row>
    <row r="516">
      <c r="A516" s="66"/>
      <c r="E516" s="62"/>
      <c r="K516" s="63"/>
      <c r="M516" s="64"/>
      <c r="N516" s="65"/>
    </row>
    <row r="517">
      <c r="A517" s="66"/>
      <c r="E517" s="62"/>
      <c r="K517" s="63"/>
      <c r="M517" s="64"/>
      <c r="N517" s="65"/>
    </row>
    <row r="518">
      <c r="A518" s="66"/>
      <c r="E518" s="62"/>
      <c r="K518" s="63"/>
      <c r="M518" s="64"/>
      <c r="N518" s="65"/>
    </row>
    <row r="519">
      <c r="A519" s="66"/>
      <c r="E519" s="62"/>
      <c r="K519" s="63"/>
      <c r="M519" s="64"/>
      <c r="N519" s="65"/>
    </row>
    <row r="520">
      <c r="A520" s="66"/>
      <c r="E520" s="62"/>
      <c r="K520" s="63"/>
      <c r="M520" s="64"/>
      <c r="N520" s="65"/>
    </row>
    <row r="521">
      <c r="A521" s="66"/>
      <c r="E521" s="62"/>
      <c r="K521" s="63"/>
      <c r="M521" s="64"/>
      <c r="N521" s="65"/>
    </row>
    <row r="522">
      <c r="A522" s="66"/>
      <c r="E522" s="62"/>
      <c r="K522" s="63"/>
      <c r="M522" s="64"/>
      <c r="N522" s="65"/>
    </row>
    <row r="523">
      <c r="A523" s="66"/>
      <c r="E523" s="62"/>
      <c r="K523" s="63"/>
      <c r="M523" s="64"/>
      <c r="N523" s="65"/>
    </row>
    <row r="524">
      <c r="A524" s="66"/>
      <c r="E524" s="62"/>
      <c r="K524" s="63"/>
      <c r="M524" s="64"/>
      <c r="N524" s="65"/>
    </row>
    <row r="525">
      <c r="A525" s="66"/>
      <c r="E525" s="62"/>
      <c r="K525" s="63"/>
      <c r="M525" s="64"/>
      <c r="N525" s="65"/>
    </row>
    <row r="526">
      <c r="A526" s="66"/>
      <c r="E526" s="62"/>
      <c r="K526" s="63"/>
      <c r="M526" s="64"/>
      <c r="N526" s="65"/>
    </row>
    <row r="527">
      <c r="A527" s="66"/>
      <c r="E527" s="62"/>
      <c r="K527" s="63"/>
      <c r="M527" s="64"/>
      <c r="N527" s="65"/>
    </row>
    <row r="528">
      <c r="A528" s="66"/>
      <c r="E528" s="62"/>
      <c r="K528" s="63"/>
      <c r="M528" s="64"/>
      <c r="N528" s="65"/>
    </row>
    <row r="529">
      <c r="A529" s="66"/>
      <c r="E529" s="62"/>
      <c r="K529" s="63"/>
      <c r="M529" s="64"/>
      <c r="N529" s="65"/>
    </row>
    <row r="530">
      <c r="A530" s="66"/>
      <c r="E530" s="62"/>
      <c r="K530" s="63"/>
      <c r="M530" s="64"/>
      <c r="N530" s="65"/>
    </row>
    <row r="531">
      <c r="A531" s="66"/>
      <c r="E531" s="62"/>
      <c r="K531" s="63"/>
      <c r="M531" s="64"/>
      <c r="N531" s="65"/>
    </row>
    <row r="532">
      <c r="A532" s="66"/>
      <c r="E532" s="62"/>
      <c r="K532" s="63"/>
      <c r="M532" s="64"/>
      <c r="N532" s="65"/>
    </row>
    <row r="533">
      <c r="A533" s="66"/>
      <c r="E533" s="62"/>
      <c r="K533" s="63"/>
      <c r="M533" s="64"/>
      <c r="N533" s="65"/>
    </row>
    <row r="534">
      <c r="A534" s="66"/>
      <c r="E534" s="62"/>
      <c r="K534" s="63"/>
      <c r="M534" s="64"/>
      <c r="N534" s="65"/>
    </row>
    <row r="535">
      <c r="A535" s="66"/>
      <c r="E535" s="62"/>
      <c r="K535" s="63"/>
      <c r="M535" s="64"/>
      <c r="N535" s="65"/>
    </row>
    <row r="536">
      <c r="A536" s="66"/>
      <c r="E536" s="62"/>
      <c r="K536" s="63"/>
      <c r="M536" s="64"/>
      <c r="N536" s="65"/>
    </row>
    <row r="537">
      <c r="A537" s="66"/>
      <c r="E537" s="62"/>
      <c r="K537" s="63"/>
      <c r="M537" s="64"/>
      <c r="N537" s="65"/>
    </row>
    <row r="538">
      <c r="A538" s="66"/>
      <c r="E538" s="62"/>
      <c r="K538" s="63"/>
      <c r="M538" s="64"/>
      <c r="N538" s="65"/>
    </row>
    <row r="539">
      <c r="A539" s="66"/>
      <c r="E539" s="62"/>
      <c r="K539" s="63"/>
      <c r="M539" s="64"/>
      <c r="N539" s="65"/>
    </row>
    <row r="540">
      <c r="A540" s="66"/>
      <c r="E540" s="62"/>
      <c r="K540" s="63"/>
      <c r="M540" s="64"/>
      <c r="N540" s="65"/>
    </row>
    <row r="541">
      <c r="A541" s="66"/>
      <c r="E541" s="62"/>
      <c r="K541" s="63"/>
      <c r="M541" s="64"/>
      <c r="N541" s="65"/>
    </row>
    <row r="542">
      <c r="A542" s="66"/>
      <c r="E542" s="62"/>
      <c r="K542" s="63"/>
      <c r="M542" s="64"/>
      <c r="N542" s="65"/>
    </row>
    <row r="543">
      <c r="A543" s="66"/>
      <c r="E543" s="62"/>
      <c r="K543" s="63"/>
      <c r="M543" s="64"/>
      <c r="N543" s="65"/>
    </row>
    <row r="544">
      <c r="A544" s="66"/>
      <c r="E544" s="62"/>
      <c r="K544" s="63"/>
      <c r="M544" s="64"/>
      <c r="N544" s="65"/>
    </row>
    <row r="545">
      <c r="A545" s="66"/>
      <c r="E545" s="62"/>
      <c r="K545" s="63"/>
      <c r="M545" s="64"/>
      <c r="N545" s="65"/>
    </row>
    <row r="546">
      <c r="A546" s="66"/>
      <c r="E546" s="62"/>
      <c r="K546" s="63"/>
      <c r="M546" s="64"/>
      <c r="N546" s="65"/>
    </row>
    <row r="547">
      <c r="A547" s="66"/>
      <c r="E547" s="62"/>
      <c r="K547" s="63"/>
      <c r="M547" s="64"/>
      <c r="N547" s="65"/>
    </row>
    <row r="548">
      <c r="A548" s="66"/>
      <c r="E548" s="62"/>
      <c r="K548" s="63"/>
      <c r="M548" s="64"/>
      <c r="N548" s="65"/>
    </row>
    <row r="549">
      <c r="A549" s="66"/>
      <c r="E549" s="62"/>
      <c r="K549" s="63"/>
      <c r="M549" s="64"/>
      <c r="N549" s="65"/>
    </row>
    <row r="550">
      <c r="A550" s="66"/>
      <c r="E550" s="62"/>
      <c r="K550" s="63"/>
      <c r="M550" s="64"/>
      <c r="N550" s="65"/>
    </row>
    <row r="551">
      <c r="A551" s="66"/>
      <c r="E551" s="62"/>
      <c r="K551" s="63"/>
      <c r="M551" s="64"/>
      <c r="N551" s="65"/>
    </row>
    <row r="552">
      <c r="A552" s="66"/>
      <c r="E552" s="62"/>
      <c r="K552" s="63"/>
      <c r="M552" s="64"/>
      <c r="N552" s="65"/>
    </row>
    <row r="553">
      <c r="A553" s="66"/>
      <c r="E553" s="62"/>
      <c r="K553" s="63"/>
      <c r="M553" s="64"/>
      <c r="N553" s="65"/>
    </row>
    <row r="554">
      <c r="A554" s="66"/>
      <c r="E554" s="62"/>
      <c r="K554" s="63"/>
      <c r="M554" s="64"/>
      <c r="N554" s="65"/>
    </row>
    <row r="555">
      <c r="A555" s="66"/>
      <c r="E555" s="62"/>
      <c r="K555" s="63"/>
      <c r="M555" s="64"/>
      <c r="N555" s="65"/>
    </row>
    <row r="556">
      <c r="A556" s="66"/>
      <c r="E556" s="62"/>
      <c r="K556" s="63"/>
      <c r="M556" s="64"/>
      <c r="N556" s="65"/>
    </row>
    <row r="557">
      <c r="A557" s="66"/>
      <c r="E557" s="62"/>
      <c r="K557" s="63"/>
      <c r="M557" s="64"/>
      <c r="N557" s="65"/>
    </row>
    <row r="558">
      <c r="A558" s="66"/>
      <c r="E558" s="62"/>
      <c r="K558" s="63"/>
      <c r="M558" s="64"/>
      <c r="N558" s="65"/>
    </row>
    <row r="559">
      <c r="A559" s="66"/>
      <c r="E559" s="62"/>
      <c r="K559" s="63"/>
      <c r="M559" s="64"/>
      <c r="N559" s="65"/>
    </row>
    <row r="560">
      <c r="A560" s="66"/>
      <c r="E560" s="62"/>
      <c r="K560" s="63"/>
      <c r="M560" s="64"/>
      <c r="N560" s="65"/>
    </row>
    <row r="561">
      <c r="A561" s="66"/>
      <c r="E561" s="62"/>
      <c r="K561" s="63"/>
      <c r="M561" s="64"/>
      <c r="N561" s="65"/>
    </row>
    <row r="562">
      <c r="A562" s="66"/>
      <c r="E562" s="62"/>
      <c r="K562" s="63"/>
      <c r="M562" s="64"/>
      <c r="N562" s="65"/>
    </row>
    <row r="563">
      <c r="A563" s="66"/>
      <c r="E563" s="62"/>
      <c r="K563" s="63"/>
      <c r="M563" s="64"/>
      <c r="N563" s="65"/>
    </row>
    <row r="564">
      <c r="A564" s="66"/>
      <c r="E564" s="62"/>
      <c r="K564" s="63"/>
      <c r="M564" s="64"/>
      <c r="N564" s="65"/>
    </row>
    <row r="565">
      <c r="A565" s="66"/>
      <c r="E565" s="62"/>
      <c r="K565" s="63"/>
      <c r="M565" s="64"/>
      <c r="N565" s="65"/>
    </row>
    <row r="566">
      <c r="A566" s="66"/>
      <c r="E566" s="62"/>
      <c r="K566" s="63"/>
      <c r="M566" s="64"/>
      <c r="N566" s="65"/>
    </row>
    <row r="567">
      <c r="A567" s="66"/>
      <c r="E567" s="62"/>
      <c r="K567" s="63"/>
      <c r="M567" s="64"/>
      <c r="N567" s="65"/>
    </row>
    <row r="568">
      <c r="A568" s="66"/>
      <c r="E568" s="62"/>
      <c r="K568" s="63"/>
      <c r="M568" s="64"/>
      <c r="N568" s="65"/>
    </row>
    <row r="569">
      <c r="A569" s="66"/>
      <c r="E569" s="62"/>
      <c r="K569" s="63"/>
      <c r="M569" s="64"/>
      <c r="N569" s="65"/>
    </row>
    <row r="570">
      <c r="A570" s="66"/>
      <c r="E570" s="62"/>
      <c r="K570" s="63"/>
      <c r="M570" s="64"/>
      <c r="N570" s="65"/>
    </row>
    <row r="571">
      <c r="A571" s="66"/>
      <c r="E571" s="62"/>
      <c r="K571" s="63"/>
      <c r="M571" s="64"/>
      <c r="N571" s="65"/>
    </row>
    <row r="572">
      <c r="A572" s="66"/>
      <c r="E572" s="62"/>
      <c r="K572" s="63"/>
      <c r="M572" s="64"/>
      <c r="N572" s="65"/>
    </row>
    <row r="573">
      <c r="A573" s="66"/>
      <c r="E573" s="62"/>
      <c r="K573" s="63"/>
      <c r="M573" s="64"/>
      <c r="N573" s="65"/>
    </row>
    <row r="574">
      <c r="A574" s="66"/>
      <c r="E574" s="62"/>
      <c r="K574" s="63"/>
      <c r="M574" s="64"/>
      <c r="N574" s="65"/>
    </row>
    <row r="575">
      <c r="A575" s="66"/>
      <c r="E575" s="62"/>
      <c r="K575" s="63"/>
      <c r="M575" s="64"/>
      <c r="N575" s="65"/>
    </row>
    <row r="576">
      <c r="A576" s="66"/>
      <c r="E576" s="62"/>
      <c r="K576" s="63"/>
      <c r="M576" s="64"/>
      <c r="N576" s="65"/>
    </row>
    <row r="577">
      <c r="A577" s="66"/>
      <c r="E577" s="62"/>
      <c r="K577" s="63"/>
      <c r="M577" s="64"/>
      <c r="N577" s="65"/>
    </row>
    <row r="578">
      <c r="A578" s="66"/>
      <c r="E578" s="62"/>
      <c r="K578" s="63"/>
      <c r="M578" s="64"/>
      <c r="N578" s="65"/>
    </row>
    <row r="579">
      <c r="A579" s="66"/>
      <c r="E579" s="62"/>
      <c r="K579" s="63"/>
      <c r="M579" s="64"/>
      <c r="N579" s="65"/>
    </row>
    <row r="580">
      <c r="A580" s="66"/>
      <c r="E580" s="62"/>
      <c r="K580" s="63"/>
      <c r="M580" s="64"/>
      <c r="N580" s="65"/>
    </row>
    <row r="581">
      <c r="A581" s="66"/>
      <c r="E581" s="62"/>
      <c r="K581" s="63"/>
      <c r="M581" s="64"/>
      <c r="N581" s="65"/>
    </row>
    <row r="582">
      <c r="A582" s="66"/>
      <c r="E582" s="62"/>
      <c r="K582" s="63"/>
      <c r="M582" s="64"/>
      <c r="N582" s="65"/>
    </row>
    <row r="583">
      <c r="A583" s="66"/>
      <c r="E583" s="62"/>
      <c r="K583" s="63"/>
      <c r="M583" s="64"/>
      <c r="N583" s="65"/>
    </row>
    <row r="584">
      <c r="A584" s="66"/>
      <c r="E584" s="62"/>
      <c r="K584" s="63"/>
      <c r="M584" s="64"/>
      <c r="N584" s="65"/>
    </row>
    <row r="585">
      <c r="A585" s="66"/>
      <c r="E585" s="62"/>
      <c r="K585" s="63"/>
      <c r="M585" s="64"/>
      <c r="N585" s="65"/>
    </row>
    <row r="586">
      <c r="A586" s="66"/>
      <c r="E586" s="62"/>
      <c r="K586" s="63"/>
      <c r="M586" s="64"/>
      <c r="N586" s="65"/>
    </row>
    <row r="587">
      <c r="A587" s="66"/>
      <c r="E587" s="62"/>
      <c r="K587" s="63"/>
      <c r="M587" s="64"/>
      <c r="N587" s="65"/>
    </row>
    <row r="588">
      <c r="A588" s="66"/>
      <c r="E588" s="62"/>
      <c r="K588" s="63"/>
      <c r="M588" s="64"/>
      <c r="N588" s="65"/>
    </row>
    <row r="589">
      <c r="A589" s="66"/>
      <c r="E589" s="62"/>
      <c r="K589" s="63"/>
      <c r="M589" s="64"/>
      <c r="N589" s="65"/>
    </row>
    <row r="590">
      <c r="A590" s="66"/>
      <c r="E590" s="62"/>
      <c r="K590" s="63"/>
      <c r="M590" s="64"/>
      <c r="N590" s="65"/>
    </row>
    <row r="591">
      <c r="A591" s="66"/>
      <c r="E591" s="62"/>
      <c r="K591" s="63"/>
      <c r="M591" s="64"/>
      <c r="N591" s="65"/>
    </row>
    <row r="592">
      <c r="A592" s="66"/>
      <c r="E592" s="62"/>
      <c r="K592" s="63"/>
      <c r="M592" s="64"/>
      <c r="N592" s="65"/>
    </row>
    <row r="593">
      <c r="A593" s="66"/>
      <c r="E593" s="62"/>
      <c r="K593" s="63"/>
      <c r="M593" s="64"/>
      <c r="N593" s="65"/>
    </row>
    <row r="594">
      <c r="A594" s="66"/>
      <c r="E594" s="62"/>
      <c r="K594" s="63"/>
      <c r="M594" s="64"/>
      <c r="N594" s="65"/>
    </row>
    <row r="595">
      <c r="A595" s="66"/>
      <c r="E595" s="62"/>
      <c r="K595" s="63"/>
      <c r="M595" s="64"/>
      <c r="N595" s="65"/>
    </row>
    <row r="596">
      <c r="A596" s="66"/>
      <c r="E596" s="62"/>
      <c r="K596" s="63"/>
      <c r="M596" s="64"/>
      <c r="N596" s="65"/>
    </row>
    <row r="597">
      <c r="A597" s="66"/>
      <c r="E597" s="62"/>
      <c r="K597" s="63"/>
      <c r="M597" s="64"/>
      <c r="N597" s="65"/>
    </row>
    <row r="598">
      <c r="A598" s="66"/>
      <c r="E598" s="62"/>
      <c r="K598" s="63"/>
      <c r="M598" s="64"/>
      <c r="N598" s="65"/>
    </row>
    <row r="599">
      <c r="A599" s="66"/>
      <c r="E599" s="62"/>
      <c r="K599" s="63"/>
      <c r="M599" s="64"/>
      <c r="N599" s="65"/>
    </row>
    <row r="600">
      <c r="A600" s="66"/>
      <c r="E600" s="62"/>
      <c r="K600" s="63"/>
      <c r="M600" s="64"/>
      <c r="N600" s="65"/>
    </row>
    <row r="601">
      <c r="A601" s="66"/>
      <c r="E601" s="62"/>
      <c r="K601" s="63"/>
      <c r="M601" s="64"/>
      <c r="N601" s="65"/>
    </row>
    <row r="602">
      <c r="A602" s="66"/>
      <c r="E602" s="62"/>
      <c r="K602" s="63"/>
      <c r="M602" s="64"/>
      <c r="N602" s="65"/>
    </row>
    <row r="603">
      <c r="A603" s="66"/>
      <c r="E603" s="62"/>
      <c r="K603" s="63"/>
      <c r="M603" s="64"/>
      <c r="N603" s="65"/>
    </row>
    <row r="604">
      <c r="A604" s="66"/>
      <c r="E604" s="62"/>
      <c r="K604" s="63"/>
      <c r="M604" s="64"/>
      <c r="N604" s="65"/>
    </row>
    <row r="605">
      <c r="A605" s="66"/>
      <c r="E605" s="62"/>
      <c r="K605" s="63"/>
      <c r="M605" s="64"/>
      <c r="N605" s="65"/>
    </row>
    <row r="606">
      <c r="A606" s="66"/>
      <c r="E606" s="62"/>
      <c r="K606" s="63"/>
      <c r="M606" s="64"/>
      <c r="N606" s="65"/>
    </row>
    <row r="607">
      <c r="A607" s="66"/>
      <c r="E607" s="62"/>
      <c r="K607" s="63"/>
      <c r="M607" s="64"/>
      <c r="N607" s="65"/>
    </row>
    <row r="608">
      <c r="A608" s="66"/>
      <c r="E608" s="62"/>
      <c r="K608" s="63"/>
      <c r="M608" s="64"/>
      <c r="N608" s="65"/>
    </row>
    <row r="609">
      <c r="A609" s="66"/>
      <c r="E609" s="62"/>
      <c r="K609" s="63"/>
      <c r="M609" s="64"/>
      <c r="N609" s="65"/>
    </row>
    <row r="610">
      <c r="A610" s="66"/>
      <c r="E610" s="62"/>
      <c r="K610" s="63"/>
      <c r="M610" s="64"/>
      <c r="N610" s="65"/>
    </row>
    <row r="611">
      <c r="A611" s="66"/>
      <c r="E611" s="62"/>
      <c r="K611" s="63"/>
      <c r="M611" s="64"/>
      <c r="N611" s="65"/>
    </row>
    <row r="612">
      <c r="A612" s="66"/>
      <c r="E612" s="62"/>
      <c r="K612" s="63"/>
      <c r="M612" s="64"/>
      <c r="N612" s="65"/>
    </row>
    <row r="613">
      <c r="A613" s="66"/>
      <c r="E613" s="62"/>
      <c r="K613" s="63"/>
      <c r="M613" s="64"/>
      <c r="N613" s="65"/>
    </row>
    <row r="614">
      <c r="A614" s="66"/>
      <c r="E614" s="62"/>
      <c r="K614" s="63"/>
      <c r="M614" s="64"/>
      <c r="N614" s="65"/>
    </row>
    <row r="615">
      <c r="A615" s="66"/>
      <c r="E615" s="62"/>
      <c r="K615" s="63"/>
      <c r="M615" s="64"/>
      <c r="N615" s="65"/>
    </row>
    <row r="616">
      <c r="A616" s="66"/>
      <c r="E616" s="62"/>
      <c r="K616" s="63"/>
      <c r="M616" s="64"/>
      <c r="N616" s="65"/>
    </row>
    <row r="617">
      <c r="A617" s="66"/>
      <c r="E617" s="62"/>
      <c r="K617" s="63"/>
      <c r="M617" s="64"/>
      <c r="N617" s="65"/>
    </row>
    <row r="618">
      <c r="A618" s="66"/>
      <c r="E618" s="62"/>
      <c r="K618" s="63"/>
      <c r="M618" s="64"/>
      <c r="N618" s="65"/>
    </row>
    <row r="619">
      <c r="A619" s="66"/>
      <c r="E619" s="62"/>
      <c r="K619" s="63"/>
      <c r="M619" s="64"/>
      <c r="N619" s="65"/>
    </row>
    <row r="620">
      <c r="A620" s="66"/>
      <c r="E620" s="62"/>
      <c r="K620" s="63"/>
      <c r="M620" s="64"/>
      <c r="N620" s="65"/>
    </row>
    <row r="621">
      <c r="A621" s="66"/>
      <c r="E621" s="62"/>
      <c r="K621" s="63"/>
      <c r="M621" s="64"/>
      <c r="N621" s="65"/>
    </row>
    <row r="622">
      <c r="A622" s="66"/>
      <c r="E622" s="62"/>
      <c r="K622" s="63"/>
      <c r="M622" s="64"/>
      <c r="N622" s="65"/>
    </row>
    <row r="623">
      <c r="A623" s="66"/>
      <c r="E623" s="62"/>
      <c r="K623" s="63"/>
      <c r="M623" s="64"/>
      <c r="N623" s="65"/>
    </row>
    <row r="624">
      <c r="A624" s="66"/>
      <c r="E624" s="62"/>
      <c r="K624" s="63"/>
      <c r="M624" s="64"/>
      <c r="N624" s="65"/>
    </row>
    <row r="625">
      <c r="A625" s="66"/>
      <c r="E625" s="62"/>
      <c r="K625" s="63"/>
      <c r="M625" s="64"/>
      <c r="N625" s="65"/>
    </row>
    <row r="626">
      <c r="A626" s="66"/>
      <c r="E626" s="62"/>
      <c r="K626" s="63"/>
      <c r="M626" s="64"/>
      <c r="N626" s="65"/>
    </row>
    <row r="627">
      <c r="A627" s="66"/>
      <c r="E627" s="62"/>
      <c r="K627" s="63"/>
      <c r="M627" s="64"/>
      <c r="N627" s="65"/>
    </row>
    <row r="628">
      <c r="A628" s="66"/>
      <c r="E628" s="62"/>
      <c r="K628" s="63"/>
      <c r="M628" s="64"/>
      <c r="N628" s="65"/>
    </row>
    <row r="629">
      <c r="A629" s="66"/>
      <c r="E629" s="62"/>
      <c r="K629" s="63"/>
      <c r="M629" s="64"/>
      <c r="N629" s="65"/>
    </row>
    <row r="630">
      <c r="A630" s="66"/>
      <c r="E630" s="62"/>
      <c r="K630" s="63"/>
      <c r="M630" s="64"/>
      <c r="N630" s="65"/>
    </row>
    <row r="631">
      <c r="A631" s="66"/>
      <c r="E631" s="62"/>
      <c r="K631" s="63"/>
      <c r="M631" s="64"/>
      <c r="N631" s="65"/>
    </row>
    <row r="632">
      <c r="A632" s="66"/>
      <c r="E632" s="62"/>
      <c r="K632" s="63"/>
      <c r="M632" s="64"/>
      <c r="N632" s="65"/>
    </row>
    <row r="633">
      <c r="A633" s="66"/>
      <c r="E633" s="62"/>
      <c r="K633" s="63"/>
      <c r="M633" s="64"/>
      <c r="N633" s="65"/>
    </row>
    <row r="634">
      <c r="A634" s="66"/>
      <c r="E634" s="62"/>
      <c r="K634" s="63"/>
      <c r="M634" s="64"/>
      <c r="N634" s="65"/>
    </row>
    <row r="635">
      <c r="A635" s="66"/>
      <c r="E635" s="62"/>
      <c r="K635" s="63"/>
      <c r="M635" s="64"/>
      <c r="N635" s="65"/>
    </row>
    <row r="636">
      <c r="A636" s="66"/>
      <c r="E636" s="62"/>
      <c r="K636" s="63"/>
      <c r="M636" s="64"/>
      <c r="N636" s="65"/>
    </row>
    <row r="637">
      <c r="A637" s="66"/>
      <c r="E637" s="62"/>
      <c r="K637" s="63"/>
      <c r="M637" s="64"/>
      <c r="N637" s="65"/>
    </row>
    <row r="638">
      <c r="A638" s="66"/>
      <c r="E638" s="62"/>
      <c r="K638" s="63"/>
      <c r="M638" s="64"/>
      <c r="N638" s="65"/>
    </row>
    <row r="639">
      <c r="A639" s="66"/>
      <c r="E639" s="62"/>
      <c r="K639" s="63"/>
      <c r="M639" s="64"/>
      <c r="N639" s="65"/>
    </row>
    <row r="640">
      <c r="A640" s="66"/>
      <c r="E640" s="62"/>
      <c r="K640" s="63"/>
      <c r="M640" s="64"/>
      <c r="N640" s="65"/>
    </row>
    <row r="641">
      <c r="A641" s="66"/>
      <c r="E641" s="62"/>
      <c r="K641" s="63"/>
      <c r="M641" s="64"/>
      <c r="N641" s="65"/>
    </row>
    <row r="642">
      <c r="A642" s="66"/>
      <c r="E642" s="62"/>
      <c r="K642" s="63"/>
      <c r="M642" s="64"/>
      <c r="N642" s="65"/>
    </row>
    <row r="643">
      <c r="A643" s="66"/>
      <c r="E643" s="62"/>
      <c r="K643" s="63"/>
      <c r="M643" s="64"/>
      <c r="N643" s="65"/>
    </row>
    <row r="644">
      <c r="A644" s="66"/>
      <c r="E644" s="62"/>
      <c r="K644" s="63"/>
      <c r="M644" s="64"/>
      <c r="N644" s="65"/>
    </row>
    <row r="645">
      <c r="A645" s="66"/>
      <c r="E645" s="62"/>
      <c r="K645" s="63"/>
      <c r="M645" s="64"/>
      <c r="N645" s="65"/>
    </row>
    <row r="646">
      <c r="A646" s="66"/>
      <c r="E646" s="62"/>
      <c r="K646" s="63"/>
      <c r="M646" s="64"/>
      <c r="N646" s="65"/>
    </row>
    <row r="647">
      <c r="A647" s="66"/>
      <c r="E647" s="62"/>
      <c r="K647" s="63"/>
      <c r="M647" s="64"/>
      <c r="N647" s="65"/>
    </row>
    <row r="648">
      <c r="A648" s="66"/>
      <c r="E648" s="62"/>
      <c r="K648" s="63"/>
      <c r="M648" s="64"/>
      <c r="N648" s="65"/>
    </row>
    <row r="649">
      <c r="A649" s="66"/>
      <c r="E649" s="62"/>
      <c r="K649" s="63"/>
      <c r="M649" s="64"/>
      <c r="N649" s="65"/>
    </row>
    <row r="650">
      <c r="A650" s="66"/>
      <c r="E650" s="62"/>
      <c r="K650" s="63"/>
      <c r="M650" s="64"/>
      <c r="N650" s="65"/>
    </row>
    <row r="651">
      <c r="A651" s="66"/>
      <c r="E651" s="62"/>
      <c r="K651" s="63"/>
      <c r="M651" s="64"/>
      <c r="N651" s="65"/>
    </row>
    <row r="652">
      <c r="A652" s="66"/>
      <c r="E652" s="62"/>
      <c r="K652" s="63"/>
      <c r="M652" s="64"/>
      <c r="N652" s="65"/>
    </row>
    <row r="653">
      <c r="A653" s="66"/>
      <c r="E653" s="62"/>
      <c r="K653" s="63"/>
      <c r="M653" s="64"/>
      <c r="N653" s="65"/>
    </row>
    <row r="654">
      <c r="A654" s="66"/>
      <c r="E654" s="62"/>
      <c r="K654" s="63"/>
      <c r="M654" s="64"/>
      <c r="N654" s="65"/>
    </row>
    <row r="655">
      <c r="A655" s="66"/>
      <c r="E655" s="62"/>
      <c r="K655" s="63"/>
      <c r="M655" s="64"/>
      <c r="N655" s="65"/>
    </row>
    <row r="656">
      <c r="A656" s="66"/>
      <c r="E656" s="62"/>
      <c r="K656" s="63"/>
      <c r="M656" s="64"/>
      <c r="N656" s="65"/>
    </row>
    <row r="657">
      <c r="A657" s="66"/>
      <c r="E657" s="62"/>
      <c r="K657" s="63"/>
      <c r="M657" s="64"/>
      <c r="N657" s="65"/>
    </row>
    <row r="658">
      <c r="A658" s="66"/>
      <c r="E658" s="62"/>
      <c r="K658" s="63"/>
      <c r="M658" s="64"/>
      <c r="N658" s="65"/>
    </row>
    <row r="659">
      <c r="A659" s="66"/>
      <c r="E659" s="62"/>
      <c r="K659" s="63"/>
      <c r="M659" s="64"/>
      <c r="N659" s="65"/>
    </row>
    <row r="660">
      <c r="A660" s="66"/>
      <c r="E660" s="62"/>
      <c r="K660" s="63"/>
      <c r="M660" s="64"/>
      <c r="N660" s="65"/>
    </row>
    <row r="661">
      <c r="A661" s="66"/>
      <c r="E661" s="62"/>
      <c r="K661" s="63"/>
      <c r="M661" s="64"/>
      <c r="N661" s="65"/>
    </row>
    <row r="662">
      <c r="A662" s="66"/>
      <c r="E662" s="62"/>
      <c r="K662" s="63"/>
      <c r="M662" s="64"/>
      <c r="N662" s="65"/>
    </row>
    <row r="663">
      <c r="A663" s="66"/>
      <c r="E663" s="62"/>
      <c r="K663" s="63"/>
      <c r="M663" s="64"/>
      <c r="N663" s="65"/>
    </row>
    <row r="664">
      <c r="A664" s="66"/>
      <c r="E664" s="62"/>
      <c r="K664" s="63"/>
      <c r="M664" s="64"/>
      <c r="N664" s="65"/>
    </row>
    <row r="665">
      <c r="A665" s="66"/>
      <c r="E665" s="62"/>
      <c r="K665" s="63"/>
      <c r="M665" s="64"/>
      <c r="N665" s="65"/>
    </row>
    <row r="666">
      <c r="A666" s="66"/>
      <c r="E666" s="62"/>
      <c r="K666" s="63"/>
      <c r="M666" s="64"/>
      <c r="N666" s="65"/>
    </row>
    <row r="667">
      <c r="A667" s="66"/>
      <c r="E667" s="62"/>
      <c r="K667" s="63"/>
      <c r="M667" s="64"/>
      <c r="N667" s="65"/>
    </row>
    <row r="668">
      <c r="A668" s="66"/>
      <c r="E668" s="62"/>
      <c r="K668" s="63"/>
      <c r="M668" s="64"/>
      <c r="N668" s="65"/>
    </row>
    <row r="669">
      <c r="A669" s="66"/>
      <c r="E669" s="62"/>
      <c r="K669" s="63"/>
      <c r="M669" s="64"/>
      <c r="N669" s="65"/>
    </row>
    <row r="670">
      <c r="A670" s="66"/>
      <c r="E670" s="62"/>
      <c r="K670" s="63"/>
      <c r="M670" s="64"/>
      <c r="N670" s="65"/>
    </row>
    <row r="671">
      <c r="A671" s="66"/>
      <c r="E671" s="62"/>
      <c r="K671" s="63"/>
      <c r="M671" s="64"/>
      <c r="N671" s="65"/>
    </row>
    <row r="672">
      <c r="A672" s="66"/>
      <c r="E672" s="62"/>
      <c r="K672" s="63"/>
      <c r="M672" s="64"/>
      <c r="N672" s="65"/>
    </row>
    <row r="673">
      <c r="A673" s="66"/>
      <c r="E673" s="62"/>
      <c r="K673" s="63"/>
      <c r="M673" s="64"/>
      <c r="N673" s="65"/>
    </row>
    <row r="674">
      <c r="A674" s="66"/>
      <c r="E674" s="62"/>
      <c r="K674" s="63"/>
      <c r="M674" s="64"/>
      <c r="N674" s="65"/>
    </row>
    <row r="675">
      <c r="A675" s="66"/>
      <c r="E675" s="62"/>
      <c r="K675" s="63"/>
      <c r="M675" s="64"/>
      <c r="N675" s="65"/>
    </row>
    <row r="676">
      <c r="A676" s="66"/>
      <c r="E676" s="62"/>
      <c r="K676" s="63"/>
      <c r="M676" s="64"/>
      <c r="N676" s="65"/>
    </row>
    <row r="677">
      <c r="A677" s="66"/>
      <c r="E677" s="62"/>
      <c r="K677" s="63"/>
      <c r="M677" s="64"/>
      <c r="N677" s="65"/>
    </row>
    <row r="678">
      <c r="A678" s="66"/>
      <c r="E678" s="62"/>
      <c r="K678" s="63"/>
      <c r="M678" s="64"/>
      <c r="N678" s="65"/>
    </row>
    <row r="679">
      <c r="A679" s="66"/>
      <c r="E679" s="62"/>
      <c r="K679" s="63"/>
      <c r="M679" s="64"/>
      <c r="N679" s="65"/>
    </row>
    <row r="680">
      <c r="A680" s="66"/>
      <c r="E680" s="62"/>
      <c r="K680" s="63"/>
      <c r="M680" s="64"/>
      <c r="N680" s="65"/>
    </row>
    <row r="681">
      <c r="A681" s="66"/>
      <c r="E681" s="62"/>
      <c r="K681" s="63"/>
      <c r="M681" s="64"/>
      <c r="N681" s="65"/>
    </row>
    <row r="682">
      <c r="A682" s="66"/>
      <c r="E682" s="62"/>
      <c r="K682" s="63"/>
      <c r="M682" s="64"/>
      <c r="N682" s="65"/>
    </row>
    <row r="683">
      <c r="A683" s="66"/>
      <c r="E683" s="62"/>
      <c r="K683" s="63"/>
      <c r="M683" s="64"/>
      <c r="N683" s="65"/>
    </row>
    <row r="684">
      <c r="A684" s="66"/>
      <c r="E684" s="62"/>
      <c r="K684" s="63"/>
      <c r="M684" s="64"/>
      <c r="N684" s="65"/>
    </row>
    <row r="685">
      <c r="A685" s="66"/>
      <c r="E685" s="62"/>
      <c r="K685" s="63"/>
      <c r="M685" s="64"/>
      <c r="N685" s="65"/>
    </row>
    <row r="686">
      <c r="A686" s="66"/>
      <c r="E686" s="62"/>
      <c r="K686" s="63"/>
      <c r="M686" s="64"/>
      <c r="N686" s="65"/>
    </row>
    <row r="687">
      <c r="A687" s="66"/>
      <c r="E687" s="62"/>
      <c r="K687" s="63"/>
      <c r="M687" s="64"/>
      <c r="N687" s="65"/>
    </row>
    <row r="688">
      <c r="A688" s="66"/>
      <c r="E688" s="62"/>
      <c r="K688" s="63"/>
      <c r="M688" s="64"/>
      <c r="N688" s="65"/>
    </row>
    <row r="689">
      <c r="A689" s="66"/>
      <c r="E689" s="62"/>
      <c r="K689" s="63"/>
      <c r="M689" s="64"/>
      <c r="N689" s="65"/>
    </row>
    <row r="690">
      <c r="A690" s="66"/>
      <c r="E690" s="62"/>
      <c r="K690" s="63"/>
      <c r="M690" s="64"/>
      <c r="N690" s="65"/>
    </row>
    <row r="691">
      <c r="A691" s="66"/>
      <c r="E691" s="62"/>
      <c r="K691" s="63"/>
      <c r="M691" s="64"/>
      <c r="N691" s="65"/>
    </row>
    <row r="692">
      <c r="A692" s="66"/>
      <c r="E692" s="62"/>
      <c r="K692" s="63"/>
      <c r="M692" s="64"/>
      <c r="N692" s="65"/>
    </row>
    <row r="693">
      <c r="A693" s="66"/>
      <c r="E693" s="62"/>
      <c r="K693" s="63"/>
      <c r="M693" s="64"/>
      <c r="N693" s="65"/>
    </row>
    <row r="694">
      <c r="A694" s="66"/>
      <c r="E694" s="62"/>
      <c r="K694" s="63"/>
      <c r="M694" s="64"/>
      <c r="N694" s="65"/>
    </row>
    <row r="695">
      <c r="A695" s="66"/>
      <c r="E695" s="62"/>
      <c r="K695" s="63"/>
      <c r="M695" s="64"/>
      <c r="N695" s="65"/>
    </row>
    <row r="696">
      <c r="A696" s="66"/>
      <c r="E696" s="62"/>
      <c r="K696" s="63"/>
      <c r="M696" s="64"/>
      <c r="N696" s="65"/>
    </row>
    <row r="697">
      <c r="A697" s="66"/>
      <c r="E697" s="62"/>
      <c r="K697" s="63"/>
      <c r="M697" s="64"/>
      <c r="N697" s="65"/>
    </row>
    <row r="698">
      <c r="A698" s="66"/>
      <c r="E698" s="62"/>
      <c r="K698" s="63"/>
      <c r="M698" s="64"/>
      <c r="N698" s="65"/>
    </row>
    <row r="699">
      <c r="A699" s="66"/>
      <c r="E699" s="62"/>
      <c r="K699" s="63"/>
      <c r="M699" s="64"/>
      <c r="N699" s="65"/>
    </row>
    <row r="700">
      <c r="A700" s="66"/>
      <c r="E700" s="62"/>
      <c r="K700" s="63"/>
      <c r="M700" s="64"/>
      <c r="N700" s="65"/>
    </row>
    <row r="701">
      <c r="A701" s="66"/>
      <c r="E701" s="62"/>
      <c r="K701" s="63"/>
      <c r="M701" s="64"/>
      <c r="N701" s="65"/>
    </row>
    <row r="702">
      <c r="A702" s="66"/>
      <c r="E702" s="62"/>
      <c r="K702" s="63"/>
      <c r="M702" s="64"/>
      <c r="N702" s="65"/>
    </row>
    <row r="703">
      <c r="A703" s="66"/>
      <c r="E703" s="62"/>
      <c r="K703" s="63"/>
      <c r="M703" s="64"/>
      <c r="N703" s="65"/>
    </row>
    <row r="704">
      <c r="A704" s="66"/>
      <c r="E704" s="62"/>
      <c r="K704" s="63"/>
      <c r="M704" s="64"/>
      <c r="N704" s="65"/>
    </row>
    <row r="705">
      <c r="A705" s="66"/>
      <c r="E705" s="62"/>
      <c r="K705" s="63"/>
      <c r="M705" s="64"/>
      <c r="N705" s="65"/>
    </row>
    <row r="706">
      <c r="A706" s="66"/>
      <c r="E706" s="62"/>
      <c r="K706" s="63"/>
      <c r="M706" s="64"/>
      <c r="N706" s="65"/>
    </row>
    <row r="707">
      <c r="A707" s="66"/>
      <c r="E707" s="62"/>
      <c r="K707" s="63"/>
      <c r="M707" s="64"/>
      <c r="N707" s="65"/>
    </row>
    <row r="708">
      <c r="A708" s="66"/>
      <c r="E708" s="62"/>
      <c r="K708" s="63"/>
      <c r="M708" s="64"/>
      <c r="N708" s="65"/>
    </row>
    <row r="709">
      <c r="A709" s="66"/>
      <c r="E709" s="62"/>
      <c r="K709" s="63"/>
      <c r="M709" s="64"/>
      <c r="N709" s="65"/>
    </row>
    <row r="710">
      <c r="A710" s="66"/>
      <c r="E710" s="62"/>
      <c r="K710" s="63"/>
      <c r="M710" s="64"/>
      <c r="N710" s="65"/>
    </row>
    <row r="711">
      <c r="A711" s="66"/>
      <c r="E711" s="62"/>
      <c r="K711" s="63"/>
      <c r="M711" s="64"/>
      <c r="N711" s="65"/>
    </row>
    <row r="712">
      <c r="A712" s="66"/>
      <c r="E712" s="62"/>
      <c r="K712" s="63"/>
      <c r="M712" s="64"/>
      <c r="N712" s="65"/>
    </row>
    <row r="713">
      <c r="A713" s="66"/>
      <c r="E713" s="62"/>
      <c r="K713" s="63"/>
      <c r="M713" s="64"/>
      <c r="N713" s="65"/>
    </row>
    <row r="714">
      <c r="A714" s="66"/>
      <c r="E714" s="62"/>
      <c r="K714" s="63"/>
      <c r="M714" s="64"/>
      <c r="N714" s="65"/>
    </row>
    <row r="715">
      <c r="A715" s="66"/>
      <c r="E715" s="62"/>
      <c r="K715" s="63"/>
      <c r="M715" s="64"/>
      <c r="N715" s="65"/>
    </row>
    <row r="716">
      <c r="A716" s="66"/>
      <c r="E716" s="62"/>
      <c r="K716" s="63"/>
      <c r="M716" s="64"/>
      <c r="N716" s="65"/>
    </row>
    <row r="717">
      <c r="A717" s="66"/>
      <c r="E717" s="62"/>
      <c r="K717" s="63"/>
      <c r="M717" s="64"/>
      <c r="N717" s="65"/>
    </row>
    <row r="718">
      <c r="A718" s="66"/>
      <c r="E718" s="62"/>
      <c r="K718" s="63"/>
      <c r="M718" s="64"/>
      <c r="N718" s="65"/>
    </row>
    <row r="719">
      <c r="A719" s="66"/>
      <c r="E719" s="62"/>
      <c r="K719" s="63"/>
      <c r="M719" s="64"/>
      <c r="N719" s="65"/>
    </row>
    <row r="720">
      <c r="A720" s="66"/>
      <c r="E720" s="62"/>
      <c r="K720" s="63"/>
      <c r="M720" s="64"/>
      <c r="N720" s="65"/>
    </row>
    <row r="721">
      <c r="A721" s="66"/>
      <c r="E721" s="62"/>
      <c r="K721" s="63"/>
      <c r="M721" s="64"/>
      <c r="N721" s="65"/>
    </row>
    <row r="722">
      <c r="A722" s="66"/>
      <c r="E722" s="62"/>
      <c r="K722" s="63"/>
      <c r="M722" s="64"/>
      <c r="N722" s="65"/>
    </row>
    <row r="723">
      <c r="A723" s="66"/>
      <c r="E723" s="62"/>
      <c r="K723" s="63"/>
      <c r="M723" s="64"/>
      <c r="N723" s="65"/>
    </row>
    <row r="724">
      <c r="A724" s="66"/>
      <c r="E724" s="62"/>
      <c r="K724" s="63"/>
      <c r="M724" s="64"/>
      <c r="N724" s="65"/>
    </row>
    <row r="725">
      <c r="A725" s="66"/>
      <c r="E725" s="62"/>
      <c r="K725" s="63"/>
      <c r="M725" s="64"/>
      <c r="N725" s="65"/>
    </row>
    <row r="726">
      <c r="A726" s="66"/>
      <c r="E726" s="62"/>
      <c r="K726" s="63"/>
      <c r="M726" s="64"/>
      <c r="N726" s="65"/>
    </row>
    <row r="727">
      <c r="A727" s="66"/>
      <c r="E727" s="62"/>
      <c r="K727" s="63"/>
      <c r="M727" s="64"/>
      <c r="N727" s="65"/>
    </row>
    <row r="728">
      <c r="A728" s="66"/>
      <c r="E728" s="62"/>
      <c r="K728" s="63"/>
      <c r="M728" s="64"/>
      <c r="N728" s="65"/>
    </row>
    <row r="729">
      <c r="A729" s="66"/>
      <c r="E729" s="62"/>
      <c r="K729" s="63"/>
      <c r="M729" s="64"/>
      <c r="N729" s="65"/>
    </row>
    <row r="730">
      <c r="A730" s="66"/>
      <c r="E730" s="62"/>
      <c r="K730" s="63"/>
      <c r="M730" s="64"/>
      <c r="N730" s="65"/>
    </row>
    <row r="731">
      <c r="A731" s="66"/>
      <c r="E731" s="62"/>
      <c r="K731" s="63"/>
      <c r="M731" s="64"/>
      <c r="N731" s="65"/>
    </row>
    <row r="732">
      <c r="A732" s="66"/>
      <c r="E732" s="62"/>
      <c r="K732" s="63"/>
      <c r="M732" s="64"/>
      <c r="N732" s="65"/>
    </row>
    <row r="733">
      <c r="A733" s="66"/>
      <c r="E733" s="62"/>
      <c r="K733" s="63"/>
      <c r="M733" s="64"/>
      <c r="N733" s="65"/>
    </row>
    <row r="734">
      <c r="A734" s="66"/>
      <c r="E734" s="62"/>
      <c r="K734" s="63"/>
      <c r="M734" s="64"/>
      <c r="N734" s="65"/>
    </row>
    <row r="735">
      <c r="A735" s="66"/>
      <c r="E735" s="62"/>
      <c r="K735" s="63"/>
      <c r="M735" s="64"/>
      <c r="N735" s="65"/>
    </row>
    <row r="736">
      <c r="A736" s="66"/>
      <c r="E736" s="62"/>
      <c r="K736" s="63"/>
      <c r="M736" s="64"/>
      <c r="N736" s="65"/>
    </row>
    <row r="737">
      <c r="A737" s="66"/>
      <c r="E737" s="62"/>
      <c r="K737" s="63"/>
      <c r="M737" s="64"/>
      <c r="N737" s="65"/>
    </row>
    <row r="738">
      <c r="A738" s="66"/>
      <c r="E738" s="62"/>
      <c r="K738" s="63"/>
      <c r="M738" s="64"/>
      <c r="N738" s="65"/>
    </row>
    <row r="739">
      <c r="A739" s="66"/>
      <c r="E739" s="62"/>
      <c r="K739" s="63"/>
      <c r="M739" s="64"/>
      <c r="N739" s="65"/>
    </row>
    <row r="740">
      <c r="A740" s="66"/>
      <c r="E740" s="62"/>
      <c r="K740" s="63"/>
      <c r="M740" s="64"/>
      <c r="N740" s="65"/>
    </row>
    <row r="741">
      <c r="A741" s="66"/>
      <c r="E741" s="62"/>
      <c r="K741" s="63"/>
      <c r="M741" s="64"/>
      <c r="N741" s="65"/>
    </row>
    <row r="742">
      <c r="A742" s="66"/>
      <c r="E742" s="62"/>
      <c r="K742" s="63"/>
      <c r="M742" s="64"/>
      <c r="N742" s="65"/>
    </row>
    <row r="743">
      <c r="A743" s="66"/>
      <c r="E743" s="62"/>
      <c r="K743" s="63"/>
      <c r="M743" s="64"/>
      <c r="N743" s="65"/>
    </row>
    <row r="744">
      <c r="A744" s="66"/>
      <c r="E744" s="62"/>
      <c r="K744" s="63"/>
      <c r="M744" s="64"/>
      <c r="N744" s="65"/>
    </row>
    <row r="745">
      <c r="A745" s="66"/>
      <c r="E745" s="62"/>
      <c r="K745" s="63"/>
      <c r="M745" s="64"/>
      <c r="N745" s="65"/>
    </row>
    <row r="746">
      <c r="A746" s="66"/>
      <c r="E746" s="62"/>
      <c r="K746" s="63"/>
      <c r="M746" s="64"/>
      <c r="N746" s="65"/>
    </row>
    <row r="747">
      <c r="A747" s="66"/>
      <c r="E747" s="62"/>
      <c r="K747" s="63"/>
      <c r="M747" s="64"/>
      <c r="N747" s="65"/>
    </row>
    <row r="748">
      <c r="A748" s="66"/>
      <c r="E748" s="62"/>
      <c r="K748" s="63"/>
      <c r="M748" s="64"/>
      <c r="N748" s="65"/>
    </row>
    <row r="749">
      <c r="A749" s="66"/>
      <c r="E749" s="62"/>
      <c r="K749" s="63"/>
      <c r="M749" s="64"/>
      <c r="N749" s="65"/>
    </row>
    <row r="750">
      <c r="A750" s="66"/>
      <c r="E750" s="62"/>
      <c r="K750" s="63"/>
      <c r="M750" s="64"/>
      <c r="N750" s="65"/>
    </row>
    <row r="751">
      <c r="A751" s="66"/>
      <c r="E751" s="62"/>
      <c r="K751" s="63"/>
      <c r="M751" s="64"/>
      <c r="N751" s="65"/>
    </row>
    <row r="752">
      <c r="A752" s="66"/>
      <c r="E752" s="62"/>
      <c r="K752" s="63"/>
      <c r="M752" s="64"/>
      <c r="N752" s="65"/>
    </row>
    <row r="753">
      <c r="A753" s="66"/>
      <c r="E753" s="62"/>
      <c r="K753" s="63"/>
      <c r="M753" s="64"/>
      <c r="N753" s="65"/>
    </row>
    <row r="754">
      <c r="A754" s="66"/>
      <c r="E754" s="62"/>
      <c r="K754" s="63"/>
      <c r="M754" s="64"/>
      <c r="N754" s="65"/>
    </row>
    <row r="755">
      <c r="A755" s="66"/>
      <c r="E755" s="62"/>
      <c r="K755" s="63"/>
      <c r="M755" s="64"/>
      <c r="N755" s="65"/>
    </row>
    <row r="756">
      <c r="A756" s="66"/>
      <c r="E756" s="62"/>
      <c r="K756" s="63"/>
      <c r="M756" s="64"/>
      <c r="N756" s="65"/>
    </row>
    <row r="757">
      <c r="A757" s="66"/>
      <c r="E757" s="62"/>
      <c r="K757" s="63"/>
      <c r="M757" s="64"/>
      <c r="N757" s="65"/>
    </row>
    <row r="758">
      <c r="A758" s="66"/>
      <c r="E758" s="62"/>
      <c r="K758" s="63"/>
      <c r="M758" s="64"/>
      <c r="N758" s="65"/>
    </row>
    <row r="759">
      <c r="A759" s="66"/>
      <c r="E759" s="62"/>
      <c r="K759" s="63"/>
      <c r="M759" s="64"/>
      <c r="N759" s="65"/>
    </row>
    <row r="760">
      <c r="A760" s="66"/>
      <c r="E760" s="62"/>
      <c r="K760" s="63"/>
      <c r="M760" s="64"/>
      <c r="N760" s="65"/>
    </row>
    <row r="761">
      <c r="A761" s="66"/>
      <c r="E761" s="62"/>
      <c r="K761" s="63"/>
      <c r="M761" s="64"/>
      <c r="N761" s="65"/>
    </row>
    <row r="762">
      <c r="A762" s="66"/>
      <c r="E762" s="62"/>
      <c r="K762" s="63"/>
      <c r="M762" s="64"/>
      <c r="N762" s="65"/>
    </row>
    <row r="763">
      <c r="A763" s="66"/>
      <c r="E763" s="62"/>
      <c r="K763" s="63"/>
      <c r="M763" s="64"/>
      <c r="N763" s="65"/>
    </row>
    <row r="764">
      <c r="A764" s="66"/>
      <c r="E764" s="62"/>
      <c r="K764" s="63"/>
      <c r="M764" s="64"/>
      <c r="N764" s="65"/>
    </row>
    <row r="765">
      <c r="A765" s="66"/>
      <c r="E765" s="62"/>
      <c r="K765" s="63"/>
      <c r="M765" s="64"/>
      <c r="N765" s="65"/>
    </row>
    <row r="766">
      <c r="A766" s="66"/>
      <c r="E766" s="62"/>
      <c r="K766" s="63"/>
      <c r="M766" s="64"/>
      <c r="N766" s="65"/>
    </row>
    <row r="767">
      <c r="A767" s="66"/>
      <c r="E767" s="62"/>
      <c r="K767" s="63"/>
      <c r="M767" s="64"/>
      <c r="N767" s="65"/>
    </row>
    <row r="768">
      <c r="A768" s="66"/>
      <c r="E768" s="62"/>
      <c r="K768" s="63"/>
      <c r="M768" s="64"/>
      <c r="N768" s="65"/>
    </row>
    <row r="769">
      <c r="A769" s="66"/>
      <c r="E769" s="62"/>
      <c r="K769" s="63"/>
      <c r="M769" s="64"/>
      <c r="N769" s="65"/>
    </row>
    <row r="770">
      <c r="A770" s="66"/>
      <c r="E770" s="62"/>
      <c r="K770" s="63"/>
      <c r="M770" s="64"/>
      <c r="N770" s="65"/>
    </row>
    <row r="771">
      <c r="A771" s="66"/>
      <c r="E771" s="62"/>
      <c r="K771" s="63"/>
      <c r="M771" s="64"/>
      <c r="N771" s="65"/>
    </row>
    <row r="772">
      <c r="A772" s="66"/>
      <c r="E772" s="62"/>
      <c r="K772" s="63"/>
      <c r="M772" s="64"/>
      <c r="N772" s="65"/>
    </row>
    <row r="773">
      <c r="A773" s="66"/>
      <c r="E773" s="62"/>
      <c r="K773" s="63"/>
      <c r="M773" s="64"/>
      <c r="N773" s="65"/>
    </row>
    <row r="774">
      <c r="A774" s="66"/>
      <c r="E774" s="62"/>
      <c r="K774" s="63"/>
      <c r="M774" s="64"/>
      <c r="N774" s="65"/>
    </row>
    <row r="775">
      <c r="A775" s="66"/>
      <c r="E775" s="62"/>
      <c r="K775" s="63"/>
      <c r="M775" s="64"/>
      <c r="N775" s="65"/>
    </row>
    <row r="776">
      <c r="A776" s="66"/>
      <c r="E776" s="62"/>
      <c r="K776" s="63"/>
      <c r="M776" s="64"/>
      <c r="N776" s="65"/>
    </row>
    <row r="777">
      <c r="A777" s="66"/>
      <c r="E777" s="62"/>
      <c r="K777" s="63"/>
      <c r="M777" s="64"/>
      <c r="N777" s="65"/>
    </row>
    <row r="778">
      <c r="A778" s="66"/>
      <c r="E778" s="62"/>
      <c r="K778" s="63"/>
      <c r="M778" s="64"/>
      <c r="N778" s="65"/>
    </row>
    <row r="779">
      <c r="A779" s="66"/>
      <c r="E779" s="62"/>
      <c r="K779" s="63"/>
      <c r="M779" s="64"/>
      <c r="N779" s="65"/>
    </row>
    <row r="780">
      <c r="A780" s="66"/>
      <c r="E780" s="62"/>
      <c r="K780" s="63"/>
      <c r="M780" s="64"/>
      <c r="N780" s="65"/>
    </row>
    <row r="781">
      <c r="A781" s="66"/>
      <c r="E781" s="62"/>
      <c r="K781" s="63"/>
      <c r="M781" s="64"/>
      <c r="N781" s="65"/>
    </row>
    <row r="782">
      <c r="A782" s="66"/>
      <c r="E782" s="62"/>
      <c r="K782" s="63"/>
      <c r="M782" s="64"/>
      <c r="N782" s="65"/>
    </row>
    <row r="783">
      <c r="A783" s="66"/>
      <c r="E783" s="62"/>
      <c r="K783" s="63"/>
      <c r="M783" s="64"/>
      <c r="N783" s="65"/>
    </row>
    <row r="784">
      <c r="A784" s="66"/>
      <c r="E784" s="62"/>
      <c r="K784" s="63"/>
      <c r="M784" s="64"/>
      <c r="N784" s="65"/>
    </row>
    <row r="785">
      <c r="A785" s="66"/>
      <c r="E785" s="62"/>
      <c r="K785" s="63"/>
      <c r="M785" s="64"/>
      <c r="N785" s="65"/>
    </row>
    <row r="786">
      <c r="A786" s="66"/>
      <c r="E786" s="62"/>
      <c r="K786" s="63"/>
      <c r="M786" s="64"/>
      <c r="N786" s="65"/>
    </row>
    <row r="787">
      <c r="A787" s="66"/>
      <c r="E787" s="62"/>
      <c r="K787" s="63"/>
      <c r="M787" s="64"/>
      <c r="N787" s="65"/>
    </row>
    <row r="788">
      <c r="A788" s="66"/>
      <c r="E788" s="62"/>
      <c r="K788" s="63"/>
      <c r="M788" s="64"/>
      <c r="N788" s="65"/>
    </row>
    <row r="789">
      <c r="A789" s="66"/>
      <c r="E789" s="62"/>
      <c r="K789" s="63"/>
      <c r="M789" s="64"/>
      <c r="N789" s="65"/>
    </row>
    <row r="790">
      <c r="A790" s="66"/>
      <c r="E790" s="62"/>
      <c r="K790" s="63"/>
      <c r="M790" s="64"/>
      <c r="N790" s="65"/>
    </row>
    <row r="791">
      <c r="A791" s="66"/>
      <c r="E791" s="62"/>
      <c r="K791" s="63"/>
      <c r="M791" s="64"/>
      <c r="N791" s="65"/>
    </row>
    <row r="792">
      <c r="A792" s="66"/>
      <c r="E792" s="62"/>
      <c r="K792" s="63"/>
      <c r="M792" s="64"/>
      <c r="N792" s="65"/>
    </row>
    <row r="793">
      <c r="A793" s="66"/>
      <c r="E793" s="62"/>
      <c r="K793" s="63"/>
      <c r="M793" s="64"/>
      <c r="N793" s="65"/>
    </row>
    <row r="794">
      <c r="A794" s="66"/>
      <c r="E794" s="62"/>
      <c r="K794" s="63"/>
      <c r="M794" s="64"/>
      <c r="N794" s="65"/>
    </row>
    <row r="795">
      <c r="A795" s="66"/>
      <c r="E795" s="62"/>
      <c r="K795" s="63"/>
      <c r="M795" s="64"/>
      <c r="N795" s="65"/>
    </row>
    <row r="796">
      <c r="A796" s="66"/>
      <c r="E796" s="62"/>
      <c r="K796" s="63"/>
      <c r="M796" s="64"/>
      <c r="N796" s="65"/>
    </row>
    <row r="797">
      <c r="A797" s="66"/>
      <c r="E797" s="62"/>
      <c r="K797" s="63"/>
      <c r="M797" s="64"/>
      <c r="N797" s="65"/>
    </row>
    <row r="798">
      <c r="A798" s="66"/>
      <c r="E798" s="62"/>
      <c r="K798" s="63"/>
      <c r="M798" s="64"/>
      <c r="N798" s="65"/>
    </row>
    <row r="799">
      <c r="A799" s="66"/>
      <c r="E799" s="62"/>
      <c r="K799" s="63"/>
      <c r="M799" s="64"/>
      <c r="N799" s="65"/>
    </row>
    <row r="800">
      <c r="A800" s="66"/>
      <c r="E800" s="62"/>
      <c r="K800" s="63"/>
      <c r="M800" s="64"/>
      <c r="N800" s="65"/>
    </row>
    <row r="801">
      <c r="A801" s="66"/>
      <c r="E801" s="62"/>
      <c r="K801" s="63"/>
      <c r="M801" s="64"/>
      <c r="N801" s="65"/>
    </row>
    <row r="802">
      <c r="A802" s="66"/>
      <c r="E802" s="62"/>
      <c r="K802" s="63"/>
      <c r="M802" s="64"/>
      <c r="N802" s="65"/>
    </row>
    <row r="803">
      <c r="A803" s="66"/>
      <c r="E803" s="62"/>
      <c r="K803" s="63"/>
      <c r="M803" s="64"/>
      <c r="N803" s="65"/>
    </row>
    <row r="804">
      <c r="A804" s="66"/>
      <c r="E804" s="62"/>
      <c r="K804" s="63"/>
      <c r="M804" s="64"/>
      <c r="N804" s="65"/>
    </row>
    <row r="805">
      <c r="A805" s="66"/>
      <c r="E805" s="62"/>
      <c r="K805" s="63"/>
      <c r="M805" s="64"/>
      <c r="N805" s="65"/>
    </row>
    <row r="806">
      <c r="A806" s="66"/>
      <c r="E806" s="62"/>
      <c r="K806" s="63"/>
      <c r="M806" s="64"/>
      <c r="N806" s="65"/>
    </row>
    <row r="807">
      <c r="A807" s="66"/>
      <c r="E807" s="62"/>
      <c r="K807" s="63"/>
      <c r="M807" s="64"/>
      <c r="N807" s="65"/>
    </row>
    <row r="808">
      <c r="A808" s="66"/>
      <c r="E808" s="62"/>
      <c r="K808" s="63"/>
      <c r="M808" s="64"/>
      <c r="N808" s="65"/>
    </row>
    <row r="809">
      <c r="A809" s="66"/>
      <c r="E809" s="62"/>
      <c r="K809" s="63"/>
      <c r="M809" s="64"/>
      <c r="N809" s="65"/>
    </row>
    <row r="810">
      <c r="A810" s="66"/>
      <c r="E810" s="62"/>
      <c r="K810" s="63"/>
      <c r="M810" s="64"/>
      <c r="N810" s="65"/>
    </row>
    <row r="811">
      <c r="A811" s="66"/>
      <c r="E811" s="62"/>
      <c r="K811" s="63"/>
      <c r="M811" s="64"/>
      <c r="N811" s="65"/>
    </row>
    <row r="812">
      <c r="A812" s="66"/>
      <c r="E812" s="62"/>
      <c r="K812" s="63"/>
      <c r="M812" s="64"/>
      <c r="N812" s="65"/>
    </row>
    <row r="813">
      <c r="A813" s="66"/>
      <c r="E813" s="62"/>
      <c r="K813" s="63"/>
      <c r="M813" s="64"/>
      <c r="N813" s="65"/>
    </row>
    <row r="814">
      <c r="A814" s="66"/>
      <c r="E814" s="62"/>
      <c r="K814" s="63"/>
      <c r="M814" s="64"/>
      <c r="N814" s="65"/>
    </row>
    <row r="815">
      <c r="A815" s="66"/>
      <c r="E815" s="62"/>
      <c r="K815" s="63"/>
      <c r="M815" s="64"/>
      <c r="N815" s="65"/>
    </row>
    <row r="816">
      <c r="A816" s="66"/>
      <c r="E816" s="62"/>
      <c r="K816" s="63"/>
      <c r="M816" s="64"/>
      <c r="N816" s="65"/>
    </row>
    <row r="817">
      <c r="A817" s="66"/>
      <c r="E817" s="62"/>
      <c r="K817" s="63"/>
      <c r="M817" s="64"/>
      <c r="N817" s="65"/>
    </row>
    <row r="818">
      <c r="A818" s="66"/>
      <c r="E818" s="62"/>
      <c r="K818" s="63"/>
      <c r="M818" s="64"/>
      <c r="N818" s="65"/>
    </row>
    <row r="819">
      <c r="A819" s="66"/>
      <c r="E819" s="62"/>
      <c r="K819" s="63"/>
      <c r="M819" s="64"/>
      <c r="N819" s="65"/>
    </row>
    <row r="820">
      <c r="A820" s="66"/>
      <c r="E820" s="62"/>
      <c r="K820" s="63"/>
      <c r="M820" s="64"/>
      <c r="N820" s="65"/>
    </row>
    <row r="821">
      <c r="A821" s="66"/>
      <c r="E821" s="62"/>
      <c r="K821" s="63"/>
      <c r="M821" s="64"/>
      <c r="N821" s="65"/>
    </row>
    <row r="822">
      <c r="A822" s="66"/>
      <c r="E822" s="62"/>
      <c r="K822" s="63"/>
      <c r="M822" s="64"/>
      <c r="N822" s="65"/>
    </row>
    <row r="823">
      <c r="A823" s="66"/>
      <c r="E823" s="62"/>
      <c r="K823" s="63"/>
      <c r="M823" s="64"/>
      <c r="N823" s="65"/>
    </row>
    <row r="824">
      <c r="A824" s="66"/>
      <c r="E824" s="62"/>
      <c r="K824" s="63"/>
      <c r="M824" s="64"/>
      <c r="N824" s="65"/>
    </row>
    <row r="825">
      <c r="A825" s="66"/>
      <c r="E825" s="62"/>
      <c r="K825" s="63"/>
      <c r="M825" s="64"/>
      <c r="N825" s="65"/>
    </row>
    <row r="826">
      <c r="A826" s="66"/>
      <c r="E826" s="62"/>
      <c r="K826" s="63"/>
      <c r="M826" s="64"/>
      <c r="N826" s="65"/>
    </row>
    <row r="827">
      <c r="A827" s="66"/>
      <c r="E827" s="62"/>
      <c r="K827" s="63"/>
      <c r="M827" s="64"/>
      <c r="N827" s="65"/>
    </row>
    <row r="828">
      <c r="A828" s="66"/>
      <c r="E828" s="62"/>
      <c r="K828" s="63"/>
      <c r="M828" s="64"/>
      <c r="N828" s="65"/>
    </row>
    <row r="829">
      <c r="A829" s="66"/>
      <c r="E829" s="62"/>
      <c r="K829" s="63"/>
      <c r="M829" s="64"/>
      <c r="N829" s="65"/>
    </row>
    <row r="830">
      <c r="A830" s="66"/>
      <c r="E830" s="62"/>
      <c r="K830" s="63"/>
      <c r="M830" s="64"/>
      <c r="N830" s="65"/>
    </row>
    <row r="831">
      <c r="A831" s="66"/>
      <c r="E831" s="62"/>
      <c r="K831" s="63"/>
      <c r="M831" s="64"/>
      <c r="N831" s="65"/>
    </row>
    <row r="832">
      <c r="A832" s="66"/>
      <c r="E832" s="62"/>
      <c r="K832" s="63"/>
      <c r="M832" s="64"/>
      <c r="N832" s="65"/>
    </row>
    <row r="833">
      <c r="A833" s="66"/>
      <c r="E833" s="62"/>
      <c r="K833" s="63"/>
      <c r="M833" s="64"/>
      <c r="N833" s="65"/>
    </row>
    <row r="834">
      <c r="A834" s="66"/>
      <c r="E834" s="62"/>
      <c r="K834" s="63"/>
      <c r="M834" s="64"/>
      <c r="N834" s="65"/>
    </row>
    <row r="835">
      <c r="A835" s="66"/>
      <c r="E835" s="62"/>
      <c r="K835" s="63"/>
      <c r="M835" s="64"/>
      <c r="N835" s="65"/>
    </row>
    <row r="836">
      <c r="A836" s="66"/>
      <c r="E836" s="62"/>
      <c r="K836" s="63"/>
      <c r="M836" s="64"/>
      <c r="N836" s="65"/>
    </row>
    <row r="837">
      <c r="A837" s="66"/>
      <c r="E837" s="62"/>
      <c r="K837" s="63"/>
      <c r="M837" s="64"/>
      <c r="N837" s="65"/>
    </row>
    <row r="838">
      <c r="A838" s="66"/>
      <c r="E838" s="62"/>
      <c r="K838" s="63"/>
      <c r="M838" s="64"/>
      <c r="N838" s="65"/>
    </row>
    <row r="839">
      <c r="A839" s="66"/>
      <c r="E839" s="62"/>
      <c r="K839" s="63"/>
      <c r="M839" s="64"/>
      <c r="N839" s="65"/>
    </row>
    <row r="840">
      <c r="A840" s="66"/>
      <c r="E840" s="62"/>
      <c r="K840" s="63"/>
      <c r="M840" s="64"/>
      <c r="N840" s="65"/>
    </row>
    <row r="841">
      <c r="A841" s="66"/>
      <c r="E841" s="62"/>
      <c r="K841" s="63"/>
      <c r="M841" s="64"/>
      <c r="N841" s="65"/>
    </row>
    <row r="842">
      <c r="A842" s="66"/>
      <c r="E842" s="62"/>
      <c r="K842" s="63"/>
      <c r="M842" s="64"/>
      <c r="N842" s="65"/>
    </row>
    <row r="843">
      <c r="A843" s="66"/>
      <c r="E843" s="62"/>
      <c r="K843" s="63"/>
      <c r="M843" s="64"/>
      <c r="N843" s="65"/>
    </row>
    <row r="844">
      <c r="A844" s="66"/>
      <c r="E844" s="62"/>
      <c r="K844" s="63"/>
      <c r="M844" s="64"/>
      <c r="N844" s="65"/>
    </row>
    <row r="845">
      <c r="A845" s="66"/>
      <c r="E845" s="62"/>
      <c r="K845" s="63"/>
      <c r="M845" s="64"/>
      <c r="N845" s="65"/>
    </row>
    <row r="846">
      <c r="A846" s="66"/>
      <c r="E846" s="62"/>
      <c r="K846" s="63"/>
      <c r="M846" s="64"/>
      <c r="N846" s="65"/>
    </row>
    <row r="847">
      <c r="A847" s="66"/>
      <c r="E847" s="62"/>
      <c r="K847" s="63"/>
      <c r="M847" s="64"/>
      <c r="N847" s="65"/>
    </row>
    <row r="848">
      <c r="A848" s="66"/>
      <c r="E848" s="62"/>
      <c r="K848" s="63"/>
      <c r="M848" s="64"/>
      <c r="N848" s="65"/>
    </row>
    <row r="849">
      <c r="A849" s="66"/>
      <c r="E849" s="62"/>
      <c r="K849" s="63"/>
      <c r="M849" s="64"/>
      <c r="N849" s="65"/>
    </row>
    <row r="850">
      <c r="A850" s="66"/>
      <c r="E850" s="62"/>
      <c r="K850" s="63"/>
      <c r="M850" s="64"/>
      <c r="N850" s="65"/>
    </row>
    <row r="851">
      <c r="A851" s="66"/>
      <c r="E851" s="62"/>
      <c r="K851" s="63"/>
      <c r="M851" s="64"/>
      <c r="N851" s="65"/>
    </row>
    <row r="852">
      <c r="A852" s="66"/>
      <c r="E852" s="62"/>
      <c r="K852" s="63"/>
      <c r="M852" s="64"/>
      <c r="N852" s="65"/>
    </row>
    <row r="853">
      <c r="A853" s="66"/>
      <c r="E853" s="62"/>
      <c r="K853" s="63"/>
      <c r="M853" s="64"/>
      <c r="N853" s="65"/>
    </row>
    <row r="854">
      <c r="A854" s="66"/>
      <c r="E854" s="62"/>
      <c r="K854" s="63"/>
      <c r="M854" s="64"/>
      <c r="N854" s="65"/>
    </row>
    <row r="855">
      <c r="A855" s="66"/>
      <c r="E855" s="62"/>
      <c r="K855" s="63"/>
      <c r="M855" s="64"/>
      <c r="N855" s="65"/>
    </row>
    <row r="856">
      <c r="A856" s="66"/>
      <c r="E856" s="62"/>
      <c r="K856" s="63"/>
      <c r="M856" s="64"/>
      <c r="N856" s="65"/>
    </row>
    <row r="857">
      <c r="A857" s="66"/>
      <c r="E857" s="62"/>
      <c r="K857" s="63"/>
      <c r="M857" s="64"/>
      <c r="N857" s="65"/>
    </row>
    <row r="858">
      <c r="A858" s="66"/>
      <c r="E858" s="62"/>
      <c r="K858" s="63"/>
      <c r="M858" s="64"/>
      <c r="N858" s="65"/>
    </row>
    <row r="859">
      <c r="A859" s="66"/>
      <c r="E859" s="62"/>
      <c r="K859" s="63"/>
      <c r="M859" s="64"/>
      <c r="N859" s="65"/>
    </row>
    <row r="860">
      <c r="A860" s="66"/>
      <c r="E860" s="62"/>
      <c r="K860" s="63"/>
      <c r="M860" s="64"/>
      <c r="N860" s="65"/>
    </row>
    <row r="861">
      <c r="A861" s="66"/>
      <c r="E861" s="62"/>
      <c r="K861" s="63"/>
      <c r="M861" s="64"/>
      <c r="N861" s="65"/>
    </row>
    <row r="862">
      <c r="A862" s="66"/>
      <c r="E862" s="62"/>
      <c r="K862" s="63"/>
      <c r="M862" s="64"/>
      <c r="N862" s="65"/>
    </row>
    <row r="863">
      <c r="A863" s="66"/>
      <c r="E863" s="62"/>
      <c r="K863" s="63"/>
      <c r="M863" s="64"/>
      <c r="N863" s="65"/>
    </row>
    <row r="864">
      <c r="A864" s="66"/>
      <c r="E864" s="62"/>
      <c r="K864" s="63"/>
      <c r="M864" s="64"/>
      <c r="N864" s="65"/>
    </row>
    <row r="865">
      <c r="A865" s="66"/>
      <c r="E865" s="62"/>
      <c r="K865" s="63"/>
      <c r="M865" s="64"/>
      <c r="N865" s="65"/>
    </row>
    <row r="866">
      <c r="A866" s="66"/>
      <c r="E866" s="62"/>
      <c r="K866" s="63"/>
      <c r="M866" s="64"/>
      <c r="N866" s="65"/>
    </row>
    <row r="867">
      <c r="A867" s="66"/>
      <c r="E867" s="62"/>
      <c r="K867" s="63"/>
      <c r="M867" s="64"/>
      <c r="N867" s="65"/>
    </row>
    <row r="868">
      <c r="A868" s="66"/>
      <c r="E868" s="62"/>
      <c r="K868" s="63"/>
      <c r="M868" s="64"/>
      <c r="N868" s="65"/>
    </row>
    <row r="869">
      <c r="A869" s="66"/>
      <c r="E869" s="62"/>
      <c r="K869" s="63"/>
      <c r="M869" s="64"/>
      <c r="N869" s="65"/>
    </row>
    <row r="870">
      <c r="A870" s="66"/>
      <c r="E870" s="62"/>
      <c r="K870" s="63"/>
      <c r="M870" s="64"/>
      <c r="N870" s="65"/>
    </row>
    <row r="871">
      <c r="A871" s="66"/>
      <c r="E871" s="62"/>
      <c r="K871" s="63"/>
      <c r="M871" s="64"/>
      <c r="N871" s="65"/>
    </row>
    <row r="872">
      <c r="A872" s="66"/>
      <c r="E872" s="62"/>
      <c r="K872" s="63"/>
      <c r="M872" s="64"/>
      <c r="N872" s="65"/>
    </row>
    <row r="873">
      <c r="A873" s="66"/>
      <c r="E873" s="62"/>
      <c r="K873" s="63"/>
      <c r="M873" s="64"/>
      <c r="N873" s="65"/>
    </row>
    <row r="874">
      <c r="A874" s="66"/>
      <c r="E874" s="62"/>
      <c r="K874" s="63"/>
      <c r="M874" s="64"/>
      <c r="N874" s="65"/>
    </row>
    <row r="875">
      <c r="A875" s="66"/>
      <c r="E875" s="62"/>
      <c r="K875" s="63"/>
      <c r="M875" s="64"/>
      <c r="N875" s="65"/>
    </row>
    <row r="876">
      <c r="A876" s="66"/>
      <c r="E876" s="62"/>
      <c r="K876" s="63"/>
      <c r="M876" s="64"/>
      <c r="N876" s="65"/>
    </row>
    <row r="877">
      <c r="A877" s="66"/>
      <c r="E877" s="62"/>
      <c r="K877" s="63"/>
      <c r="M877" s="64"/>
      <c r="N877" s="65"/>
    </row>
    <row r="878">
      <c r="A878" s="66"/>
      <c r="E878" s="62"/>
      <c r="K878" s="63"/>
      <c r="M878" s="64"/>
      <c r="N878" s="65"/>
    </row>
    <row r="879">
      <c r="A879" s="66"/>
      <c r="E879" s="62"/>
      <c r="K879" s="63"/>
      <c r="M879" s="64"/>
      <c r="N879" s="65"/>
    </row>
    <row r="880">
      <c r="A880" s="66"/>
      <c r="E880" s="62"/>
      <c r="K880" s="63"/>
      <c r="M880" s="64"/>
      <c r="N880" s="65"/>
    </row>
    <row r="881">
      <c r="A881" s="66"/>
      <c r="E881" s="62"/>
      <c r="K881" s="63"/>
      <c r="M881" s="64"/>
      <c r="N881" s="65"/>
    </row>
    <row r="882">
      <c r="A882" s="66"/>
      <c r="E882" s="62"/>
      <c r="K882" s="63"/>
      <c r="M882" s="64"/>
      <c r="N882" s="65"/>
    </row>
    <row r="883">
      <c r="A883" s="66"/>
      <c r="E883" s="62"/>
      <c r="K883" s="63"/>
      <c r="M883" s="64"/>
      <c r="N883" s="65"/>
    </row>
    <row r="884">
      <c r="A884" s="66"/>
      <c r="E884" s="62"/>
      <c r="K884" s="63"/>
      <c r="M884" s="64"/>
      <c r="N884" s="65"/>
    </row>
    <row r="885">
      <c r="A885" s="66"/>
      <c r="E885" s="62"/>
      <c r="K885" s="63"/>
      <c r="M885" s="64"/>
      <c r="N885" s="65"/>
    </row>
    <row r="886">
      <c r="A886" s="66"/>
      <c r="E886" s="62"/>
      <c r="K886" s="63"/>
      <c r="M886" s="64"/>
      <c r="N886" s="65"/>
    </row>
    <row r="887">
      <c r="A887" s="66"/>
      <c r="E887" s="62"/>
      <c r="K887" s="63"/>
      <c r="M887" s="64"/>
      <c r="N887" s="65"/>
    </row>
    <row r="888">
      <c r="A888" s="66"/>
      <c r="E888" s="62"/>
      <c r="K888" s="63"/>
      <c r="M888" s="64"/>
      <c r="N888" s="65"/>
    </row>
    <row r="889">
      <c r="A889" s="66"/>
      <c r="E889" s="62"/>
      <c r="K889" s="63"/>
      <c r="M889" s="64"/>
      <c r="N889" s="65"/>
    </row>
    <row r="890">
      <c r="A890" s="66"/>
      <c r="E890" s="62"/>
      <c r="K890" s="63"/>
      <c r="M890" s="64"/>
      <c r="N890" s="65"/>
    </row>
    <row r="891">
      <c r="A891" s="66"/>
      <c r="E891" s="62"/>
      <c r="K891" s="63"/>
      <c r="M891" s="64"/>
      <c r="N891" s="65"/>
    </row>
    <row r="892">
      <c r="A892" s="66"/>
      <c r="E892" s="62"/>
      <c r="K892" s="63"/>
      <c r="M892" s="64"/>
      <c r="N892" s="65"/>
    </row>
    <row r="893">
      <c r="A893" s="66"/>
      <c r="E893" s="62"/>
      <c r="K893" s="63"/>
      <c r="M893" s="64"/>
      <c r="N893" s="65"/>
    </row>
    <row r="894">
      <c r="A894" s="66"/>
      <c r="E894" s="62"/>
      <c r="K894" s="63"/>
      <c r="M894" s="64"/>
      <c r="N894" s="65"/>
    </row>
    <row r="895">
      <c r="A895" s="66"/>
      <c r="E895" s="62"/>
      <c r="K895" s="63"/>
      <c r="M895" s="64"/>
      <c r="N895" s="65"/>
    </row>
    <row r="896">
      <c r="A896" s="66"/>
      <c r="E896" s="62"/>
      <c r="K896" s="63"/>
      <c r="M896" s="64"/>
      <c r="N896" s="65"/>
    </row>
    <row r="897">
      <c r="A897" s="66"/>
      <c r="E897" s="62"/>
      <c r="K897" s="63"/>
      <c r="M897" s="64"/>
      <c r="N897" s="65"/>
    </row>
    <row r="898">
      <c r="A898" s="66"/>
      <c r="E898" s="62"/>
      <c r="K898" s="63"/>
      <c r="M898" s="64"/>
      <c r="N898" s="65"/>
    </row>
    <row r="899">
      <c r="A899" s="66"/>
      <c r="E899" s="62"/>
      <c r="K899" s="63"/>
      <c r="M899" s="64"/>
      <c r="N899" s="65"/>
    </row>
    <row r="900">
      <c r="A900" s="66"/>
      <c r="E900" s="62"/>
      <c r="K900" s="63"/>
      <c r="M900" s="64"/>
      <c r="N900" s="65"/>
    </row>
    <row r="901">
      <c r="A901" s="66"/>
      <c r="E901" s="62"/>
      <c r="K901" s="63"/>
      <c r="M901" s="64"/>
      <c r="N901" s="65"/>
    </row>
    <row r="902">
      <c r="A902" s="66"/>
      <c r="E902" s="62"/>
      <c r="K902" s="63"/>
      <c r="M902" s="64"/>
      <c r="N902" s="65"/>
    </row>
    <row r="903">
      <c r="A903" s="66"/>
      <c r="E903" s="62"/>
      <c r="K903" s="63"/>
      <c r="M903" s="64"/>
      <c r="N903" s="65"/>
    </row>
    <row r="904">
      <c r="A904" s="66"/>
      <c r="E904" s="62"/>
      <c r="K904" s="63"/>
      <c r="M904" s="64"/>
      <c r="N904" s="65"/>
    </row>
    <row r="905">
      <c r="A905" s="66"/>
      <c r="E905" s="62"/>
      <c r="K905" s="63"/>
      <c r="M905" s="64"/>
      <c r="N905" s="65"/>
    </row>
    <row r="906">
      <c r="A906" s="66"/>
      <c r="E906" s="62"/>
      <c r="K906" s="63"/>
      <c r="M906" s="64"/>
      <c r="N906" s="65"/>
    </row>
    <row r="907">
      <c r="A907" s="66"/>
      <c r="E907" s="62"/>
      <c r="K907" s="63"/>
      <c r="M907" s="64"/>
      <c r="N907" s="65"/>
    </row>
    <row r="908">
      <c r="A908" s="66"/>
      <c r="E908" s="62"/>
      <c r="K908" s="63"/>
      <c r="M908" s="64"/>
      <c r="N908" s="65"/>
    </row>
    <row r="909">
      <c r="A909" s="66"/>
      <c r="E909" s="62"/>
      <c r="K909" s="63"/>
      <c r="M909" s="64"/>
      <c r="N909" s="65"/>
    </row>
    <row r="910">
      <c r="A910" s="66"/>
      <c r="E910" s="62"/>
      <c r="K910" s="63"/>
      <c r="M910" s="64"/>
      <c r="N910" s="65"/>
    </row>
    <row r="911">
      <c r="A911" s="66"/>
      <c r="E911" s="62"/>
      <c r="K911" s="63"/>
      <c r="M911" s="64"/>
      <c r="N911" s="65"/>
    </row>
    <row r="912">
      <c r="A912" s="66"/>
      <c r="E912" s="62"/>
      <c r="K912" s="63"/>
      <c r="M912" s="64"/>
      <c r="N912" s="65"/>
    </row>
    <row r="913">
      <c r="A913" s="66"/>
      <c r="E913" s="62"/>
      <c r="K913" s="63"/>
      <c r="M913" s="64"/>
      <c r="N913" s="65"/>
    </row>
    <row r="914">
      <c r="A914" s="66"/>
      <c r="E914" s="62"/>
      <c r="K914" s="63"/>
      <c r="M914" s="64"/>
      <c r="N914" s="65"/>
    </row>
    <row r="915">
      <c r="A915" s="66"/>
      <c r="E915" s="62"/>
      <c r="K915" s="63"/>
      <c r="M915" s="64"/>
      <c r="N915" s="65"/>
    </row>
    <row r="916">
      <c r="A916" s="66"/>
      <c r="E916" s="62"/>
      <c r="K916" s="63"/>
      <c r="M916" s="64"/>
      <c r="N916" s="65"/>
    </row>
    <row r="917">
      <c r="A917" s="66"/>
      <c r="E917" s="62"/>
      <c r="K917" s="63"/>
      <c r="M917" s="64"/>
      <c r="N917" s="65"/>
    </row>
    <row r="918">
      <c r="A918" s="66"/>
      <c r="E918" s="62"/>
      <c r="K918" s="63"/>
      <c r="M918" s="64"/>
      <c r="N918" s="65"/>
    </row>
    <row r="919">
      <c r="A919" s="66"/>
      <c r="E919" s="62"/>
      <c r="K919" s="63"/>
      <c r="M919" s="64"/>
      <c r="N919" s="65"/>
    </row>
    <row r="920">
      <c r="A920" s="66"/>
      <c r="E920" s="62"/>
      <c r="K920" s="63"/>
      <c r="M920" s="64"/>
      <c r="N920" s="65"/>
    </row>
    <row r="921">
      <c r="A921" s="66"/>
      <c r="E921" s="62"/>
      <c r="K921" s="63"/>
      <c r="M921" s="64"/>
      <c r="N921" s="65"/>
    </row>
    <row r="922">
      <c r="A922" s="66"/>
      <c r="E922" s="62"/>
      <c r="K922" s="63"/>
      <c r="M922" s="64"/>
      <c r="N922" s="65"/>
    </row>
    <row r="923">
      <c r="A923" s="66"/>
      <c r="E923" s="62"/>
      <c r="K923" s="63"/>
      <c r="M923" s="64"/>
      <c r="N923" s="65"/>
    </row>
    <row r="924">
      <c r="A924" s="66"/>
      <c r="E924" s="62"/>
      <c r="K924" s="63"/>
      <c r="M924" s="64"/>
      <c r="N924" s="65"/>
    </row>
    <row r="925">
      <c r="A925" s="66"/>
      <c r="E925" s="62"/>
      <c r="K925" s="63"/>
      <c r="M925" s="64"/>
      <c r="N925" s="65"/>
    </row>
    <row r="926">
      <c r="A926" s="66"/>
      <c r="E926" s="62"/>
      <c r="K926" s="63"/>
      <c r="M926" s="64"/>
      <c r="N926" s="65"/>
    </row>
    <row r="927">
      <c r="A927" s="66"/>
      <c r="E927" s="62"/>
      <c r="K927" s="63"/>
      <c r="M927" s="64"/>
      <c r="N927" s="65"/>
    </row>
    <row r="928">
      <c r="A928" s="66"/>
      <c r="E928" s="62"/>
      <c r="K928" s="63"/>
      <c r="M928" s="64"/>
      <c r="N928" s="65"/>
    </row>
    <row r="929">
      <c r="A929" s="66"/>
      <c r="E929" s="62"/>
      <c r="K929" s="63"/>
      <c r="M929" s="64"/>
      <c r="N929" s="65"/>
    </row>
    <row r="930">
      <c r="A930" s="66"/>
      <c r="E930" s="62"/>
      <c r="K930" s="63"/>
      <c r="M930" s="64"/>
      <c r="N930" s="65"/>
    </row>
    <row r="931">
      <c r="A931" s="66"/>
      <c r="E931" s="62"/>
      <c r="K931" s="63"/>
      <c r="M931" s="64"/>
      <c r="N931" s="65"/>
    </row>
    <row r="932">
      <c r="A932" s="66"/>
      <c r="E932" s="62"/>
      <c r="K932" s="63"/>
      <c r="M932" s="64"/>
      <c r="N932" s="65"/>
    </row>
    <row r="933">
      <c r="A933" s="66"/>
      <c r="E933" s="62"/>
      <c r="K933" s="63"/>
      <c r="M933" s="64"/>
      <c r="N933" s="65"/>
    </row>
    <row r="934">
      <c r="A934" s="66"/>
      <c r="E934" s="62"/>
      <c r="K934" s="63"/>
      <c r="M934" s="64"/>
      <c r="N934" s="65"/>
    </row>
    <row r="935">
      <c r="A935" s="66"/>
      <c r="E935" s="62"/>
      <c r="K935" s="63"/>
      <c r="M935" s="64"/>
      <c r="N935" s="65"/>
    </row>
    <row r="936">
      <c r="A936" s="66"/>
      <c r="E936" s="62"/>
      <c r="K936" s="63"/>
      <c r="M936" s="64"/>
      <c r="N936" s="65"/>
    </row>
    <row r="937">
      <c r="A937" s="66"/>
      <c r="E937" s="62"/>
      <c r="K937" s="63"/>
      <c r="M937" s="64"/>
      <c r="N937" s="65"/>
    </row>
    <row r="938">
      <c r="A938" s="66"/>
      <c r="E938" s="62"/>
      <c r="K938" s="63"/>
      <c r="M938" s="64"/>
      <c r="N938" s="65"/>
    </row>
    <row r="939">
      <c r="A939" s="66"/>
      <c r="E939" s="62"/>
      <c r="K939" s="63"/>
      <c r="M939" s="64"/>
      <c r="N939" s="65"/>
    </row>
    <row r="940">
      <c r="A940" s="66"/>
      <c r="E940" s="62"/>
      <c r="K940" s="63"/>
      <c r="M940" s="64"/>
      <c r="N940" s="65"/>
    </row>
    <row r="941">
      <c r="A941" s="66"/>
      <c r="E941" s="62"/>
      <c r="K941" s="63"/>
      <c r="M941" s="64"/>
      <c r="N941" s="65"/>
    </row>
    <row r="942">
      <c r="A942" s="66"/>
      <c r="E942" s="62"/>
      <c r="K942" s="63"/>
      <c r="M942" s="64"/>
      <c r="N942" s="65"/>
    </row>
    <row r="943">
      <c r="A943" s="66"/>
      <c r="E943" s="62"/>
      <c r="K943" s="63"/>
      <c r="M943" s="64"/>
      <c r="N943" s="65"/>
    </row>
    <row r="944">
      <c r="A944" s="66"/>
      <c r="E944" s="62"/>
      <c r="K944" s="63"/>
      <c r="M944" s="64"/>
      <c r="N944" s="65"/>
    </row>
    <row r="945">
      <c r="A945" s="66"/>
      <c r="E945" s="62"/>
      <c r="K945" s="63"/>
      <c r="M945" s="64"/>
      <c r="N945" s="65"/>
    </row>
    <row r="946">
      <c r="A946" s="66"/>
      <c r="E946" s="62"/>
      <c r="K946" s="63"/>
      <c r="M946" s="64"/>
      <c r="N946" s="65"/>
    </row>
    <row r="947">
      <c r="A947" s="66"/>
      <c r="E947" s="62"/>
      <c r="K947" s="63"/>
      <c r="M947" s="64"/>
      <c r="N947" s="65"/>
    </row>
    <row r="948">
      <c r="A948" s="66"/>
      <c r="E948" s="62"/>
      <c r="K948" s="63"/>
      <c r="M948" s="64"/>
      <c r="N948" s="65"/>
    </row>
    <row r="949">
      <c r="A949" s="66"/>
      <c r="E949" s="62"/>
      <c r="K949" s="63"/>
      <c r="M949" s="64"/>
      <c r="N949" s="65"/>
    </row>
    <row r="950">
      <c r="A950" s="66"/>
      <c r="E950" s="62"/>
      <c r="K950" s="63"/>
      <c r="M950" s="64"/>
      <c r="N950" s="65"/>
    </row>
    <row r="951">
      <c r="A951" s="66"/>
      <c r="E951" s="62"/>
      <c r="K951" s="63"/>
      <c r="M951" s="64"/>
      <c r="N951" s="65"/>
    </row>
    <row r="952">
      <c r="A952" s="66"/>
      <c r="E952" s="62"/>
      <c r="K952" s="63"/>
      <c r="M952" s="64"/>
      <c r="N952" s="65"/>
    </row>
    <row r="953">
      <c r="A953" s="66"/>
      <c r="E953" s="62"/>
      <c r="K953" s="63"/>
      <c r="M953" s="64"/>
      <c r="N953" s="65"/>
    </row>
    <row r="954">
      <c r="A954" s="66"/>
      <c r="E954" s="62"/>
      <c r="K954" s="63"/>
      <c r="M954" s="64"/>
      <c r="N954" s="65"/>
    </row>
    <row r="955">
      <c r="A955" s="66"/>
      <c r="E955" s="62"/>
      <c r="K955" s="63"/>
      <c r="M955" s="64"/>
      <c r="N955" s="65"/>
    </row>
    <row r="956">
      <c r="A956" s="66"/>
      <c r="E956" s="62"/>
      <c r="K956" s="63"/>
      <c r="M956" s="64"/>
      <c r="N956" s="65"/>
    </row>
    <row r="957">
      <c r="A957" s="66"/>
      <c r="E957" s="62"/>
      <c r="K957" s="63"/>
      <c r="M957" s="64"/>
      <c r="N957" s="65"/>
    </row>
    <row r="958">
      <c r="A958" s="66"/>
      <c r="E958" s="62"/>
      <c r="K958" s="63"/>
      <c r="M958" s="64"/>
      <c r="N958" s="65"/>
    </row>
    <row r="959">
      <c r="A959" s="66"/>
      <c r="E959" s="62"/>
      <c r="K959" s="63"/>
      <c r="M959" s="64"/>
      <c r="N959" s="65"/>
    </row>
    <row r="960">
      <c r="A960" s="66"/>
      <c r="E960" s="62"/>
      <c r="K960" s="63"/>
      <c r="M960" s="64"/>
      <c r="N960" s="65"/>
    </row>
    <row r="961">
      <c r="A961" s="66"/>
      <c r="E961" s="62"/>
      <c r="K961" s="63"/>
      <c r="M961" s="64"/>
      <c r="N961" s="65"/>
    </row>
    <row r="962">
      <c r="A962" s="66"/>
      <c r="E962" s="62"/>
      <c r="K962" s="63"/>
      <c r="M962" s="64"/>
      <c r="N962" s="65"/>
    </row>
    <row r="963">
      <c r="A963" s="66"/>
      <c r="E963" s="62"/>
      <c r="K963" s="63"/>
      <c r="M963" s="64"/>
      <c r="N963" s="65"/>
    </row>
    <row r="964">
      <c r="A964" s="66"/>
      <c r="E964" s="62"/>
      <c r="K964" s="63"/>
      <c r="M964" s="64"/>
      <c r="N964" s="65"/>
    </row>
    <row r="965">
      <c r="A965" s="66"/>
      <c r="E965" s="62"/>
      <c r="K965" s="63"/>
      <c r="M965" s="64"/>
      <c r="N965" s="65"/>
    </row>
    <row r="966">
      <c r="A966" s="66"/>
      <c r="E966" s="62"/>
      <c r="K966" s="63"/>
      <c r="M966" s="64"/>
      <c r="N966" s="65"/>
    </row>
    <row r="967">
      <c r="A967" s="66"/>
      <c r="E967" s="62"/>
      <c r="K967" s="63"/>
      <c r="M967" s="64"/>
      <c r="N967" s="65"/>
    </row>
    <row r="968">
      <c r="A968" s="66"/>
      <c r="E968" s="62"/>
      <c r="K968" s="63"/>
      <c r="M968" s="64"/>
      <c r="N968" s="65"/>
    </row>
    <row r="969">
      <c r="A969" s="66"/>
      <c r="E969" s="62"/>
      <c r="K969" s="63"/>
      <c r="M969" s="64"/>
      <c r="N969" s="65"/>
    </row>
    <row r="970">
      <c r="A970" s="66"/>
      <c r="E970" s="62"/>
      <c r="K970" s="63"/>
      <c r="M970" s="64"/>
      <c r="N970" s="65"/>
    </row>
    <row r="971">
      <c r="A971" s="66"/>
      <c r="E971" s="62"/>
      <c r="K971" s="63"/>
      <c r="M971" s="64"/>
      <c r="N971" s="65"/>
    </row>
    <row r="972">
      <c r="A972" s="66"/>
      <c r="E972" s="62"/>
      <c r="K972" s="63"/>
      <c r="M972" s="64"/>
      <c r="N972" s="65"/>
    </row>
    <row r="973">
      <c r="A973" s="66"/>
      <c r="E973" s="62"/>
      <c r="K973" s="63"/>
      <c r="M973" s="64"/>
      <c r="N973" s="65"/>
    </row>
    <row r="974">
      <c r="A974" s="66"/>
      <c r="E974" s="62"/>
      <c r="K974" s="63"/>
      <c r="M974" s="64"/>
      <c r="N974" s="65"/>
    </row>
    <row r="975">
      <c r="A975" s="66"/>
      <c r="E975" s="62"/>
      <c r="K975" s="63"/>
      <c r="M975" s="64"/>
      <c r="N975" s="65"/>
    </row>
    <row r="976">
      <c r="A976" s="66"/>
      <c r="E976" s="62"/>
      <c r="K976" s="63"/>
      <c r="M976" s="64"/>
      <c r="N976" s="65"/>
    </row>
    <row r="977">
      <c r="A977" s="66"/>
      <c r="E977" s="62"/>
      <c r="K977" s="63"/>
      <c r="M977" s="64"/>
      <c r="N977" s="65"/>
    </row>
    <row r="978">
      <c r="A978" s="66"/>
      <c r="E978" s="62"/>
      <c r="K978" s="63"/>
      <c r="M978" s="64"/>
      <c r="N978" s="65"/>
    </row>
    <row r="979">
      <c r="A979" s="66"/>
      <c r="E979" s="62"/>
      <c r="K979" s="63"/>
      <c r="M979" s="64"/>
      <c r="N979" s="65"/>
    </row>
    <row r="980">
      <c r="A980" s="66"/>
      <c r="E980" s="62"/>
      <c r="K980" s="63"/>
      <c r="M980" s="64"/>
      <c r="N980" s="65"/>
    </row>
    <row r="981">
      <c r="A981" s="66"/>
      <c r="E981" s="62"/>
      <c r="K981" s="63"/>
      <c r="M981" s="64"/>
      <c r="N981" s="65"/>
    </row>
    <row r="982">
      <c r="A982" s="66"/>
      <c r="E982" s="62"/>
      <c r="K982" s="63"/>
      <c r="M982" s="64"/>
      <c r="N982" s="65"/>
    </row>
    <row r="983">
      <c r="A983" s="66"/>
      <c r="E983" s="62"/>
      <c r="K983" s="63"/>
      <c r="M983" s="64"/>
      <c r="N983" s="65"/>
    </row>
    <row r="984">
      <c r="A984" s="66"/>
      <c r="E984" s="62"/>
      <c r="K984" s="63"/>
      <c r="M984" s="64"/>
      <c r="N984" s="65"/>
    </row>
    <row r="985">
      <c r="A985" s="66"/>
      <c r="E985" s="62"/>
      <c r="K985" s="63"/>
      <c r="M985" s="64"/>
      <c r="N985" s="65"/>
    </row>
    <row r="986">
      <c r="A986" s="66"/>
      <c r="E986" s="62"/>
      <c r="K986" s="63"/>
      <c r="M986" s="64"/>
      <c r="N986" s="65"/>
    </row>
    <row r="987">
      <c r="A987" s="66"/>
      <c r="E987" s="62"/>
      <c r="K987" s="63"/>
      <c r="M987" s="64"/>
      <c r="N987" s="65"/>
    </row>
    <row r="988">
      <c r="A988" s="66"/>
      <c r="E988" s="62"/>
      <c r="K988" s="63"/>
      <c r="M988" s="64"/>
      <c r="N988" s="65"/>
    </row>
    <row r="989">
      <c r="A989" s="66"/>
      <c r="E989" s="62"/>
      <c r="K989" s="63"/>
      <c r="M989" s="64"/>
      <c r="N989" s="65"/>
    </row>
    <row r="990">
      <c r="A990" s="66"/>
      <c r="E990" s="62"/>
      <c r="K990" s="63"/>
      <c r="M990" s="64"/>
      <c r="N990" s="65"/>
    </row>
    <row r="991">
      <c r="A991" s="66"/>
      <c r="E991" s="62"/>
      <c r="K991" s="63"/>
      <c r="M991" s="64"/>
      <c r="N991" s="65"/>
    </row>
    <row r="992">
      <c r="A992" s="66"/>
      <c r="E992" s="62"/>
      <c r="K992" s="63"/>
      <c r="M992" s="64"/>
      <c r="N992" s="65"/>
    </row>
    <row r="993">
      <c r="A993" s="66"/>
      <c r="E993" s="62"/>
      <c r="K993" s="63"/>
      <c r="M993" s="64"/>
      <c r="N993" s="65"/>
    </row>
    <row r="994">
      <c r="A994" s="66"/>
      <c r="E994" s="62"/>
      <c r="K994" s="63"/>
      <c r="M994" s="64"/>
      <c r="N994" s="65"/>
    </row>
    <row r="995">
      <c r="A995" s="66"/>
      <c r="E995" s="62"/>
      <c r="K995" s="63"/>
      <c r="M995" s="64"/>
      <c r="N995" s="65"/>
    </row>
    <row r="996">
      <c r="A996" s="66"/>
      <c r="E996" s="62"/>
      <c r="K996" s="63"/>
      <c r="M996" s="64"/>
      <c r="N996" s="65"/>
    </row>
    <row r="997">
      <c r="A997" s="66"/>
      <c r="E997" s="62"/>
      <c r="K997" s="63"/>
      <c r="M997" s="64"/>
      <c r="N997" s="65"/>
    </row>
    <row r="998">
      <c r="A998" s="66"/>
      <c r="E998" s="62"/>
      <c r="K998" s="63"/>
      <c r="M998" s="64"/>
      <c r="N998" s="65"/>
    </row>
    <row r="999">
      <c r="A999" s="66"/>
      <c r="E999" s="62"/>
      <c r="K999" s="63"/>
      <c r="M999" s="64"/>
      <c r="N999" s="65"/>
    </row>
    <row r="1000">
      <c r="A1000" s="66"/>
      <c r="E1000" s="62"/>
      <c r="K1000" s="63"/>
      <c r="M1000" s="64"/>
      <c r="N1000" s="65"/>
    </row>
  </sheetData>
  <mergeCells count="7">
    <mergeCell ref="R5:S5"/>
    <mergeCell ref="X5:Y5"/>
    <mergeCell ref="R21:S21"/>
    <mergeCell ref="X21:Y21"/>
    <mergeCell ref="R35:S35"/>
    <mergeCell ref="Q49:R49"/>
    <mergeCell ref="W49:X49"/>
  </mergeCells>
  <hyperlinks>
    <hyperlink r:id="rId1" ref="B5"/>
    <hyperlink r:id="rId2" ref="C5"/>
    <hyperlink r:id="rId3" ref="M6"/>
    <hyperlink r:id="rId4" ref="B8"/>
    <hyperlink r:id="rId5" ref="C8"/>
    <hyperlink display="IC190922B" location="IC190922B!A1" ref="A10"/>
    <hyperlink r:id="rId6" ref="B10"/>
    <hyperlink r:id="rId7" ref="C10"/>
    <hyperlink r:id="rId8" ref="F10"/>
    <hyperlink r:id="rId9" ref="M10"/>
    <hyperlink display="IC191001A" location="IC191001A!A1" ref="A12"/>
    <hyperlink r:id="rId10" ref="B12"/>
    <hyperlink r:id="rId11" ref="C12"/>
    <hyperlink r:id="rId12" ref="F12"/>
    <hyperlink r:id="rId13" ref="M12"/>
    <hyperlink r:id="rId14" ref="F13"/>
    <hyperlink r:id="rId15" ref="M13"/>
    <hyperlink r:id="rId16" ref="F14"/>
    <hyperlink r:id="rId17" ref="M14"/>
    <hyperlink r:id="rId18" ref="M15"/>
    <hyperlink display="IC200107A" location="IC200107A!A1" ref="A17"/>
    <hyperlink r:id="rId19" ref="B17"/>
    <hyperlink r:id="rId20" ref="C17"/>
    <hyperlink display="IC200109A" location="IC200109A!A1" ref="A19"/>
    <hyperlink r:id="rId21" ref="B19"/>
    <hyperlink r:id="rId22" ref="C19"/>
    <hyperlink r:id="rId23" ref="M19"/>
    <hyperlink r:id="rId24" ref="M20"/>
    <hyperlink r:id="rId25" ref="M21"/>
    <hyperlink r:id="rId26" ref="M22"/>
    <hyperlink r:id="rId27" ref="M23"/>
    <hyperlink display="IC200117A" location="IC200117A!A1" ref="A25"/>
    <hyperlink r:id="rId28" ref="B25"/>
    <hyperlink r:id="rId29" ref="C25"/>
    <hyperlink r:id="rId30" ref="M25"/>
    <hyperlink r:id="rId31" ref="C26"/>
    <hyperlink r:id="rId32" ref="M26"/>
    <hyperlink display="IC200512A" location="IC200512A!A1" ref="A28"/>
    <hyperlink r:id="rId33" ref="B28"/>
    <hyperlink r:id="rId34" ref="C28"/>
    <hyperlink display="IC200530A" location="IC200530A!A1" ref="A30"/>
    <hyperlink r:id="rId35" ref="B30"/>
    <hyperlink r:id="rId36" ref="C30"/>
    <hyperlink r:id="rId37" ref="M30"/>
    <hyperlink r:id="rId38" ref="C31"/>
    <hyperlink r:id="rId39" ref="M31"/>
    <hyperlink r:id="rId40" ref="C32"/>
    <hyperlink r:id="rId41" ref="M32"/>
    <hyperlink r:id="rId42" ref="E33"/>
    <hyperlink r:id="rId43" ref="F33"/>
    <hyperlink r:id="rId44" ref="E35"/>
    <hyperlink r:id="rId45" ref="F35"/>
    <hyperlink display="IC200620A" location="IC200620A!A1" ref="A46"/>
    <hyperlink r:id="rId46" ref="B46"/>
    <hyperlink r:id="rId47" ref="C46"/>
    <hyperlink r:id="rId48" ref="M46"/>
    <hyperlink display="IC200916A" location="IC200916A!A1" ref="A49"/>
    <hyperlink r:id="rId49" ref="B49"/>
    <hyperlink r:id="rId50" ref="C49"/>
    <hyperlink r:id="rId51" ref="M49"/>
    <hyperlink r:id="rId52" ref="C50"/>
    <hyperlink r:id="rId53" ref="M50"/>
    <hyperlink display="IC200926A" location="IC200926A!A1" ref="A53"/>
    <hyperlink r:id="rId54" ref="B53"/>
    <hyperlink r:id="rId55" ref="C53"/>
    <hyperlink display="IC200929A" location="IC200929A!A1" ref="A55"/>
    <hyperlink r:id="rId56" ref="B55"/>
    <hyperlink r:id="rId57" ref="C55"/>
    <hyperlink display="IC201007A" location="IC201007A!A1" ref="A57"/>
    <hyperlink r:id="rId58" ref="B57"/>
    <hyperlink r:id="rId59" ref="C57"/>
    <hyperlink display="IC201021A" location="IC201021A!A1" ref="A59"/>
    <hyperlink r:id="rId60" ref="B59"/>
    <hyperlink r:id="rId61" ref="C59"/>
    <hyperlink r:id="rId62" ref="M59"/>
    <hyperlink display="IC201130A" location="IC201130A!A1" ref="A61"/>
    <hyperlink r:id="rId63" ref="B61"/>
    <hyperlink r:id="rId64" ref="C61"/>
    <hyperlink display="IC201209A" location="IC201209A!A1" ref="A63"/>
    <hyperlink r:id="rId65" ref="B63"/>
    <hyperlink r:id="rId66" ref="C63"/>
    <hyperlink display="IC201222A" location="IC201222A!A1" ref="A65"/>
    <hyperlink r:id="rId67" ref="B65"/>
    <hyperlink r:id="rId68" ref="C65"/>
    <hyperlink display="IC210210A" location="IC210210A!A1" ref="A67"/>
    <hyperlink r:id="rId69" ref="B67"/>
    <hyperlink r:id="rId70" ref="C67"/>
    <hyperlink r:id="rId71" ref="M67"/>
    <hyperlink r:id="rId72" ref="M68"/>
    <hyperlink display="IC210516A" location="IC210510A!A1" ref="A70"/>
    <hyperlink r:id="rId73" ref="B70"/>
    <hyperlink r:id="rId74" ref="C70"/>
    <hyperlink display="IC210629A" location="IC210629A!A1" ref="A71"/>
    <hyperlink r:id="rId75" ref="B71"/>
    <hyperlink r:id="rId76" ref="C71"/>
    <hyperlink r:id="rId77" ref="M71"/>
    <hyperlink display="IC210811A" location="IC210811A!A1" ref="A72"/>
    <hyperlink r:id="rId78" ref="B72"/>
    <hyperlink r:id="rId79" ref="C72"/>
    <hyperlink r:id="rId80" ref="M72"/>
    <hyperlink r:id="rId81" ref="M73"/>
  </hyperlinks>
  <drawing r:id="rId8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.0"/>
    <col customWidth="1" min="5" max="5" width="52.57"/>
    <col customWidth="1" min="7" max="7" width="10.71"/>
    <col customWidth="1" min="8" max="9" width="26.29"/>
  </cols>
  <sheetData>
    <row r="1">
      <c r="A1" s="12" t="s">
        <v>529</v>
      </c>
      <c r="B1" s="184" t="s">
        <v>22</v>
      </c>
    </row>
    <row r="2">
      <c r="A2" s="12" t="s">
        <v>530</v>
      </c>
      <c r="B2" s="185" t="s">
        <v>23</v>
      </c>
    </row>
    <row r="5">
      <c r="A5" s="12" t="s">
        <v>531</v>
      </c>
    </row>
    <row r="6">
      <c r="A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B8" s="186" t="s">
        <v>539</v>
      </c>
      <c r="C8" s="187"/>
      <c r="D8" s="186" t="s">
        <v>540</v>
      </c>
      <c r="E8" s="186" t="s">
        <v>541</v>
      </c>
      <c r="F8" s="186" t="s">
        <v>542</v>
      </c>
      <c r="G8" s="186" t="s">
        <v>543</v>
      </c>
      <c r="H8" s="186" t="s">
        <v>544</v>
      </c>
      <c r="I8" s="186">
        <v>0.25</v>
      </c>
    </row>
    <row r="9">
      <c r="B9" s="186" t="s">
        <v>545</v>
      </c>
      <c r="C9" s="187"/>
      <c r="D9" s="186" t="s">
        <v>540</v>
      </c>
      <c r="E9" s="186" t="s">
        <v>541</v>
      </c>
      <c r="F9" s="186" t="s">
        <v>546</v>
      </c>
      <c r="G9" s="186">
        <v>0.0</v>
      </c>
      <c r="H9" s="186" t="s">
        <v>547</v>
      </c>
      <c r="I9" s="186">
        <v>0.19</v>
      </c>
    </row>
  </sheetData>
  <hyperlinks>
    <hyperlink r:id="rId1" ref="B1"/>
    <hyperlink r:id="rId2" ref="B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67.57"/>
    <col customWidth="1" min="7" max="7" width="11.29"/>
    <col customWidth="1" min="8" max="8" width="27.57"/>
  </cols>
  <sheetData>
    <row r="1">
      <c r="A1" s="12" t="s">
        <v>529</v>
      </c>
      <c r="B1" s="184" t="s">
        <v>28</v>
      </c>
    </row>
    <row r="2">
      <c r="A2" s="12" t="s">
        <v>530</v>
      </c>
      <c r="B2" s="185" t="s">
        <v>29</v>
      </c>
    </row>
    <row r="5">
      <c r="A5" s="12" t="s">
        <v>531</v>
      </c>
    </row>
    <row r="6">
      <c r="A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A8" s="4"/>
      <c r="B8" s="186" t="s">
        <v>548</v>
      </c>
      <c r="C8" s="186"/>
      <c r="D8" s="188" t="s">
        <v>540</v>
      </c>
      <c r="E8" s="188" t="s">
        <v>549</v>
      </c>
      <c r="F8" s="186" t="s">
        <v>550</v>
      </c>
      <c r="G8" s="186" t="s">
        <v>551</v>
      </c>
      <c r="H8" s="186" t="s">
        <v>552</v>
      </c>
      <c r="I8" s="186">
        <v>0.27</v>
      </c>
    </row>
    <row r="9">
      <c r="B9" s="186" t="s">
        <v>553</v>
      </c>
      <c r="C9" s="186" t="s">
        <v>554</v>
      </c>
      <c r="D9" s="188" t="s">
        <v>540</v>
      </c>
      <c r="E9" s="186" t="s">
        <v>541</v>
      </c>
      <c r="F9" s="186" t="s">
        <v>555</v>
      </c>
      <c r="G9" s="186" t="s">
        <v>556</v>
      </c>
      <c r="H9" s="186" t="s">
        <v>557</v>
      </c>
      <c r="I9" s="186">
        <v>0.25</v>
      </c>
    </row>
    <row r="10">
      <c r="B10" s="186" t="s">
        <v>558</v>
      </c>
      <c r="C10" s="187"/>
      <c r="D10" s="188" t="s">
        <v>540</v>
      </c>
      <c r="E10" s="186" t="s">
        <v>559</v>
      </c>
      <c r="F10" s="186" t="s">
        <v>550</v>
      </c>
      <c r="G10" s="186" t="s">
        <v>560</v>
      </c>
      <c r="H10" s="187"/>
      <c r="I10" s="187"/>
    </row>
    <row r="11">
      <c r="B11" s="186" t="s">
        <v>365</v>
      </c>
      <c r="C11" s="187"/>
      <c r="D11" s="188" t="s">
        <v>540</v>
      </c>
      <c r="E11" s="189" t="s">
        <v>561</v>
      </c>
      <c r="F11" s="186" t="s">
        <v>562</v>
      </c>
      <c r="G11" s="186" t="s">
        <v>563</v>
      </c>
      <c r="H11" s="186" t="s">
        <v>564</v>
      </c>
      <c r="I11" s="186">
        <v>0.77</v>
      </c>
    </row>
    <row r="12">
      <c r="B12" s="133" t="s">
        <v>565</v>
      </c>
      <c r="C12" s="133" t="s">
        <v>566</v>
      </c>
      <c r="D12" s="133" t="s">
        <v>501</v>
      </c>
      <c r="E12" s="155"/>
      <c r="F12" s="133" t="s">
        <v>567</v>
      </c>
      <c r="G12" s="133" t="s">
        <v>568</v>
      </c>
      <c r="H12" s="155"/>
      <c r="I12" s="155"/>
    </row>
    <row r="13">
      <c r="B13" s="186" t="s">
        <v>569</v>
      </c>
      <c r="C13" s="187"/>
      <c r="D13" s="186" t="s">
        <v>570</v>
      </c>
      <c r="E13" s="186" t="s">
        <v>559</v>
      </c>
      <c r="F13" s="186" t="s">
        <v>571</v>
      </c>
      <c r="G13" s="186" t="s">
        <v>572</v>
      </c>
      <c r="H13" s="187"/>
      <c r="I13" s="187"/>
    </row>
    <row r="14">
      <c r="B14" s="186" t="s">
        <v>573</v>
      </c>
      <c r="C14" s="187"/>
      <c r="D14" s="186" t="s">
        <v>540</v>
      </c>
      <c r="E14" s="186" t="s">
        <v>574</v>
      </c>
      <c r="F14" s="186" t="s">
        <v>575</v>
      </c>
      <c r="G14" s="186" t="s">
        <v>576</v>
      </c>
      <c r="H14" s="186" t="s">
        <v>577</v>
      </c>
      <c r="I14" s="186">
        <v>0.83</v>
      </c>
    </row>
    <row r="15">
      <c r="B15" s="186" t="s">
        <v>371</v>
      </c>
      <c r="C15" s="187"/>
      <c r="D15" s="186" t="s">
        <v>540</v>
      </c>
      <c r="E15" s="186" t="s">
        <v>578</v>
      </c>
      <c r="F15" s="186" t="s">
        <v>579</v>
      </c>
      <c r="G15" s="186" t="s">
        <v>580</v>
      </c>
      <c r="H15" s="186" t="s">
        <v>581</v>
      </c>
      <c r="I15" s="186">
        <v>0.1</v>
      </c>
    </row>
    <row r="16">
      <c r="B16" s="186" t="s">
        <v>582</v>
      </c>
      <c r="C16" s="187"/>
      <c r="D16" s="186" t="s">
        <v>540</v>
      </c>
      <c r="E16" s="186" t="s">
        <v>578</v>
      </c>
      <c r="F16" s="186" t="s">
        <v>583</v>
      </c>
      <c r="G16" s="186" t="s">
        <v>584</v>
      </c>
      <c r="H16" s="186" t="s">
        <v>585</v>
      </c>
      <c r="I16" s="186">
        <v>0.97</v>
      </c>
    </row>
    <row r="17">
      <c r="B17" s="186" t="s">
        <v>586</v>
      </c>
      <c r="C17" s="187"/>
      <c r="D17" s="186" t="s">
        <v>540</v>
      </c>
      <c r="E17" s="186" t="s">
        <v>587</v>
      </c>
      <c r="F17" s="186" t="s">
        <v>579</v>
      </c>
      <c r="G17" s="186" t="s">
        <v>588</v>
      </c>
      <c r="H17" s="186" t="s">
        <v>589</v>
      </c>
      <c r="I17" s="186">
        <v>0.03</v>
      </c>
    </row>
    <row r="18">
      <c r="B18" s="190" t="s">
        <v>590</v>
      </c>
      <c r="C18" s="190" t="s">
        <v>591</v>
      </c>
      <c r="D18" s="190" t="s">
        <v>592</v>
      </c>
      <c r="E18" s="190" t="s">
        <v>593</v>
      </c>
      <c r="F18" s="190" t="s">
        <v>594</v>
      </c>
      <c r="G18" s="190" t="s">
        <v>595</v>
      </c>
      <c r="H18" s="191"/>
      <c r="I18" s="191"/>
    </row>
    <row r="19">
      <c r="B19" s="190" t="s">
        <v>596</v>
      </c>
      <c r="C19" s="191"/>
      <c r="D19" s="190" t="s">
        <v>592</v>
      </c>
      <c r="E19" s="190" t="s">
        <v>474</v>
      </c>
      <c r="F19" s="190" t="s">
        <v>597</v>
      </c>
      <c r="G19" s="190" t="s">
        <v>598</v>
      </c>
      <c r="H19" s="191"/>
      <c r="I19" s="191"/>
    </row>
    <row r="20">
      <c r="B20" s="186" t="s">
        <v>599</v>
      </c>
      <c r="C20" s="187"/>
      <c r="D20" s="186" t="s">
        <v>570</v>
      </c>
      <c r="E20" s="186" t="s">
        <v>559</v>
      </c>
      <c r="F20" s="186" t="s">
        <v>600</v>
      </c>
      <c r="G20" s="186" t="s">
        <v>572</v>
      </c>
      <c r="H20" s="187"/>
      <c r="I20" s="187"/>
    </row>
    <row r="21">
      <c r="B21" s="186" t="s">
        <v>601</v>
      </c>
      <c r="C21" s="187"/>
      <c r="D21" s="186" t="s">
        <v>540</v>
      </c>
      <c r="E21" s="186" t="s">
        <v>559</v>
      </c>
      <c r="F21" s="186" t="s">
        <v>602</v>
      </c>
      <c r="G21" s="186" t="s">
        <v>603</v>
      </c>
      <c r="H21" s="187"/>
      <c r="I21" s="187"/>
    </row>
    <row r="22">
      <c r="B22" s="190" t="s">
        <v>604</v>
      </c>
      <c r="C22" s="191"/>
      <c r="D22" s="190" t="s">
        <v>592</v>
      </c>
      <c r="E22" s="190" t="s">
        <v>605</v>
      </c>
      <c r="F22" s="190" t="s">
        <v>606</v>
      </c>
      <c r="G22" s="190" t="s">
        <v>607</v>
      </c>
      <c r="H22" s="191"/>
      <c r="I22" s="191"/>
    </row>
    <row r="23">
      <c r="B23" s="186" t="s">
        <v>608</v>
      </c>
      <c r="C23" s="187"/>
      <c r="D23" s="186" t="s">
        <v>540</v>
      </c>
      <c r="E23" s="186" t="s">
        <v>609</v>
      </c>
      <c r="F23" s="186" t="s">
        <v>610</v>
      </c>
      <c r="G23" s="186" t="s">
        <v>611</v>
      </c>
      <c r="H23" s="186" t="s">
        <v>612</v>
      </c>
      <c r="I23" s="186">
        <v>0.41</v>
      </c>
    </row>
    <row r="24">
      <c r="B24" s="186" t="s">
        <v>613</v>
      </c>
      <c r="C24" s="187"/>
      <c r="D24" s="186" t="s">
        <v>540</v>
      </c>
      <c r="E24" s="192" t="s">
        <v>614</v>
      </c>
      <c r="F24" s="186" t="s">
        <v>615</v>
      </c>
      <c r="G24" s="186" t="s">
        <v>616</v>
      </c>
      <c r="H24" s="186" t="s">
        <v>617</v>
      </c>
      <c r="I24" s="186">
        <v>0.65</v>
      </c>
    </row>
  </sheetData>
  <hyperlinks>
    <hyperlink r:id="rId1" ref="B1"/>
    <hyperlink r:id="rId2" ref="B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57"/>
    <col customWidth="1" min="5" max="5" width="42.0"/>
  </cols>
  <sheetData>
    <row r="1">
      <c r="A1" s="12" t="s">
        <v>529</v>
      </c>
      <c r="B1" s="16" t="s">
        <v>33</v>
      </c>
    </row>
    <row r="2">
      <c r="A2" s="12" t="s">
        <v>530</v>
      </c>
      <c r="B2" s="16" t="s">
        <v>34</v>
      </c>
    </row>
    <row r="4">
      <c r="C4" s="12"/>
    </row>
    <row r="5">
      <c r="A5" s="12" t="s">
        <v>531</v>
      </c>
      <c r="B5" s="12">
        <v>54.83</v>
      </c>
    </row>
    <row r="6">
      <c r="A6" s="12"/>
      <c r="B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A8" s="4"/>
      <c r="B8" s="133" t="s">
        <v>618</v>
      </c>
      <c r="C8" s="133"/>
      <c r="D8" s="193" t="s">
        <v>619</v>
      </c>
      <c r="E8" s="193" t="s">
        <v>620</v>
      </c>
      <c r="F8" s="133" t="s">
        <v>621</v>
      </c>
      <c r="G8" s="133" t="s">
        <v>622</v>
      </c>
      <c r="H8" s="155"/>
      <c r="I8" s="133">
        <v>1.21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</sheetData>
  <hyperlinks>
    <hyperlink r:id="rId1" ref="B1"/>
    <hyperlink r:id="rId2" ref="B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0"/>
    <col customWidth="1" min="5" max="5" width="52.71"/>
  </cols>
  <sheetData>
    <row r="1">
      <c r="A1" s="12" t="s">
        <v>623</v>
      </c>
      <c r="B1" s="16" t="s">
        <v>38</v>
      </c>
    </row>
    <row r="2">
      <c r="A2" s="12" t="s">
        <v>624</v>
      </c>
      <c r="B2" s="16" t="s">
        <v>379</v>
      </c>
    </row>
    <row r="3">
      <c r="A3" s="12"/>
      <c r="B3" s="12"/>
    </row>
    <row r="4">
      <c r="A4" s="12"/>
      <c r="B4" s="12"/>
    </row>
    <row r="5">
      <c r="A5" s="12" t="s">
        <v>531</v>
      </c>
      <c r="B5" s="12">
        <v>-63.55</v>
      </c>
    </row>
    <row r="6">
      <c r="A6" s="12"/>
      <c r="B6" s="12"/>
      <c r="C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B8" s="194" t="s">
        <v>625</v>
      </c>
      <c r="C8" s="195" t="s">
        <v>626</v>
      </c>
      <c r="D8" s="194" t="s">
        <v>627</v>
      </c>
      <c r="E8" s="196" t="s">
        <v>628</v>
      </c>
      <c r="F8" s="195" t="s">
        <v>629</v>
      </c>
      <c r="G8" s="195" t="s">
        <v>630</v>
      </c>
      <c r="H8" s="195" t="s">
        <v>631</v>
      </c>
      <c r="I8" s="195">
        <v>0.21</v>
      </c>
    </row>
    <row r="9">
      <c r="B9" s="186" t="s">
        <v>632</v>
      </c>
      <c r="C9" s="186" t="s">
        <v>633</v>
      </c>
      <c r="D9" s="186" t="s">
        <v>540</v>
      </c>
      <c r="E9" s="186" t="s">
        <v>559</v>
      </c>
      <c r="F9" s="186" t="s">
        <v>583</v>
      </c>
      <c r="G9" s="186" t="s">
        <v>572</v>
      </c>
      <c r="H9" s="187"/>
      <c r="I9" s="187"/>
    </row>
    <row r="10">
      <c r="B10" s="135" t="s">
        <v>380</v>
      </c>
      <c r="C10" s="138" t="s">
        <v>381</v>
      </c>
      <c r="D10" s="25" t="s">
        <v>634</v>
      </c>
      <c r="E10" s="25" t="s">
        <v>384</v>
      </c>
      <c r="F10" s="25" t="s">
        <v>635</v>
      </c>
      <c r="G10" s="25" t="s">
        <v>598</v>
      </c>
      <c r="H10" s="175"/>
      <c r="I10" s="175"/>
    </row>
  </sheetData>
  <hyperlinks>
    <hyperlink r:id="rId1" ref="B1"/>
    <hyperlink r:id="rId2" ref="B2"/>
    <hyperlink r:id="rId3" ref="C10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5" max="5" width="54.29"/>
    <col customWidth="1" min="7" max="7" width="10.43"/>
    <col customWidth="1" min="8" max="8" width="27.0"/>
  </cols>
  <sheetData>
    <row r="1">
      <c r="A1" s="12" t="s">
        <v>351</v>
      </c>
      <c r="B1" s="16" t="s">
        <v>43</v>
      </c>
    </row>
    <row r="2">
      <c r="A2" s="12" t="s">
        <v>624</v>
      </c>
      <c r="B2" s="16" t="s">
        <v>385</v>
      </c>
    </row>
    <row r="3">
      <c r="A3" s="12"/>
      <c r="B3" s="12"/>
    </row>
    <row r="4">
      <c r="A4" s="12"/>
      <c r="B4" s="12"/>
    </row>
    <row r="5">
      <c r="A5" s="12" t="s">
        <v>531</v>
      </c>
      <c r="B5" s="12">
        <v>-20.33</v>
      </c>
    </row>
    <row r="6">
      <c r="A6" s="12"/>
      <c r="B6" s="12"/>
      <c r="C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8">
      <c r="B8" s="197" t="s">
        <v>636</v>
      </c>
      <c r="C8" s="198"/>
      <c r="D8" s="186" t="s">
        <v>540</v>
      </c>
      <c r="E8" s="186" t="s">
        <v>637</v>
      </c>
      <c r="F8" s="186" t="s">
        <v>583</v>
      </c>
      <c r="G8" s="186" t="s">
        <v>638</v>
      </c>
      <c r="H8" s="186" t="s">
        <v>639</v>
      </c>
      <c r="I8" s="186">
        <v>0.4</v>
      </c>
    </row>
    <row r="9">
      <c r="B9" s="186" t="s">
        <v>640</v>
      </c>
      <c r="C9" s="199"/>
      <c r="D9" s="188" t="s">
        <v>540</v>
      </c>
      <c r="E9" s="188" t="s">
        <v>641</v>
      </c>
      <c r="F9" s="186" t="s">
        <v>642</v>
      </c>
      <c r="G9" s="186" t="s">
        <v>643</v>
      </c>
      <c r="H9" s="186" t="s">
        <v>644</v>
      </c>
      <c r="I9" s="186">
        <v>0.2</v>
      </c>
    </row>
    <row r="10">
      <c r="B10" s="200" t="s">
        <v>400</v>
      </c>
      <c r="C10" s="25" t="s">
        <v>401</v>
      </c>
      <c r="D10" s="25" t="s">
        <v>402</v>
      </c>
      <c r="E10" s="25" t="s">
        <v>404</v>
      </c>
      <c r="F10" s="25" t="s">
        <v>645</v>
      </c>
      <c r="G10" s="25" t="s">
        <v>646</v>
      </c>
      <c r="H10" s="175"/>
      <c r="I10" s="175"/>
    </row>
    <row r="11">
      <c r="B11" s="195" t="s">
        <v>647</v>
      </c>
      <c r="C11" s="201"/>
      <c r="D11" s="195" t="s">
        <v>627</v>
      </c>
      <c r="E11" s="195" t="s">
        <v>648</v>
      </c>
      <c r="F11" s="195" t="s">
        <v>649</v>
      </c>
      <c r="G11" s="195" t="s">
        <v>611</v>
      </c>
      <c r="H11" s="195" t="s">
        <v>650</v>
      </c>
      <c r="I11" s="195">
        <v>0.28</v>
      </c>
    </row>
    <row r="12">
      <c r="B12" s="186" t="s">
        <v>651</v>
      </c>
      <c r="C12" s="187"/>
      <c r="D12" s="186" t="s">
        <v>570</v>
      </c>
      <c r="E12" s="186" t="s">
        <v>652</v>
      </c>
      <c r="F12" s="186" t="s">
        <v>653</v>
      </c>
      <c r="G12" s="186" t="s">
        <v>588</v>
      </c>
      <c r="H12" s="187"/>
      <c r="I12" s="187"/>
    </row>
    <row r="13">
      <c r="B13" s="195" t="s">
        <v>654</v>
      </c>
      <c r="C13" s="201"/>
      <c r="D13" s="195" t="s">
        <v>627</v>
      </c>
      <c r="E13" s="195" t="s">
        <v>655</v>
      </c>
      <c r="F13" s="195" t="s">
        <v>656</v>
      </c>
      <c r="G13" s="195" t="s">
        <v>657</v>
      </c>
      <c r="H13" s="201"/>
      <c r="I13" s="201"/>
    </row>
    <row r="14">
      <c r="B14" s="186" t="s">
        <v>658</v>
      </c>
      <c r="C14" s="187"/>
      <c r="D14" s="186" t="s">
        <v>570</v>
      </c>
      <c r="E14" s="186" t="s">
        <v>659</v>
      </c>
      <c r="F14" s="186" t="s">
        <v>660</v>
      </c>
      <c r="G14" s="186" t="s">
        <v>603</v>
      </c>
      <c r="H14" s="187"/>
      <c r="I14" s="187"/>
    </row>
    <row r="15">
      <c r="B15" s="186" t="s">
        <v>661</v>
      </c>
      <c r="C15" s="187"/>
      <c r="D15" s="186" t="s">
        <v>540</v>
      </c>
      <c r="E15" s="186" t="s">
        <v>662</v>
      </c>
      <c r="F15" s="186" t="s">
        <v>663</v>
      </c>
      <c r="G15" s="186" t="s">
        <v>560</v>
      </c>
      <c r="H15" s="186" t="s">
        <v>664</v>
      </c>
      <c r="I15" s="186">
        <v>0.27</v>
      </c>
    </row>
    <row r="16">
      <c r="B16" s="186" t="s">
        <v>665</v>
      </c>
      <c r="C16" s="187"/>
      <c r="D16" s="186" t="s">
        <v>570</v>
      </c>
      <c r="E16" s="186" t="s">
        <v>652</v>
      </c>
      <c r="F16" s="186" t="s">
        <v>666</v>
      </c>
      <c r="G16" s="186" t="s">
        <v>543</v>
      </c>
      <c r="H16" s="187"/>
      <c r="I16" s="187"/>
    </row>
    <row r="17">
      <c r="B17" s="186" t="s">
        <v>667</v>
      </c>
      <c r="C17" s="187"/>
      <c r="D17" s="186" t="s">
        <v>540</v>
      </c>
      <c r="E17" s="186" t="s">
        <v>668</v>
      </c>
      <c r="F17" s="186" t="s">
        <v>669</v>
      </c>
      <c r="G17" s="186" t="s">
        <v>543</v>
      </c>
      <c r="H17" s="186" t="s">
        <v>670</v>
      </c>
      <c r="I17" s="186">
        <v>0.1</v>
      </c>
    </row>
    <row r="18">
      <c r="B18" s="190" t="s">
        <v>671</v>
      </c>
      <c r="C18" s="191"/>
      <c r="D18" s="190" t="s">
        <v>592</v>
      </c>
      <c r="E18" s="190" t="s">
        <v>672</v>
      </c>
      <c r="F18" s="190" t="s">
        <v>594</v>
      </c>
      <c r="G18" s="190" t="s">
        <v>572</v>
      </c>
      <c r="H18" s="191"/>
      <c r="I18" s="191"/>
    </row>
    <row r="19">
      <c r="B19" s="202" t="s">
        <v>386</v>
      </c>
      <c r="C19" s="203" t="s">
        <v>673</v>
      </c>
      <c r="D19" s="133" t="s">
        <v>674</v>
      </c>
      <c r="E19" s="133" t="s">
        <v>675</v>
      </c>
      <c r="F19" s="133" t="s">
        <v>676</v>
      </c>
      <c r="G19" s="133" t="s">
        <v>616</v>
      </c>
      <c r="H19" s="155"/>
      <c r="I19" s="133">
        <v>0.6</v>
      </c>
    </row>
    <row r="20">
      <c r="B20" s="190" t="s">
        <v>391</v>
      </c>
      <c r="C20" s="204" t="s">
        <v>392</v>
      </c>
      <c r="D20" s="190" t="s">
        <v>592</v>
      </c>
      <c r="E20" s="190" t="s">
        <v>395</v>
      </c>
      <c r="F20" s="190" t="s">
        <v>677</v>
      </c>
      <c r="G20" s="190" t="s">
        <v>603</v>
      </c>
      <c r="H20" s="191"/>
      <c r="I20" s="191"/>
    </row>
    <row r="21">
      <c r="B21" s="190" t="s">
        <v>678</v>
      </c>
      <c r="C21" s="191"/>
      <c r="D21" s="190" t="s">
        <v>592</v>
      </c>
      <c r="E21" s="191"/>
      <c r="F21" s="190" t="s">
        <v>653</v>
      </c>
      <c r="G21" s="190" t="s">
        <v>580</v>
      </c>
      <c r="H21" s="191"/>
      <c r="I21" s="191"/>
    </row>
    <row r="22">
      <c r="B22" s="186" t="s">
        <v>679</v>
      </c>
      <c r="C22" s="187"/>
      <c r="D22" s="186" t="s">
        <v>570</v>
      </c>
      <c r="E22" s="186" t="s">
        <v>680</v>
      </c>
      <c r="F22" s="186" t="s">
        <v>681</v>
      </c>
      <c r="G22" s="186" t="s">
        <v>551</v>
      </c>
      <c r="H22" s="187"/>
      <c r="I22" s="187"/>
    </row>
    <row r="23">
      <c r="B23" s="190" t="s">
        <v>682</v>
      </c>
      <c r="C23" s="191"/>
      <c r="D23" s="190" t="s">
        <v>592</v>
      </c>
      <c r="E23" s="190" t="s">
        <v>683</v>
      </c>
      <c r="F23" s="190" t="s">
        <v>684</v>
      </c>
      <c r="G23" s="190" t="s">
        <v>685</v>
      </c>
      <c r="H23" s="191"/>
      <c r="I23" s="191"/>
    </row>
    <row r="24">
      <c r="B24" s="190" t="s">
        <v>686</v>
      </c>
      <c r="C24" s="191"/>
      <c r="D24" s="190" t="s">
        <v>592</v>
      </c>
      <c r="E24" s="190" t="s">
        <v>687</v>
      </c>
      <c r="F24" s="190" t="s">
        <v>688</v>
      </c>
      <c r="G24" s="190" t="s">
        <v>543</v>
      </c>
      <c r="H24" s="191"/>
      <c r="I24" s="191"/>
    </row>
    <row r="25">
      <c r="B25" s="205" t="s">
        <v>689</v>
      </c>
      <c r="C25" s="191"/>
      <c r="D25" s="190" t="s">
        <v>592</v>
      </c>
      <c r="E25" s="190" t="s">
        <v>687</v>
      </c>
      <c r="F25" s="190" t="s">
        <v>690</v>
      </c>
      <c r="G25" s="190" t="s">
        <v>691</v>
      </c>
      <c r="H25" s="191"/>
      <c r="I25" s="191"/>
    </row>
    <row r="26">
      <c r="B26" s="205" t="s">
        <v>692</v>
      </c>
      <c r="C26" s="191"/>
      <c r="D26" s="190" t="s">
        <v>592</v>
      </c>
      <c r="E26" s="190" t="s">
        <v>693</v>
      </c>
      <c r="F26" s="190" t="s">
        <v>694</v>
      </c>
      <c r="G26" s="190" t="s">
        <v>685</v>
      </c>
      <c r="H26" s="191"/>
      <c r="I26" s="191"/>
    </row>
    <row r="27">
      <c r="B27" s="190" t="s">
        <v>396</v>
      </c>
      <c r="C27" s="206" t="s">
        <v>397</v>
      </c>
      <c r="D27" s="190" t="s">
        <v>592</v>
      </c>
      <c r="E27" s="190" t="s">
        <v>399</v>
      </c>
      <c r="F27" s="190" t="s">
        <v>579</v>
      </c>
      <c r="G27" s="190" t="s">
        <v>580</v>
      </c>
      <c r="H27" s="191"/>
      <c r="I27" s="191"/>
    </row>
    <row r="28">
      <c r="B28" s="190" t="s">
        <v>695</v>
      </c>
      <c r="C28" s="191"/>
      <c r="D28" s="190" t="s">
        <v>592</v>
      </c>
      <c r="E28" s="191"/>
      <c r="F28" s="190" t="s">
        <v>656</v>
      </c>
      <c r="G28" s="190" t="s">
        <v>696</v>
      </c>
      <c r="H28" s="191"/>
      <c r="I28" s="191"/>
    </row>
  </sheetData>
  <hyperlinks>
    <hyperlink r:id="rId1" ref="B1"/>
    <hyperlink r:id="rId2" ref="B2"/>
    <hyperlink r:id="rId3" ref="C19"/>
    <hyperlink r:id="rId4" ref="C20"/>
    <hyperlink r:id="rId5" ref="C2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351</v>
      </c>
      <c r="B1" s="16" t="s">
        <v>49</v>
      </c>
    </row>
    <row r="2">
      <c r="A2" s="12" t="s">
        <v>697</v>
      </c>
      <c r="B2" s="16" t="s">
        <v>50</v>
      </c>
    </row>
    <row r="3">
      <c r="A3" s="12"/>
      <c r="B3" s="12"/>
    </row>
    <row r="4">
      <c r="A4" s="12"/>
      <c r="B4" s="12"/>
    </row>
    <row r="5">
      <c r="A5" s="12" t="s">
        <v>531</v>
      </c>
      <c r="B5" s="12">
        <v>51.26</v>
      </c>
    </row>
    <row r="6" ht="15.0" customHeight="1">
      <c r="A6" s="12"/>
      <c r="B6" s="12"/>
      <c r="C6" s="12"/>
    </row>
    <row r="7">
      <c r="A7" s="12" t="s">
        <v>532</v>
      </c>
      <c r="B7" s="12" t="s">
        <v>533</v>
      </c>
      <c r="C7" s="12" t="s">
        <v>534</v>
      </c>
      <c r="D7" s="12" t="s">
        <v>356</v>
      </c>
      <c r="E7" s="12" t="s">
        <v>363</v>
      </c>
      <c r="F7" s="12" t="s">
        <v>535</v>
      </c>
      <c r="G7" s="12" t="s">
        <v>536</v>
      </c>
      <c r="H7" s="12" t="s">
        <v>537</v>
      </c>
      <c r="I7" s="12" t="s">
        <v>538</v>
      </c>
    </row>
    <row r="10">
      <c r="B10" s="207"/>
      <c r="C10" s="208"/>
      <c r="E10" s="12"/>
    </row>
    <row r="11">
      <c r="B11" s="209"/>
      <c r="C11" s="210"/>
      <c r="D11" s="211"/>
      <c r="E11" s="211"/>
    </row>
    <row r="12">
      <c r="B12" s="209"/>
      <c r="C12" s="12"/>
      <c r="D12" s="12"/>
      <c r="E12" s="12"/>
    </row>
    <row r="13">
      <c r="B13" s="209"/>
      <c r="D13" s="12"/>
    </row>
    <row r="14">
      <c r="B14" s="209"/>
      <c r="D14" s="12"/>
    </row>
    <row r="15">
      <c r="B15" s="209"/>
      <c r="D15" s="12"/>
    </row>
    <row r="16">
      <c r="B16" s="12"/>
      <c r="D16" s="12"/>
      <c r="E16" s="12"/>
    </row>
    <row r="17">
      <c r="B17" s="209"/>
      <c r="D17" s="12"/>
    </row>
    <row r="18">
      <c r="B18" s="209"/>
      <c r="D18" s="12"/>
    </row>
    <row r="19">
      <c r="B19" s="12"/>
      <c r="D19" s="12"/>
      <c r="E19" s="12"/>
    </row>
    <row r="20">
      <c r="B20" s="209"/>
      <c r="D20" s="12"/>
      <c r="E20" s="12"/>
    </row>
    <row r="21">
      <c r="B21" s="209"/>
      <c r="D21" s="12"/>
      <c r="E21" s="12"/>
    </row>
    <row r="22">
      <c r="B22" s="209"/>
      <c r="D22" s="12"/>
    </row>
    <row r="23">
      <c r="B23" s="209"/>
      <c r="D23" s="12"/>
    </row>
    <row r="24">
      <c r="B24" s="209"/>
      <c r="D24" s="12"/>
      <c r="E24" s="12"/>
    </row>
    <row r="25">
      <c r="B25" s="209"/>
      <c r="D25" s="12"/>
      <c r="E25" s="12"/>
    </row>
    <row r="26">
      <c r="B26" s="209"/>
      <c r="D26" s="12"/>
      <c r="E26" s="12"/>
    </row>
    <row r="27">
      <c r="B27" s="209"/>
      <c r="D27" s="12"/>
      <c r="E27" s="12"/>
    </row>
    <row r="28">
      <c r="B28" s="12"/>
      <c r="D28" s="12"/>
      <c r="E28" s="12"/>
    </row>
  </sheetData>
  <hyperlinks>
    <hyperlink r:id="rId1" ref="B1"/>
    <hyperlink r:id="rId2" ref="B2"/>
  </hyperlinks>
  <drawing r:id="rId3"/>
</worksheet>
</file>