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https://wageningenur4-my.sharepoint.com/personal/annette_janssen_wur_nl/Documents/7_Courses/3_PCLake/4_PCLake+/2020/Required documents/"/>
    </mc:Choice>
  </mc:AlternateContent>
  <xr:revisionPtr revIDLastSave="81" documentId="8_{AD122C17-3C31-4C0A-8B05-7A203303ADC2}" xr6:coauthVersionLast="44" xr6:coauthVersionMax="44" xr10:uidLastSave="{18A0A9CF-5909-46F5-9910-56095FA8BFB6}"/>
  <bookViews>
    <workbookView xWindow="-28920" yWindow="-120" windowWidth="29040" windowHeight="15840" tabRatio="751" activeTab="6" xr2:uid="{CA770C8A-0720-4EF6-8053-28260A20A5D8}"/>
  </bookViews>
  <sheets>
    <sheet name="Read me" sheetId="3" r:id="rId1"/>
    <sheet name="STEP 1 Water Balance" sheetId="1" r:id="rId2"/>
    <sheet name="STEP 2 Nutrient Balance" sheetId="2" r:id="rId3"/>
    <sheet name="STEP 3 Other parameters" sheetId="5" r:id="rId4"/>
    <sheet name="STEP 4 parameters PCLake" sheetId="4" r:id="rId5"/>
    <sheet name="STEP 5 think of switches" sheetId="6" r:id="rId6"/>
    <sheet name="Settings PCLake"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3" i="4" l="1"/>
  <c r="E14" i="4"/>
  <c r="E15" i="4"/>
  <c r="E16" i="4"/>
  <c r="E12" i="4"/>
  <c r="M31" i="5"/>
  <c r="M30" i="5"/>
  <c r="M29" i="5"/>
  <c r="M28" i="5"/>
  <c r="M27" i="5"/>
  <c r="E10" i="4"/>
  <c r="C22" i="5"/>
  <c r="E19" i="4" l="1"/>
  <c r="E17" i="4"/>
  <c r="E5" i="4"/>
  <c r="P24" i="2" l="1"/>
  <c r="P23" i="2"/>
  <c r="P22" i="2"/>
  <c r="P21" i="2"/>
  <c r="P20" i="2"/>
  <c r="P19" i="2"/>
  <c r="P18" i="2"/>
  <c r="P17" i="2"/>
  <c r="P16" i="2"/>
  <c r="P25" i="2"/>
  <c r="P15" i="2"/>
  <c r="P14" i="2"/>
  <c r="B25" i="2"/>
  <c r="N24" i="2" s="1"/>
  <c r="B23" i="2"/>
  <c r="N17" i="2" s="1"/>
  <c r="B22" i="2"/>
  <c r="N15" i="2" s="1"/>
  <c r="I14" i="2"/>
  <c r="J14" i="2" s="1"/>
  <c r="B24" i="2"/>
  <c r="N20" i="2" s="1"/>
  <c r="D23" i="2"/>
  <c r="D24" i="1"/>
  <c r="D23" i="1"/>
  <c r="D22" i="1"/>
  <c r="D21" i="1"/>
  <c r="D20" i="1"/>
  <c r="D19" i="1"/>
  <c r="D18" i="1"/>
  <c r="D17" i="1"/>
  <c r="D16" i="1"/>
  <c r="D15" i="1"/>
  <c r="D14" i="1"/>
  <c r="D13" i="1"/>
  <c r="F13" i="1"/>
  <c r="K13" i="1" s="1"/>
  <c r="N18" i="2" l="1"/>
  <c r="N21" i="2"/>
  <c r="N22" i="2"/>
  <c r="N25" i="2"/>
  <c r="N23" i="2"/>
  <c r="N14" i="2"/>
  <c r="N16" i="2"/>
  <c r="N19" i="2"/>
  <c r="D24" i="2"/>
  <c r="D27" i="2" s="1"/>
  <c r="E23" i="4"/>
  <c r="E24" i="4"/>
  <c r="E25" i="4"/>
  <c r="E26" i="4"/>
  <c r="E27" i="4"/>
  <c r="E28" i="4"/>
  <c r="E29" i="4"/>
  <c r="E30" i="4"/>
  <c r="E31" i="4"/>
  <c r="E32" i="4"/>
  <c r="E22" i="4"/>
  <c r="D23" i="4"/>
  <c r="D24" i="4"/>
  <c r="D25" i="4"/>
  <c r="D26" i="4"/>
  <c r="D27" i="4"/>
  <c r="D28" i="4"/>
  <c r="D29" i="4"/>
  <c r="D30" i="4"/>
  <c r="D31" i="4"/>
  <c r="D32" i="4"/>
  <c r="D22" i="4"/>
  <c r="C5" i="2"/>
  <c r="C4" i="2"/>
  <c r="Q22" i="2" s="1"/>
  <c r="E9" i="4"/>
  <c r="E8" i="4"/>
  <c r="I15" i="2"/>
  <c r="L15" i="2" s="1"/>
  <c r="I16" i="2"/>
  <c r="L16" i="2" s="1"/>
  <c r="I17" i="2"/>
  <c r="L17" i="2" s="1"/>
  <c r="I18" i="2"/>
  <c r="J18" i="2" s="1"/>
  <c r="K18" i="2" s="1"/>
  <c r="I19" i="2"/>
  <c r="L19" i="2" s="1"/>
  <c r="M19" i="2" s="1"/>
  <c r="I20" i="2"/>
  <c r="L20" i="2" s="1"/>
  <c r="I21" i="2"/>
  <c r="L21" i="2" s="1"/>
  <c r="I22" i="2"/>
  <c r="L22" i="2" s="1"/>
  <c r="M22" i="2" s="1"/>
  <c r="T22" i="2" s="1"/>
  <c r="I23" i="2"/>
  <c r="L23" i="2" s="1"/>
  <c r="I24" i="2"/>
  <c r="L24" i="2" s="1"/>
  <c r="I25" i="2"/>
  <c r="J25" i="2" s="1"/>
  <c r="L14" i="2"/>
  <c r="M14" i="2" s="1"/>
  <c r="D12" i="2"/>
  <c r="D13" i="2"/>
  <c r="D14" i="2"/>
  <c r="L26" i="1"/>
  <c r="L14" i="1"/>
  <c r="L15" i="1"/>
  <c r="L16" i="1"/>
  <c r="L17" i="1"/>
  <c r="L18" i="1"/>
  <c r="L19" i="1"/>
  <c r="L20" i="1"/>
  <c r="L21" i="1"/>
  <c r="L22" i="1"/>
  <c r="L23" i="1"/>
  <c r="L24" i="1"/>
  <c r="L13" i="1"/>
  <c r="M13" i="1"/>
  <c r="M14" i="1"/>
  <c r="M15" i="1"/>
  <c r="J16" i="1"/>
  <c r="M16" i="1"/>
  <c r="J17" i="1"/>
  <c r="M17" i="1"/>
  <c r="J18" i="1"/>
  <c r="M18" i="1"/>
  <c r="M19" i="1"/>
  <c r="J20" i="1"/>
  <c r="M20" i="1"/>
  <c r="M21" i="1"/>
  <c r="M22" i="1"/>
  <c r="M23" i="1"/>
  <c r="M24" i="1"/>
  <c r="F24" i="1"/>
  <c r="K24" i="1" s="1"/>
  <c r="F23" i="1"/>
  <c r="K23" i="1" s="1"/>
  <c r="F22" i="1"/>
  <c r="K22" i="1" s="1"/>
  <c r="F21" i="1"/>
  <c r="K21" i="1" s="1"/>
  <c r="F20" i="1"/>
  <c r="K20" i="1" s="1"/>
  <c r="F19" i="1"/>
  <c r="K19" i="1" s="1"/>
  <c r="F18" i="1"/>
  <c r="K18" i="1" s="1"/>
  <c r="F17" i="1"/>
  <c r="K17" i="1" s="1"/>
  <c r="F16" i="1"/>
  <c r="K16" i="1" s="1"/>
  <c r="F15" i="1"/>
  <c r="K15" i="1" s="1"/>
  <c r="F14" i="1"/>
  <c r="K14" i="1" s="1"/>
  <c r="C14" i="1"/>
  <c r="C15" i="1"/>
  <c r="J15" i="1" s="1"/>
  <c r="C16" i="1"/>
  <c r="C17" i="1"/>
  <c r="C18" i="1"/>
  <c r="C19" i="1"/>
  <c r="C20" i="1"/>
  <c r="C21" i="1"/>
  <c r="J21" i="1" s="1"/>
  <c r="C22" i="1"/>
  <c r="J22" i="1" s="1"/>
  <c r="C23" i="1"/>
  <c r="J23" i="1" s="1"/>
  <c r="C24" i="1"/>
  <c r="J24" i="1" s="1"/>
  <c r="C13" i="1"/>
  <c r="O14" i="2" l="1"/>
  <c r="M17" i="2"/>
  <c r="Q14" i="2"/>
  <c r="T14" i="2" s="1"/>
  <c r="K25" i="2"/>
  <c r="M21" i="2"/>
  <c r="L18" i="2"/>
  <c r="M18" i="2" s="1"/>
  <c r="Q24" i="2"/>
  <c r="Q23" i="2"/>
  <c r="Q19" i="2"/>
  <c r="T19" i="2" s="1"/>
  <c r="O23" i="2"/>
  <c r="O18" i="2"/>
  <c r="S18" i="2" s="1"/>
  <c r="Q25" i="2"/>
  <c r="Q21" i="2"/>
  <c r="Q16" i="2"/>
  <c r="O19" i="2"/>
  <c r="Q17" i="2"/>
  <c r="O15" i="2"/>
  <c r="Q15" i="2"/>
  <c r="O16" i="2"/>
  <c r="O25" i="2"/>
  <c r="O24" i="2"/>
  <c r="O21" i="2"/>
  <c r="Q20" i="2"/>
  <c r="O22" i="2"/>
  <c r="Q18" i="2"/>
  <c r="O20" i="2"/>
  <c r="O17" i="2"/>
  <c r="J19" i="2"/>
  <c r="K19" i="2" s="1"/>
  <c r="K14" i="2"/>
  <c r="S14" i="2" s="1"/>
  <c r="J14" i="1"/>
  <c r="J13" i="1"/>
  <c r="J19" i="1"/>
  <c r="J26" i="1" s="1"/>
  <c r="O18" i="1"/>
  <c r="O22" i="1"/>
  <c r="O16" i="1"/>
  <c r="O14" i="1"/>
  <c r="O24" i="1"/>
  <c r="O20" i="1"/>
  <c r="O17" i="1"/>
  <c r="O19" i="1"/>
  <c r="O13" i="1"/>
  <c r="P13" i="1" s="1"/>
  <c r="M26" i="1"/>
  <c r="E7" i="4" s="1"/>
  <c r="O23" i="1"/>
  <c r="O15" i="1"/>
  <c r="O21" i="1"/>
  <c r="M24" i="2"/>
  <c r="M16" i="2"/>
  <c r="T16" i="2" s="1"/>
  <c r="M23" i="2"/>
  <c r="T23" i="2" s="1"/>
  <c r="M15" i="2"/>
  <c r="J21" i="2"/>
  <c r="K21" i="2" s="1"/>
  <c r="S21" i="2" s="1"/>
  <c r="J17" i="2"/>
  <c r="K17" i="2" s="1"/>
  <c r="S17" i="2" s="1"/>
  <c r="J22" i="2"/>
  <c r="K22" i="2" s="1"/>
  <c r="S22" i="2" s="1"/>
  <c r="J20" i="2"/>
  <c r="K20" i="2" s="1"/>
  <c r="M20" i="2"/>
  <c r="J24" i="2"/>
  <c r="K24" i="2" s="1"/>
  <c r="J23" i="2"/>
  <c r="K23" i="2" s="1"/>
  <c r="S23" i="2" s="1"/>
  <c r="L25" i="2"/>
  <c r="M25" i="2" s="1"/>
  <c r="J15" i="2"/>
  <c r="K15" i="2" s="1"/>
  <c r="J16" i="2"/>
  <c r="K16" i="2" s="1"/>
  <c r="S16" i="2" s="1"/>
  <c r="D11" i="2"/>
  <c r="D16" i="2" s="1"/>
  <c r="K26" i="1"/>
  <c r="T25" i="2" l="1"/>
  <c r="S20" i="2"/>
  <c r="T15" i="2"/>
  <c r="T24" i="2"/>
  <c r="T21" i="2"/>
  <c r="T20" i="2"/>
  <c r="S19" i="2"/>
  <c r="S25" i="2"/>
  <c r="S24" i="2"/>
  <c r="S15" i="2"/>
  <c r="T18" i="2"/>
  <c r="T17" i="2"/>
  <c r="P14" i="1"/>
  <c r="P15" i="1" s="1"/>
  <c r="P16" i="1" s="1"/>
  <c r="P17" i="1" s="1"/>
  <c r="S27" i="2" l="1"/>
  <c r="T27" i="2"/>
  <c r="V27" i="2" s="1"/>
  <c r="P18" i="1"/>
  <c r="P19" i="1" l="1"/>
  <c r="P20" i="1" s="1"/>
  <c r="P21" i="1" s="1"/>
  <c r="P22" i="1" s="1"/>
  <c r="P23" i="1" s="1"/>
  <c r="P24" i="1" l="1"/>
  <c r="P2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Kuiper, Jan</author>
    <author>Wolf M. Mooij</author>
    <author>Sven Teurlincx</author>
  </authors>
  <commentList>
    <comment ref="C2" authorId="0" shapeId="0" xr:uid="{AD4F95B0-A517-47E8-BE6D-AB83BF72D375}">
      <text>
        <r>
          <rPr>
            <sz val="10"/>
            <color indexed="81"/>
            <rFont val="Tahoma"/>
            <family val="2"/>
          </rPr>
          <t>minimum value for bifurcation</t>
        </r>
      </text>
    </comment>
    <comment ref="D2" authorId="0" shapeId="0" xr:uid="{628699A4-1B93-4E66-9C04-A1FADB2888AB}">
      <text>
        <r>
          <rPr>
            <sz val="9"/>
            <color indexed="81"/>
            <rFont val="Tahoma"/>
            <family val="2"/>
          </rPr>
          <t>maximum value for bifurcation</t>
        </r>
      </text>
    </comment>
    <comment ref="A43" authorId="1" shapeId="0" xr:uid="{AD92147A-2AC8-47C4-8558-D3FF669A5711}">
      <text>
        <r>
          <rPr>
            <sz val="10"/>
            <color indexed="81"/>
            <rFont val="Arial"/>
            <family val="2"/>
          </rPr>
          <t>Id of the simulation. The first value should be zero. The analysis ends when a value of -1 is reached.</t>
        </r>
      </text>
    </comment>
    <comment ref="A44" authorId="1" shapeId="0" xr:uid="{73C4548F-C044-4D95-8414-2827EB4FA45B}">
      <text>
        <r>
          <rPr>
            <sz val="10"/>
            <color indexed="81"/>
            <rFont val="Arial"/>
            <family val="2"/>
          </rPr>
          <t xml:space="preserve">Defines the integration routine:
0: Euler
1: Runge Kutta 4th order
2: Runge Kutta with fixed intermediate steps 
3: Runge Kutta 4/5th order Cash Karp (DEFAULT)
</t>
        </r>
      </text>
    </comment>
    <comment ref="A45" authorId="1" shapeId="0" xr:uid="{E1C56814-4F77-442B-AA6E-585DA61FD847}">
      <text>
        <r>
          <rPr>
            <sz val="10"/>
            <color indexed="81"/>
            <rFont val="Arial"/>
            <family val="2"/>
          </rPr>
          <t>Id of the set of initial values for the state variables used in this analysis. A value of 0 denotes the default set. A vallue of -1 denotes the set build into the executable.</t>
        </r>
      </text>
    </comment>
    <comment ref="A46" authorId="1" shapeId="0" xr:uid="{19FB1534-A291-4E2C-B4FD-1AC7CEF810B6}">
      <text>
        <r>
          <rPr>
            <sz val="10"/>
            <color indexed="81"/>
            <rFont val="Arial"/>
            <family val="2"/>
          </rPr>
          <t>Id of the set of parameters used in this analysis. A value of 0 denotes the default set.  A value of -1 denotes the set build into the executable.</t>
        </r>
      </text>
    </comment>
    <comment ref="A47" authorId="1" shapeId="0" xr:uid="{09C16288-0D1B-4AB8-ABF0-C8DF6377B06E}">
      <text>
        <r>
          <rPr>
            <sz val="10"/>
            <color indexed="81"/>
            <rFont val="Tahoma"/>
            <family val="2"/>
          </rPr>
          <t>Id of the set of equations used to calculate the initial values of the state variables. A value of 0 denotes the default set.</t>
        </r>
        <r>
          <rPr>
            <sz val="12"/>
            <color indexed="81"/>
            <rFont val="Tahoma"/>
            <family val="2"/>
          </rPr>
          <t xml:space="preserve"> </t>
        </r>
      </text>
    </comment>
    <comment ref="A48" authorId="1" shapeId="0" xr:uid="{E8516EF5-D522-46ED-9664-48D195D2BB60}">
      <text>
        <r>
          <rPr>
            <sz val="10"/>
            <color indexed="81"/>
            <rFont val="Tahoma"/>
            <family val="2"/>
          </rPr>
          <t xml:space="preserve">Id of the set of equations used to calculate the initial values of the state variables. A value of 0 denotes the default set. </t>
        </r>
      </text>
    </comment>
    <comment ref="A49" authorId="0" shapeId="0" xr:uid="{2FB76E8B-B6B5-4F04-BC24-17628FD066BB}">
      <text>
        <r>
          <rPr>
            <sz val="9"/>
            <color indexed="81"/>
            <rFont val="Tahoma"/>
            <family val="2"/>
          </rPr>
          <t xml:space="preserve">To calibrate the model. Not fully implimented yet (DEFAULT = 0)
</t>
        </r>
      </text>
    </comment>
    <comment ref="A50" authorId="0" shapeId="0" xr:uid="{92291D4B-E766-4B26-BAB7-453F57DA8657}">
      <text>
        <r>
          <rPr>
            <sz val="9"/>
            <color indexed="81"/>
            <rFont val="Tahoma"/>
            <family val="2"/>
          </rPr>
          <t xml:space="preserve">Maximum number of iterations for calibration. Not fully implemented yet.
</t>
        </r>
      </text>
    </comment>
    <comment ref="A51" authorId="1" shapeId="0" xr:uid="{EBB98CBB-5CED-4541-B3C0-1BD8CB9E707C}">
      <text>
        <r>
          <rPr>
            <sz val="10"/>
            <color indexed="81"/>
            <rFont val="Arial"/>
            <family val="2"/>
          </rPr>
          <t>Time at which the simulation should end (years).</t>
        </r>
      </text>
    </comment>
    <comment ref="A52" authorId="1" shapeId="0" xr:uid="{D927B16C-8166-4D07-A344-87BDB54AA075}">
      <text>
        <r>
          <rPr>
            <sz val="10"/>
            <color indexed="81"/>
            <rFont val="Arial"/>
            <family val="2"/>
          </rPr>
          <t>(Initial) time step of the numerical integration (days).</t>
        </r>
      </text>
    </comment>
    <comment ref="A53" authorId="0" shapeId="0" xr:uid="{483E14BB-8B18-4FD5-BFF8-76C3634D0172}">
      <text>
        <r>
          <rPr>
            <sz val="9"/>
            <color indexed="81"/>
            <rFont val="Tahoma"/>
            <family val="2"/>
          </rPr>
          <t>Only for iIntType = 3
Minimum time step for numerical integration</t>
        </r>
      </text>
    </comment>
    <comment ref="A54" authorId="0" shapeId="0" xr:uid="{9F5CF635-9859-485A-BA6D-A336BE930439}">
      <text>
        <r>
          <rPr>
            <sz val="9"/>
            <color indexed="81"/>
            <rFont val="Tahoma"/>
            <family val="2"/>
          </rPr>
          <t>Start of report of results (years)</t>
        </r>
      </text>
    </comment>
    <comment ref="A55" authorId="1" shapeId="0" xr:uid="{A326021E-E23B-4F98-B791-AD92C57F7793}">
      <text>
        <r>
          <rPr>
            <sz val="10"/>
            <color indexed="81"/>
            <rFont val="Arial"/>
            <family val="2"/>
          </rPr>
          <t>Time interval at which the selected states, derivatives, parameters, initial auxiliaries and auxiliaries are written to the report file (days).</t>
        </r>
      </text>
    </comment>
    <comment ref="A56" authorId="1" shapeId="0" xr:uid="{34B19E7A-EFF0-486B-8F7E-FA8930B57C7B}">
      <text>
        <r>
          <rPr>
            <sz val="10"/>
            <color indexed="81"/>
            <rFont val="Arial"/>
            <family val="2"/>
          </rPr>
          <t>Time interval at which the averages presented in the log and out files are sampled to calculate averages over the whole simulation (days).</t>
        </r>
      </text>
    </comment>
    <comment ref="A57" authorId="1" shapeId="0" xr:uid="{8BC2AAA1-CD91-467B-88D7-A96B7943E8A1}">
      <text>
        <r>
          <rPr>
            <sz val="10"/>
            <color indexed="81"/>
            <rFont val="Arial"/>
            <family val="2"/>
          </rPr>
          <t>Time in the simulation at which sampling for the averages starts (years).</t>
        </r>
      </text>
    </comment>
    <comment ref="A58" authorId="1" shapeId="0" xr:uid="{CA138E35-345F-4BB9-8255-8A24CC769B2B}">
      <text>
        <r>
          <rPr>
            <sz val="10"/>
            <color indexed="81"/>
            <rFont val="Arial"/>
            <family val="2"/>
          </rPr>
          <t>Daynumber within the year at which sampling for the averages starts (days).</t>
        </r>
      </text>
    </comment>
    <comment ref="A59" authorId="1" shapeId="0" xr:uid="{9396D9E0-F7CB-4370-8063-3893381C4362}">
      <text>
        <r>
          <rPr>
            <sz val="10"/>
            <color indexed="81"/>
            <rFont val="Arial"/>
            <family val="2"/>
          </rPr>
          <t>Daynumber within the year at which sampling for the averages stops (days).</t>
        </r>
      </text>
    </comment>
    <comment ref="A60" authorId="1" shapeId="0" xr:uid="{9BBDD030-33A3-43AC-A5C2-B8B177C5934D}">
      <text>
        <r>
          <rPr>
            <sz val="10"/>
            <color indexed="81"/>
            <rFont val="Tahoma"/>
            <family val="2"/>
          </rPr>
          <t>Factor by which parameters are varied in the sensitivity analysis. (Not yet implemented!)</t>
        </r>
      </text>
    </comment>
    <comment ref="A61" authorId="0" shapeId="0" xr:uid="{8A26C691-3D03-4E73-8160-FCB9C2EE79B7}">
      <text>
        <r>
          <rPr>
            <sz val="9"/>
            <color indexed="81"/>
            <rFont val="Tahoma"/>
            <family val="2"/>
          </rPr>
          <t xml:space="preserve">Scale of calibration (not fully implemented yet)
</t>
        </r>
      </text>
    </comment>
    <comment ref="A62" authorId="0" shapeId="0" xr:uid="{623F9B22-66D4-4CF0-A2DB-D39AC2B71C01}">
      <text>
        <r>
          <rPr>
            <sz val="9"/>
            <color indexed="81"/>
            <rFont val="Tahoma"/>
            <family val="2"/>
          </rPr>
          <t xml:space="preserve">Accuracy of calibration (not fully implemented yet)
</t>
        </r>
      </text>
    </comment>
    <comment ref="A63" authorId="2" shapeId="0" xr:uid="{E2127BD3-C289-4D66-8A48-7153FED2498E}">
      <text>
        <r>
          <rPr>
            <sz val="9"/>
            <color indexed="81"/>
            <rFont val="Tahoma"/>
            <family val="2"/>
          </rPr>
          <t>The location of the gcc compiler used to compile the model using the button "Save Source for C++ and Compile Model"</t>
        </r>
      </text>
    </comment>
    <comment ref="A64" authorId="2" shapeId="0" xr:uid="{FAE0F2EC-B767-4010-812F-D50DC8329853}">
      <text>
        <r>
          <rPr>
            <sz val="9"/>
            <color indexed="81"/>
            <rFont val="Tahoma"/>
            <family val="2"/>
          </rPr>
          <t>Location of DATM files for import</t>
        </r>
      </text>
    </comment>
  </commentList>
</comments>
</file>

<file path=xl/sharedStrings.xml><?xml version="1.0" encoding="utf-8"?>
<sst xmlns="http://schemas.openxmlformats.org/spreadsheetml/2006/main" count="523" uniqueCount="351">
  <si>
    <t>Area</t>
  </si>
  <si>
    <t>m2</t>
  </si>
  <si>
    <t>Depth</t>
  </si>
  <si>
    <t>m</t>
  </si>
  <si>
    <t>Fetch</t>
  </si>
  <si>
    <t>Precipitation</t>
  </si>
  <si>
    <t>River inflow</t>
  </si>
  <si>
    <t>River Outflow</t>
  </si>
  <si>
    <t>Groundwater</t>
  </si>
  <si>
    <t>m3/d</t>
  </si>
  <si>
    <t>mm/d</t>
  </si>
  <si>
    <t>Groundwater inflow</t>
  </si>
  <si>
    <t>Qin</t>
  </si>
  <si>
    <t>PCLake definitions</t>
  </si>
  <si>
    <t>Qin = [river inflow] + [precipitation]</t>
  </si>
  <si>
    <t>Qout = [river outflow]</t>
  </si>
  <si>
    <t>Qev</t>
  </si>
  <si>
    <t>Evaporation</t>
  </si>
  <si>
    <t>Qout</t>
  </si>
  <si>
    <t>Total</t>
  </si>
  <si>
    <t>Depth estimate</t>
  </si>
  <si>
    <t>-</t>
  </si>
  <si>
    <t>&lt;--- Check if this value is logic to you if everything is calculated</t>
  </si>
  <si>
    <t>&lt;--- This will be about the water level at the end of the year. Is that logic?</t>
  </si>
  <si>
    <t>Qev = [evaporation]</t>
  </si>
  <si>
    <t>cQinf</t>
  </si>
  <si>
    <t>cQinf = [Groundwater inflow]</t>
  </si>
  <si>
    <t>TP</t>
  </si>
  <si>
    <t>TN</t>
  </si>
  <si>
    <t>Winter</t>
  </si>
  <si>
    <t>Spring</t>
  </si>
  <si>
    <t>Summer</t>
  </si>
  <si>
    <t>Autumn</t>
  </si>
  <si>
    <t>TN/TP</t>
  </si>
  <si>
    <t>g/m3</t>
  </si>
  <si>
    <t>Concentrations in inflowing water</t>
  </si>
  <si>
    <t>The example measurements in this spreadsheet are not trully measured and should be used for educational perpose to learn the PCLake model only.</t>
  </si>
  <si>
    <t>Note: we here assume that rain does not contain nutrients and there is no dry deposition. Take care in your own case if this also holds</t>
  </si>
  <si>
    <t>Note: we here assume that groundwater inflow can be neglected. Check your own lake if this is also the case.</t>
  </si>
  <si>
    <t>g/d</t>
  </si>
  <si>
    <t>TN-Load</t>
  </si>
  <si>
    <t>g/m2/d</t>
  </si>
  <si>
    <t>TP-Load</t>
  </si>
  <si>
    <t>DESCRIPTION</t>
  </si>
  <si>
    <t>PARAMETER</t>
  </si>
  <si>
    <t>UNIT</t>
  </si>
  <si>
    <t>mQIn</t>
  </si>
  <si>
    <t>Outflow</t>
  </si>
  <si>
    <t>mQOut</t>
  </si>
  <si>
    <t>mQEv</t>
  </si>
  <si>
    <t>Water depth</t>
  </si>
  <si>
    <t>cFetch</t>
  </si>
  <si>
    <t>Latitude</t>
  </si>
  <si>
    <t>cLat</t>
  </si>
  <si>
    <t>degrees</t>
  </si>
  <si>
    <t>Clay content</t>
  </si>
  <si>
    <t>flutum</t>
  </si>
  <si>
    <t>gDWclay/gDW</t>
  </si>
  <si>
    <t>Iron content</t>
  </si>
  <si>
    <t>fFeDIM</t>
  </si>
  <si>
    <t>gFe/gDW</t>
  </si>
  <si>
    <t>Aluminium content</t>
  </si>
  <si>
    <t>fAlDIM</t>
  </si>
  <si>
    <t>gAl/gDW</t>
  </si>
  <si>
    <t>Organic matter content</t>
  </si>
  <si>
    <t>fDOrgSoil</t>
  </si>
  <si>
    <t>gOrg/gDW</t>
  </si>
  <si>
    <t>Dryweight per gram sediment</t>
  </si>
  <si>
    <t>fDTotS0</t>
  </si>
  <si>
    <t>gDW/gSed</t>
  </si>
  <si>
    <t>Phosphorus loading</t>
  </si>
  <si>
    <t>mPLoad</t>
  </si>
  <si>
    <t>gP/m2/d</t>
  </si>
  <si>
    <t>Nitrogen loading</t>
  </si>
  <si>
    <t>mNLoad</t>
  </si>
  <si>
    <t>gN/m2/d</t>
  </si>
  <si>
    <t>N:P ratio in loading</t>
  </si>
  <si>
    <t>cNPLoadMeas</t>
  </si>
  <si>
    <t>gN/gP</t>
  </si>
  <si>
    <t>Water temperature epilimnion (upper layer)</t>
  </si>
  <si>
    <t>mTempEpi</t>
  </si>
  <si>
    <t>Degrees Celcius</t>
  </si>
  <si>
    <t>Water temperature hypolimnion (lower layer)</t>
  </si>
  <si>
    <t>mTempHyp</t>
  </si>
  <si>
    <t>Mixing depth</t>
  </si>
  <si>
    <t>sMixDepthW</t>
  </si>
  <si>
    <t>Mixing period</t>
  </si>
  <si>
    <t>aStrat</t>
  </si>
  <si>
    <t>Average incomming radiation</t>
  </si>
  <si>
    <t>cLDayAve</t>
  </si>
  <si>
    <t>J/m2/d</t>
  </si>
  <si>
    <t>Annual variation in radiation</t>
  </si>
  <si>
    <t>cLDayVar</t>
  </si>
  <si>
    <t>Inflow (river and precipitation)</t>
  </si>
  <si>
    <t>Note: you can fill in timeseries for each of these parameters, but we here decided to keep it simple and have an average value for each day in the year</t>
  </si>
  <si>
    <t>sediment type settings from Janse 2005</t>
  </si>
  <si>
    <t>type</t>
  </si>
  <si>
    <t>dry matter</t>
  </si>
  <si>
    <t>organic matter</t>
  </si>
  <si>
    <t>lutum</t>
  </si>
  <si>
    <t>Fe</t>
  </si>
  <si>
    <t>Al</t>
  </si>
  <si>
    <t>clay</t>
  </si>
  <si>
    <t>clay/peat</t>
  </si>
  <si>
    <t>clay/sand</t>
  </si>
  <si>
    <t>peat</t>
  </si>
  <si>
    <t>sand</t>
  </si>
  <si>
    <t>This table can be used as reference for the sediment characteristics</t>
  </si>
  <si>
    <t>&lt;- will be estimated based on the latitude</t>
  </si>
  <si>
    <t>&lt;- Very usefull tool to estimate the water temperature of your lake. Here we assume the values below</t>
  </si>
  <si>
    <t>_InitCalc_</t>
  </si>
  <si>
    <t>_CalcMass_</t>
  </si>
  <si>
    <t>_ConstDepth_</t>
  </si>
  <si>
    <t>_InitDepth_</t>
  </si>
  <si>
    <t>_ConstTrans_</t>
  </si>
  <si>
    <t>_InclTran_</t>
  </si>
  <si>
    <t>_InclVeg_</t>
  </si>
  <si>
    <t>_InclBur_</t>
  </si>
  <si>
    <t>_InclWeb_</t>
  </si>
  <si>
    <t>_InclMarsh_</t>
  </si>
  <si>
    <t>_InclSeason_</t>
  </si>
  <si>
    <t>_InclStrat_</t>
  </si>
  <si>
    <t>_calcMixDepth_</t>
  </si>
  <si>
    <t>_InclLat_</t>
  </si>
  <si>
    <t>_calcQEv_</t>
  </si>
  <si>
    <t>_ReadDepthW_</t>
  </si>
  <si>
    <t>_ReadTemp_</t>
  </si>
  <si>
    <t>_ReadStrat_</t>
  </si>
  <si>
    <t>_ReadLOut_</t>
  </si>
  <si>
    <t>_ReadVWind_</t>
  </si>
  <si>
    <t>_ReadQIn_</t>
  </si>
  <si>
    <t>_ReadQOutEpi_</t>
  </si>
  <si>
    <t>_ReadQOutHyp_</t>
  </si>
  <si>
    <t>_ReadQEv_</t>
  </si>
  <si>
    <t>_ReadPLoad_</t>
  </si>
  <si>
    <t>_ReadNLoad_</t>
  </si>
  <si>
    <t>_ReadNutFrac_</t>
  </si>
  <si>
    <t>_ReadPLoadPhyt_</t>
  </si>
  <si>
    <t>_ReadDLoadDet_</t>
  </si>
  <si>
    <t>_ReadVegShade_</t>
  </si>
  <si>
    <t>Prefered choice</t>
  </si>
  <si>
    <t>Common error</t>
  </si>
  <si>
    <t>Value = 0</t>
  </si>
  <si>
    <t>Value = 1</t>
  </si>
  <si>
    <t>If 0, the water depth depends on Qin, Qout, Qev and Qinf</t>
  </si>
  <si>
    <t>If 0, the intial depth is the same as the depth provided in the states sheet</t>
  </si>
  <si>
    <t>Comment</t>
  </si>
  <si>
    <t>If 1, the initial depth is the same as the depth in _cDepthWInit0_</t>
  </si>
  <si>
    <t>Only used if _InitCalc_ equals 1</t>
  </si>
  <si>
    <t>If 1, Water depth will be kept constant to the initial value</t>
  </si>
  <si>
    <t>Only used if _InclLat_ equals 1</t>
  </si>
  <si>
    <t>If 0, the transmisivity of the admosphere depends on the specific day</t>
  </si>
  <si>
    <t>If 1, the transmisivity of the admosphere is equal to  _cTrans_</t>
  </si>
  <si>
    <t>If 1, the model uses the water balance as provided in the parameter sheet</t>
  </si>
  <si>
    <t>If 0, the vegetation module is unused</t>
  </si>
  <si>
    <t>If 0, the sediment module is unused</t>
  </si>
  <si>
    <t>If 0, the food web module is unused</t>
  </si>
  <si>
    <t>If 0, the marsh module is unused</t>
  </si>
  <si>
    <t>If 1, the vegetation module is used</t>
  </si>
  <si>
    <t>If 1, the sediment module is used</t>
  </si>
  <si>
    <t>If 1, the food web module is used</t>
  </si>
  <si>
    <t>If 1, the marsh module is used</t>
  </si>
  <si>
    <t>Shallow lakes</t>
  </si>
  <si>
    <t>Deep lakes</t>
  </si>
  <si>
    <t>_UseExpVeg_</t>
  </si>
  <si>
    <t>_UsePhotVeg_</t>
  </si>
  <si>
    <t>_UseLWinVeg_</t>
  </si>
  <si>
    <t>_UseVegHeight_</t>
  </si>
  <si>
    <t>_ReadDLoadIM_</t>
  </si>
  <si>
    <t>_UseSeasonLoad_</t>
  </si>
  <si>
    <t>_UsePulseLoad_</t>
  </si>
  <si>
    <t>Temp (oC)</t>
  </si>
  <si>
    <t>http://www.flake.igb-berlin.de/model/run</t>
  </si>
  <si>
    <t>Nutrient input from fisherman</t>
  </si>
  <si>
    <t>Fisherman</t>
  </si>
  <si>
    <t>g/d/angler</t>
  </si>
  <si>
    <t>g/d/agler</t>
  </si>
  <si>
    <t>Anglers/d</t>
  </si>
  <si>
    <t>_InclSurf_</t>
  </si>
  <si>
    <t>_InclNfix_</t>
  </si>
  <si>
    <t>If 0, the calculation  of initial values will be done by the model</t>
  </si>
  <si>
    <t>If 1, the calculation of initial values will be skipped</t>
  </si>
  <si>
    <t>If 1, you will use the new version of PCLake. If you report states, they will be in mass/m2. Output for concentrations can be found in the derivitives sheet.</t>
  </si>
  <si>
    <t>if 0, you will go back to the old PCLake version. The concentrations can be found in the states sheet, but calculations might result in wrong results.</t>
  </si>
  <si>
    <t>The values of_aDError_, _aNError_, _aPError_, _aSiError_, _aO2Error_ are too high meaning a mass balance error.</t>
  </si>
  <si>
    <t>The water balance is not clossed so that the water depth can become lower than 0 or explotes to infinity. This  results in errors during run time. Check the output of your water depth to see if it is correct.</t>
  </si>
  <si>
    <t>Sometimes the model can not keep up with your forced constant water depth. The values of_aDError_, _aNError_, _aPError_, _aSiError_, _aO2Error_ are too high meaning a mass balance error.</t>
  </si>
  <si>
    <t>If 0,there will be no water flowing in or out of the lake (so basically Qin, Qout, Qev and Qinf are zero)</t>
  </si>
  <si>
    <t>The marsh zone is the area around the lake with phragmitus plants. If this zone is negliclabe it can be put on 0.</t>
  </si>
  <si>
    <t>If 0, the model assumes a constant temperature over the year (in this way a chemostat can be simulated)</t>
  </si>
  <si>
    <t>If 1, the model will use the provided water tempeture parameters</t>
  </si>
  <si>
    <t>Only for testing purposes set on 1</t>
  </si>
  <si>
    <t>If 0, the lake will be well mixed. All hypolimnion variables in the states and derivatives are unused.</t>
  </si>
  <si>
    <t>If 1, the model will use the hypolinion variables. The lake can temporaly or permanently stratify depending on the choice of parameters.</t>
  </si>
  <si>
    <t>If set on 0, check if the hypolimnion variables are indeed unchanged (so constant, or straight lines in the graphs)</t>
  </si>
  <si>
    <t>If 0, the dayly light available needs to be provided in _cLDayVar_, _cfDayAve_ and _cfDayVar_ OR with _ReadLOut_ and _mLOut_.</t>
  </si>
  <si>
    <t>if 1, the light at the surface of the lake is estimated using the latitude.</t>
  </si>
  <si>
    <t>If 0, the cyanobacteria can not float</t>
  </si>
  <si>
    <t>If 1, the cyanobacteria can float to the surface</t>
  </si>
  <si>
    <t>If 0, the cyanobacteria can not fix admospheric nitrogen</t>
  </si>
  <si>
    <t>If 1, the cyanobacteria can fix admospheric nitrogen</t>
  </si>
  <si>
    <t>If 0, the mixing depth should be provided by the user in _mMixDepth_. This function only works if _InclStrat_ is also at 1</t>
  </si>
  <si>
    <t>If 1, the mixing depth is calculated based on the fetch. This function only works if _InclStrat_ is also at 1</t>
  </si>
  <si>
    <t>The mixing depth can become larger than the depth of the lake or become near zero. This can couse simulation errors.</t>
  </si>
  <si>
    <t>If 1, the evaporation wil be calculated based on Thornthwaite 1984</t>
  </si>
  <si>
    <t>If 0, the evaporation will depend on _cQEvAve_</t>
  </si>
  <si>
    <t>If 0, the depth will depend on a constant value or the water balance (depending on choices above)</t>
  </si>
  <si>
    <t>If 1, the water balance will be adjusted such that the water depth will follow _mDepthW_.</t>
  </si>
  <si>
    <t>Warning: you water balance will deviate from what is provided in the input parameters</t>
  </si>
  <si>
    <t>If 0, the temperature will be estimated by _cTmAveEpi_ and _cTmVarEpi_ using a sine-function</t>
  </si>
  <si>
    <t>If 1, _mTemp_ will be used</t>
  </si>
  <si>
    <t>Make sure that you provide numbers for _mTemp_</t>
  </si>
  <si>
    <t>If 0, the moment of stratification will be calculated based on the temperature difference between the hypolimnion and the epilimnion. If this difference is larger than 1, the lake will be stratified (if _InclStrat_ = 1)</t>
  </si>
  <si>
    <t>If 1, the moment of stratification depends on _mStrat_</t>
  </si>
  <si>
    <t>If 0, incomming light will depend on the calculation with _cLDayVar_, _cfDayAve_ and _cfDayVar_</t>
  </si>
  <si>
    <t>If 1, incomming light will depend on _mLOut_</t>
  </si>
  <si>
    <t>If 0, the _cWind_ will be used</t>
  </si>
  <si>
    <t>If 1, the parameter _mWind_ will be used</t>
  </si>
  <si>
    <t>Please note that the wind is only affecting the aeration of the lake</t>
  </si>
  <si>
    <t>If 0, _cQIn_ will be used for the inflow, or the inflow is calculated partly if the measured depth is used (_ReadDepthW_=1)</t>
  </si>
  <si>
    <t>If 0, _mQIn_ will be used for the inflow, or the inflow is calculated partly if the measured depth is used (_ReadDepthW_=1)</t>
  </si>
  <si>
    <t>If 1, _mQOutHyp_ will be used for the inflow, or the outflow is calculated partly if the measured depth is used (_ReadDepthW_=1) or if the depth is constant (_ConstDepth_ = 1)</t>
  </si>
  <si>
    <t>If 0, _cQOutHyp_ will be used for the inflow, or the outflow is calculated partly if the measured depth is used (_ReadDepthW_=1) or if the depth is constant (_ConstDepth_ = 1)</t>
  </si>
  <si>
    <t>If 1, _mQOutEpi_ will be used for the inflow, or the outflow is calculated partly if the measured depth is used (_ReadDepthW_=1) or if the depth is constant (_ConstDepth_ = 1)</t>
  </si>
  <si>
    <t>If 0, _cQOutEpi_ will be used for the inflow, or the outflow is calculated partly if the measured depth is used (_ReadDepthW_=1) or if the depth is constant (_ConstDepth_ = 1)</t>
  </si>
  <si>
    <t>If 1, the evaporation will depend on _mQEv_</t>
  </si>
  <si>
    <t>If 0, the P load will depend on _cPload_</t>
  </si>
  <si>
    <t>If 1, the P load will depend on _mPload_</t>
  </si>
  <si>
    <t>If 0, the N load will depend on _cNload_</t>
  </si>
  <si>
    <t>If 1, the N load will depend on _mNload_</t>
  </si>
  <si>
    <t>Note that with bifurcation analysis the value of readNLoad should be 0, otherwise you will have increasing P-load with an unchanged N-load. If readNLoad is 0 during the bifurcation, the _cNPLoadMeas_ will be used to increase and decrease the NLoad</t>
  </si>
  <si>
    <t>Bifurcation</t>
  </si>
  <si>
    <t>If 0, the user has only TP and TN available for nutrient input</t>
  </si>
  <si>
    <t>If 1, the user can provide different species of N and P</t>
  </si>
  <si>
    <t>If 0, the inflowing phytoplankton will be estimated</t>
  </si>
  <si>
    <t>if 1, the inflowing phytoplankton is provided by the user</t>
  </si>
  <si>
    <t>If 0, the inflowing detritus will be estimated</t>
  </si>
  <si>
    <t>If 0, the inflowing detritus is provided by the user</t>
  </si>
  <si>
    <t>If 1, use measured time-teries of shading percentage of plants otherwiseconstant</t>
  </si>
  <si>
    <t>If 0, use calculated time-teries of shading percentage of plants otherwiseconstant</t>
  </si>
  <si>
    <t xml:space="preserve">If 1, use a photoperiod cue to determine reallocation from winter to summer mode </t>
  </si>
  <si>
    <t xml:space="preserve">If 0, use a temperature to determine reallocation from winter to summer mode if </t>
  </si>
  <si>
    <t xml:space="preserve">If 1, use an exponential function for vegetation </t>
  </si>
  <si>
    <t xml:space="preserve">If 0, use an power function for vegetation </t>
  </si>
  <si>
    <t xml:space="preserve">If 1, use a light integration cue to initiate overwintering of vegetation </t>
  </si>
  <si>
    <t xml:space="preserve">If 1, use _cWinVeg_ to initiate overwintering of vegetation </t>
  </si>
  <si>
    <t>ONLY_USE_IN_SPATIALLY_HETEROGENEOUS_MODELLING</t>
  </si>
  <si>
    <t>If 0,use use cVegHeight for vegetation</t>
  </si>
  <si>
    <t xml:space="preserve">If 1, use a dynamic estimation for vegetation height based on stem densities and biomass </t>
  </si>
  <si>
    <t>If 0, the inflowing inorganic matter will be estimated</t>
  </si>
  <si>
    <t>If 0, the inflowing inorganic matter is provided by the user</t>
  </si>
  <si>
    <t>If 0, there is no additional nutrient load over the season</t>
  </si>
  <si>
    <t>If 1, there is additional nutrient load over the season</t>
  </si>
  <si>
    <t>If 0, there is no sudden pulse load</t>
  </si>
  <si>
    <t>If 1, the provider can set a sudden pulse load</t>
  </si>
  <si>
    <t>relevant</t>
  </si>
  <si>
    <t>To prepare your data you can go from step 1 to 5. This document provides you an example. It is good to make the same steps first prior to starting with running PCLake.</t>
  </si>
  <si>
    <t>Step 1</t>
  </si>
  <si>
    <t>Prepare your water balance</t>
  </si>
  <si>
    <t>Step 2</t>
  </si>
  <si>
    <t>Step 3</t>
  </si>
  <si>
    <t>Step 4</t>
  </si>
  <si>
    <t>Step 5</t>
  </si>
  <si>
    <t>Prepare your nutrient balance</t>
  </si>
  <si>
    <t>Prepare your temperature input</t>
  </si>
  <si>
    <t>Prepare all other parameters of PCLake</t>
  </si>
  <si>
    <t>Make choices on the switches you want</t>
  </si>
  <si>
    <t>Note that the fetch is measured as the longest distance over water measured in the wind direction. An approximation is the square rooth of the lake area</t>
  </si>
  <si>
    <t>&lt;- this value will be not used since we will keep the depth constant. Therefore the model will estimate this value</t>
  </si>
  <si>
    <t>_cDepthWInit0_</t>
  </si>
  <si>
    <t>&lt;- we will not use the N-Load but the cNPLoad Meas in this case</t>
  </si>
  <si>
    <t>Water temperature</t>
  </si>
  <si>
    <t>Sediment type</t>
  </si>
  <si>
    <t>&lt;- this is a state variable. It can change according to the water balance. Here we decided to keep it constant (see switches in step 5)</t>
  </si>
  <si>
    <t>Personal Computer Lake</t>
  </si>
  <si>
    <t>we assume in our example that our personal computer lake is a clay/peat lake</t>
  </si>
  <si>
    <t>Note: the information below is not needed for our Personal Computer Lake as it is a non-stratifying lake. In case you want to simulate with a deep lake, please also consider to change these parameters</t>
  </si>
  <si>
    <t>&lt;- we assume in our example that our Personal Computer Lake is a clay/peat lake</t>
  </si>
  <si>
    <t>_oC_</t>
  </si>
  <si>
    <t>_mm_*_d_^-1</t>
  </si>
  <si>
    <t>_mPLoad_</t>
  </si>
  <si>
    <t>_gP_*_m_^-2*_d_^-1</t>
  </si>
  <si>
    <t>_cFetch_</t>
  </si>
  <si>
    <t>_m_</t>
  </si>
  <si>
    <t>_fLutum_</t>
  </si>
  <si>
    <t>_fFeDIM_</t>
  </si>
  <si>
    <t>_gFe_*_gDW_^-1</t>
  </si>
  <si>
    <t>_fAlDIM_</t>
  </si>
  <si>
    <t>_gAl_*_gDW_^-1</t>
  </si>
  <si>
    <t>_fDTotS0_</t>
  </si>
  <si>
    <t>_gDW_*_gDW_^-1</t>
  </si>
  <si>
    <t>_cNPLoadMeas_</t>
  </si>
  <si>
    <t>_gN_*_gP_^-1</t>
  </si>
  <si>
    <t>_fDOrgSoil_</t>
  </si>
  <si>
    <t>_cLAT_</t>
  </si>
  <si>
    <t>_deg_</t>
  </si>
  <si>
    <t>sName</t>
  </si>
  <si>
    <t>sUnit</t>
  </si>
  <si>
    <t>sMinValue</t>
  </si>
  <si>
    <t>sMaxValue</t>
  </si>
  <si>
    <t>sDefault0</t>
  </si>
  <si>
    <t>Parameters</t>
  </si>
  <si>
    <t>Set0</t>
  </si>
  <si>
    <t>Set1</t>
  </si>
  <si>
    <t>Set2</t>
  </si>
  <si>
    <t>Set3</t>
  </si>
  <si>
    <t>iRuniD</t>
  </si>
  <si>
    <t>iIntType</t>
  </si>
  <si>
    <t>iStateSet</t>
  </si>
  <si>
    <t>iParamSet</t>
  </si>
  <si>
    <t>iInitAuxilSet</t>
  </si>
  <si>
    <t>iAuxilset</t>
  </si>
  <si>
    <t>iCalibType</t>
  </si>
  <si>
    <t>iCalibMaxIter</t>
  </si>
  <si>
    <t>dReady</t>
  </si>
  <si>
    <t>dIntStep</t>
  </si>
  <si>
    <t>dIntAccuracy</t>
  </si>
  <si>
    <t>dRepStart</t>
  </si>
  <si>
    <t>dRepStep</t>
  </si>
  <si>
    <t>dAvgStep</t>
  </si>
  <si>
    <t>dAvgStart</t>
  </si>
  <si>
    <t>dAvgStartWithinYear</t>
  </si>
  <si>
    <t>dAvgEndWithinYear</t>
  </si>
  <si>
    <t>dSensitivityFactor</t>
  </si>
  <si>
    <t>dCalibScale</t>
  </si>
  <si>
    <t>dCalibAccuracy</t>
  </si>
  <si>
    <t>iGccCompiler</t>
  </si>
  <si>
    <t>c:\rtools\gcc-4.6.3</t>
  </si>
  <si>
    <t>iFilesDATM</t>
  </si>
  <si>
    <t>DATM\PCLakePLUS_20200828\</t>
  </si>
  <si>
    <t>Control</t>
  </si>
  <si>
    <t>_fMarsh_</t>
  </si>
  <si>
    <t>_m_^2*_m_^-2</t>
  </si>
  <si>
    <t>_cTmAveEpi_</t>
  </si>
  <si>
    <t>_cTmVarEpi_</t>
  </si>
  <si>
    <t>_cTimeLag_</t>
  </si>
  <si>
    <t>_d_</t>
  </si>
  <si>
    <t>_cVWind_</t>
  </si>
  <si>
    <t>_m_*_s^-1_</t>
  </si>
  <si>
    <t>_cQInf_</t>
  </si>
  <si>
    <t>_fRefl_</t>
  </si>
  <si>
    <t>_cExtWat_</t>
  </si>
  <si>
    <t>_m_^-1</t>
  </si>
  <si>
    <t>_cDredInterval_</t>
  </si>
  <si>
    <t>_y_</t>
  </si>
  <si>
    <t>_cDredStart_</t>
  </si>
  <si>
    <t>_cLengDred_</t>
  </si>
  <si>
    <t>_fEffDred_</t>
  </si>
  <si>
    <t>_fEffDredBent_</t>
  </si>
  <si>
    <t>_cDepthRef_</t>
  </si>
  <si>
    <t>_cQIn_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</si>
</sst>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
    <numFmt numFmtId="166" formatCode="0.0000"/>
    <numFmt numFmtId="167" formatCode="0.000000000"/>
    <numFmt numFmtId="168" formatCode="_(* #,##0.0_);_(* \(#,##0.0\);_(* &quot;-&quot;??_);_(@_)"/>
  </numFmts>
  <fonts count="16"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b/>
      <sz val="11"/>
      <color theme="5" tint="-0.249977111117893"/>
      <name val="Calibri"/>
      <family val="2"/>
      <scheme val="minor"/>
    </font>
    <font>
      <i/>
      <sz val="11"/>
      <color theme="5" tint="-0.249977111117893"/>
      <name val="Calibri"/>
      <family val="2"/>
      <scheme val="minor"/>
    </font>
    <font>
      <sz val="10"/>
      <name val="Arial"/>
      <family val="2"/>
    </font>
    <font>
      <sz val="11"/>
      <color theme="0" tint="-0.499984740745262"/>
      <name val="Calibri"/>
      <family val="2"/>
      <scheme val="minor"/>
    </font>
    <font>
      <u/>
      <sz val="11"/>
      <color theme="10"/>
      <name val="Calibri"/>
      <family val="2"/>
      <scheme val="minor"/>
    </font>
    <font>
      <sz val="11"/>
      <color theme="1"/>
      <name val="Calibri"/>
      <family val="2"/>
      <scheme val="minor"/>
    </font>
    <font>
      <sz val="10"/>
      <name val="Courier New"/>
      <family val="3"/>
    </font>
    <font>
      <sz val="8"/>
      <name val="Calibri"/>
      <family val="2"/>
      <scheme val="minor"/>
    </font>
    <font>
      <sz val="10"/>
      <color indexed="81"/>
      <name val="Tahoma"/>
      <family val="2"/>
    </font>
    <font>
      <sz val="9"/>
      <color indexed="81"/>
      <name val="Tahoma"/>
      <family val="2"/>
    </font>
    <font>
      <sz val="10"/>
      <color indexed="81"/>
      <name val="Arial"/>
      <family val="2"/>
    </font>
    <font>
      <sz val="12"/>
      <color indexed="81"/>
      <name val="Tahoma"/>
      <family val="2"/>
    </font>
  </fonts>
  <fills count="10">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70C0"/>
        <bgColor indexed="64"/>
      </patternFill>
    </fill>
    <fill>
      <patternFill patternType="solid">
        <fgColor rgb="FFFF99CC"/>
        <bgColor indexed="64"/>
      </patternFill>
    </fill>
    <fill>
      <patternFill patternType="solid">
        <fgColor rgb="FFFF0000"/>
        <bgColor indexed="64"/>
      </patternFill>
    </fill>
    <fill>
      <patternFill patternType="solid">
        <fgColor rgb="FFC00000"/>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6" fillId="0" borderId="0"/>
    <xf numFmtId="0" fontId="8" fillId="0" borderId="0" applyNumberFormat="0" applyFill="0" applyBorder="0" applyAlignment="0" applyProtection="0"/>
    <xf numFmtId="43" fontId="9" fillId="0" borderId="0" applyFont="0" applyFill="0" applyBorder="0" applyAlignment="0" applyProtection="0"/>
  </cellStyleXfs>
  <cellXfs count="128">
    <xf numFmtId="0" fontId="0" fillId="0" borderId="0" xfId="0"/>
    <xf numFmtId="0" fontId="1" fillId="2" borderId="0" xfId="0" applyFont="1" applyFill="1"/>
    <xf numFmtId="0" fontId="0" fillId="2" borderId="0" xfId="0" applyFill="1"/>
    <xf numFmtId="15" fontId="0" fillId="2" borderId="0" xfId="0" applyNumberFormat="1" applyFill="1"/>
    <xf numFmtId="0" fontId="2" fillId="2" borderId="0" xfId="0" applyFont="1" applyFill="1"/>
    <xf numFmtId="0" fontId="3" fillId="2" borderId="0" xfId="0" applyFont="1" applyFill="1"/>
    <xf numFmtId="165" fontId="0" fillId="2" borderId="0" xfId="0" applyNumberFormat="1" applyFill="1"/>
    <xf numFmtId="165" fontId="0" fillId="2" borderId="0" xfId="0" applyNumberFormat="1" applyFill="1" applyAlignment="1">
      <alignment horizontal="center"/>
    </xf>
    <xf numFmtId="2" fontId="0" fillId="2" borderId="0" xfId="0" applyNumberFormat="1" applyFill="1" applyAlignment="1">
      <alignment horizontal="center"/>
    </xf>
    <xf numFmtId="0" fontId="0" fillId="2" borderId="0" xfId="0" applyFill="1" applyAlignment="1">
      <alignment horizontal="center"/>
    </xf>
    <xf numFmtId="166" fontId="0" fillId="2" borderId="0" xfId="0" applyNumberFormat="1" applyFill="1" applyAlignment="1">
      <alignment horizontal="center"/>
    </xf>
    <xf numFmtId="2" fontId="0" fillId="3" borderId="0" xfId="0" applyNumberFormat="1" applyFill="1" applyAlignment="1">
      <alignment horizontal="center"/>
    </xf>
    <xf numFmtId="165" fontId="0" fillId="2" borderId="3" xfId="0" applyNumberFormat="1" applyFill="1" applyBorder="1" applyAlignment="1">
      <alignment horizontal="center"/>
    </xf>
    <xf numFmtId="165" fontId="0" fillId="3" borderId="4" xfId="0" applyNumberFormat="1" applyFill="1" applyBorder="1" applyAlignment="1">
      <alignment horizontal="center"/>
    </xf>
    <xf numFmtId="165" fontId="0" fillId="2" borderId="5" xfId="0" applyNumberFormat="1" applyFill="1" applyBorder="1" applyAlignment="1">
      <alignment horizontal="center"/>
    </xf>
    <xf numFmtId="165" fontId="0" fillId="3" borderId="6" xfId="0" applyNumberFormat="1" applyFill="1" applyBorder="1" applyAlignment="1">
      <alignment horizontal="center"/>
    </xf>
    <xf numFmtId="165" fontId="0" fillId="2" borderId="8" xfId="0" applyNumberFormat="1" applyFill="1" applyBorder="1" applyAlignment="1">
      <alignment horizontal="center"/>
    </xf>
    <xf numFmtId="165" fontId="0" fillId="2" borderId="9" xfId="0" applyNumberFormat="1" applyFill="1" applyBorder="1" applyAlignment="1">
      <alignment horizontal="center"/>
    </xf>
    <xf numFmtId="15" fontId="0" fillId="2" borderId="7" xfId="0" applyNumberFormat="1" applyFill="1" applyBorder="1"/>
    <xf numFmtId="15" fontId="0" fillId="2" borderId="8" xfId="0" applyNumberFormat="1" applyFill="1" applyBorder="1"/>
    <xf numFmtId="15" fontId="0" fillId="2" borderId="9" xfId="0" applyNumberFormat="1" applyFill="1" applyBorder="1"/>
    <xf numFmtId="165" fontId="0" fillId="3" borderId="8" xfId="0" applyNumberFormat="1" applyFill="1" applyBorder="1" applyAlignment="1">
      <alignment horizontal="center"/>
    </xf>
    <xf numFmtId="165" fontId="0" fillId="3" borderId="9" xfId="0" applyNumberFormat="1" applyFill="1" applyBorder="1" applyAlignment="1">
      <alignment horizontal="center"/>
    </xf>
    <xf numFmtId="165" fontId="0" fillId="3" borderId="7" xfId="0" applyNumberFormat="1" applyFill="1" applyBorder="1" applyAlignment="1">
      <alignment horizontal="center"/>
    </xf>
    <xf numFmtId="165" fontId="0" fillId="3" borderId="1" xfId="0" applyNumberFormat="1" applyFill="1" applyBorder="1" applyAlignment="1">
      <alignment horizontal="center"/>
    </xf>
    <xf numFmtId="165" fontId="0" fillId="3" borderId="3" xfId="0" applyNumberFormat="1" applyFill="1" applyBorder="1" applyAlignment="1">
      <alignment horizontal="center"/>
    </xf>
    <xf numFmtId="165" fontId="0" fillId="3" borderId="5" xfId="0" applyNumberFormat="1" applyFill="1" applyBorder="1" applyAlignment="1">
      <alignment horizontal="center"/>
    </xf>
    <xf numFmtId="165" fontId="0" fillId="4" borderId="11" xfId="0" applyNumberFormat="1" applyFill="1" applyBorder="1" applyAlignment="1">
      <alignment horizontal="center"/>
    </xf>
    <xf numFmtId="165" fontId="0" fillId="4" borderId="12" xfId="0" applyNumberFormat="1" applyFill="1" applyBorder="1" applyAlignment="1">
      <alignment horizontal="center"/>
    </xf>
    <xf numFmtId="165" fontId="0" fillId="4" borderId="13" xfId="0" applyNumberFormat="1" applyFill="1" applyBorder="1" applyAlignment="1">
      <alignment horizontal="center"/>
    </xf>
    <xf numFmtId="0" fontId="4" fillId="2" borderId="0" xfId="0" applyFont="1" applyFill="1"/>
    <xf numFmtId="0" fontId="1" fillId="2" borderId="7"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2" borderId="9" xfId="0" applyFont="1" applyFill="1" applyBorder="1" applyAlignment="1">
      <alignment horizontal="center"/>
    </xf>
    <xf numFmtId="1" fontId="0" fillId="3" borderId="0" xfId="0" applyNumberFormat="1" applyFill="1" applyAlignment="1">
      <alignment horizontal="center"/>
    </xf>
    <xf numFmtId="0" fontId="1" fillId="2" borderId="1" xfId="0" applyFont="1" applyFill="1" applyBorder="1" applyAlignment="1">
      <alignment horizontal="center"/>
    </xf>
    <xf numFmtId="1" fontId="0" fillId="2" borderId="0" xfId="0" applyNumberFormat="1" applyFill="1"/>
    <xf numFmtId="0" fontId="5" fillId="2" borderId="0" xfId="0" applyFont="1" applyFill="1"/>
    <xf numFmtId="15" fontId="0" fillId="2" borderId="1" xfId="0" applyNumberFormat="1" applyFill="1" applyBorder="1" applyAlignment="1">
      <alignment horizontal="center"/>
    </xf>
    <xf numFmtId="15" fontId="0" fillId="2" borderId="3" xfId="0" applyNumberFormat="1" applyFill="1" applyBorder="1" applyAlignment="1">
      <alignment horizontal="center"/>
    </xf>
    <xf numFmtId="15" fontId="0" fillId="2" borderId="5" xfId="0" applyNumberFormat="1" applyFill="1" applyBorder="1" applyAlignment="1">
      <alignment horizontal="center"/>
    </xf>
    <xf numFmtId="0" fontId="3" fillId="2" borderId="3" xfId="0" applyFont="1" applyFill="1" applyBorder="1" applyAlignment="1">
      <alignment horizontal="center"/>
    </xf>
    <xf numFmtId="166" fontId="0" fillId="4" borderId="10" xfId="0" applyNumberFormat="1" applyFill="1" applyBorder="1" applyAlignment="1">
      <alignment horizontal="center"/>
    </xf>
    <xf numFmtId="166" fontId="0" fillId="3" borderId="4" xfId="0" applyNumberFormat="1" applyFill="1" applyBorder="1" applyAlignment="1">
      <alignment horizontal="center"/>
    </xf>
    <xf numFmtId="166" fontId="0" fillId="3" borderId="6" xfId="0" applyNumberFormat="1" applyFill="1" applyBorder="1" applyAlignment="1">
      <alignment horizontal="center"/>
    </xf>
    <xf numFmtId="0" fontId="5" fillId="2" borderId="16" xfId="0" applyFont="1" applyFill="1" applyBorder="1"/>
    <xf numFmtId="0" fontId="0" fillId="2" borderId="17" xfId="0" applyFill="1" applyBorder="1"/>
    <xf numFmtId="0" fontId="0" fillId="2" borderId="18" xfId="0" applyFill="1" applyBorder="1"/>
    <xf numFmtId="1" fontId="0" fillId="4" borderId="10" xfId="0" applyNumberFormat="1" applyFill="1" applyBorder="1" applyAlignment="1">
      <alignment horizontal="center"/>
    </xf>
    <xf numFmtId="0" fontId="7" fillId="2" borderId="0" xfId="0" applyFont="1" applyFill="1"/>
    <xf numFmtId="164" fontId="0" fillId="3" borderId="0" xfId="0" applyNumberFormat="1" applyFill="1" applyAlignment="1">
      <alignment horizontal="center"/>
    </xf>
    <xf numFmtId="0" fontId="8" fillId="2" borderId="0" xfId="2" applyFill="1"/>
    <xf numFmtId="0" fontId="0" fillId="2" borderId="1" xfId="0" applyFill="1" applyBorder="1"/>
    <xf numFmtId="1" fontId="0" fillId="3" borderId="14" xfId="0" applyNumberFormat="1" applyFill="1" applyBorder="1" applyAlignment="1">
      <alignment horizontal="center"/>
    </xf>
    <xf numFmtId="0" fontId="0" fillId="2" borderId="2" xfId="0" applyFill="1" applyBorder="1"/>
    <xf numFmtId="0" fontId="0" fillId="2" borderId="3" xfId="0" applyFill="1" applyBorder="1"/>
    <xf numFmtId="1" fontId="0" fillId="3" borderId="0" xfId="0" applyNumberFormat="1" applyFill="1" applyBorder="1" applyAlignment="1">
      <alignment horizontal="center"/>
    </xf>
    <xf numFmtId="0" fontId="0" fillId="2" borderId="4" xfId="0" applyFill="1" applyBorder="1"/>
    <xf numFmtId="0" fontId="0" fillId="2" borderId="5" xfId="0" applyFill="1" applyBorder="1"/>
    <xf numFmtId="0" fontId="0" fillId="2" borderId="15" xfId="0" applyFill="1" applyBorder="1"/>
    <xf numFmtId="0" fontId="0" fillId="2" borderId="6" xfId="0" applyFill="1" applyBorder="1"/>
    <xf numFmtId="0" fontId="0" fillId="2" borderId="1" xfId="0" applyFill="1" applyBorder="1" applyAlignment="1">
      <alignment vertical="top" wrapText="1"/>
    </xf>
    <xf numFmtId="0" fontId="0" fillId="2" borderId="1" xfId="0" applyFill="1" applyBorder="1" applyAlignment="1">
      <alignment horizontal="center" vertical="top" wrapText="1"/>
    </xf>
    <xf numFmtId="0" fontId="0" fillId="2" borderId="2" xfId="0" applyFill="1" applyBorder="1" applyAlignment="1">
      <alignment vertical="top" wrapText="1"/>
    </xf>
    <xf numFmtId="0" fontId="0" fillId="2" borderId="2" xfId="0" applyFill="1" applyBorder="1" applyAlignment="1">
      <alignment horizontal="center" vertical="top" wrapText="1"/>
    </xf>
    <xf numFmtId="0" fontId="0" fillId="2" borderId="0" xfId="0" applyFill="1" applyAlignment="1">
      <alignment vertical="top" wrapText="1"/>
    </xf>
    <xf numFmtId="0" fontId="0" fillId="2" borderId="3" xfId="0" applyFill="1" applyBorder="1" applyAlignment="1">
      <alignment vertical="top" wrapText="1"/>
    </xf>
    <xf numFmtId="0" fontId="0" fillId="2" borderId="0" xfId="0" applyFill="1" applyBorder="1" applyAlignment="1">
      <alignment horizontal="center" vertical="top" wrapText="1"/>
    </xf>
    <xf numFmtId="0" fontId="0" fillId="2" borderId="4" xfId="0" applyFill="1" applyBorder="1" applyAlignment="1">
      <alignment vertical="top" wrapText="1"/>
    </xf>
    <xf numFmtId="0" fontId="0" fillId="2" borderId="3" xfId="0" quotePrefix="1" applyFill="1" applyBorder="1" applyAlignment="1">
      <alignment vertical="top" wrapText="1"/>
    </xf>
    <xf numFmtId="0" fontId="0" fillId="2" borderId="5" xfId="0" applyFill="1" applyBorder="1" applyAlignment="1">
      <alignment vertical="top" wrapText="1"/>
    </xf>
    <xf numFmtId="0" fontId="0" fillId="2" borderId="6" xfId="0" applyFill="1" applyBorder="1" applyAlignment="1">
      <alignment vertical="top" wrapText="1"/>
    </xf>
    <xf numFmtId="0" fontId="0" fillId="2" borderId="14" xfId="0" applyFill="1" applyBorder="1" applyAlignment="1">
      <alignment horizontal="center" vertical="top" wrapText="1"/>
    </xf>
    <xf numFmtId="0" fontId="0" fillId="2" borderId="15" xfId="0" applyFill="1" applyBorder="1" applyAlignment="1">
      <alignment horizontal="center" vertical="top" wrapText="1"/>
    </xf>
    <xf numFmtId="0" fontId="0" fillId="2" borderId="0" xfId="0" applyFill="1" applyAlignment="1">
      <alignment horizontal="center" vertical="top" wrapText="1"/>
    </xf>
    <xf numFmtId="167" fontId="0" fillId="2" borderId="0" xfId="0" applyNumberFormat="1" applyFill="1"/>
    <xf numFmtId="2" fontId="0" fillId="5" borderId="10" xfId="0" applyNumberFormat="1" applyFill="1" applyBorder="1" applyAlignment="1">
      <alignment horizontal="center"/>
    </xf>
    <xf numFmtId="168" fontId="0" fillId="2" borderId="7" xfId="3" applyNumberFormat="1" applyFont="1" applyFill="1" applyBorder="1"/>
    <xf numFmtId="168" fontId="0" fillId="2" borderId="8" xfId="3" applyNumberFormat="1" applyFont="1" applyFill="1" applyBorder="1"/>
    <xf numFmtId="168" fontId="0" fillId="2" borderId="9" xfId="3" applyNumberFormat="1" applyFont="1" applyFill="1" applyBorder="1"/>
    <xf numFmtId="1" fontId="0" fillId="2" borderId="0" xfId="0" applyNumberFormat="1" applyFill="1" applyAlignment="1">
      <alignment horizontal="center"/>
    </xf>
    <xf numFmtId="165" fontId="0" fillId="2" borderId="1" xfId="0" applyNumberFormat="1" applyFill="1" applyBorder="1" applyAlignment="1">
      <alignment horizontal="center"/>
    </xf>
    <xf numFmtId="0" fontId="1" fillId="2" borderId="16" xfId="0" applyFont="1" applyFill="1" applyBorder="1" applyAlignment="1"/>
    <xf numFmtId="0" fontId="1" fillId="2" borderId="19" xfId="0" applyFont="1" applyFill="1" applyBorder="1" applyAlignment="1"/>
    <xf numFmtId="0" fontId="3" fillId="2" borderId="19" xfId="0" applyFont="1" applyFill="1" applyBorder="1" applyAlignment="1">
      <alignment horizontal="center"/>
    </xf>
    <xf numFmtId="166" fontId="0" fillId="3" borderId="7" xfId="0" applyNumberFormat="1" applyFill="1" applyBorder="1" applyAlignment="1">
      <alignment horizontal="center"/>
    </xf>
    <xf numFmtId="166" fontId="0" fillId="3" borderId="8" xfId="0" applyNumberFormat="1" applyFill="1" applyBorder="1" applyAlignment="1">
      <alignment horizontal="center"/>
    </xf>
    <xf numFmtId="166" fontId="0" fillId="3" borderId="9" xfId="0" applyNumberFormat="1" applyFill="1" applyBorder="1" applyAlignment="1">
      <alignment horizontal="center"/>
    </xf>
    <xf numFmtId="165" fontId="0" fillId="4" borderId="10" xfId="0" applyNumberFormat="1" applyFill="1" applyBorder="1" applyAlignment="1">
      <alignment horizontal="center"/>
    </xf>
    <xf numFmtId="0" fontId="10" fillId="0" borderId="0" xfId="1" applyFont="1"/>
    <xf numFmtId="0" fontId="0" fillId="5" borderId="0" xfId="0" applyFill="1" applyBorder="1" applyAlignment="1">
      <alignment horizontal="center" vertical="top" wrapText="1"/>
    </xf>
    <xf numFmtId="0" fontId="0" fillId="2" borderId="5" xfId="0" quotePrefix="1" applyFill="1" applyBorder="1" applyAlignment="1">
      <alignment vertical="top" wrapText="1"/>
    </xf>
    <xf numFmtId="0" fontId="0" fillId="2" borderId="0" xfId="0" applyFill="1" applyAlignment="1">
      <alignment vertical="top"/>
    </xf>
    <xf numFmtId="0" fontId="0" fillId="2" borderId="14" xfId="0" applyFill="1" applyBorder="1"/>
    <xf numFmtId="0" fontId="0" fillId="2" borderId="0" xfId="0" applyFill="1" applyBorder="1"/>
    <xf numFmtId="0" fontId="0" fillId="2" borderId="16" xfId="0" applyFill="1" applyBorder="1"/>
    <xf numFmtId="0" fontId="0" fillId="2" borderId="7" xfId="0" applyFill="1" applyBorder="1"/>
    <xf numFmtId="0" fontId="0" fillId="2" borderId="8" xfId="0" applyFill="1" applyBorder="1"/>
    <xf numFmtId="0" fontId="0" fillId="2" borderId="9" xfId="0" applyFill="1" applyBorder="1"/>
    <xf numFmtId="0" fontId="1" fillId="2" borderId="1" xfId="0" applyFont="1" applyFill="1" applyBorder="1" applyAlignment="1">
      <alignment horizontal="center"/>
    </xf>
    <xf numFmtId="0" fontId="1" fillId="2" borderId="2" xfId="0" applyFont="1" applyFill="1" applyBorder="1" applyAlignment="1">
      <alignment horizontal="center"/>
    </xf>
    <xf numFmtId="0" fontId="4" fillId="2" borderId="0" xfId="0" applyFont="1" applyFill="1" applyAlignment="1">
      <alignment horizontal="left" vertical="top" wrapText="1"/>
    </xf>
    <xf numFmtId="0" fontId="0" fillId="2" borderId="16" xfId="0" applyFill="1" applyBorder="1" applyAlignment="1">
      <alignment horizontal="center"/>
    </xf>
    <xf numFmtId="0" fontId="0" fillId="2" borderId="18" xfId="0" applyFill="1" applyBorder="1" applyAlignment="1">
      <alignment horizontal="center"/>
    </xf>
    <xf numFmtId="0" fontId="1" fillId="2" borderId="16" xfId="0" applyFont="1" applyFill="1" applyBorder="1" applyAlignment="1">
      <alignment horizontal="center"/>
    </xf>
    <xf numFmtId="0" fontId="1" fillId="2" borderId="17" xfId="0" applyFont="1" applyFill="1" applyBorder="1" applyAlignment="1">
      <alignment horizontal="center"/>
    </xf>
    <xf numFmtId="0" fontId="1" fillId="2" borderId="18" xfId="0" applyFont="1" applyFill="1" applyBorder="1" applyAlignment="1">
      <alignment horizontal="center"/>
    </xf>
    <xf numFmtId="0" fontId="10" fillId="0" borderId="0" xfId="1" applyFont="1" applyAlignment="1">
      <alignment horizontal="left"/>
    </xf>
    <xf numFmtId="0" fontId="10" fillId="0" borderId="3" xfId="1" applyFont="1" applyBorder="1"/>
    <xf numFmtId="0" fontId="10" fillId="0" borderId="4" xfId="1" applyFont="1" applyBorder="1"/>
    <xf numFmtId="0" fontId="10" fillId="0" borderId="0" xfId="1" applyFont="1" applyAlignment="1">
      <alignment vertical="top" textRotation="90"/>
    </xf>
    <xf numFmtId="0" fontId="10" fillId="0" borderId="0" xfId="1" applyFont="1" applyAlignment="1">
      <alignment horizontal="left" vertical="top" textRotation="90"/>
    </xf>
    <xf numFmtId="0" fontId="10" fillId="0" borderId="3" xfId="1" applyFont="1" applyBorder="1" applyAlignment="1">
      <alignment vertical="top" textRotation="90"/>
    </xf>
    <xf numFmtId="0" fontId="10" fillId="0" borderId="4" xfId="1" applyFont="1" applyBorder="1" applyAlignment="1">
      <alignment vertical="top" textRotation="90"/>
    </xf>
    <xf numFmtId="0" fontId="10" fillId="6" borderId="17" xfId="0" applyFont="1" applyFill="1" applyBorder="1" applyAlignment="1">
      <alignment horizontal="right" vertical="top" textRotation="90"/>
    </xf>
    <xf numFmtId="0" fontId="1" fillId="0" borderId="0" xfId="0" applyFont="1"/>
    <xf numFmtId="0" fontId="0" fillId="0" borderId="16" xfId="0" applyBorder="1"/>
    <xf numFmtId="0" fontId="0" fillId="6" borderId="17" xfId="0" applyFill="1" applyBorder="1" applyAlignment="1">
      <alignment horizontal="right"/>
    </xf>
    <xf numFmtId="0" fontId="0" fillId="7" borderId="17" xfId="0" applyFill="1" applyBorder="1" applyAlignment="1">
      <alignment horizontal="right"/>
    </xf>
    <xf numFmtId="0" fontId="0" fillId="8" borderId="17" xfId="0" applyFill="1" applyBorder="1" applyAlignment="1">
      <alignment horizontal="right"/>
    </xf>
    <xf numFmtId="0" fontId="0" fillId="9" borderId="18" xfId="0" applyFill="1" applyBorder="1" applyAlignment="1">
      <alignment horizontal="right"/>
    </xf>
    <xf numFmtId="0" fontId="0" fillId="0" borderId="3" xfId="0" applyBorder="1"/>
    <xf numFmtId="0" fontId="0" fillId="0" borderId="4" xfId="0" applyBorder="1"/>
    <xf numFmtId="0" fontId="6" fillId="0" borderId="0" xfId="0" applyFont="1"/>
    <xf numFmtId="0" fontId="6" fillId="0" borderId="0" xfId="0" applyFont="1" applyAlignment="1">
      <alignment vertical="center"/>
    </xf>
    <xf numFmtId="0" fontId="10" fillId="0" borderId="0" xfId="1" applyFont="1" applyFill="1"/>
    <xf numFmtId="0" fontId="10" fillId="0" borderId="0" xfId="1" applyFont="1" applyBorder="1"/>
  </cellXfs>
  <cellStyles count="4">
    <cellStyle name="Comma" xfId="3" builtinId="3"/>
    <cellStyle name="Hyperlink" xfId="2" builtinId="8"/>
    <cellStyle name="Normal" xfId="0" builtinId="0"/>
    <cellStyle name="Normal 2" xfId="1" xr:uid="{29BAC0D6-C759-4C6D-9249-48FF69819A2F}"/>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lake.igb-berlin.de/model/ru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19AC8-A04D-4ED7-83EA-AD0DB95689DC}">
  <sheetPr codeName="Sheet1"/>
  <dimension ref="B4:C12"/>
  <sheetViews>
    <sheetView workbookViewId="0"/>
  </sheetViews>
  <sheetFormatPr defaultColWidth="9.1796875" defaultRowHeight="14.5" x14ac:dyDescent="0.35"/>
  <cols>
    <col min="1" max="16384" width="9.1796875" style="2"/>
  </cols>
  <sheetData>
    <row r="4" spans="2:3" x14ac:dyDescent="0.35">
      <c r="B4" s="1" t="s">
        <v>36</v>
      </c>
    </row>
    <row r="6" spans="2:3" x14ac:dyDescent="0.35">
      <c r="B6" s="2" t="s">
        <v>256</v>
      </c>
    </row>
    <row r="8" spans="2:3" x14ac:dyDescent="0.35">
      <c r="B8" s="2" t="s">
        <v>257</v>
      </c>
      <c r="C8" s="2" t="s">
        <v>258</v>
      </c>
    </row>
    <row r="9" spans="2:3" x14ac:dyDescent="0.35">
      <c r="B9" s="2" t="s">
        <v>259</v>
      </c>
      <c r="C9" s="2" t="s">
        <v>263</v>
      </c>
    </row>
    <row r="10" spans="2:3" x14ac:dyDescent="0.35">
      <c r="B10" s="2" t="s">
        <v>260</v>
      </c>
      <c r="C10" s="2" t="s">
        <v>264</v>
      </c>
    </row>
    <row r="11" spans="2:3" x14ac:dyDescent="0.35">
      <c r="B11" s="2" t="s">
        <v>261</v>
      </c>
      <c r="C11" s="2" t="s">
        <v>265</v>
      </c>
    </row>
    <row r="12" spans="2:3" x14ac:dyDescent="0.35">
      <c r="B12" s="2" t="s">
        <v>262</v>
      </c>
      <c r="C12" s="2" t="s">
        <v>266</v>
      </c>
    </row>
  </sheetData>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10ECF-0A58-477F-AA40-AA6DE67CC18F}">
  <sheetPr codeName="Sheet2"/>
  <dimension ref="A3:Q44"/>
  <sheetViews>
    <sheetView zoomScale="70" zoomScaleNormal="70" workbookViewId="0"/>
  </sheetViews>
  <sheetFormatPr defaultColWidth="9.1796875" defaultRowHeight="14.5" x14ac:dyDescent="0.35"/>
  <cols>
    <col min="1" max="1" width="10.1796875" style="2" bestFit="1" customWidth="1"/>
    <col min="2" max="2" width="15.7265625" style="2" bestFit="1" customWidth="1"/>
    <col min="3" max="3" width="12.54296875" style="2" bestFit="1" customWidth="1"/>
    <col min="4" max="4" width="13.453125" style="2" bestFit="1" customWidth="1"/>
    <col min="5" max="6" width="16.26953125" style="2" customWidth="1"/>
    <col min="7" max="7" width="19.26953125" style="2" bestFit="1" customWidth="1"/>
    <col min="8" max="8" width="14.7265625" style="2" customWidth="1"/>
    <col min="9" max="15" width="9.1796875" style="2"/>
    <col min="16" max="16" width="14.81640625" style="2" bestFit="1" customWidth="1"/>
    <col min="17" max="16384" width="9.1796875" style="2"/>
  </cols>
  <sheetData>
    <row r="3" spans="1:17" x14ac:dyDescent="0.35">
      <c r="B3" s="4" t="s">
        <v>274</v>
      </c>
      <c r="J3" s="1" t="s">
        <v>13</v>
      </c>
    </row>
    <row r="4" spans="1:17" x14ac:dyDescent="0.35">
      <c r="B4" s="2" t="s">
        <v>0</v>
      </c>
      <c r="C4" s="9">
        <v>72800</v>
      </c>
      <c r="D4" s="2" t="s">
        <v>1</v>
      </c>
      <c r="J4" s="2" t="s">
        <v>14</v>
      </c>
      <c r="M4" s="2" t="s">
        <v>10</v>
      </c>
    </row>
    <row r="5" spans="1:17" x14ac:dyDescent="0.35">
      <c r="B5" s="2" t="s">
        <v>2</v>
      </c>
      <c r="C5" s="9">
        <v>2</v>
      </c>
      <c r="D5" s="2" t="s">
        <v>3</v>
      </c>
      <c r="J5" s="2" t="s">
        <v>15</v>
      </c>
      <c r="M5" s="2" t="s">
        <v>10</v>
      </c>
    </row>
    <row r="6" spans="1:17" x14ac:dyDescent="0.35">
      <c r="J6" s="2" t="s">
        <v>24</v>
      </c>
      <c r="M6" s="2" t="s">
        <v>10</v>
      </c>
    </row>
    <row r="7" spans="1:17" ht="36.75" customHeight="1" x14ac:dyDescent="0.35">
      <c r="B7" s="102"/>
      <c r="C7" s="102"/>
      <c r="D7" s="102"/>
      <c r="E7" s="102"/>
      <c r="F7" s="102"/>
      <c r="G7" s="102"/>
      <c r="H7" s="102"/>
      <c r="J7" s="93" t="s">
        <v>26</v>
      </c>
      <c r="M7" s="93" t="s">
        <v>10</v>
      </c>
    </row>
    <row r="9" spans="1:17" x14ac:dyDescent="0.35">
      <c r="G9" s="38" t="s">
        <v>38</v>
      </c>
    </row>
    <row r="10" spans="1:17" x14ac:dyDescent="0.35">
      <c r="B10" s="1"/>
    </row>
    <row r="11" spans="1:17" x14ac:dyDescent="0.35">
      <c r="B11" s="100" t="s">
        <v>6</v>
      </c>
      <c r="C11" s="101"/>
      <c r="D11" s="31" t="s">
        <v>5</v>
      </c>
      <c r="E11" s="100" t="s">
        <v>7</v>
      </c>
      <c r="F11" s="101"/>
      <c r="G11" s="31" t="s">
        <v>11</v>
      </c>
      <c r="H11" s="31" t="s">
        <v>17</v>
      </c>
      <c r="J11" s="31" t="s">
        <v>12</v>
      </c>
      <c r="K11" s="31" t="s">
        <v>18</v>
      </c>
      <c r="L11" s="31" t="s">
        <v>25</v>
      </c>
      <c r="M11" s="31" t="s">
        <v>16</v>
      </c>
      <c r="O11" s="2" t="s">
        <v>19</v>
      </c>
      <c r="P11" s="1" t="s">
        <v>20</v>
      </c>
      <c r="Q11" s="30" t="s">
        <v>22</v>
      </c>
    </row>
    <row r="12" spans="1:17" x14ac:dyDescent="0.35">
      <c r="B12" s="32" t="s">
        <v>9</v>
      </c>
      <c r="C12" s="33" t="s">
        <v>10</v>
      </c>
      <c r="D12" s="34" t="s">
        <v>10</v>
      </c>
      <c r="E12" s="32" t="s">
        <v>9</v>
      </c>
      <c r="F12" s="33" t="s">
        <v>10</v>
      </c>
      <c r="G12" s="34" t="s">
        <v>10</v>
      </c>
      <c r="H12" s="34" t="s">
        <v>10</v>
      </c>
      <c r="J12" s="34" t="s">
        <v>10</v>
      </c>
      <c r="K12" s="34" t="s">
        <v>10</v>
      </c>
      <c r="L12" s="34" t="s">
        <v>10</v>
      </c>
      <c r="M12" s="34" t="s">
        <v>10</v>
      </c>
      <c r="O12" s="5" t="s">
        <v>10</v>
      </c>
      <c r="P12" s="9" t="s">
        <v>3</v>
      </c>
    </row>
    <row r="13" spans="1:17" x14ac:dyDescent="0.35">
      <c r="A13" s="18">
        <v>36526</v>
      </c>
      <c r="B13" s="12">
        <v>1997.18615150187</v>
      </c>
      <c r="C13" s="13">
        <f>B13/$C$4*1000</f>
        <v>27.433875707443271</v>
      </c>
      <c r="D13" s="16">
        <f>64.2/30</f>
        <v>2.14</v>
      </c>
      <c r="E13" s="12">
        <v>2507.1952385232798</v>
      </c>
      <c r="F13" s="13">
        <f>E13/$C$4*1000</f>
        <v>34.439495034660432</v>
      </c>
      <c r="G13" s="16">
        <v>0</v>
      </c>
      <c r="H13" s="16">
        <v>0.38460492044426098</v>
      </c>
      <c r="J13" s="24">
        <f>C13+D13</f>
        <v>29.573875707443271</v>
      </c>
      <c r="K13" s="23">
        <f>F13</f>
        <v>34.439495034660432</v>
      </c>
      <c r="L13" s="23">
        <f>G13</f>
        <v>0</v>
      </c>
      <c r="M13" s="23">
        <f>H13</f>
        <v>0.38460492044426098</v>
      </c>
      <c r="O13" s="7">
        <f>J13-K13-M13+L13</f>
        <v>-5.2502242476614214</v>
      </c>
      <c r="P13" s="8">
        <f>$C$5+O13/1000*31</f>
        <v>1.837243048322496</v>
      </c>
    </row>
    <row r="14" spans="1:17" x14ac:dyDescent="0.35">
      <c r="A14" s="19">
        <v>36557</v>
      </c>
      <c r="B14" s="12">
        <v>1731.4370100874701</v>
      </c>
      <c r="C14" s="13">
        <f t="shared" ref="C14:C24" si="0">B14/$C$4*1000</f>
        <v>23.783475413289427</v>
      </c>
      <c r="D14" s="16">
        <f>61.7/28</f>
        <v>2.2035714285714287</v>
      </c>
      <c r="E14" s="12">
        <v>2055.7757005980802</v>
      </c>
      <c r="F14" s="13">
        <f t="shared" ref="F14:F24" si="1">E14/$C$4*1000</f>
        <v>28.238677206017584</v>
      </c>
      <c r="G14" s="16">
        <v>0</v>
      </c>
      <c r="H14" s="16">
        <v>0.5</v>
      </c>
      <c r="J14" s="25">
        <f t="shared" ref="J14:J24" si="2">C14+D14</f>
        <v>25.987046841860856</v>
      </c>
      <c r="K14" s="21">
        <f t="shared" ref="K14:K24" si="3">F14</f>
        <v>28.238677206017584</v>
      </c>
      <c r="L14" s="21">
        <f t="shared" ref="L14:L24" si="4">G14</f>
        <v>0</v>
      </c>
      <c r="M14" s="21">
        <f t="shared" ref="M14:M24" si="5">H14</f>
        <v>0.5</v>
      </c>
      <c r="O14" s="7">
        <f t="shared" ref="O14:O24" si="6">J14-K14-M14+L14</f>
        <v>-2.7516303641567283</v>
      </c>
      <c r="P14" s="8">
        <f>P13+O14/1000*29</f>
        <v>1.7574457677619508</v>
      </c>
    </row>
    <row r="15" spans="1:17" x14ac:dyDescent="0.35">
      <c r="A15" s="19">
        <v>36586</v>
      </c>
      <c r="B15" s="12">
        <v>1322.75020498198</v>
      </c>
      <c r="C15" s="13">
        <f t="shared" si="0"/>
        <v>18.169645672829393</v>
      </c>
      <c r="D15" s="16">
        <f>76/31</f>
        <v>2.4516129032258065</v>
      </c>
      <c r="E15" s="12">
        <v>1433.4252232292899</v>
      </c>
      <c r="F15" s="13">
        <f t="shared" si="1"/>
        <v>19.689906912490247</v>
      </c>
      <c r="G15" s="16">
        <v>0</v>
      </c>
      <c r="H15" s="16">
        <v>1.3</v>
      </c>
      <c r="J15" s="25">
        <f t="shared" si="2"/>
        <v>20.621258576055201</v>
      </c>
      <c r="K15" s="21">
        <f t="shared" si="3"/>
        <v>19.689906912490247</v>
      </c>
      <c r="L15" s="21">
        <f t="shared" si="4"/>
        <v>0</v>
      </c>
      <c r="M15" s="21">
        <f t="shared" si="5"/>
        <v>1.3</v>
      </c>
      <c r="O15" s="7">
        <f t="shared" si="6"/>
        <v>-0.36864833643504658</v>
      </c>
      <c r="P15" s="8">
        <f>P14+O15/1000*31</f>
        <v>1.7460176693324643</v>
      </c>
    </row>
    <row r="16" spans="1:17" x14ac:dyDescent="0.35">
      <c r="A16" s="19">
        <v>36617</v>
      </c>
      <c r="B16" s="12">
        <v>640.83769602986422</v>
      </c>
      <c r="C16" s="13">
        <f t="shared" si="0"/>
        <v>8.8027156048058277</v>
      </c>
      <c r="D16" s="16">
        <f>86.8/30</f>
        <v>2.8933333333333331</v>
      </c>
      <c r="E16" s="12">
        <v>529.588083173207</v>
      </c>
      <c r="F16" s="13">
        <f t="shared" si="1"/>
        <v>7.2745615820495466</v>
      </c>
      <c r="G16" s="16">
        <v>0</v>
      </c>
      <c r="H16" s="16">
        <v>1.1848101770294239</v>
      </c>
      <c r="J16" s="25">
        <f t="shared" si="2"/>
        <v>11.69604893813916</v>
      </c>
      <c r="K16" s="21">
        <f t="shared" si="3"/>
        <v>7.2745615820495466</v>
      </c>
      <c r="L16" s="21">
        <f t="shared" si="4"/>
        <v>0</v>
      </c>
      <c r="M16" s="21">
        <f t="shared" si="5"/>
        <v>1.1848101770294239</v>
      </c>
      <c r="O16" s="7">
        <f t="shared" si="6"/>
        <v>3.23667717906019</v>
      </c>
      <c r="P16" s="8">
        <f t="shared" ref="P16:P23" si="7">P15+O16/1000*30</f>
        <v>1.84311798470427</v>
      </c>
    </row>
    <row r="17" spans="1:17" x14ac:dyDescent="0.35">
      <c r="A17" s="19">
        <v>36647</v>
      </c>
      <c r="B17" s="12">
        <v>551.20723947653983</v>
      </c>
      <c r="C17" s="13">
        <f t="shared" si="0"/>
        <v>7.5715280147876349</v>
      </c>
      <c r="D17" s="16">
        <f>92.4/31</f>
        <v>2.9806451612903229</v>
      </c>
      <c r="E17" s="12">
        <v>552.55098343596103</v>
      </c>
      <c r="F17" s="13">
        <f t="shared" si="1"/>
        <v>7.5899860362082556</v>
      </c>
      <c r="G17" s="16">
        <v>0</v>
      </c>
      <c r="H17" s="16">
        <v>2</v>
      </c>
      <c r="J17" s="25">
        <f t="shared" si="2"/>
        <v>10.552173176077957</v>
      </c>
      <c r="K17" s="21">
        <f t="shared" si="3"/>
        <v>7.5899860362082556</v>
      </c>
      <c r="L17" s="21">
        <f t="shared" si="4"/>
        <v>0</v>
      </c>
      <c r="M17" s="21">
        <f t="shared" si="5"/>
        <v>2</v>
      </c>
      <c r="O17" s="7">
        <f t="shared" si="6"/>
        <v>0.96218713986970172</v>
      </c>
      <c r="P17" s="8">
        <f>P16+O17/1000*31</f>
        <v>1.8729457860402308</v>
      </c>
    </row>
    <row r="18" spans="1:17" x14ac:dyDescent="0.35">
      <c r="A18" s="19">
        <v>36678</v>
      </c>
      <c r="B18" s="12">
        <v>391.28235357947796</v>
      </c>
      <c r="C18" s="13">
        <f t="shared" si="0"/>
        <v>5.3747576041137082</v>
      </c>
      <c r="D18" s="16">
        <f>106.7/30</f>
        <v>3.5566666666666666</v>
      </c>
      <c r="E18" s="12">
        <v>251.76905997215599</v>
      </c>
      <c r="F18" s="13">
        <f t="shared" si="1"/>
        <v>3.4583662084087359</v>
      </c>
      <c r="G18" s="16">
        <v>0</v>
      </c>
      <c r="H18" s="16">
        <v>1.9242824175600954</v>
      </c>
      <c r="J18" s="25">
        <f t="shared" si="2"/>
        <v>8.9314242707803757</v>
      </c>
      <c r="K18" s="21">
        <f t="shared" si="3"/>
        <v>3.4583662084087359</v>
      </c>
      <c r="L18" s="21">
        <f t="shared" si="4"/>
        <v>0</v>
      </c>
      <c r="M18" s="21">
        <f t="shared" si="5"/>
        <v>1.9242824175600954</v>
      </c>
      <c r="O18" s="7">
        <f t="shared" si="6"/>
        <v>3.5487756448115446</v>
      </c>
      <c r="P18" s="8">
        <f t="shared" si="7"/>
        <v>1.9794090553845771</v>
      </c>
    </row>
    <row r="19" spans="1:17" x14ac:dyDescent="0.35">
      <c r="A19" s="19">
        <v>36708</v>
      </c>
      <c r="B19" s="12">
        <v>235.76249039739901</v>
      </c>
      <c r="C19" s="13">
        <f t="shared" si="0"/>
        <v>3.2384957472170193</v>
      </c>
      <c r="D19" s="16">
        <f>96.8/31</f>
        <v>3.1225806451612903</v>
      </c>
      <c r="E19" s="12">
        <v>223.17459702308199</v>
      </c>
      <c r="F19" s="13">
        <f t="shared" si="1"/>
        <v>3.0655851239434342</v>
      </c>
      <c r="G19" s="16">
        <v>0</v>
      </c>
      <c r="H19" s="16">
        <v>2.0474999999999999</v>
      </c>
      <c r="J19" s="25">
        <f t="shared" si="2"/>
        <v>6.36107639237831</v>
      </c>
      <c r="K19" s="21">
        <f t="shared" si="3"/>
        <v>3.0655851239434342</v>
      </c>
      <c r="L19" s="21">
        <f t="shared" si="4"/>
        <v>0</v>
      </c>
      <c r="M19" s="21">
        <f t="shared" si="5"/>
        <v>2.0474999999999999</v>
      </c>
      <c r="O19" s="7">
        <f t="shared" si="6"/>
        <v>1.247991268434876</v>
      </c>
      <c r="P19" s="8">
        <f>P18+O19/1000*31</f>
        <v>2.0180967847060582</v>
      </c>
    </row>
    <row r="20" spans="1:17" x14ac:dyDescent="0.35">
      <c r="A20" s="19">
        <v>36739</v>
      </c>
      <c r="B20" s="12">
        <v>721.72390037120704</v>
      </c>
      <c r="C20" s="13">
        <f t="shared" si="0"/>
        <v>9.9137898402638331</v>
      </c>
      <c r="D20" s="16">
        <f>95.9/31</f>
        <v>3.0935483870967744</v>
      </c>
      <c r="E20" s="12">
        <v>714.196181426355</v>
      </c>
      <c r="F20" s="13">
        <f t="shared" si="1"/>
        <v>9.8103871075048765</v>
      </c>
      <c r="G20" s="16">
        <v>0</v>
      </c>
      <c r="H20" s="16">
        <v>2.1375000000000002</v>
      </c>
      <c r="J20" s="25">
        <f t="shared" si="2"/>
        <v>13.007338227360608</v>
      </c>
      <c r="K20" s="21">
        <f t="shared" si="3"/>
        <v>9.8103871075048765</v>
      </c>
      <c r="L20" s="21">
        <f t="shared" si="4"/>
        <v>0</v>
      </c>
      <c r="M20" s="21">
        <f t="shared" si="5"/>
        <v>2.1375000000000002</v>
      </c>
      <c r="O20" s="7">
        <f>J20-K20-M20+L20</f>
        <v>1.0594511198557308</v>
      </c>
      <c r="P20" s="8">
        <f>P19+O20/1000*31</f>
        <v>2.0509397694215861</v>
      </c>
    </row>
    <row r="21" spans="1:17" x14ac:dyDescent="0.35">
      <c r="A21" s="19">
        <v>36770</v>
      </c>
      <c r="B21" s="12">
        <v>1006.6910032526</v>
      </c>
      <c r="C21" s="13">
        <f t="shared" si="0"/>
        <v>13.828173121601647</v>
      </c>
      <c r="D21" s="16">
        <f>98.5/30</f>
        <v>3.2833333333333332</v>
      </c>
      <c r="E21" s="12">
        <v>1236.44196062377</v>
      </c>
      <c r="F21" s="13">
        <f t="shared" si="1"/>
        <v>16.984092865711126</v>
      </c>
      <c r="G21" s="16">
        <v>0</v>
      </c>
      <c r="H21" s="16">
        <v>1.4</v>
      </c>
      <c r="J21" s="25">
        <f t="shared" si="2"/>
        <v>17.111506454934982</v>
      </c>
      <c r="K21" s="21">
        <f t="shared" si="3"/>
        <v>16.984092865711126</v>
      </c>
      <c r="L21" s="21">
        <f t="shared" si="4"/>
        <v>0</v>
      </c>
      <c r="M21" s="21">
        <f t="shared" si="5"/>
        <v>1.4</v>
      </c>
      <c r="O21" s="7">
        <f t="shared" si="6"/>
        <v>-1.2725864107761438</v>
      </c>
      <c r="P21" s="8">
        <f>P20+O21/1000*30</f>
        <v>2.0127621770983017</v>
      </c>
    </row>
    <row r="22" spans="1:17" x14ac:dyDescent="0.35">
      <c r="A22" s="19">
        <v>36800</v>
      </c>
      <c r="B22" s="12">
        <v>1432.4666085061399</v>
      </c>
      <c r="C22" s="13">
        <f t="shared" si="0"/>
        <v>19.676739127831592</v>
      </c>
      <c r="D22" s="16">
        <f>84.9/31</f>
        <v>2.7387096774193549</v>
      </c>
      <c r="E22" s="12">
        <v>1475.7233199085499</v>
      </c>
      <c r="F22" s="13">
        <f t="shared" si="1"/>
        <v>20.270924724018542</v>
      </c>
      <c r="G22" s="16">
        <v>0</v>
      </c>
      <c r="H22" s="16">
        <v>1.1000000000000001</v>
      </c>
      <c r="J22" s="25">
        <f t="shared" si="2"/>
        <v>22.415448805250946</v>
      </c>
      <c r="K22" s="21">
        <f t="shared" si="3"/>
        <v>20.270924724018542</v>
      </c>
      <c r="L22" s="21">
        <f t="shared" si="4"/>
        <v>0</v>
      </c>
      <c r="M22" s="21">
        <f t="shared" si="5"/>
        <v>1.1000000000000001</v>
      </c>
      <c r="O22" s="7">
        <f t="shared" si="6"/>
        <v>1.0445240812324044</v>
      </c>
      <c r="P22" s="8">
        <f>P21+O22/1000*31</f>
        <v>2.0451424236165061</v>
      </c>
    </row>
    <row r="23" spans="1:17" x14ac:dyDescent="0.35">
      <c r="A23" s="19">
        <v>36831</v>
      </c>
      <c r="B23" s="12">
        <v>1066.02881368157</v>
      </c>
      <c r="C23" s="13">
        <f t="shared" si="0"/>
        <v>14.643252935186402</v>
      </c>
      <c r="D23" s="16">
        <f>81.6/30</f>
        <v>2.7199999999999998</v>
      </c>
      <c r="E23" s="12">
        <v>1282.76409499394</v>
      </c>
      <c r="F23" s="13">
        <f t="shared" si="1"/>
        <v>17.620385920246431</v>
      </c>
      <c r="G23" s="16">
        <v>0</v>
      </c>
      <c r="H23" s="16">
        <v>0.9</v>
      </c>
      <c r="J23" s="25">
        <f t="shared" si="2"/>
        <v>17.363252935186402</v>
      </c>
      <c r="K23" s="21">
        <f t="shared" si="3"/>
        <v>17.620385920246431</v>
      </c>
      <c r="L23" s="21">
        <f t="shared" si="4"/>
        <v>0</v>
      </c>
      <c r="M23" s="21">
        <f t="shared" si="5"/>
        <v>0.9</v>
      </c>
      <c r="O23" s="7">
        <f t="shared" si="6"/>
        <v>-1.1571329850600285</v>
      </c>
      <c r="P23" s="8">
        <f t="shared" si="7"/>
        <v>2.0104284340647052</v>
      </c>
    </row>
    <row r="24" spans="1:17" x14ac:dyDescent="0.35">
      <c r="A24" s="20">
        <v>36861</v>
      </c>
      <c r="B24" s="14">
        <v>1878.4700455129801</v>
      </c>
      <c r="C24" s="15">
        <f t="shared" si="0"/>
        <v>25.803159965837636</v>
      </c>
      <c r="D24" s="17">
        <f>78.3/31</f>
        <v>2.5258064516129033</v>
      </c>
      <c r="E24" s="14">
        <v>2241.6438504467701</v>
      </c>
      <c r="F24" s="15">
        <f t="shared" si="1"/>
        <v>30.791811132510578</v>
      </c>
      <c r="G24" s="17">
        <v>0</v>
      </c>
      <c r="H24" s="17">
        <v>0.53021316930862117</v>
      </c>
      <c r="J24" s="26">
        <f t="shared" si="2"/>
        <v>28.328966417450541</v>
      </c>
      <c r="K24" s="22">
        <f t="shared" si="3"/>
        <v>30.791811132510578</v>
      </c>
      <c r="L24" s="22">
        <f t="shared" si="4"/>
        <v>0</v>
      </c>
      <c r="M24" s="22">
        <f t="shared" si="5"/>
        <v>0.53021316930862117</v>
      </c>
      <c r="O24" s="7">
        <f t="shared" si="6"/>
        <v>-2.9930578843686577</v>
      </c>
      <c r="P24" s="8">
        <f>P23+O24/1000*31</f>
        <v>1.9176436396492769</v>
      </c>
    </row>
    <row r="25" spans="1:17" ht="15" thickBot="1" x14ac:dyDescent="0.4">
      <c r="A25" s="3"/>
      <c r="G25" s="6"/>
    </row>
    <row r="26" spans="1:17" ht="15" thickBot="1" x14ac:dyDescent="0.4">
      <c r="A26" s="3"/>
      <c r="E26" s="6"/>
      <c r="F26" s="6"/>
      <c r="J26" s="27">
        <f>AVERAGE(J13:J24)</f>
        <v>17.662451395243217</v>
      </c>
      <c r="K26" s="28">
        <f>AVERAGE(K13:K24)</f>
        <v>16.602848321147484</v>
      </c>
      <c r="L26" s="28">
        <f>AVERAGE(L13:L24)</f>
        <v>0</v>
      </c>
      <c r="M26" s="29">
        <f>AVERAGE(M13:M24)</f>
        <v>1.2840758903618668</v>
      </c>
      <c r="P26" s="77">
        <f>P24</f>
        <v>1.9176436396492769</v>
      </c>
      <c r="Q26" s="30" t="s">
        <v>23</v>
      </c>
    </row>
    <row r="27" spans="1:17" x14ac:dyDescent="0.35">
      <c r="E27" s="6"/>
      <c r="F27" s="6"/>
      <c r="H27" s="76"/>
      <c r="J27" s="9"/>
      <c r="K27" s="9"/>
      <c r="L27" s="9"/>
      <c r="M27" s="9"/>
    </row>
    <row r="28" spans="1:17" x14ac:dyDescent="0.35">
      <c r="E28" s="6"/>
      <c r="F28" s="6"/>
      <c r="H28" s="76"/>
    </row>
    <row r="29" spans="1:17" x14ac:dyDescent="0.35">
      <c r="E29" s="6"/>
      <c r="F29" s="6"/>
      <c r="H29" s="76"/>
    </row>
    <row r="30" spans="1:17" x14ac:dyDescent="0.35">
      <c r="E30" s="6"/>
      <c r="F30" s="6"/>
      <c r="H30" s="76"/>
    </row>
    <row r="31" spans="1:17" x14ac:dyDescent="0.35">
      <c r="E31" s="6"/>
      <c r="F31" s="6"/>
      <c r="H31" s="76"/>
    </row>
    <row r="32" spans="1:17" x14ac:dyDescent="0.35">
      <c r="E32" s="6"/>
      <c r="F32" s="6"/>
      <c r="H32" s="76"/>
    </row>
    <row r="33" spans="4:8" x14ac:dyDescent="0.35">
      <c r="E33" s="6"/>
      <c r="F33" s="6"/>
      <c r="H33" s="76"/>
    </row>
    <row r="34" spans="4:8" x14ac:dyDescent="0.35">
      <c r="E34" s="6"/>
      <c r="F34" s="6"/>
      <c r="H34" s="76"/>
    </row>
    <row r="35" spans="4:8" x14ac:dyDescent="0.35">
      <c r="E35" s="6"/>
      <c r="F35" s="6"/>
      <c r="H35" s="76"/>
    </row>
    <row r="36" spans="4:8" x14ac:dyDescent="0.35">
      <c r="E36" s="6"/>
      <c r="F36" s="6"/>
      <c r="H36" s="76"/>
    </row>
    <row r="37" spans="4:8" x14ac:dyDescent="0.35">
      <c r="E37" s="6"/>
      <c r="F37" s="6"/>
      <c r="H37" s="76"/>
    </row>
    <row r="38" spans="4:8" x14ac:dyDescent="0.35">
      <c r="E38" s="6"/>
      <c r="F38" s="6"/>
      <c r="H38" s="76"/>
    </row>
    <row r="39" spans="4:8" x14ac:dyDescent="0.35">
      <c r="E39" s="6"/>
    </row>
    <row r="40" spans="4:8" x14ac:dyDescent="0.35">
      <c r="E40" s="6"/>
    </row>
    <row r="41" spans="4:8" x14ac:dyDescent="0.35">
      <c r="D41" s="6"/>
      <c r="E41" s="6"/>
    </row>
    <row r="42" spans="4:8" x14ac:dyDescent="0.35">
      <c r="D42" s="6"/>
      <c r="E42" s="6"/>
    </row>
    <row r="43" spans="4:8" x14ac:dyDescent="0.35">
      <c r="D43" s="6"/>
      <c r="E43" s="6"/>
    </row>
    <row r="44" spans="4:8" x14ac:dyDescent="0.35">
      <c r="D44" s="6"/>
    </row>
  </sheetData>
  <mergeCells count="3">
    <mergeCell ref="B11:C11"/>
    <mergeCell ref="E11:F11"/>
    <mergeCell ref="B7:H7"/>
  </mergeCells>
  <conditionalFormatting sqref="P13:P24">
    <cfRule type="cellIs" dxfId="0" priority="1" operator="lessThan">
      <formula>0</formula>
    </cfRule>
  </conditionalFormatting>
  <pageMargins left="0.7" right="0.7" top="0.75" bottom="0.75" header="0.3" footer="0.3"/>
  <pageSetup paperSize="9" orientation="portrait" r:id="rId1"/>
  <ignoredErrors>
    <ignoredError sqref="P16:P17 P18 P21:P22 P2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B7F00-AC02-4CD2-9717-BF05EF37B59D}">
  <sheetPr codeName="Sheet3"/>
  <dimension ref="A3:V27"/>
  <sheetViews>
    <sheetView workbookViewId="0"/>
  </sheetViews>
  <sheetFormatPr defaultColWidth="9.1796875" defaultRowHeight="14.5" x14ac:dyDescent="0.35"/>
  <cols>
    <col min="1" max="1" width="10.1796875" style="2" bestFit="1" customWidth="1"/>
    <col min="2" max="3" width="14.54296875" style="2" customWidth="1"/>
    <col min="4" max="6" width="9.1796875" style="2"/>
    <col min="7" max="7" width="10.1796875" style="2" bestFit="1" customWidth="1"/>
    <col min="8" max="8" width="8.453125" style="2" bestFit="1" customWidth="1"/>
    <col min="9" max="9" width="13" style="2" customWidth="1"/>
    <col min="10" max="10" width="8.26953125" style="2" bestFit="1" customWidth="1"/>
    <col min="11" max="11" width="10.26953125" style="2" customWidth="1"/>
    <col min="12" max="13" width="9.1796875" style="2"/>
    <col min="14" max="14" width="11.54296875" style="2" bestFit="1" customWidth="1"/>
    <col min="15" max="16384" width="9.1796875" style="2"/>
  </cols>
  <sheetData>
    <row r="3" spans="1:20" x14ac:dyDescent="0.35">
      <c r="B3" s="4" t="s">
        <v>274</v>
      </c>
      <c r="I3" s="1" t="s">
        <v>13</v>
      </c>
    </row>
    <row r="4" spans="1:20" x14ac:dyDescent="0.35">
      <c r="B4" s="2" t="s">
        <v>0</v>
      </c>
      <c r="C4" s="2">
        <f>'STEP 1 Water Balance'!C4</f>
        <v>72800</v>
      </c>
      <c r="D4" s="2" t="s">
        <v>1</v>
      </c>
      <c r="I4" s="2" t="s">
        <v>14</v>
      </c>
      <c r="M4" s="2" t="s">
        <v>10</v>
      </c>
    </row>
    <row r="5" spans="1:20" x14ac:dyDescent="0.35">
      <c r="B5" s="2" t="s">
        <v>2</v>
      </c>
      <c r="C5" s="2">
        <f>'STEP 1 Water Balance'!C5</f>
        <v>2</v>
      </c>
      <c r="D5" s="2" t="s">
        <v>3</v>
      </c>
      <c r="I5" s="2" t="s">
        <v>15</v>
      </c>
      <c r="M5" s="2" t="s">
        <v>10</v>
      </c>
    </row>
    <row r="6" spans="1:20" x14ac:dyDescent="0.35">
      <c r="C6" s="37"/>
      <c r="I6" s="2" t="s">
        <v>24</v>
      </c>
      <c r="M6" s="2" t="s">
        <v>10</v>
      </c>
    </row>
    <row r="7" spans="1:20" x14ac:dyDescent="0.35">
      <c r="I7" s="2" t="s">
        <v>26</v>
      </c>
      <c r="M7" s="2" t="s">
        <v>10</v>
      </c>
    </row>
    <row r="8" spans="1:20" x14ac:dyDescent="0.35">
      <c r="B8" s="2" t="s">
        <v>35</v>
      </c>
    </row>
    <row r="9" spans="1:20" x14ac:dyDescent="0.35">
      <c r="B9" s="1" t="s">
        <v>28</v>
      </c>
      <c r="C9" s="1" t="s">
        <v>27</v>
      </c>
      <c r="D9" s="1" t="s">
        <v>33</v>
      </c>
      <c r="I9" s="38" t="s">
        <v>37</v>
      </c>
    </row>
    <row r="10" spans="1:20" x14ac:dyDescent="0.35">
      <c r="B10" s="5" t="s">
        <v>34</v>
      </c>
      <c r="C10" s="5" t="s">
        <v>34</v>
      </c>
      <c r="D10" s="5" t="s">
        <v>21</v>
      </c>
    </row>
    <row r="11" spans="1:20" x14ac:dyDescent="0.35">
      <c r="A11" s="1" t="s">
        <v>29</v>
      </c>
      <c r="B11" s="10">
        <v>5.2787306027833427</v>
      </c>
      <c r="C11" s="10">
        <v>0.43</v>
      </c>
      <c r="D11" s="37">
        <f>B11/C11</f>
        <v>12.276117680891495</v>
      </c>
      <c r="J11" s="105" t="s">
        <v>6</v>
      </c>
      <c r="K11" s="106"/>
      <c r="L11" s="106"/>
      <c r="M11" s="107"/>
      <c r="N11" s="105" t="s">
        <v>174</v>
      </c>
      <c r="O11" s="106"/>
      <c r="P11" s="106"/>
      <c r="Q11" s="107"/>
      <c r="S11" s="103" t="s">
        <v>19</v>
      </c>
      <c r="T11" s="104"/>
    </row>
    <row r="12" spans="1:20" x14ac:dyDescent="0.35">
      <c r="A12" s="1" t="s">
        <v>30</v>
      </c>
      <c r="B12" s="10">
        <v>2.9226499622374345</v>
      </c>
      <c r="C12" s="10">
        <v>0.19150199671305446</v>
      </c>
      <c r="D12" s="37">
        <f t="shared" ref="D12:D14" si="0">B12/C12</f>
        <v>15.261720568985591</v>
      </c>
      <c r="I12" s="36" t="s">
        <v>6</v>
      </c>
      <c r="J12" s="100" t="s">
        <v>40</v>
      </c>
      <c r="K12" s="101"/>
      <c r="L12" s="100" t="s">
        <v>42</v>
      </c>
      <c r="M12" s="101"/>
      <c r="N12" s="100" t="s">
        <v>40</v>
      </c>
      <c r="O12" s="101"/>
      <c r="P12" s="100" t="s">
        <v>42</v>
      </c>
      <c r="Q12" s="101"/>
      <c r="S12" s="83" t="s">
        <v>40</v>
      </c>
      <c r="T12" s="84" t="s">
        <v>42</v>
      </c>
    </row>
    <row r="13" spans="1:20" x14ac:dyDescent="0.35">
      <c r="A13" s="1" t="s">
        <v>31</v>
      </c>
      <c r="B13" s="10">
        <v>3.6715415481602314</v>
      </c>
      <c r="C13" s="10">
        <v>0.26526040356058278</v>
      </c>
      <c r="D13" s="37">
        <f t="shared" si="0"/>
        <v>13.841272571696472</v>
      </c>
      <c r="I13" s="42" t="s">
        <v>9</v>
      </c>
      <c r="J13" s="32" t="s">
        <v>39</v>
      </c>
      <c r="K13" s="33" t="s">
        <v>41</v>
      </c>
      <c r="L13" s="32" t="s">
        <v>39</v>
      </c>
      <c r="M13" s="33" t="s">
        <v>41</v>
      </c>
      <c r="N13" s="32" t="s">
        <v>39</v>
      </c>
      <c r="O13" s="33" t="s">
        <v>41</v>
      </c>
      <c r="P13" s="32" t="s">
        <v>39</v>
      </c>
      <c r="Q13" s="33" t="s">
        <v>41</v>
      </c>
      <c r="S13" s="85" t="s">
        <v>41</v>
      </c>
      <c r="T13" s="33" t="s">
        <v>41</v>
      </c>
    </row>
    <row r="14" spans="1:20" x14ac:dyDescent="0.35">
      <c r="A14" s="1" t="s">
        <v>32</v>
      </c>
      <c r="B14" s="10">
        <v>1.9184966863417161</v>
      </c>
      <c r="C14" s="10">
        <v>0.12312848543993522</v>
      </c>
      <c r="D14" s="37">
        <f t="shared" si="0"/>
        <v>15.581257898909191</v>
      </c>
      <c r="G14" s="18">
        <v>36526</v>
      </c>
      <c r="H14" s="39" t="s">
        <v>29</v>
      </c>
      <c r="I14" s="82">
        <f>'STEP 1 Water Balance'!B13</f>
        <v>1997.18615150187</v>
      </c>
      <c r="J14" s="25">
        <f>I14*$B$11</f>
        <v>10542.607657388011</v>
      </c>
      <c r="K14" s="44">
        <f>J14/$C$4</f>
        <v>0.14481603924983533</v>
      </c>
      <c r="L14" s="25">
        <f>I14*$C$11</f>
        <v>858.79004514580413</v>
      </c>
      <c r="M14" s="44">
        <f>L14/$C$4</f>
        <v>1.1796566554200607E-2</v>
      </c>
      <c r="N14" s="25">
        <f>B22*E22</f>
        <v>0</v>
      </c>
      <c r="O14" s="44">
        <f>N14/$C$4</f>
        <v>0</v>
      </c>
      <c r="P14" s="25">
        <f>C22*E22</f>
        <v>0</v>
      </c>
      <c r="Q14" s="44">
        <f>P14/$C$4</f>
        <v>0</v>
      </c>
      <c r="S14" s="86">
        <f>K14+O14</f>
        <v>0.14481603924983533</v>
      </c>
      <c r="T14" s="86">
        <f>M14+Q14</f>
        <v>1.1796566554200607E-2</v>
      </c>
    </row>
    <row r="15" spans="1:20" ht="15" thickBot="1" x14ac:dyDescent="0.4">
      <c r="G15" s="19">
        <v>36557</v>
      </c>
      <c r="H15" s="40" t="s">
        <v>29</v>
      </c>
      <c r="I15" s="12">
        <f>'STEP 1 Water Balance'!B14</f>
        <v>1731.4370100874701</v>
      </c>
      <c r="J15" s="25">
        <f>I15*$B$11</f>
        <v>9139.7895319404197</v>
      </c>
      <c r="K15" s="44">
        <f t="shared" ref="K15:K25" si="1">J15/$C$4</f>
        <v>0.12554655950467611</v>
      </c>
      <c r="L15" s="25">
        <f>I15*$C$11</f>
        <v>744.51791433761207</v>
      </c>
      <c r="M15" s="44">
        <f t="shared" ref="M15:M25" si="2">L15/$C$4</f>
        <v>1.0226894427714451E-2</v>
      </c>
      <c r="N15" s="25">
        <f>B22*E22</f>
        <v>0</v>
      </c>
      <c r="O15" s="44">
        <f t="shared" ref="O15:O25" si="3">N15/$C$4</f>
        <v>0</v>
      </c>
      <c r="P15" s="25">
        <f>C22*E22</f>
        <v>0</v>
      </c>
      <c r="Q15" s="44">
        <f t="shared" ref="Q15:Q25" si="4">P15/$C$4</f>
        <v>0</v>
      </c>
      <c r="S15" s="87">
        <f t="shared" ref="S15:S25" si="5">K15+O15</f>
        <v>0.12554655950467611</v>
      </c>
      <c r="T15" s="87">
        <f t="shared" ref="T15:T25" si="6">M15+Q15</f>
        <v>1.0226894427714451E-2</v>
      </c>
    </row>
    <row r="16" spans="1:20" ht="15" thickBot="1" x14ac:dyDescent="0.4">
      <c r="D16" s="49">
        <f>AVERAGE(D3:D14)</f>
        <v>14.240092180120689</v>
      </c>
      <c r="G16" s="19">
        <v>36586</v>
      </c>
      <c r="H16" s="40" t="s">
        <v>30</v>
      </c>
      <c r="I16" s="12">
        <f>'STEP 1 Water Balance'!B15</f>
        <v>1322.75020498198</v>
      </c>
      <c r="J16" s="25">
        <f>I16*$B$12</f>
        <v>3865.9358366401425</v>
      </c>
      <c r="K16" s="44">
        <f t="shared" si="1"/>
        <v>5.3103514239562395E-2</v>
      </c>
      <c r="L16" s="25">
        <f>I16*$C$12</f>
        <v>253.30930540665125</v>
      </c>
      <c r="M16" s="44">
        <f t="shared" si="2"/>
        <v>3.4795234259155389E-3</v>
      </c>
      <c r="N16" s="25">
        <f>B23*E23</f>
        <v>68.039999999999992</v>
      </c>
      <c r="O16" s="44">
        <f t="shared" si="3"/>
        <v>9.3461538461538454E-4</v>
      </c>
      <c r="P16" s="25">
        <f>C23*E23</f>
        <v>8.3999999999999986</v>
      </c>
      <c r="Q16" s="44">
        <f t="shared" si="4"/>
        <v>1.1538461538461537E-4</v>
      </c>
      <c r="S16" s="87">
        <f t="shared" si="5"/>
        <v>5.4038129624177783E-2</v>
      </c>
      <c r="T16" s="87">
        <f t="shared" si="6"/>
        <v>3.5949080413001542E-3</v>
      </c>
    </row>
    <row r="17" spans="1:22" x14ac:dyDescent="0.35">
      <c r="G17" s="19">
        <v>36617</v>
      </c>
      <c r="H17" s="40" t="s">
        <v>30</v>
      </c>
      <c r="I17" s="12">
        <f>'STEP 1 Water Balance'!B16</f>
        <v>640.83769602986422</v>
      </c>
      <c r="J17" s="25">
        <f>I17*$B$12</f>
        <v>1872.9442681020071</v>
      </c>
      <c r="K17" s="44">
        <f t="shared" si="1"/>
        <v>2.5727256429972624E-2</v>
      </c>
      <c r="L17" s="25">
        <f>I17*$C$12</f>
        <v>122.72169835871244</v>
      </c>
      <c r="M17" s="44">
        <f t="shared" si="2"/>
        <v>1.6857376148174787E-3</v>
      </c>
      <c r="N17" s="25">
        <f>B23*E23</f>
        <v>68.039999999999992</v>
      </c>
      <c r="O17" s="44">
        <f t="shared" si="3"/>
        <v>9.3461538461538454E-4</v>
      </c>
      <c r="P17" s="25">
        <f>C23*E23</f>
        <v>8.3999999999999986</v>
      </c>
      <c r="Q17" s="44">
        <f t="shared" si="4"/>
        <v>1.1538461538461537E-4</v>
      </c>
      <c r="S17" s="87">
        <f t="shared" si="5"/>
        <v>2.6661871814588008E-2</v>
      </c>
      <c r="T17" s="87">
        <f t="shared" si="6"/>
        <v>1.801122230202094E-3</v>
      </c>
    </row>
    <row r="18" spans="1:22" x14ac:dyDescent="0.35">
      <c r="G18" s="19">
        <v>36647</v>
      </c>
      <c r="H18" s="40" t="s">
        <v>30</v>
      </c>
      <c r="I18" s="12">
        <f>'STEP 1 Water Balance'!B17</f>
        <v>551.20723947653983</v>
      </c>
      <c r="J18" s="25">
        <f>I18*$B$12</f>
        <v>1610.9858176411096</v>
      </c>
      <c r="K18" s="44">
        <f t="shared" si="1"/>
        <v>2.2128926066498758E-2</v>
      </c>
      <c r="L18" s="25">
        <f>I18*$C$12</f>
        <v>105.55728696244815</v>
      </c>
      <c r="M18" s="44">
        <f t="shared" si="2"/>
        <v>1.4499627330006614E-3</v>
      </c>
      <c r="N18" s="25">
        <f>B23*E23</f>
        <v>68.039999999999992</v>
      </c>
      <c r="O18" s="44">
        <f t="shared" si="3"/>
        <v>9.3461538461538454E-4</v>
      </c>
      <c r="P18" s="25">
        <f>C23*E23</f>
        <v>8.3999999999999986</v>
      </c>
      <c r="Q18" s="44">
        <f t="shared" si="4"/>
        <v>1.1538461538461537E-4</v>
      </c>
      <c r="S18" s="87">
        <f t="shared" si="5"/>
        <v>2.3063541451114142E-2</v>
      </c>
      <c r="T18" s="87">
        <f t="shared" si="6"/>
        <v>1.5653473483852767E-3</v>
      </c>
    </row>
    <row r="19" spans="1:22" x14ac:dyDescent="0.35">
      <c r="B19" s="2" t="s">
        <v>173</v>
      </c>
      <c r="G19" s="19">
        <v>36678</v>
      </c>
      <c r="H19" s="40" t="s">
        <v>31</v>
      </c>
      <c r="I19" s="12">
        <f>'STEP 1 Water Balance'!B18</f>
        <v>391.28235357947796</v>
      </c>
      <c r="J19" s="25">
        <f>I19*$B$13</f>
        <v>1436.6094182289755</v>
      </c>
      <c r="K19" s="44">
        <f t="shared" si="1"/>
        <v>1.9733645854793619E-2</v>
      </c>
      <c r="L19" s="25">
        <f>I19*$C$13</f>
        <v>103.79171501662697</v>
      </c>
      <c r="M19" s="44">
        <f t="shared" si="2"/>
        <v>1.4257103711075134E-3</v>
      </c>
      <c r="N19" s="25">
        <f>B24*E24</f>
        <v>113.39999999999998</v>
      </c>
      <c r="O19" s="44">
        <f t="shared" si="3"/>
        <v>1.5576923076923075E-3</v>
      </c>
      <c r="P19" s="25">
        <f>C24*E24</f>
        <v>14</v>
      </c>
      <c r="Q19" s="44">
        <f t="shared" si="4"/>
        <v>1.9230769230769231E-4</v>
      </c>
      <c r="S19" s="87">
        <f t="shared" si="5"/>
        <v>2.1291338162485927E-2</v>
      </c>
      <c r="T19" s="87">
        <f t="shared" si="6"/>
        <v>1.6180180634152057E-3</v>
      </c>
    </row>
    <row r="20" spans="1:22" x14ac:dyDescent="0.35">
      <c r="B20" s="1" t="s">
        <v>28</v>
      </c>
      <c r="C20" s="1" t="s">
        <v>27</v>
      </c>
      <c r="D20" s="1" t="s">
        <v>33</v>
      </c>
      <c r="E20" s="1" t="s">
        <v>177</v>
      </c>
      <c r="G20" s="19">
        <v>36708</v>
      </c>
      <c r="H20" s="40" t="s">
        <v>31</v>
      </c>
      <c r="I20" s="12">
        <f>'STEP 1 Water Balance'!B19</f>
        <v>235.76249039739901</v>
      </c>
      <c r="J20" s="25">
        <f>I20*$B$13</f>
        <v>865.61177899177801</v>
      </c>
      <c r="K20" s="44">
        <f t="shared" si="1"/>
        <v>1.18902716894475E-2</v>
      </c>
      <c r="L20" s="25">
        <f>I20*$C$13</f>
        <v>62.538453347262084</v>
      </c>
      <c r="M20" s="44">
        <f t="shared" si="2"/>
        <v>8.5904468883601763E-4</v>
      </c>
      <c r="N20" s="25">
        <f>B24*E24</f>
        <v>113.39999999999998</v>
      </c>
      <c r="O20" s="44">
        <f t="shared" si="3"/>
        <v>1.5576923076923075E-3</v>
      </c>
      <c r="P20" s="25">
        <f>C24*E24</f>
        <v>14</v>
      </c>
      <c r="Q20" s="44">
        <f t="shared" si="4"/>
        <v>1.9230769230769231E-4</v>
      </c>
      <c r="S20" s="87">
        <f t="shared" si="5"/>
        <v>1.3447963997139807E-2</v>
      </c>
      <c r="T20" s="87">
        <f t="shared" si="6"/>
        <v>1.0513523811437099E-3</v>
      </c>
    </row>
    <row r="21" spans="1:22" x14ac:dyDescent="0.35">
      <c r="B21" s="5" t="s">
        <v>175</v>
      </c>
      <c r="C21" s="5" t="s">
        <v>176</v>
      </c>
      <c r="D21" s="5" t="s">
        <v>21</v>
      </c>
      <c r="G21" s="19">
        <v>36739</v>
      </c>
      <c r="H21" s="40" t="s">
        <v>31</v>
      </c>
      <c r="I21" s="12">
        <f>'STEP 1 Water Balance'!B20</f>
        <v>721.72390037120704</v>
      </c>
      <c r="J21" s="25">
        <f>I21*$B$13</f>
        <v>2649.8392865131423</v>
      </c>
      <c r="K21" s="44">
        <f t="shared" si="1"/>
        <v>3.6398891298257449E-2</v>
      </c>
      <c r="L21" s="25">
        <f>I21*$C$13</f>
        <v>191.44477307178423</v>
      </c>
      <c r="M21" s="44">
        <f t="shared" si="2"/>
        <v>2.6297358938431898E-3</v>
      </c>
      <c r="N21" s="25">
        <f>B24*E24</f>
        <v>113.39999999999998</v>
      </c>
      <c r="O21" s="44">
        <f t="shared" si="3"/>
        <v>1.5576923076923075E-3</v>
      </c>
      <c r="P21" s="25">
        <f>C24*E24</f>
        <v>14</v>
      </c>
      <c r="Q21" s="44">
        <f t="shared" si="4"/>
        <v>1.9230769230769231E-4</v>
      </c>
      <c r="S21" s="87">
        <f t="shared" si="5"/>
        <v>3.7956583605949758E-2</v>
      </c>
      <c r="T21" s="87">
        <f t="shared" si="6"/>
        <v>2.8220435861508819E-3</v>
      </c>
    </row>
    <row r="22" spans="1:22" x14ac:dyDescent="0.35">
      <c r="A22" s="1" t="s">
        <v>29</v>
      </c>
      <c r="B22" s="10">
        <f t="shared" ref="B22:B23" si="7">C22*8.1</f>
        <v>22.679999999999996</v>
      </c>
      <c r="C22" s="10">
        <v>2.8</v>
      </c>
      <c r="D22" s="81" t="s">
        <v>21</v>
      </c>
      <c r="E22" s="2">
        <v>0</v>
      </c>
      <c r="G22" s="19">
        <v>36770</v>
      </c>
      <c r="H22" s="40" t="s">
        <v>32</v>
      </c>
      <c r="I22" s="12">
        <f>'STEP 1 Water Balance'!B21</f>
        <v>1006.6910032526</v>
      </c>
      <c r="J22" s="25">
        <f>I22*$B$14</f>
        <v>1931.3333539101309</v>
      </c>
      <c r="K22" s="44">
        <f t="shared" si="1"/>
        <v>2.6529304311952346E-2</v>
      </c>
      <c r="L22" s="25">
        <f>I22*$C$14</f>
        <v>123.95233853650154</v>
      </c>
      <c r="M22" s="44">
        <f t="shared" si="2"/>
        <v>1.7026420128640322E-3</v>
      </c>
      <c r="N22" s="25">
        <f>B25*E25</f>
        <v>22.679999999999996</v>
      </c>
      <c r="O22" s="44">
        <f t="shared" si="3"/>
        <v>3.1153846153846146E-4</v>
      </c>
      <c r="P22" s="25">
        <f>C25*E25</f>
        <v>2.8</v>
      </c>
      <c r="Q22" s="44">
        <f t="shared" si="4"/>
        <v>3.8461538461538456E-5</v>
      </c>
      <c r="S22" s="87">
        <f t="shared" si="5"/>
        <v>2.6840842773490806E-2</v>
      </c>
      <c r="T22" s="87">
        <f t="shared" si="6"/>
        <v>1.7411035513255706E-3</v>
      </c>
    </row>
    <row r="23" spans="1:22" x14ac:dyDescent="0.35">
      <c r="A23" s="1" t="s">
        <v>30</v>
      </c>
      <c r="B23" s="10">
        <f t="shared" si="7"/>
        <v>22.679999999999996</v>
      </c>
      <c r="C23" s="10">
        <v>2.8</v>
      </c>
      <c r="D23" s="81">
        <f t="shared" ref="D23:D24" si="8">B23/C23</f>
        <v>8.1</v>
      </c>
      <c r="E23" s="2">
        <v>3</v>
      </c>
      <c r="G23" s="19">
        <v>36800</v>
      </c>
      <c r="H23" s="40" t="s">
        <v>32</v>
      </c>
      <c r="I23" s="12">
        <f>'STEP 1 Water Balance'!B22</f>
        <v>1432.4666085061399</v>
      </c>
      <c r="J23" s="25">
        <f>I23*$B$14</f>
        <v>2748.1824417141856</v>
      </c>
      <c r="K23" s="44">
        <f t="shared" si="1"/>
        <v>3.7749758814755299E-2</v>
      </c>
      <c r="L23" s="25">
        <f>I23*$C$14</f>
        <v>176.37744394864163</v>
      </c>
      <c r="M23" s="44">
        <f t="shared" si="2"/>
        <v>2.4227670872066158E-3</v>
      </c>
      <c r="N23" s="25">
        <f>B25*E25</f>
        <v>22.679999999999996</v>
      </c>
      <c r="O23" s="44">
        <f t="shared" si="3"/>
        <v>3.1153846153846146E-4</v>
      </c>
      <c r="P23" s="25">
        <f>C25*E25</f>
        <v>2.8</v>
      </c>
      <c r="Q23" s="44">
        <f t="shared" si="4"/>
        <v>3.8461538461538456E-5</v>
      </c>
      <c r="S23" s="87">
        <f t="shared" si="5"/>
        <v>3.806129727629376E-2</v>
      </c>
      <c r="T23" s="87">
        <f t="shared" si="6"/>
        <v>2.4612286256681542E-3</v>
      </c>
    </row>
    <row r="24" spans="1:22" x14ac:dyDescent="0.35">
      <c r="A24" s="1" t="s">
        <v>31</v>
      </c>
      <c r="B24" s="10">
        <f>C24*8.1</f>
        <v>22.679999999999996</v>
      </c>
      <c r="C24" s="10">
        <v>2.8</v>
      </c>
      <c r="D24" s="81">
        <f t="shared" si="8"/>
        <v>8.1</v>
      </c>
      <c r="E24" s="2">
        <v>5</v>
      </c>
      <c r="G24" s="19">
        <v>36831</v>
      </c>
      <c r="H24" s="40" t="s">
        <v>32</v>
      </c>
      <c r="I24" s="12">
        <f>'STEP 1 Water Balance'!B23</f>
        <v>1066.02881368157</v>
      </c>
      <c r="J24" s="25">
        <f>I24*$B$14</f>
        <v>2045.1727465928827</v>
      </c>
      <c r="K24" s="44">
        <f t="shared" si="1"/>
        <v>2.8093032233418719E-2</v>
      </c>
      <c r="L24" s="25">
        <f>I24*$C$14</f>
        <v>131.2585132639426</v>
      </c>
      <c r="M24" s="44">
        <f t="shared" si="2"/>
        <v>1.8030015558233874E-3</v>
      </c>
      <c r="N24" s="25">
        <f>B25*E25</f>
        <v>22.679999999999996</v>
      </c>
      <c r="O24" s="44">
        <f t="shared" si="3"/>
        <v>3.1153846153846146E-4</v>
      </c>
      <c r="P24" s="25">
        <f>C25*E25</f>
        <v>2.8</v>
      </c>
      <c r="Q24" s="44">
        <f t="shared" si="4"/>
        <v>3.8461538461538456E-5</v>
      </c>
      <c r="S24" s="87">
        <f t="shared" si="5"/>
        <v>2.8404570694957179E-2</v>
      </c>
      <c r="T24" s="87">
        <f t="shared" si="6"/>
        <v>1.8414630942849258E-3</v>
      </c>
    </row>
    <row r="25" spans="1:22" x14ac:dyDescent="0.35">
      <c r="A25" s="1" t="s">
        <v>32</v>
      </c>
      <c r="B25" s="10">
        <f t="shared" ref="B25" si="9">C25*8.1</f>
        <v>22.679999999999996</v>
      </c>
      <c r="C25" s="10">
        <v>2.8</v>
      </c>
      <c r="D25" s="81" t="s">
        <v>21</v>
      </c>
      <c r="E25" s="2">
        <v>1</v>
      </c>
      <c r="G25" s="20">
        <v>36861</v>
      </c>
      <c r="H25" s="41" t="s">
        <v>29</v>
      </c>
      <c r="I25" s="14">
        <f>'STEP 1 Water Balance'!B24</f>
        <v>1878.4700455129801</v>
      </c>
      <c r="J25" s="26">
        <f t="shared" ref="J25" si="10">I25*$B$11</f>
        <v>9915.9373156611873</v>
      </c>
      <c r="K25" s="45">
        <f t="shared" si="1"/>
        <v>0.13620793016018115</v>
      </c>
      <c r="L25" s="26">
        <f>I25*$C$11</f>
        <v>807.74211957058139</v>
      </c>
      <c r="M25" s="45">
        <f t="shared" si="2"/>
        <v>1.1095358785310185E-2</v>
      </c>
      <c r="N25" s="26">
        <f>B22*E22</f>
        <v>0</v>
      </c>
      <c r="O25" s="45">
        <f t="shared" si="3"/>
        <v>0</v>
      </c>
      <c r="P25" s="26">
        <f>C22*E22</f>
        <v>0</v>
      </c>
      <c r="Q25" s="45">
        <f t="shared" si="4"/>
        <v>0</v>
      </c>
      <c r="S25" s="88">
        <f t="shared" si="5"/>
        <v>0.13620793016018115</v>
      </c>
      <c r="T25" s="88">
        <f t="shared" si="6"/>
        <v>1.1095358785310185E-2</v>
      </c>
    </row>
    <row r="26" spans="1:22" ht="15" thickBot="1" x14ac:dyDescent="0.4"/>
    <row r="27" spans="1:22" ht="15" thickBot="1" x14ac:dyDescent="0.4">
      <c r="D27" s="49">
        <f>AVERAGE(D21:D25)</f>
        <v>8.1</v>
      </c>
      <c r="S27" s="43">
        <f>AVERAGE(S14:S25)</f>
        <v>5.636138902624082E-2</v>
      </c>
      <c r="T27" s="43">
        <f>AVERAGE(T14:T25)</f>
        <v>4.3012838907584344E-3</v>
      </c>
      <c r="V27" s="89">
        <f>S27/T27</f>
        <v>13.103387374020263</v>
      </c>
    </row>
  </sheetData>
  <mergeCells count="7">
    <mergeCell ref="S11:T11"/>
    <mergeCell ref="N11:Q11"/>
    <mergeCell ref="N12:O12"/>
    <mergeCell ref="P12:Q12"/>
    <mergeCell ref="J12:K12"/>
    <mergeCell ref="L12:M12"/>
    <mergeCell ref="J11:M11"/>
  </mergeCells>
  <pageMargins left="0.7" right="0.7" top="0.75" bottom="0.75" header="0.3" footer="0.3"/>
  <ignoredErrors>
    <ignoredError sqref="L14:Q25"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1B422-44E9-4C4E-AD3B-1CDF94D13056}">
  <sheetPr codeName="Sheet4"/>
  <dimension ref="B2:N35"/>
  <sheetViews>
    <sheetView workbookViewId="0"/>
  </sheetViews>
  <sheetFormatPr defaultColWidth="9.1796875" defaultRowHeight="14.5" x14ac:dyDescent="0.35"/>
  <cols>
    <col min="1" max="1" width="9.1796875" style="2"/>
    <col min="2" max="2" width="16.1796875" style="2" customWidth="1"/>
    <col min="3" max="3" width="10.26953125" style="2" bestFit="1" customWidth="1"/>
    <col min="4" max="4" width="14" style="2" bestFit="1" customWidth="1"/>
    <col min="5" max="8" width="9.1796875" style="2"/>
    <col min="9" max="9" width="27.81640625" style="2" bestFit="1" customWidth="1"/>
    <col min="10" max="16384" width="9.1796875" style="2"/>
  </cols>
  <sheetData>
    <row r="2" spans="2:5" x14ac:dyDescent="0.35">
      <c r="B2" s="1" t="s">
        <v>271</v>
      </c>
    </row>
    <row r="3" spans="2:5" x14ac:dyDescent="0.35">
      <c r="B3" s="52" t="s">
        <v>172</v>
      </c>
      <c r="E3" s="38" t="s">
        <v>109</v>
      </c>
    </row>
    <row r="4" spans="2:5" x14ac:dyDescent="0.35">
      <c r="C4" s="2" t="s">
        <v>171</v>
      </c>
    </row>
    <row r="5" spans="2:5" x14ac:dyDescent="0.35">
      <c r="B5" s="18">
        <v>36526</v>
      </c>
      <c r="C5" s="78">
        <v>0.1</v>
      </c>
      <c r="D5" s="6"/>
    </row>
    <row r="6" spans="2:5" x14ac:dyDescent="0.35">
      <c r="B6" s="19">
        <v>36557</v>
      </c>
      <c r="C6" s="79">
        <v>0.2</v>
      </c>
      <c r="D6" s="6"/>
    </row>
    <row r="7" spans="2:5" x14ac:dyDescent="0.35">
      <c r="B7" s="19">
        <v>36586</v>
      </c>
      <c r="C7" s="79">
        <v>2.8881124219131351</v>
      </c>
      <c r="D7" s="6"/>
    </row>
    <row r="8" spans="2:5" x14ac:dyDescent="0.35">
      <c r="B8" s="19">
        <v>36617</v>
      </c>
      <c r="C8" s="79">
        <v>8.8820514048586929</v>
      </c>
      <c r="D8" s="6"/>
    </row>
    <row r="9" spans="2:5" x14ac:dyDescent="0.35">
      <c r="B9" s="19">
        <v>36647</v>
      </c>
      <c r="C9" s="79">
        <v>15.212885290690856</v>
      </c>
      <c r="D9" s="6"/>
    </row>
    <row r="10" spans="2:5" x14ac:dyDescent="0.35">
      <c r="B10" s="19">
        <v>36678</v>
      </c>
      <c r="C10" s="79">
        <v>18.714279636375036</v>
      </c>
      <c r="D10" s="6"/>
    </row>
    <row r="11" spans="2:5" x14ac:dyDescent="0.35">
      <c r="B11" s="19">
        <v>36708</v>
      </c>
      <c r="C11" s="79">
        <v>24.595564870960732</v>
      </c>
      <c r="D11" s="6"/>
    </row>
    <row r="12" spans="2:5" x14ac:dyDescent="0.35">
      <c r="B12" s="19">
        <v>36739</v>
      </c>
      <c r="C12" s="79">
        <v>25.13002761967207</v>
      </c>
      <c r="D12" s="6"/>
    </row>
    <row r="13" spans="2:5" x14ac:dyDescent="0.35">
      <c r="B13" s="19">
        <v>36770</v>
      </c>
      <c r="C13" s="79">
        <v>16.098672507473999</v>
      </c>
      <c r="D13" s="6"/>
    </row>
    <row r="14" spans="2:5" x14ac:dyDescent="0.35">
      <c r="B14" s="19">
        <v>36800</v>
      </c>
      <c r="C14" s="79">
        <v>11.298825637337231</v>
      </c>
      <c r="D14" s="6"/>
    </row>
    <row r="15" spans="2:5" x14ac:dyDescent="0.35">
      <c r="B15" s="19">
        <v>36831</v>
      </c>
      <c r="C15" s="79">
        <v>7.5296998306362628</v>
      </c>
      <c r="D15" s="6"/>
    </row>
    <row r="16" spans="2:5" x14ac:dyDescent="0.35">
      <c r="B16" s="20">
        <v>36861</v>
      </c>
      <c r="C16" s="80">
        <v>2.5711376460806763</v>
      </c>
      <c r="D16" s="6"/>
    </row>
    <row r="18" spans="2:14" x14ac:dyDescent="0.35">
      <c r="B18" s="1" t="s">
        <v>4</v>
      </c>
    </row>
    <row r="19" spans="2:14" x14ac:dyDescent="0.35">
      <c r="B19" s="4"/>
    </row>
    <row r="20" spans="2:14" x14ac:dyDescent="0.35">
      <c r="B20" s="2" t="s">
        <v>0</v>
      </c>
      <c r="C20" s="9">
        <v>72800</v>
      </c>
      <c r="D20" s="2" t="s">
        <v>1</v>
      </c>
    </row>
    <row r="21" spans="2:14" x14ac:dyDescent="0.35">
      <c r="B21" s="2" t="s">
        <v>2</v>
      </c>
      <c r="C21" s="9">
        <v>2</v>
      </c>
      <c r="D21" s="2" t="s">
        <v>3</v>
      </c>
    </row>
    <row r="22" spans="2:14" x14ac:dyDescent="0.35">
      <c r="B22" s="2" t="s">
        <v>4</v>
      </c>
      <c r="C22" s="35">
        <f>SQRT(C20)</f>
        <v>269.81475126464085</v>
      </c>
      <c r="D22" s="2" t="s">
        <v>3</v>
      </c>
    </row>
    <row r="23" spans="2:14" ht="36.75" customHeight="1" x14ac:dyDescent="0.35">
      <c r="B23" s="102" t="s">
        <v>267</v>
      </c>
      <c r="C23" s="102"/>
      <c r="D23" s="102"/>
      <c r="E23" s="102"/>
      <c r="F23" s="102"/>
      <c r="G23" s="102"/>
      <c r="H23" s="102"/>
    </row>
    <row r="25" spans="2:14" x14ac:dyDescent="0.35">
      <c r="B25" s="1" t="s">
        <v>272</v>
      </c>
    </row>
    <row r="26" spans="2:14" x14ac:dyDescent="0.35">
      <c r="B26" s="102" t="s">
        <v>275</v>
      </c>
      <c r="C26" s="102"/>
      <c r="D26" s="102"/>
      <c r="E26" s="102"/>
      <c r="F26" s="102"/>
      <c r="G26" s="102"/>
      <c r="H26" s="102"/>
    </row>
    <row r="27" spans="2:14" x14ac:dyDescent="0.35">
      <c r="B27" s="46" t="s">
        <v>107</v>
      </c>
      <c r="C27" s="47"/>
      <c r="D27" s="47"/>
      <c r="E27" s="47"/>
      <c r="F27" s="47"/>
      <c r="G27" s="48"/>
      <c r="I27" s="2" t="s">
        <v>55</v>
      </c>
      <c r="J27" s="2" t="s">
        <v>56</v>
      </c>
      <c r="K27" s="2" t="s">
        <v>57</v>
      </c>
      <c r="M27" s="11">
        <f>E32</f>
        <v>0.4</v>
      </c>
      <c r="N27" s="38"/>
    </row>
    <row r="28" spans="2:14" x14ac:dyDescent="0.35">
      <c r="B28" s="96" t="s">
        <v>95</v>
      </c>
      <c r="C28" s="47"/>
      <c r="D28" s="47"/>
      <c r="E28" s="47"/>
      <c r="F28" s="47"/>
      <c r="G28" s="48"/>
      <c r="I28" s="2" t="s">
        <v>58</v>
      </c>
      <c r="J28" s="2" t="s">
        <v>59</v>
      </c>
      <c r="K28" s="2" t="s">
        <v>60</v>
      </c>
      <c r="M28" s="11">
        <f>F32</f>
        <v>0.04</v>
      </c>
      <c r="N28" s="38"/>
    </row>
    <row r="29" spans="2:14" x14ac:dyDescent="0.35">
      <c r="B29" s="97" t="s">
        <v>96</v>
      </c>
      <c r="C29" s="53" t="s">
        <v>97</v>
      </c>
      <c r="D29" s="94" t="s">
        <v>98</v>
      </c>
      <c r="E29" s="94" t="s">
        <v>99</v>
      </c>
      <c r="F29" s="94" t="s">
        <v>100</v>
      </c>
      <c r="G29" s="55" t="s">
        <v>101</v>
      </c>
      <c r="I29" s="2" t="s">
        <v>61</v>
      </c>
      <c r="J29" s="2" t="s">
        <v>62</v>
      </c>
      <c r="K29" s="2" t="s">
        <v>63</v>
      </c>
      <c r="M29" s="11">
        <f>G32</f>
        <v>0.04</v>
      </c>
      <c r="N29" s="38"/>
    </row>
    <row r="30" spans="2:14" x14ac:dyDescent="0.35">
      <c r="B30" s="98"/>
      <c r="C30" s="59" t="s">
        <v>68</v>
      </c>
      <c r="D30" s="60" t="s">
        <v>65</v>
      </c>
      <c r="E30" s="60" t="s">
        <v>56</v>
      </c>
      <c r="F30" s="60" t="s">
        <v>59</v>
      </c>
      <c r="G30" s="61" t="s">
        <v>62</v>
      </c>
      <c r="I30" s="2" t="s">
        <v>64</v>
      </c>
      <c r="J30" s="2" t="s">
        <v>65</v>
      </c>
      <c r="K30" s="2" t="s">
        <v>66</v>
      </c>
      <c r="M30" s="51">
        <f>D32</f>
        <v>0.16500000000000001</v>
      </c>
      <c r="N30" s="38"/>
    </row>
    <row r="31" spans="2:14" x14ac:dyDescent="0.35">
      <c r="B31" s="98" t="s">
        <v>102</v>
      </c>
      <c r="C31" s="95">
        <v>0.3</v>
      </c>
      <c r="D31" s="95">
        <v>0.08</v>
      </c>
      <c r="E31" s="95">
        <v>0.4</v>
      </c>
      <c r="F31" s="95">
        <v>0.04</v>
      </c>
      <c r="G31" s="58">
        <v>0.04</v>
      </c>
      <c r="I31" s="2" t="s">
        <v>67</v>
      </c>
      <c r="J31" s="2" t="s">
        <v>68</v>
      </c>
      <c r="K31" s="2" t="s">
        <v>69</v>
      </c>
      <c r="M31" s="11">
        <f>C32</f>
        <v>0.2</v>
      </c>
      <c r="N31" s="38"/>
    </row>
    <row r="32" spans="2:14" x14ac:dyDescent="0.35">
      <c r="B32" s="98" t="s">
        <v>103</v>
      </c>
      <c r="C32" s="95">
        <v>0.2</v>
      </c>
      <c r="D32" s="95">
        <v>0.16500000000000001</v>
      </c>
      <c r="E32" s="95">
        <v>0.4</v>
      </c>
      <c r="F32" s="95">
        <v>0.04</v>
      </c>
      <c r="G32" s="58">
        <v>0.04</v>
      </c>
    </row>
    <row r="33" spans="2:7" x14ac:dyDescent="0.35">
      <c r="B33" s="98" t="s">
        <v>104</v>
      </c>
      <c r="C33" s="95">
        <v>0.4</v>
      </c>
      <c r="D33" s="95">
        <v>0.08</v>
      </c>
      <c r="E33" s="95">
        <v>0.215</v>
      </c>
      <c r="F33" s="95">
        <v>2.1499999999999998E-2</v>
      </c>
      <c r="G33" s="58">
        <v>2.1499999999999998E-2</v>
      </c>
    </row>
    <row r="34" spans="2:7" x14ac:dyDescent="0.35">
      <c r="B34" s="98" t="s">
        <v>105</v>
      </c>
      <c r="C34" s="95">
        <v>0.1</v>
      </c>
      <c r="D34" s="95">
        <v>0.25</v>
      </c>
      <c r="E34" s="95">
        <v>0.4</v>
      </c>
      <c r="F34" s="95">
        <v>0.04</v>
      </c>
      <c r="G34" s="58">
        <v>0.04</v>
      </c>
    </row>
    <row r="35" spans="2:7" x14ac:dyDescent="0.35">
      <c r="B35" s="99" t="s">
        <v>106</v>
      </c>
      <c r="C35" s="60">
        <v>0.5</v>
      </c>
      <c r="D35" s="60">
        <v>0.08</v>
      </c>
      <c r="E35" s="60">
        <v>0.03</v>
      </c>
      <c r="F35" s="60">
        <v>3.0000000000000001E-3</v>
      </c>
      <c r="G35" s="61">
        <v>3.0000000000000001E-3</v>
      </c>
    </row>
  </sheetData>
  <mergeCells count="2">
    <mergeCell ref="B23:H23"/>
    <mergeCell ref="B26:H26"/>
  </mergeCells>
  <hyperlinks>
    <hyperlink ref="B3" r:id="rId1" xr:uid="{FAD54064-FF10-4A20-A519-D8C2CFA3CE18}"/>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362BA-8D54-4A9C-8694-307E902540A3}">
  <sheetPr codeName="Sheet5"/>
  <dimension ref="A2:G38"/>
  <sheetViews>
    <sheetView workbookViewId="0"/>
  </sheetViews>
  <sheetFormatPr defaultColWidth="9.1796875" defaultRowHeight="14.5" x14ac:dyDescent="0.35"/>
  <cols>
    <col min="1" max="1" width="42.81640625" style="2" bestFit="1" customWidth="1"/>
    <col min="2" max="2" width="14.54296875" style="2" bestFit="1" customWidth="1"/>
    <col min="3" max="3" width="15.1796875" style="2" bestFit="1" customWidth="1"/>
    <col min="4" max="4" width="5.7265625" style="2" customWidth="1"/>
    <col min="5" max="5" width="15.453125" style="2" bestFit="1" customWidth="1"/>
    <col min="6" max="6" width="11.1796875" style="2" bestFit="1" customWidth="1"/>
    <col min="7" max="7" width="37.7265625" style="2" customWidth="1"/>
    <col min="8" max="9" width="9.1796875" style="2"/>
    <col min="10" max="10" width="13.7265625" style="2" customWidth="1"/>
    <col min="11" max="11" width="9.1796875" style="2"/>
    <col min="12" max="12" width="14.54296875" style="2" customWidth="1"/>
    <col min="13" max="16384" width="9.1796875" style="2"/>
  </cols>
  <sheetData>
    <row r="2" spans="1:6" x14ac:dyDescent="0.35">
      <c r="B2" s="38" t="s">
        <v>94</v>
      </c>
    </row>
    <row r="4" spans="1:6" x14ac:dyDescent="0.35">
      <c r="A4" s="2" t="s">
        <v>43</v>
      </c>
      <c r="B4" s="2" t="s">
        <v>44</v>
      </c>
      <c r="C4" s="2" t="s">
        <v>45</v>
      </c>
    </row>
    <row r="5" spans="1:6" x14ac:dyDescent="0.35">
      <c r="A5" s="2" t="s">
        <v>93</v>
      </c>
      <c r="B5" s="2" t="s">
        <v>46</v>
      </c>
      <c r="C5" s="2" t="s">
        <v>10</v>
      </c>
      <c r="E5" s="11">
        <f>'STEP 1 Water Balance'!J26</f>
        <v>17.662451395243217</v>
      </c>
    </row>
    <row r="6" spans="1:6" x14ac:dyDescent="0.35">
      <c r="A6" s="2" t="s">
        <v>47</v>
      </c>
      <c r="B6" s="2" t="s">
        <v>48</v>
      </c>
      <c r="C6" s="2" t="s">
        <v>10</v>
      </c>
      <c r="F6" s="38" t="s">
        <v>268</v>
      </c>
    </row>
    <row r="7" spans="1:6" x14ac:dyDescent="0.35">
      <c r="A7" s="2" t="s">
        <v>17</v>
      </c>
      <c r="B7" s="2" t="s">
        <v>49</v>
      </c>
      <c r="C7" s="2" t="s">
        <v>10</v>
      </c>
      <c r="E7" s="11">
        <f>'STEP 1 Water Balance'!M26</f>
        <v>1.2840758903618668</v>
      </c>
    </row>
    <row r="8" spans="1:6" x14ac:dyDescent="0.35">
      <c r="A8" s="2" t="s">
        <v>8</v>
      </c>
      <c r="B8" s="2" t="s">
        <v>25</v>
      </c>
      <c r="C8" s="2" t="s">
        <v>10</v>
      </c>
      <c r="E8" s="11">
        <f>'STEP 1 Water Balance'!L26</f>
        <v>0</v>
      </c>
    </row>
    <row r="9" spans="1:6" x14ac:dyDescent="0.35">
      <c r="A9" s="2" t="s">
        <v>50</v>
      </c>
      <c r="B9" s="2" t="s">
        <v>269</v>
      </c>
      <c r="C9" s="2" t="s">
        <v>3</v>
      </c>
      <c r="E9" s="11">
        <f>'STEP 1 Water Balance'!C5</f>
        <v>2</v>
      </c>
      <c r="F9" s="38" t="s">
        <v>273</v>
      </c>
    </row>
    <row r="10" spans="1:6" x14ac:dyDescent="0.35">
      <c r="A10" s="2" t="s">
        <v>4</v>
      </c>
      <c r="B10" s="2" t="s">
        <v>51</v>
      </c>
      <c r="C10" s="2" t="s">
        <v>3</v>
      </c>
      <c r="E10" s="35">
        <f>'STEP 3 Other parameters'!C22</f>
        <v>269.81475126464085</v>
      </c>
    </row>
    <row r="11" spans="1:6" x14ac:dyDescent="0.35">
      <c r="A11" s="2" t="s">
        <v>52</v>
      </c>
      <c r="B11" s="2" t="s">
        <v>53</v>
      </c>
      <c r="C11" s="2" t="s">
        <v>54</v>
      </c>
      <c r="E11" s="8">
        <v>41.1</v>
      </c>
    </row>
    <row r="12" spans="1:6" x14ac:dyDescent="0.35">
      <c r="A12" s="2" t="s">
        <v>55</v>
      </c>
      <c r="B12" s="2" t="s">
        <v>56</v>
      </c>
      <c r="C12" s="2" t="s">
        <v>57</v>
      </c>
      <c r="E12" s="51">
        <f>'STEP 3 Other parameters'!M27</f>
        <v>0.4</v>
      </c>
      <c r="F12" s="38"/>
    </row>
    <row r="13" spans="1:6" x14ac:dyDescent="0.35">
      <c r="A13" s="2" t="s">
        <v>58</v>
      </c>
      <c r="B13" s="2" t="s">
        <v>59</v>
      </c>
      <c r="C13" s="2" t="s">
        <v>60</v>
      </c>
      <c r="E13" s="51">
        <f>'STEP 3 Other parameters'!M28</f>
        <v>0.04</v>
      </c>
      <c r="F13" s="38"/>
    </row>
    <row r="14" spans="1:6" x14ac:dyDescent="0.35">
      <c r="A14" s="2" t="s">
        <v>61</v>
      </c>
      <c r="B14" s="2" t="s">
        <v>62</v>
      </c>
      <c r="C14" s="2" t="s">
        <v>63</v>
      </c>
      <c r="E14" s="51">
        <f>'STEP 3 Other parameters'!M29</f>
        <v>0.04</v>
      </c>
      <c r="F14" s="38"/>
    </row>
    <row r="15" spans="1:6" x14ac:dyDescent="0.35">
      <c r="A15" s="2" t="s">
        <v>64</v>
      </c>
      <c r="B15" s="2" t="s">
        <v>65</v>
      </c>
      <c r="C15" s="2" t="s">
        <v>66</v>
      </c>
      <c r="E15" s="51">
        <f>'STEP 3 Other parameters'!M30</f>
        <v>0.16500000000000001</v>
      </c>
      <c r="F15" s="38"/>
    </row>
    <row r="16" spans="1:6" x14ac:dyDescent="0.35">
      <c r="A16" s="2" t="s">
        <v>67</v>
      </c>
      <c r="B16" s="2" t="s">
        <v>68</v>
      </c>
      <c r="C16" s="2" t="s">
        <v>69</v>
      </c>
      <c r="E16" s="51">
        <f>'STEP 3 Other parameters'!M31</f>
        <v>0.2</v>
      </c>
      <c r="F16" s="38"/>
    </row>
    <row r="17" spans="1:7" x14ac:dyDescent="0.35">
      <c r="A17" s="2" t="s">
        <v>70</v>
      </c>
      <c r="B17" s="2" t="s">
        <v>71</v>
      </c>
      <c r="C17" s="2" t="s">
        <v>72</v>
      </c>
      <c r="E17" s="51">
        <f>'STEP 2 Nutrient Balance'!T27</f>
        <v>4.3012838907584344E-3</v>
      </c>
    </row>
    <row r="18" spans="1:7" x14ac:dyDescent="0.35">
      <c r="A18" s="2" t="s">
        <v>73</v>
      </c>
      <c r="B18" s="2" t="s">
        <v>74</v>
      </c>
      <c r="C18" s="2" t="s">
        <v>75</v>
      </c>
      <c r="F18" s="38" t="s">
        <v>270</v>
      </c>
    </row>
    <row r="19" spans="1:7" x14ac:dyDescent="0.35">
      <c r="A19" s="2" t="s">
        <v>76</v>
      </c>
      <c r="B19" s="2" t="s">
        <v>77</v>
      </c>
      <c r="C19" s="2" t="s">
        <v>78</v>
      </c>
      <c r="E19" s="35">
        <f>'STEP 2 Nutrient Balance'!V27</f>
        <v>13.103387374020263</v>
      </c>
      <c r="F19" s="38"/>
    </row>
    <row r="20" spans="1:7" x14ac:dyDescent="0.35">
      <c r="A20" s="2" t="s">
        <v>88</v>
      </c>
      <c r="B20" s="2" t="s">
        <v>89</v>
      </c>
      <c r="C20" s="2" t="s">
        <v>90</v>
      </c>
      <c r="E20" s="8" t="s">
        <v>21</v>
      </c>
      <c r="F20" s="38" t="s">
        <v>108</v>
      </c>
    </row>
    <row r="21" spans="1:7" x14ac:dyDescent="0.35">
      <c r="A21" s="2" t="s">
        <v>91</v>
      </c>
      <c r="B21" s="2" t="s">
        <v>92</v>
      </c>
      <c r="C21" s="2" t="s">
        <v>90</v>
      </c>
      <c r="E21" s="8" t="s">
        <v>21</v>
      </c>
      <c r="F21" s="38" t="s">
        <v>108</v>
      </c>
    </row>
    <row r="22" spans="1:7" x14ac:dyDescent="0.35">
      <c r="A22" s="2" t="s">
        <v>79</v>
      </c>
      <c r="B22" s="2" t="s">
        <v>80</v>
      </c>
      <c r="C22" s="2" t="s">
        <v>81</v>
      </c>
      <c r="D22" s="53">
        <f>DAYS360('STEP 3 Other parameters'!$B$5,'STEP 3 Other parameters'!B5)</f>
        <v>0</v>
      </c>
      <c r="E22" s="54">
        <f>'STEP 3 Other parameters'!C5</f>
        <v>0.1</v>
      </c>
      <c r="F22" s="55">
        <v>-1</v>
      </c>
    </row>
    <row r="23" spans="1:7" x14ac:dyDescent="0.35">
      <c r="D23" s="56">
        <f>DAYS360('STEP 3 Other parameters'!$B$5,'STEP 3 Other parameters'!B6)</f>
        <v>30</v>
      </c>
      <c r="E23" s="57">
        <f>'STEP 3 Other parameters'!C6</f>
        <v>0.2</v>
      </c>
      <c r="F23" s="58">
        <v>-1</v>
      </c>
    </row>
    <row r="24" spans="1:7" x14ac:dyDescent="0.35">
      <c r="D24" s="56">
        <f>DAYS360('STEP 3 Other parameters'!$B$5,'STEP 3 Other parameters'!B7)</f>
        <v>60</v>
      </c>
      <c r="E24" s="57">
        <f>'STEP 3 Other parameters'!C7</f>
        <v>2.8881124219131351</v>
      </c>
      <c r="F24" s="58">
        <v>-1</v>
      </c>
      <c r="G24" s="38"/>
    </row>
    <row r="25" spans="1:7" x14ac:dyDescent="0.35">
      <c r="D25" s="56">
        <f>DAYS360('STEP 3 Other parameters'!$B$5,'STEP 3 Other parameters'!B8)</f>
        <v>90</v>
      </c>
      <c r="E25" s="57">
        <f>'STEP 3 Other parameters'!C8</f>
        <v>8.8820514048586929</v>
      </c>
      <c r="F25" s="58">
        <v>-1</v>
      </c>
    </row>
    <row r="26" spans="1:7" x14ac:dyDescent="0.35">
      <c r="D26" s="56">
        <f>DAYS360('STEP 3 Other parameters'!$B$5,'STEP 3 Other parameters'!B9)</f>
        <v>120</v>
      </c>
      <c r="E26" s="57">
        <f>'STEP 3 Other parameters'!C9</f>
        <v>15.212885290690856</v>
      </c>
      <c r="F26" s="58">
        <v>-1</v>
      </c>
    </row>
    <row r="27" spans="1:7" x14ac:dyDescent="0.35">
      <c r="D27" s="56">
        <f>DAYS360('STEP 3 Other parameters'!$B$5,'STEP 3 Other parameters'!B10)</f>
        <v>150</v>
      </c>
      <c r="E27" s="57">
        <f>'STEP 3 Other parameters'!C10</f>
        <v>18.714279636375036</v>
      </c>
      <c r="F27" s="58">
        <v>-1</v>
      </c>
    </row>
    <row r="28" spans="1:7" x14ac:dyDescent="0.35">
      <c r="D28" s="56">
        <f>DAYS360('STEP 3 Other parameters'!$B$5,'STEP 3 Other parameters'!B11)</f>
        <v>180</v>
      </c>
      <c r="E28" s="57">
        <f>'STEP 3 Other parameters'!C11</f>
        <v>24.595564870960732</v>
      </c>
      <c r="F28" s="58">
        <v>-1</v>
      </c>
    </row>
    <row r="29" spans="1:7" x14ac:dyDescent="0.35">
      <c r="D29" s="56">
        <f>DAYS360('STEP 3 Other parameters'!$B$5,'STEP 3 Other parameters'!B12)</f>
        <v>210</v>
      </c>
      <c r="E29" s="57">
        <f>'STEP 3 Other parameters'!C12</f>
        <v>25.13002761967207</v>
      </c>
      <c r="F29" s="58">
        <v>-1</v>
      </c>
    </row>
    <row r="30" spans="1:7" x14ac:dyDescent="0.35">
      <c r="D30" s="56">
        <f>DAYS360('STEP 3 Other parameters'!$B$5,'STEP 3 Other parameters'!B13)</f>
        <v>240</v>
      </c>
      <c r="E30" s="57">
        <f>'STEP 3 Other parameters'!C13</f>
        <v>16.098672507473999</v>
      </c>
      <c r="F30" s="58">
        <v>-1</v>
      </c>
    </row>
    <row r="31" spans="1:7" x14ac:dyDescent="0.35">
      <c r="D31" s="56">
        <f>DAYS360('STEP 3 Other parameters'!$B$5,'STEP 3 Other parameters'!B14)</f>
        <v>270</v>
      </c>
      <c r="E31" s="57">
        <f>'STEP 3 Other parameters'!C14</f>
        <v>11.298825637337231</v>
      </c>
      <c r="F31" s="58">
        <v>-1</v>
      </c>
    </row>
    <row r="32" spans="1:7" x14ac:dyDescent="0.35">
      <c r="D32" s="56">
        <f>DAYS360('STEP 3 Other parameters'!$B$5,'STEP 3 Other parameters'!B15)</f>
        <v>300</v>
      </c>
      <c r="E32" s="57">
        <f>'STEP 3 Other parameters'!C15</f>
        <v>7.5296998306362628</v>
      </c>
      <c r="F32" s="58">
        <v>-1</v>
      </c>
    </row>
    <row r="33" spans="1:6" x14ac:dyDescent="0.35">
      <c r="D33" s="59">
        <v>-1</v>
      </c>
      <c r="E33" s="60"/>
      <c r="F33" s="61"/>
    </row>
    <row r="35" spans="1:6" x14ac:dyDescent="0.35">
      <c r="A35" s="38" t="s">
        <v>276</v>
      </c>
    </row>
    <row r="36" spans="1:6" x14ac:dyDescent="0.35">
      <c r="A36" s="50" t="s">
        <v>82</v>
      </c>
      <c r="B36" s="50" t="s">
        <v>83</v>
      </c>
      <c r="C36" s="50" t="s">
        <v>81</v>
      </c>
      <c r="D36" s="50"/>
      <c r="F36" s="38" t="s">
        <v>277</v>
      </c>
    </row>
    <row r="37" spans="1:6" x14ac:dyDescent="0.35">
      <c r="A37" s="50" t="s">
        <v>84</v>
      </c>
      <c r="B37" s="50" t="s">
        <v>85</v>
      </c>
      <c r="C37" s="50" t="s">
        <v>3</v>
      </c>
      <c r="D37" s="50"/>
    </row>
    <row r="38" spans="1:6" x14ac:dyDescent="0.35">
      <c r="A38" s="50" t="s">
        <v>86</v>
      </c>
      <c r="B38" s="50" t="s">
        <v>87</v>
      </c>
      <c r="C38" s="50" t="s">
        <v>21</v>
      </c>
      <c r="D38" s="50"/>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5D325-D15F-4665-A38C-0E1B4FA09111}">
  <sheetPr codeName="Sheet6"/>
  <dimension ref="A2:O42"/>
  <sheetViews>
    <sheetView topLeftCell="D1" workbookViewId="0">
      <selection activeCell="D1" sqref="D1"/>
    </sheetView>
  </sheetViews>
  <sheetFormatPr defaultColWidth="9.1796875" defaultRowHeight="14.5" x14ac:dyDescent="0.35"/>
  <cols>
    <col min="1" max="1" width="18.453125" style="66" bestFit="1" customWidth="1"/>
    <col min="2" max="3" width="9.1796875" style="66"/>
    <col min="4" max="4" width="9.1796875" style="68"/>
    <col min="5" max="5" width="16.81640625" style="66" bestFit="1" customWidth="1"/>
    <col min="6" max="6" width="15.1796875" style="75" bestFit="1" customWidth="1"/>
    <col min="7" max="9" width="15.1796875" style="75" customWidth="1"/>
    <col min="10" max="10" width="15.1796875" style="75" bestFit="1" customWidth="1"/>
    <col min="11" max="11" width="48" style="66" bestFit="1" customWidth="1"/>
    <col min="12" max="12" width="53" style="66" customWidth="1"/>
    <col min="13" max="13" width="48" style="66" bestFit="1" customWidth="1"/>
    <col min="14" max="14" width="53" style="66" customWidth="1"/>
    <col min="15" max="15" width="48.81640625" style="66" bestFit="1" customWidth="1"/>
    <col min="16" max="16384" width="9.1796875" style="66"/>
  </cols>
  <sheetData>
    <row r="2" spans="1:15" ht="29" x14ac:dyDescent="0.35">
      <c r="E2" s="62"/>
      <c r="F2" s="73" t="s">
        <v>140</v>
      </c>
      <c r="G2" s="73" t="s">
        <v>274</v>
      </c>
      <c r="H2" s="73" t="s">
        <v>231</v>
      </c>
      <c r="I2" s="73" t="s">
        <v>162</v>
      </c>
      <c r="J2" s="73" t="s">
        <v>163</v>
      </c>
      <c r="K2" s="63" t="s">
        <v>142</v>
      </c>
      <c r="L2" s="64" t="s">
        <v>141</v>
      </c>
      <c r="M2" s="63" t="s">
        <v>143</v>
      </c>
      <c r="N2" s="64" t="s">
        <v>141</v>
      </c>
      <c r="O2" s="65" t="s">
        <v>146</v>
      </c>
    </row>
    <row r="3" spans="1:15" ht="29" x14ac:dyDescent="0.3">
      <c r="A3" s="90" t="s">
        <v>110</v>
      </c>
      <c r="B3" s="90">
        <v>0</v>
      </c>
      <c r="E3" s="67" t="s">
        <v>110</v>
      </c>
      <c r="F3" s="68">
        <v>0</v>
      </c>
      <c r="G3" s="68"/>
      <c r="H3" s="68"/>
      <c r="I3" s="68"/>
      <c r="J3" s="68"/>
      <c r="K3" s="67" t="s">
        <v>180</v>
      </c>
      <c r="L3" s="69"/>
      <c r="M3" s="67" t="s">
        <v>181</v>
      </c>
      <c r="N3" s="69"/>
      <c r="O3" s="69"/>
    </row>
    <row r="4" spans="1:15" ht="43.5" x14ac:dyDescent="0.3">
      <c r="A4" s="90" t="s">
        <v>111</v>
      </c>
      <c r="B4" s="90">
        <v>1</v>
      </c>
      <c r="E4" s="67" t="s">
        <v>111</v>
      </c>
      <c r="F4" s="68">
        <v>1</v>
      </c>
      <c r="G4" s="68"/>
      <c r="H4" s="68"/>
      <c r="I4" s="68"/>
      <c r="J4" s="68"/>
      <c r="K4" s="67" t="s">
        <v>183</v>
      </c>
      <c r="L4" s="69" t="s">
        <v>184</v>
      </c>
      <c r="M4" s="67" t="s">
        <v>182</v>
      </c>
      <c r="N4" s="69"/>
      <c r="O4" s="69"/>
    </row>
    <row r="5" spans="1:15" ht="58" x14ac:dyDescent="0.3">
      <c r="A5" s="90" t="s">
        <v>112</v>
      </c>
      <c r="B5" s="90">
        <v>1</v>
      </c>
      <c r="E5" s="67" t="s">
        <v>112</v>
      </c>
      <c r="F5" s="68">
        <v>1</v>
      </c>
      <c r="G5" s="68"/>
      <c r="H5" s="68"/>
      <c r="I5" s="68"/>
      <c r="J5" s="68"/>
      <c r="K5" s="70" t="s">
        <v>144</v>
      </c>
      <c r="L5" s="69" t="s">
        <v>185</v>
      </c>
      <c r="M5" s="70" t="s">
        <v>149</v>
      </c>
      <c r="N5" s="69" t="s">
        <v>186</v>
      </c>
      <c r="O5" s="69"/>
    </row>
    <row r="6" spans="1:15" ht="29" x14ac:dyDescent="0.3">
      <c r="A6" s="90" t="s">
        <v>113</v>
      </c>
      <c r="B6" s="90">
        <v>1</v>
      </c>
      <c r="E6" s="67" t="s">
        <v>113</v>
      </c>
      <c r="F6" s="68">
        <v>1</v>
      </c>
      <c r="G6" s="68"/>
      <c r="H6" s="68"/>
      <c r="I6" s="68"/>
      <c r="J6" s="68"/>
      <c r="K6" s="67" t="s">
        <v>145</v>
      </c>
      <c r="L6" s="69"/>
      <c r="M6" s="67" t="s">
        <v>147</v>
      </c>
      <c r="N6" s="69"/>
      <c r="O6" s="69" t="s">
        <v>148</v>
      </c>
    </row>
    <row r="7" spans="1:15" ht="29" x14ac:dyDescent="0.3">
      <c r="A7" s="90" t="s">
        <v>114</v>
      </c>
      <c r="B7" s="90">
        <v>1</v>
      </c>
      <c r="E7" s="67" t="s">
        <v>114</v>
      </c>
      <c r="F7" s="68">
        <v>1</v>
      </c>
      <c r="G7" s="68"/>
      <c r="H7" s="68"/>
      <c r="I7" s="68"/>
      <c r="J7" s="68"/>
      <c r="K7" s="67" t="s">
        <v>151</v>
      </c>
      <c r="L7" s="69"/>
      <c r="M7" s="67" t="s">
        <v>152</v>
      </c>
      <c r="N7" s="69"/>
      <c r="O7" s="69" t="s">
        <v>150</v>
      </c>
    </row>
    <row r="8" spans="1:15" ht="29" x14ac:dyDescent="0.3">
      <c r="A8" s="90" t="s">
        <v>115</v>
      </c>
      <c r="B8" s="90">
        <v>1</v>
      </c>
      <c r="E8" s="67" t="s">
        <v>115</v>
      </c>
      <c r="F8" s="68">
        <v>1</v>
      </c>
      <c r="G8" s="68"/>
      <c r="H8" s="68"/>
      <c r="I8" s="68"/>
      <c r="J8" s="68"/>
      <c r="K8" s="67" t="s">
        <v>187</v>
      </c>
      <c r="L8" s="69"/>
      <c r="M8" s="67" t="s">
        <v>153</v>
      </c>
      <c r="N8" s="69"/>
      <c r="O8" s="69"/>
    </row>
    <row r="9" spans="1:15" x14ac:dyDescent="0.3">
      <c r="A9" s="90" t="s">
        <v>116</v>
      </c>
      <c r="B9" s="90">
        <v>1</v>
      </c>
      <c r="E9" s="67" t="s">
        <v>116</v>
      </c>
      <c r="F9" s="68">
        <v>1</v>
      </c>
      <c r="G9" s="68"/>
      <c r="H9" s="68"/>
      <c r="I9" s="68"/>
      <c r="J9" s="68"/>
      <c r="K9" s="67" t="s">
        <v>154</v>
      </c>
      <c r="L9" s="69"/>
      <c r="M9" s="67" t="s">
        <v>158</v>
      </c>
      <c r="N9" s="69"/>
      <c r="O9" s="69" t="s">
        <v>191</v>
      </c>
    </row>
    <row r="10" spans="1:15" x14ac:dyDescent="0.3">
      <c r="A10" s="90" t="s">
        <v>117</v>
      </c>
      <c r="B10" s="90">
        <v>1</v>
      </c>
      <c r="E10" s="67" t="s">
        <v>117</v>
      </c>
      <c r="F10" s="68">
        <v>1</v>
      </c>
      <c r="G10" s="68"/>
      <c r="H10" s="68"/>
      <c r="I10" s="68"/>
      <c r="J10" s="68"/>
      <c r="K10" s="67" t="s">
        <v>155</v>
      </c>
      <c r="L10" s="69"/>
      <c r="M10" s="67" t="s">
        <v>159</v>
      </c>
      <c r="N10" s="69"/>
      <c r="O10" s="69" t="s">
        <v>191</v>
      </c>
    </row>
    <row r="11" spans="1:15" x14ac:dyDescent="0.3">
      <c r="A11" s="90" t="s">
        <v>118</v>
      </c>
      <c r="B11" s="90">
        <v>1</v>
      </c>
      <c r="E11" s="67" t="s">
        <v>118</v>
      </c>
      <c r="F11" s="68">
        <v>1</v>
      </c>
      <c r="G11" s="68"/>
      <c r="H11" s="68"/>
      <c r="I11" s="68"/>
      <c r="J11" s="68"/>
      <c r="K11" s="67" t="s">
        <v>156</v>
      </c>
      <c r="L11" s="69"/>
      <c r="M11" s="67" t="s">
        <v>160</v>
      </c>
      <c r="N11" s="69"/>
      <c r="O11" s="69" t="s">
        <v>191</v>
      </c>
    </row>
    <row r="12" spans="1:15" ht="43.5" x14ac:dyDescent="0.3">
      <c r="A12" s="90" t="s">
        <v>119</v>
      </c>
      <c r="B12" s="90">
        <v>1</v>
      </c>
      <c r="E12" s="67" t="s">
        <v>119</v>
      </c>
      <c r="F12" s="68">
        <v>1</v>
      </c>
      <c r="G12" s="68"/>
      <c r="H12" s="68"/>
      <c r="I12" s="68"/>
      <c r="J12" s="68"/>
      <c r="K12" s="67" t="s">
        <v>157</v>
      </c>
      <c r="L12" s="69"/>
      <c r="M12" s="67" t="s">
        <v>161</v>
      </c>
      <c r="N12" s="69"/>
      <c r="O12" s="69" t="s">
        <v>188</v>
      </c>
    </row>
    <row r="13" spans="1:15" ht="29" x14ac:dyDescent="0.3">
      <c r="A13" s="90" t="s">
        <v>120</v>
      </c>
      <c r="B13" s="90">
        <v>1</v>
      </c>
      <c r="E13" s="67" t="s">
        <v>120</v>
      </c>
      <c r="F13" s="68">
        <v>1</v>
      </c>
      <c r="G13" s="68"/>
      <c r="H13" s="68"/>
      <c r="I13" s="68"/>
      <c r="J13" s="68"/>
      <c r="K13" s="67" t="s">
        <v>189</v>
      </c>
      <c r="L13" s="69"/>
      <c r="M13" s="67" t="s">
        <v>190</v>
      </c>
      <c r="N13" s="69"/>
      <c r="O13" s="69" t="s">
        <v>191</v>
      </c>
    </row>
    <row r="14" spans="1:15" ht="43.5" x14ac:dyDescent="0.3">
      <c r="A14" s="90" t="s">
        <v>121</v>
      </c>
      <c r="B14" s="90">
        <v>0</v>
      </c>
      <c r="E14" s="67" t="s">
        <v>121</v>
      </c>
      <c r="F14" s="68">
        <v>0</v>
      </c>
      <c r="G14" s="68"/>
      <c r="H14" s="68"/>
      <c r="I14" s="68">
        <v>0</v>
      </c>
      <c r="J14" s="68">
        <v>1</v>
      </c>
      <c r="K14" s="67" t="s">
        <v>192</v>
      </c>
      <c r="L14" s="69"/>
      <c r="M14" s="67" t="s">
        <v>193</v>
      </c>
      <c r="N14" s="69"/>
      <c r="O14" s="69" t="s">
        <v>194</v>
      </c>
    </row>
    <row r="15" spans="1:15" ht="43.5" x14ac:dyDescent="0.3">
      <c r="A15" s="90" t="s">
        <v>123</v>
      </c>
      <c r="B15" s="90">
        <v>1</v>
      </c>
      <c r="E15" s="67" t="s">
        <v>123</v>
      </c>
      <c r="F15" s="68">
        <v>1</v>
      </c>
      <c r="G15" s="68"/>
      <c r="H15" s="68"/>
      <c r="I15" s="68"/>
      <c r="J15" s="68"/>
      <c r="K15" s="67" t="s">
        <v>195</v>
      </c>
      <c r="L15" s="69"/>
      <c r="M15" s="67" t="s">
        <v>196</v>
      </c>
      <c r="N15" s="69"/>
      <c r="O15" s="69"/>
    </row>
    <row r="16" spans="1:15" x14ac:dyDescent="0.3">
      <c r="A16" s="90" t="s">
        <v>178</v>
      </c>
      <c r="B16" s="90">
        <v>0</v>
      </c>
      <c r="E16" s="67" t="s">
        <v>178</v>
      </c>
      <c r="F16" s="68">
        <v>0</v>
      </c>
      <c r="G16" s="68"/>
      <c r="H16" s="68"/>
      <c r="I16" s="68"/>
      <c r="J16" s="68"/>
      <c r="K16" s="67" t="s">
        <v>197</v>
      </c>
      <c r="L16" s="69"/>
      <c r="M16" s="67" t="s">
        <v>198</v>
      </c>
      <c r="N16" s="69"/>
      <c r="O16" s="69"/>
    </row>
    <row r="17" spans="1:15" x14ac:dyDescent="0.3">
      <c r="A17" s="90" t="s">
        <v>179</v>
      </c>
      <c r="B17" s="90">
        <v>0</v>
      </c>
      <c r="E17" s="67" t="s">
        <v>179</v>
      </c>
      <c r="F17" s="68">
        <v>0</v>
      </c>
      <c r="G17" s="68"/>
      <c r="H17" s="68"/>
      <c r="I17" s="68"/>
      <c r="J17" s="68"/>
      <c r="K17" s="67" t="s">
        <v>199</v>
      </c>
      <c r="L17" s="69"/>
      <c r="M17" s="67" t="s">
        <v>200</v>
      </c>
      <c r="N17" s="69"/>
      <c r="O17" s="69"/>
    </row>
    <row r="18" spans="1:15" ht="43.5" x14ac:dyDescent="0.3">
      <c r="A18" s="90" t="s">
        <v>122</v>
      </c>
      <c r="B18" s="90">
        <v>1</v>
      </c>
      <c r="E18" s="67" t="s">
        <v>122</v>
      </c>
      <c r="F18" s="68">
        <v>1</v>
      </c>
      <c r="G18" s="68"/>
      <c r="H18" s="68"/>
      <c r="I18" s="68"/>
      <c r="J18" s="68" t="s">
        <v>255</v>
      </c>
      <c r="K18" s="67" t="s">
        <v>201</v>
      </c>
      <c r="L18" s="69"/>
      <c r="M18" s="67" t="s">
        <v>202</v>
      </c>
      <c r="N18" s="69" t="s">
        <v>203</v>
      </c>
      <c r="O18" s="69"/>
    </row>
    <row r="19" spans="1:15" ht="29" x14ac:dyDescent="0.3">
      <c r="A19" s="90" t="s">
        <v>124</v>
      </c>
      <c r="B19" s="90">
        <v>1</v>
      </c>
      <c r="E19" s="67" t="s">
        <v>124</v>
      </c>
      <c r="F19" s="68">
        <v>1</v>
      </c>
      <c r="G19" s="91">
        <v>0</v>
      </c>
      <c r="H19" s="68"/>
      <c r="I19" s="68"/>
      <c r="J19" s="68"/>
      <c r="K19" s="67" t="s">
        <v>205</v>
      </c>
      <c r="L19" s="69"/>
      <c r="M19" s="67" t="s">
        <v>204</v>
      </c>
      <c r="N19" s="69"/>
      <c r="O19" s="69"/>
    </row>
    <row r="20" spans="1:15" ht="29" x14ac:dyDescent="0.3">
      <c r="A20" s="90" t="s">
        <v>125</v>
      </c>
      <c r="B20" s="90">
        <v>0</v>
      </c>
      <c r="E20" s="67" t="s">
        <v>125</v>
      </c>
      <c r="F20" s="68">
        <v>0</v>
      </c>
      <c r="G20" s="68"/>
      <c r="H20" s="68"/>
      <c r="I20" s="68"/>
      <c r="J20" s="68"/>
      <c r="K20" s="67" t="s">
        <v>206</v>
      </c>
      <c r="L20" s="69"/>
      <c r="M20" s="67" t="s">
        <v>207</v>
      </c>
      <c r="N20" s="69" t="s">
        <v>208</v>
      </c>
      <c r="O20" s="69"/>
    </row>
    <row r="21" spans="1:15" ht="29" x14ac:dyDescent="0.3">
      <c r="A21" s="90" t="s">
        <v>126</v>
      </c>
      <c r="B21" s="90">
        <v>0</v>
      </c>
      <c r="E21" s="67" t="s">
        <v>126</v>
      </c>
      <c r="F21" s="68">
        <v>0</v>
      </c>
      <c r="G21" s="91">
        <v>1</v>
      </c>
      <c r="H21" s="68"/>
      <c r="I21" s="68"/>
      <c r="J21" s="68"/>
      <c r="K21" s="67" t="s">
        <v>209</v>
      </c>
      <c r="L21" s="69"/>
      <c r="M21" s="67" t="s">
        <v>210</v>
      </c>
      <c r="N21" s="69" t="s">
        <v>211</v>
      </c>
      <c r="O21" s="69"/>
    </row>
    <row r="22" spans="1:15" ht="72.5" x14ac:dyDescent="0.3">
      <c r="A22" s="90" t="s">
        <v>127</v>
      </c>
      <c r="B22" s="90">
        <v>0</v>
      </c>
      <c r="E22" s="67" t="s">
        <v>127</v>
      </c>
      <c r="F22" s="68">
        <v>0</v>
      </c>
      <c r="G22" s="68"/>
      <c r="H22" s="68"/>
      <c r="I22" s="68"/>
      <c r="J22" s="68" t="s">
        <v>255</v>
      </c>
      <c r="K22" s="67" t="s">
        <v>212</v>
      </c>
      <c r="L22" s="69"/>
      <c r="M22" s="67" t="s">
        <v>213</v>
      </c>
      <c r="N22" s="69"/>
      <c r="O22" s="69"/>
    </row>
    <row r="23" spans="1:15" ht="29" x14ac:dyDescent="0.3">
      <c r="A23" s="90" t="s">
        <v>128</v>
      </c>
      <c r="B23" s="90">
        <v>0</v>
      </c>
      <c r="E23" s="67" t="s">
        <v>128</v>
      </c>
      <c r="F23" s="68">
        <v>0</v>
      </c>
      <c r="G23" s="68"/>
      <c r="H23" s="68"/>
      <c r="I23" s="68"/>
      <c r="J23" s="68"/>
      <c r="K23" s="70" t="s">
        <v>214</v>
      </c>
      <c r="L23" s="69"/>
      <c r="M23" s="70" t="s">
        <v>215</v>
      </c>
      <c r="N23" s="69"/>
      <c r="O23" s="69"/>
    </row>
    <row r="24" spans="1:15" ht="29" x14ac:dyDescent="0.3">
      <c r="A24" s="90" t="s">
        <v>129</v>
      </c>
      <c r="B24" s="90">
        <v>0</v>
      </c>
      <c r="E24" s="67" t="s">
        <v>129</v>
      </c>
      <c r="F24" s="68">
        <v>0</v>
      </c>
      <c r="G24" s="68"/>
      <c r="H24" s="68"/>
      <c r="I24" s="68"/>
      <c r="J24" s="68"/>
      <c r="K24" s="67" t="s">
        <v>216</v>
      </c>
      <c r="L24" s="69"/>
      <c r="M24" s="67" t="s">
        <v>217</v>
      </c>
      <c r="N24" s="69"/>
      <c r="O24" s="69" t="s">
        <v>218</v>
      </c>
    </row>
    <row r="25" spans="1:15" ht="43.5" x14ac:dyDescent="0.3">
      <c r="A25" s="90" t="s">
        <v>130</v>
      </c>
      <c r="B25" s="90">
        <v>0</v>
      </c>
      <c r="E25" s="67" t="s">
        <v>130</v>
      </c>
      <c r="F25" s="68">
        <v>0</v>
      </c>
      <c r="G25" s="91">
        <v>1</v>
      </c>
      <c r="H25" s="68"/>
      <c r="I25" s="68"/>
      <c r="J25" s="68"/>
      <c r="K25" s="67" t="s">
        <v>219</v>
      </c>
      <c r="L25" s="69"/>
      <c r="M25" s="67" t="s">
        <v>220</v>
      </c>
      <c r="N25" s="69"/>
      <c r="O25" s="69"/>
    </row>
    <row r="26" spans="1:15" ht="58" x14ac:dyDescent="0.3">
      <c r="A26" s="90" t="s">
        <v>131</v>
      </c>
      <c r="B26" s="90">
        <v>0</v>
      </c>
      <c r="E26" s="67" t="s">
        <v>131</v>
      </c>
      <c r="F26" s="68">
        <v>0</v>
      </c>
      <c r="G26" s="68"/>
      <c r="H26" s="68"/>
      <c r="I26" s="68"/>
      <c r="J26" s="68"/>
      <c r="K26" s="67" t="s">
        <v>224</v>
      </c>
      <c r="L26" s="69"/>
      <c r="M26" s="67" t="s">
        <v>223</v>
      </c>
      <c r="N26" s="69"/>
      <c r="O26" s="69"/>
    </row>
    <row r="27" spans="1:15" ht="58" x14ac:dyDescent="0.3">
      <c r="A27" s="90" t="s">
        <v>132</v>
      </c>
      <c r="B27" s="90">
        <v>0</v>
      </c>
      <c r="E27" s="67" t="s">
        <v>132</v>
      </c>
      <c r="F27" s="68">
        <v>0</v>
      </c>
      <c r="G27" s="68"/>
      <c r="H27" s="68"/>
      <c r="I27" s="68"/>
      <c r="J27" s="68"/>
      <c r="K27" s="67" t="s">
        <v>222</v>
      </c>
      <c r="L27" s="69"/>
      <c r="M27" s="67" t="s">
        <v>221</v>
      </c>
      <c r="N27" s="69"/>
      <c r="O27" s="69"/>
    </row>
    <row r="28" spans="1:15" x14ac:dyDescent="0.3">
      <c r="A28" s="90" t="s">
        <v>133</v>
      </c>
      <c r="B28" s="90">
        <v>0</v>
      </c>
      <c r="E28" s="67" t="s">
        <v>133</v>
      </c>
      <c r="F28" s="68">
        <v>0</v>
      </c>
      <c r="G28" s="91">
        <v>1</v>
      </c>
      <c r="H28" s="68"/>
      <c r="I28" s="68"/>
      <c r="J28" s="68"/>
      <c r="K28" s="67" t="s">
        <v>205</v>
      </c>
      <c r="L28" s="69"/>
      <c r="M28" s="67" t="s">
        <v>225</v>
      </c>
      <c r="N28" s="69"/>
      <c r="O28" s="69"/>
    </row>
    <row r="29" spans="1:15" x14ac:dyDescent="0.3">
      <c r="A29" s="90" t="s">
        <v>134</v>
      </c>
      <c r="B29" s="90">
        <v>1</v>
      </c>
      <c r="E29" s="67" t="s">
        <v>134</v>
      </c>
      <c r="F29" s="68">
        <v>1</v>
      </c>
      <c r="G29" s="68">
        <v>1</v>
      </c>
      <c r="H29" s="68">
        <v>1</v>
      </c>
      <c r="I29" s="68"/>
      <c r="J29" s="68"/>
      <c r="K29" s="70" t="s">
        <v>226</v>
      </c>
      <c r="L29" s="69"/>
      <c r="M29" s="70" t="s">
        <v>227</v>
      </c>
      <c r="N29" s="69"/>
      <c r="O29" s="69"/>
    </row>
    <row r="30" spans="1:15" ht="87" x14ac:dyDescent="0.3">
      <c r="A30" s="90" t="s">
        <v>135</v>
      </c>
      <c r="B30" s="90">
        <v>0</v>
      </c>
      <c r="E30" s="67" t="s">
        <v>135</v>
      </c>
      <c r="F30" s="68">
        <v>0</v>
      </c>
      <c r="G30" s="68"/>
      <c r="H30" s="68">
        <v>0</v>
      </c>
      <c r="I30" s="68"/>
      <c r="J30" s="68"/>
      <c r="K30" s="70" t="s">
        <v>228</v>
      </c>
      <c r="L30" s="69"/>
      <c r="M30" s="70" t="s">
        <v>229</v>
      </c>
      <c r="N30" s="69"/>
      <c r="O30" s="69" t="s">
        <v>230</v>
      </c>
    </row>
    <row r="31" spans="1:15" ht="29" x14ac:dyDescent="0.3">
      <c r="A31" s="90" t="s">
        <v>136</v>
      </c>
      <c r="B31" s="90">
        <v>0</v>
      </c>
      <c r="E31" s="67" t="s">
        <v>136</v>
      </c>
      <c r="F31" s="68">
        <v>0</v>
      </c>
      <c r="G31" s="68"/>
      <c r="H31" s="68">
        <v>0</v>
      </c>
      <c r="I31" s="68"/>
      <c r="J31" s="68"/>
      <c r="K31" s="67" t="s">
        <v>232</v>
      </c>
      <c r="L31" s="69"/>
      <c r="M31" s="67" t="s">
        <v>233</v>
      </c>
      <c r="N31" s="69"/>
      <c r="O31" s="69"/>
    </row>
    <row r="32" spans="1:15" x14ac:dyDescent="0.3">
      <c r="A32" s="90" t="s">
        <v>137</v>
      </c>
      <c r="B32" s="90">
        <v>0</v>
      </c>
      <c r="E32" s="67" t="s">
        <v>137</v>
      </c>
      <c r="F32" s="68">
        <v>0</v>
      </c>
      <c r="G32" s="68"/>
      <c r="H32" s="68">
        <v>0</v>
      </c>
      <c r="I32" s="68"/>
      <c r="J32" s="68"/>
      <c r="K32" s="67" t="s">
        <v>234</v>
      </c>
      <c r="L32" s="69"/>
      <c r="M32" s="67" t="s">
        <v>235</v>
      </c>
      <c r="N32" s="69"/>
      <c r="O32" s="69"/>
    </row>
    <row r="33" spans="1:15" x14ac:dyDescent="0.3">
      <c r="A33" s="90" t="s">
        <v>138</v>
      </c>
      <c r="B33" s="90">
        <v>0</v>
      </c>
      <c r="E33" s="67" t="s">
        <v>138</v>
      </c>
      <c r="F33" s="68">
        <v>0</v>
      </c>
      <c r="G33" s="68"/>
      <c r="H33" s="68">
        <v>0</v>
      </c>
      <c r="I33" s="68"/>
      <c r="J33" s="68"/>
      <c r="K33" s="67" t="s">
        <v>236</v>
      </c>
      <c r="L33" s="69"/>
      <c r="M33" s="67" t="s">
        <v>237</v>
      </c>
      <c r="N33" s="69"/>
      <c r="O33" s="69"/>
    </row>
    <row r="34" spans="1:15" ht="29" x14ac:dyDescent="0.3">
      <c r="A34" s="90" t="s">
        <v>139</v>
      </c>
      <c r="B34" s="90">
        <v>0</v>
      </c>
      <c r="E34" s="67" t="s">
        <v>139</v>
      </c>
      <c r="F34" s="68">
        <v>0</v>
      </c>
      <c r="G34" s="68"/>
      <c r="H34" s="68"/>
      <c r="I34" s="68"/>
      <c r="J34" s="68"/>
      <c r="K34" s="67" t="s">
        <v>239</v>
      </c>
      <c r="L34" s="69"/>
      <c r="M34" s="67" t="s">
        <v>238</v>
      </c>
      <c r="N34" s="69"/>
      <c r="O34" s="69"/>
    </row>
    <row r="35" spans="1:15" x14ac:dyDescent="0.3">
      <c r="A35" s="90" t="s">
        <v>164</v>
      </c>
      <c r="B35" s="90">
        <v>1</v>
      </c>
      <c r="E35" s="67" t="s">
        <v>164</v>
      </c>
      <c r="F35" s="68">
        <v>1</v>
      </c>
      <c r="G35" s="68"/>
      <c r="H35" s="68"/>
      <c r="I35" s="68"/>
      <c r="J35" s="68"/>
      <c r="K35" s="70" t="s">
        <v>243</v>
      </c>
      <c r="L35" s="69"/>
      <c r="M35" s="70" t="s">
        <v>242</v>
      </c>
      <c r="N35" s="69"/>
      <c r="O35" s="69"/>
    </row>
    <row r="36" spans="1:15" ht="29" x14ac:dyDescent="0.3">
      <c r="A36" s="90" t="s">
        <v>165</v>
      </c>
      <c r="B36" s="90">
        <v>1</v>
      </c>
      <c r="E36" s="67" t="s">
        <v>165</v>
      </c>
      <c r="F36" s="68">
        <v>1</v>
      </c>
      <c r="G36" s="68"/>
      <c r="H36" s="68"/>
      <c r="I36" s="68"/>
      <c r="J36" s="68"/>
      <c r="K36" s="70" t="s">
        <v>241</v>
      </c>
      <c r="L36" s="69"/>
      <c r="M36" s="70" t="s">
        <v>240</v>
      </c>
      <c r="N36" s="69"/>
      <c r="O36" s="69"/>
    </row>
    <row r="37" spans="1:15" ht="29" x14ac:dyDescent="0.3">
      <c r="A37" s="90" t="s">
        <v>166</v>
      </c>
      <c r="B37" s="90">
        <v>1</v>
      </c>
      <c r="E37" s="67" t="s">
        <v>166</v>
      </c>
      <c r="F37" s="68">
        <v>1</v>
      </c>
      <c r="G37" s="68"/>
      <c r="H37" s="68"/>
      <c r="I37" s="68"/>
      <c r="J37" s="68"/>
      <c r="K37" s="67" t="s">
        <v>245</v>
      </c>
      <c r="L37" s="69"/>
      <c r="M37" s="67" t="s">
        <v>244</v>
      </c>
      <c r="N37" s="69"/>
      <c r="O37" s="69"/>
    </row>
    <row r="38" spans="1:15" ht="29" x14ac:dyDescent="0.3">
      <c r="A38" s="90" t="s">
        <v>167</v>
      </c>
      <c r="B38" s="90">
        <v>0</v>
      </c>
      <c r="E38" s="67" t="s">
        <v>167</v>
      </c>
      <c r="F38" s="68">
        <v>0</v>
      </c>
      <c r="G38" s="68"/>
      <c r="H38" s="68"/>
      <c r="I38" s="68"/>
      <c r="J38" s="68"/>
      <c r="K38" s="67" t="s">
        <v>247</v>
      </c>
      <c r="L38" s="69"/>
      <c r="M38" s="67" t="s">
        <v>248</v>
      </c>
      <c r="N38" s="69"/>
      <c r="O38" s="69" t="s">
        <v>246</v>
      </c>
    </row>
    <row r="39" spans="1:15" ht="29" x14ac:dyDescent="0.3">
      <c r="A39" s="90" t="s">
        <v>168</v>
      </c>
      <c r="B39" s="90">
        <v>0</v>
      </c>
      <c r="E39" s="67" t="s">
        <v>168</v>
      </c>
      <c r="F39" s="68">
        <v>0</v>
      </c>
      <c r="G39" s="68"/>
      <c r="H39" s="68"/>
      <c r="I39" s="68"/>
      <c r="J39" s="68"/>
      <c r="K39" s="67" t="s">
        <v>249</v>
      </c>
      <c r="L39" s="69"/>
      <c r="M39" s="67" t="s">
        <v>250</v>
      </c>
      <c r="N39" s="69"/>
      <c r="O39" s="69"/>
    </row>
    <row r="40" spans="1:15" x14ac:dyDescent="0.3">
      <c r="A40" s="90" t="s">
        <v>169</v>
      </c>
      <c r="B40" s="90">
        <v>0</v>
      </c>
      <c r="E40" s="67" t="s">
        <v>169</v>
      </c>
      <c r="F40" s="68">
        <v>0</v>
      </c>
      <c r="G40" s="68"/>
      <c r="H40" s="68"/>
      <c r="I40" s="68"/>
      <c r="J40" s="68"/>
      <c r="K40" s="67" t="s">
        <v>251</v>
      </c>
      <c r="L40" s="69"/>
      <c r="M40" s="67" t="s">
        <v>252</v>
      </c>
      <c r="N40" s="69"/>
      <c r="O40" s="69"/>
    </row>
    <row r="41" spans="1:15" x14ac:dyDescent="0.3">
      <c r="A41" s="90" t="s">
        <v>170</v>
      </c>
      <c r="B41" s="90">
        <v>0</v>
      </c>
      <c r="E41" s="71" t="s">
        <v>170</v>
      </c>
      <c r="F41" s="74">
        <v>0</v>
      </c>
      <c r="G41" s="74"/>
      <c r="H41" s="74"/>
      <c r="I41" s="74"/>
      <c r="J41" s="74"/>
      <c r="K41" s="92" t="s">
        <v>253</v>
      </c>
      <c r="L41" s="72"/>
      <c r="M41" s="92" t="s">
        <v>254</v>
      </c>
      <c r="N41" s="72"/>
      <c r="O41" s="72"/>
    </row>
    <row r="42" spans="1:15" x14ac:dyDescent="0.35">
      <c r="E42" s="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09C31-DCF3-4364-A0D3-C34CD26A100D}">
  <sheetPr codeName="Sheet7"/>
  <dimension ref="A1:L64"/>
  <sheetViews>
    <sheetView tabSelected="1" workbookViewId="0">
      <selection activeCell="E37" sqref="A1:E37"/>
    </sheetView>
  </sheetViews>
  <sheetFormatPr defaultRowHeight="14.5" x14ac:dyDescent="0.35"/>
  <cols>
    <col min="1" max="1" width="15.26953125" bestFit="1" customWidth="1"/>
    <col min="2" max="2" width="21" bestFit="1" customWidth="1"/>
    <col min="5" max="5" width="18.6328125" bestFit="1" customWidth="1"/>
  </cols>
  <sheetData>
    <row r="1" spans="1:12" x14ac:dyDescent="0.35">
      <c r="A1" s="116" t="s">
        <v>301</v>
      </c>
    </row>
    <row r="2" spans="1:12" ht="59" x14ac:dyDescent="0.35">
      <c r="A2" s="111" t="s">
        <v>296</v>
      </c>
      <c r="B2" s="112" t="s">
        <v>297</v>
      </c>
      <c r="C2" s="113" t="s">
        <v>298</v>
      </c>
      <c r="D2" s="114" t="s">
        <v>299</v>
      </c>
      <c r="E2" s="115" t="s">
        <v>300</v>
      </c>
    </row>
    <row r="3" spans="1:12" x14ac:dyDescent="0.35">
      <c r="A3" s="90" t="s">
        <v>124</v>
      </c>
      <c r="B3" s="108">
        <v>0</v>
      </c>
      <c r="C3" s="109">
        <v>0</v>
      </c>
      <c r="D3" s="110">
        <v>0</v>
      </c>
      <c r="E3" s="90">
        <v>0</v>
      </c>
    </row>
    <row r="4" spans="1:12" x14ac:dyDescent="0.35">
      <c r="A4" s="90" t="s">
        <v>123</v>
      </c>
      <c r="B4" s="108">
        <v>0</v>
      </c>
      <c r="C4" s="109">
        <v>0</v>
      </c>
      <c r="D4" s="110">
        <v>0</v>
      </c>
      <c r="E4" s="90">
        <v>1</v>
      </c>
    </row>
    <row r="5" spans="1:12" x14ac:dyDescent="0.35">
      <c r="A5" s="90" t="s">
        <v>126</v>
      </c>
      <c r="B5" s="108">
        <v>0</v>
      </c>
      <c r="C5" s="109">
        <v>0</v>
      </c>
      <c r="D5" s="110">
        <v>0</v>
      </c>
      <c r="E5" s="90">
        <v>0</v>
      </c>
    </row>
    <row r="6" spans="1:12" x14ac:dyDescent="0.35">
      <c r="A6" s="90" t="s">
        <v>130</v>
      </c>
      <c r="B6" s="108">
        <v>0</v>
      </c>
      <c r="C6" s="109">
        <v>0</v>
      </c>
      <c r="D6" s="110">
        <v>0</v>
      </c>
      <c r="E6" s="90">
        <v>0</v>
      </c>
    </row>
    <row r="7" spans="1:12" x14ac:dyDescent="0.35">
      <c r="A7" s="90" t="s">
        <v>131</v>
      </c>
      <c r="B7" s="108">
        <v>0</v>
      </c>
      <c r="C7" s="109">
        <v>0</v>
      </c>
      <c r="D7" s="110">
        <v>0</v>
      </c>
      <c r="E7" s="90">
        <v>0</v>
      </c>
    </row>
    <row r="8" spans="1:12" x14ac:dyDescent="0.35">
      <c r="A8" s="90" t="s">
        <v>133</v>
      </c>
      <c r="B8" s="108">
        <v>0</v>
      </c>
      <c r="C8" s="109">
        <v>0</v>
      </c>
      <c r="D8" s="110">
        <v>0</v>
      </c>
      <c r="E8" s="90">
        <v>0</v>
      </c>
    </row>
    <row r="9" spans="1:12" x14ac:dyDescent="0.35">
      <c r="A9" s="90" t="s">
        <v>134</v>
      </c>
      <c r="B9" s="108">
        <v>0</v>
      </c>
      <c r="C9" s="109">
        <v>0</v>
      </c>
      <c r="D9" s="110">
        <v>0</v>
      </c>
      <c r="E9" s="90">
        <v>1</v>
      </c>
    </row>
    <row r="10" spans="1:12" x14ac:dyDescent="0.35">
      <c r="A10" s="90" t="s">
        <v>135</v>
      </c>
      <c r="B10" s="108">
        <v>0</v>
      </c>
      <c r="C10" s="109">
        <v>0</v>
      </c>
      <c r="D10" s="110">
        <v>0</v>
      </c>
      <c r="E10" s="90">
        <v>0</v>
      </c>
    </row>
    <row r="11" spans="1:12" x14ac:dyDescent="0.35">
      <c r="A11" s="90" t="s">
        <v>136</v>
      </c>
      <c r="B11" s="108">
        <v>0</v>
      </c>
      <c r="C11" s="109">
        <v>0</v>
      </c>
      <c r="D11" s="110">
        <v>0</v>
      </c>
      <c r="E11" s="90">
        <v>0</v>
      </c>
    </row>
    <row r="12" spans="1:12" x14ac:dyDescent="0.35">
      <c r="A12" s="90" t="s">
        <v>169</v>
      </c>
      <c r="B12" s="108">
        <v>0</v>
      </c>
      <c r="C12" s="109">
        <v>0</v>
      </c>
      <c r="D12" s="110">
        <v>0</v>
      </c>
      <c r="E12" s="90">
        <v>0</v>
      </c>
      <c r="H12" s="90"/>
      <c r="I12" s="108"/>
      <c r="J12" s="127"/>
      <c r="K12" s="127"/>
      <c r="L12" s="90"/>
    </row>
    <row r="13" spans="1:12" x14ac:dyDescent="0.35">
      <c r="A13" s="90" t="s">
        <v>170</v>
      </c>
      <c r="B13" s="108">
        <v>0</v>
      </c>
      <c r="C13" s="109">
        <v>0</v>
      </c>
      <c r="D13" s="110">
        <v>0</v>
      </c>
      <c r="E13" s="90">
        <v>0</v>
      </c>
      <c r="H13" s="90"/>
      <c r="I13" s="108"/>
      <c r="J13" s="127"/>
      <c r="K13" s="127"/>
      <c r="L13" s="90"/>
    </row>
    <row r="14" spans="1:12" x14ac:dyDescent="0.35">
      <c r="A14" s="90" t="s">
        <v>280</v>
      </c>
      <c r="B14" s="108" t="s">
        <v>281</v>
      </c>
      <c r="C14" s="109">
        <v>1E-4</v>
      </c>
      <c r="D14" s="110">
        <v>0.01</v>
      </c>
      <c r="E14" s="90">
        <v>5.0000000000000001E-3</v>
      </c>
    </row>
    <row r="15" spans="1:12" x14ac:dyDescent="0.35">
      <c r="A15" s="90" t="s">
        <v>282</v>
      </c>
      <c r="B15" s="108" t="s">
        <v>283</v>
      </c>
      <c r="C15" s="109">
        <v>800</v>
      </c>
      <c r="D15" s="110">
        <v>1200</v>
      </c>
      <c r="E15" s="90">
        <v>270</v>
      </c>
    </row>
    <row r="16" spans="1:12" x14ac:dyDescent="0.35">
      <c r="A16" s="90" t="s">
        <v>331</v>
      </c>
      <c r="B16" s="108" t="s">
        <v>332</v>
      </c>
      <c r="C16" s="109">
        <v>0</v>
      </c>
      <c r="D16" s="110">
        <v>0</v>
      </c>
      <c r="E16" s="90">
        <v>0</v>
      </c>
    </row>
    <row r="17" spans="1:5" x14ac:dyDescent="0.35">
      <c r="A17" s="90" t="s">
        <v>284</v>
      </c>
      <c r="B17" s="108">
        <v>0</v>
      </c>
      <c r="C17" s="109">
        <v>0</v>
      </c>
      <c r="D17" s="110">
        <v>0</v>
      </c>
      <c r="E17" s="90">
        <v>0.1</v>
      </c>
    </row>
    <row r="18" spans="1:5" x14ac:dyDescent="0.35">
      <c r="A18" s="90" t="s">
        <v>285</v>
      </c>
      <c r="B18" s="108" t="s">
        <v>286</v>
      </c>
      <c r="C18" s="109">
        <v>0</v>
      </c>
      <c r="D18" s="110">
        <v>0</v>
      </c>
      <c r="E18" s="90">
        <v>0.01</v>
      </c>
    </row>
    <row r="19" spans="1:5" x14ac:dyDescent="0.35">
      <c r="A19" s="90" t="s">
        <v>287</v>
      </c>
      <c r="B19" s="108" t="s">
        <v>288</v>
      </c>
      <c r="C19" s="109">
        <v>0</v>
      </c>
      <c r="D19" s="110">
        <v>0</v>
      </c>
      <c r="E19" s="90">
        <v>0.01</v>
      </c>
    </row>
    <row r="20" spans="1:5" x14ac:dyDescent="0.35">
      <c r="A20" s="90" t="s">
        <v>289</v>
      </c>
      <c r="B20" s="108" t="s">
        <v>290</v>
      </c>
      <c r="C20" s="109">
        <v>0</v>
      </c>
      <c r="D20" s="110">
        <v>0</v>
      </c>
      <c r="E20" s="90">
        <v>0.2</v>
      </c>
    </row>
    <row r="21" spans="1:5" x14ac:dyDescent="0.35">
      <c r="A21" s="90" t="s">
        <v>291</v>
      </c>
      <c r="B21" s="108" t="s">
        <v>292</v>
      </c>
      <c r="C21" s="109">
        <v>0</v>
      </c>
      <c r="D21" s="110">
        <v>0</v>
      </c>
      <c r="E21" s="90">
        <v>7</v>
      </c>
    </row>
    <row r="22" spans="1:5" x14ac:dyDescent="0.35">
      <c r="A22" s="90" t="s">
        <v>293</v>
      </c>
      <c r="B22" s="108">
        <v>0</v>
      </c>
      <c r="C22" s="109">
        <v>0</v>
      </c>
      <c r="D22" s="110">
        <v>0</v>
      </c>
      <c r="E22" s="90">
        <v>0.16500000000000001</v>
      </c>
    </row>
    <row r="23" spans="1:5" x14ac:dyDescent="0.35">
      <c r="A23" s="90" t="s">
        <v>294</v>
      </c>
      <c r="B23" s="108" t="s">
        <v>295</v>
      </c>
      <c r="C23" s="109">
        <v>-90</v>
      </c>
      <c r="D23" s="110">
        <v>90</v>
      </c>
      <c r="E23" s="90">
        <v>52</v>
      </c>
    </row>
    <row r="24" spans="1:5" x14ac:dyDescent="0.35">
      <c r="A24" s="90" t="s">
        <v>333</v>
      </c>
      <c r="B24" s="108" t="s">
        <v>278</v>
      </c>
      <c r="C24" s="109">
        <v>0</v>
      </c>
      <c r="D24" s="110">
        <v>0</v>
      </c>
      <c r="E24" s="90">
        <v>12</v>
      </c>
    </row>
    <row r="25" spans="1:5" x14ac:dyDescent="0.35">
      <c r="A25" s="90" t="s">
        <v>334</v>
      </c>
      <c r="B25" s="108" t="s">
        <v>278</v>
      </c>
      <c r="C25" s="109">
        <v>0</v>
      </c>
      <c r="D25" s="110">
        <v>0</v>
      </c>
      <c r="E25" s="90">
        <v>10</v>
      </c>
    </row>
    <row r="26" spans="1:5" x14ac:dyDescent="0.35">
      <c r="A26" s="90" t="s">
        <v>335</v>
      </c>
      <c r="B26" s="108" t="s">
        <v>336</v>
      </c>
      <c r="C26" s="109">
        <v>0</v>
      </c>
      <c r="D26" s="110">
        <v>0</v>
      </c>
      <c r="E26" s="90">
        <v>40</v>
      </c>
    </row>
    <row r="27" spans="1:5" x14ac:dyDescent="0.35">
      <c r="A27" s="90" t="s">
        <v>337</v>
      </c>
      <c r="B27" s="108" t="s">
        <v>338</v>
      </c>
      <c r="C27" s="109">
        <v>0</v>
      </c>
      <c r="D27" s="110">
        <v>0</v>
      </c>
      <c r="E27" s="90">
        <v>5</v>
      </c>
    </row>
    <row r="28" spans="1:5" x14ac:dyDescent="0.35">
      <c r="A28" s="90" t="s">
        <v>339</v>
      </c>
      <c r="B28" s="108" t="s">
        <v>279</v>
      </c>
      <c r="C28" s="109">
        <v>0</v>
      </c>
      <c r="D28" s="110">
        <v>0</v>
      </c>
      <c r="E28" s="90">
        <v>0</v>
      </c>
    </row>
    <row r="29" spans="1:5" x14ac:dyDescent="0.35">
      <c r="A29" s="90" t="s">
        <v>350</v>
      </c>
      <c r="B29" s="108" t="s">
        <v>279</v>
      </c>
      <c r="C29" s="109">
        <v>0</v>
      </c>
      <c r="D29" s="110">
        <v>0</v>
      </c>
      <c r="E29" s="90">
        <v>20</v>
      </c>
    </row>
    <row r="30" spans="1:5" x14ac:dyDescent="0.35">
      <c r="A30" s="90" t="s">
        <v>340</v>
      </c>
      <c r="B30" s="108">
        <v>0</v>
      </c>
      <c r="C30" s="109">
        <v>0</v>
      </c>
      <c r="D30" s="110">
        <v>0</v>
      </c>
      <c r="E30" s="90">
        <v>0.2</v>
      </c>
    </row>
    <row r="31" spans="1:5" x14ac:dyDescent="0.35">
      <c r="A31" s="90" t="s">
        <v>341</v>
      </c>
      <c r="B31" s="108" t="s">
        <v>342</v>
      </c>
      <c r="C31" s="109">
        <v>0</v>
      </c>
      <c r="D31" s="110">
        <v>0</v>
      </c>
      <c r="E31" s="90">
        <v>0.5</v>
      </c>
    </row>
    <row r="32" spans="1:5" x14ac:dyDescent="0.35">
      <c r="A32" s="90" t="s">
        <v>343</v>
      </c>
      <c r="B32" s="108" t="s">
        <v>344</v>
      </c>
      <c r="C32" s="109">
        <v>0</v>
      </c>
      <c r="D32" s="110">
        <v>0</v>
      </c>
      <c r="E32" s="90">
        <v>9999000</v>
      </c>
    </row>
    <row r="33" spans="1:5" x14ac:dyDescent="0.35">
      <c r="A33" s="90" t="s">
        <v>345</v>
      </c>
      <c r="B33" s="108" t="s">
        <v>344</v>
      </c>
      <c r="C33" s="109">
        <v>0</v>
      </c>
      <c r="D33" s="110">
        <v>0</v>
      </c>
      <c r="E33" s="90">
        <v>9999000</v>
      </c>
    </row>
    <row r="34" spans="1:5" x14ac:dyDescent="0.35">
      <c r="A34" s="90" t="s">
        <v>346</v>
      </c>
      <c r="B34" s="108" t="s">
        <v>336</v>
      </c>
      <c r="C34" s="109">
        <v>0</v>
      </c>
      <c r="D34" s="110">
        <v>0</v>
      </c>
      <c r="E34" s="90">
        <v>10</v>
      </c>
    </row>
    <row r="35" spans="1:5" x14ac:dyDescent="0.35">
      <c r="A35" s="90" t="s">
        <v>347</v>
      </c>
      <c r="B35" s="108">
        <v>0</v>
      </c>
      <c r="C35" s="109">
        <v>0</v>
      </c>
      <c r="D35" s="110">
        <v>0</v>
      </c>
      <c r="E35" s="90">
        <v>0.95</v>
      </c>
    </row>
    <row r="36" spans="1:5" x14ac:dyDescent="0.35">
      <c r="A36" s="90" t="s">
        <v>348</v>
      </c>
      <c r="B36" s="108">
        <v>0</v>
      </c>
      <c r="C36" s="109">
        <v>0</v>
      </c>
      <c r="D36" s="110">
        <v>0</v>
      </c>
      <c r="E36" s="90">
        <v>0.5</v>
      </c>
    </row>
    <row r="37" spans="1:5" x14ac:dyDescent="0.35">
      <c r="A37" s="90" t="s">
        <v>349</v>
      </c>
      <c r="B37" s="108" t="s">
        <v>283</v>
      </c>
      <c r="C37" s="109">
        <v>0</v>
      </c>
      <c r="D37" s="110">
        <v>0</v>
      </c>
      <c r="E37" s="90">
        <v>9.9999999999999997E-29</v>
      </c>
    </row>
    <row r="38" spans="1:5" x14ac:dyDescent="0.35">
      <c r="A38" s="90"/>
      <c r="B38" s="108"/>
      <c r="C38" s="127"/>
      <c r="D38" s="127"/>
      <c r="E38" s="90"/>
    </row>
    <row r="39" spans="1:5" x14ac:dyDescent="0.35">
      <c r="A39" s="90"/>
      <c r="B39" s="108"/>
      <c r="C39" s="127"/>
      <c r="D39" s="127"/>
      <c r="E39" s="90"/>
    </row>
    <row r="40" spans="1:5" x14ac:dyDescent="0.35">
      <c r="A40" s="90"/>
      <c r="B40" s="108"/>
      <c r="C40" s="127"/>
      <c r="D40" s="127"/>
      <c r="E40" s="90"/>
    </row>
    <row r="41" spans="1:5" x14ac:dyDescent="0.35">
      <c r="A41" s="126" t="s">
        <v>330</v>
      </c>
    </row>
    <row r="42" spans="1:5" x14ac:dyDescent="0.35">
      <c r="A42" s="117"/>
      <c r="B42" s="118" t="s">
        <v>302</v>
      </c>
      <c r="C42" s="119" t="s">
        <v>303</v>
      </c>
      <c r="D42" s="120" t="s">
        <v>304</v>
      </c>
      <c r="E42" s="121" t="s">
        <v>305</v>
      </c>
    </row>
    <row r="43" spans="1:5" x14ac:dyDescent="0.35">
      <c r="A43" s="122" t="s">
        <v>306</v>
      </c>
      <c r="B43">
        <v>0</v>
      </c>
      <c r="C43">
        <v>1</v>
      </c>
      <c r="D43">
        <v>-1</v>
      </c>
      <c r="E43" s="123">
        <v>3</v>
      </c>
    </row>
    <row r="44" spans="1:5" x14ac:dyDescent="0.35">
      <c r="A44" s="122" t="s">
        <v>307</v>
      </c>
      <c r="B44">
        <v>3</v>
      </c>
      <c r="C44">
        <v>3</v>
      </c>
      <c r="D44">
        <v>3</v>
      </c>
      <c r="E44">
        <v>3</v>
      </c>
    </row>
    <row r="45" spans="1:5" x14ac:dyDescent="0.35">
      <c r="A45" s="122" t="s">
        <v>308</v>
      </c>
      <c r="B45">
        <v>0</v>
      </c>
      <c r="C45">
        <v>1</v>
      </c>
      <c r="D45">
        <v>0</v>
      </c>
      <c r="E45">
        <v>0</v>
      </c>
    </row>
    <row r="46" spans="1:5" x14ac:dyDescent="0.35">
      <c r="A46" s="122" t="s">
        <v>309</v>
      </c>
      <c r="B46">
        <v>0</v>
      </c>
      <c r="C46">
        <v>0</v>
      </c>
      <c r="D46">
        <v>2</v>
      </c>
      <c r="E46">
        <v>3</v>
      </c>
    </row>
    <row r="47" spans="1:5" x14ac:dyDescent="0.35">
      <c r="A47" s="122" t="s">
        <v>310</v>
      </c>
      <c r="B47">
        <v>0</v>
      </c>
      <c r="C47">
        <v>0</v>
      </c>
      <c r="D47">
        <v>0</v>
      </c>
      <c r="E47">
        <v>0</v>
      </c>
    </row>
    <row r="48" spans="1:5" x14ac:dyDescent="0.35">
      <c r="A48" s="122" t="s">
        <v>311</v>
      </c>
      <c r="B48">
        <v>0</v>
      </c>
      <c r="C48">
        <v>0</v>
      </c>
      <c r="D48">
        <v>0</v>
      </c>
      <c r="E48">
        <v>0</v>
      </c>
    </row>
    <row r="49" spans="1:5" x14ac:dyDescent="0.35">
      <c r="A49" s="122" t="s">
        <v>312</v>
      </c>
      <c r="B49">
        <v>0</v>
      </c>
      <c r="C49">
        <v>0</v>
      </c>
      <c r="D49">
        <v>0</v>
      </c>
      <c r="E49">
        <v>0</v>
      </c>
    </row>
    <row r="50" spans="1:5" x14ac:dyDescent="0.35">
      <c r="A50" s="122" t="s">
        <v>313</v>
      </c>
      <c r="B50">
        <v>50</v>
      </c>
      <c r="C50">
        <v>50</v>
      </c>
      <c r="D50">
        <v>50</v>
      </c>
      <c r="E50">
        <v>50</v>
      </c>
    </row>
    <row r="51" spans="1:5" x14ac:dyDescent="0.35">
      <c r="A51" s="122" t="s">
        <v>314</v>
      </c>
      <c r="B51">
        <v>50</v>
      </c>
      <c r="C51">
        <v>50</v>
      </c>
      <c r="D51">
        <v>0</v>
      </c>
      <c r="E51">
        <v>0</v>
      </c>
    </row>
    <row r="52" spans="1:5" x14ac:dyDescent="0.35">
      <c r="A52" s="122" t="s">
        <v>315</v>
      </c>
      <c r="B52">
        <v>1E-3</v>
      </c>
      <c r="C52">
        <v>1E-3</v>
      </c>
      <c r="D52">
        <v>1E-3</v>
      </c>
      <c r="E52">
        <v>1E-3</v>
      </c>
    </row>
    <row r="53" spans="1:5" x14ac:dyDescent="0.35">
      <c r="A53" s="122" t="s">
        <v>316</v>
      </c>
      <c r="B53">
        <v>1E-4</v>
      </c>
      <c r="C53">
        <v>1E-4</v>
      </c>
      <c r="D53">
        <v>1E-4</v>
      </c>
      <c r="E53">
        <v>1E-4</v>
      </c>
    </row>
    <row r="54" spans="1:5" x14ac:dyDescent="0.35">
      <c r="A54" s="122" t="s">
        <v>317</v>
      </c>
      <c r="B54">
        <v>0</v>
      </c>
      <c r="C54">
        <v>0</v>
      </c>
      <c r="D54">
        <v>0</v>
      </c>
      <c r="E54">
        <v>0</v>
      </c>
    </row>
    <row r="55" spans="1:5" x14ac:dyDescent="0.35">
      <c r="A55" s="122" t="s">
        <v>318</v>
      </c>
      <c r="B55">
        <v>7</v>
      </c>
      <c r="C55">
        <v>7</v>
      </c>
      <c r="D55">
        <v>1</v>
      </c>
      <c r="E55">
        <v>1</v>
      </c>
    </row>
    <row r="56" spans="1:5" x14ac:dyDescent="0.35">
      <c r="A56" s="122" t="s">
        <v>319</v>
      </c>
      <c r="B56">
        <v>1</v>
      </c>
      <c r="C56">
        <v>1</v>
      </c>
      <c r="D56">
        <v>1</v>
      </c>
      <c r="E56">
        <v>1</v>
      </c>
    </row>
    <row r="57" spans="1:5" x14ac:dyDescent="0.35">
      <c r="A57" s="122" t="s">
        <v>320</v>
      </c>
      <c r="B57">
        <v>49</v>
      </c>
      <c r="C57">
        <v>49</v>
      </c>
      <c r="D57">
        <v>24</v>
      </c>
      <c r="E57">
        <v>24</v>
      </c>
    </row>
    <row r="58" spans="1:5" x14ac:dyDescent="0.35">
      <c r="A58" s="122" t="s">
        <v>321</v>
      </c>
      <c r="B58">
        <v>150</v>
      </c>
      <c r="C58">
        <v>150</v>
      </c>
      <c r="D58">
        <v>150</v>
      </c>
      <c r="E58">
        <v>150</v>
      </c>
    </row>
    <row r="59" spans="1:5" x14ac:dyDescent="0.35">
      <c r="A59" s="122" t="s">
        <v>322</v>
      </c>
      <c r="B59">
        <v>210</v>
      </c>
      <c r="C59">
        <v>210</v>
      </c>
      <c r="D59">
        <v>210</v>
      </c>
      <c r="E59">
        <v>210</v>
      </c>
    </row>
    <row r="60" spans="1:5" x14ac:dyDescent="0.35">
      <c r="A60" s="122" t="s">
        <v>323</v>
      </c>
      <c r="B60">
        <v>0.01</v>
      </c>
      <c r="C60">
        <v>0.01</v>
      </c>
      <c r="D60">
        <v>0.01</v>
      </c>
      <c r="E60">
        <v>0.01</v>
      </c>
    </row>
    <row r="61" spans="1:5" x14ac:dyDescent="0.35">
      <c r="A61" s="122" t="s">
        <v>324</v>
      </c>
      <c r="B61">
        <v>0.05</v>
      </c>
      <c r="C61">
        <v>0.05</v>
      </c>
      <c r="D61">
        <v>0.05</v>
      </c>
      <c r="E61">
        <v>0.05</v>
      </c>
    </row>
    <row r="62" spans="1:5" x14ac:dyDescent="0.35">
      <c r="A62" t="s">
        <v>325</v>
      </c>
      <c r="B62">
        <v>1E-3</v>
      </c>
      <c r="C62">
        <v>1E-3</v>
      </c>
      <c r="D62">
        <v>1E-3</v>
      </c>
      <c r="E62">
        <v>1E-3</v>
      </c>
    </row>
    <row r="63" spans="1:5" x14ac:dyDescent="0.35">
      <c r="A63" s="124" t="s">
        <v>326</v>
      </c>
      <c r="B63" t="s">
        <v>327</v>
      </c>
    </row>
    <row r="64" spans="1:5" x14ac:dyDescent="0.35">
      <c r="A64" s="124" t="s">
        <v>328</v>
      </c>
      <c r="B64" s="125" t="s">
        <v>329</v>
      </c>
    </row>
  </sheetData>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B60A5F39FDA54B8A45D85333B6913C" ma:contentTypeVersion="13" ma:contentTypeDescription="Een nieuw document maken." ma:contentTypeScope="" ma:versionID="15e07ab2c3911ffbe93c3199b487d71f">
  <xsd:schema xmlns:xsd="http://www.w3.org/2001/XMLSchema" xmlns:xs="http://www.w3.org/2001/XMLSchema" xmlns:p="http://schemas.microsoft.com/office/2006/metadata/properties" xmlns:ns3="301f3063-4bc9-447e-bd0a-a92ce02a05ad" xmlns:ns4="3661713a-e951-4e5d-bcf2-eea9cb023c5c" targetNamespace="http://schemas.microsoft.com/office/2006/metadata/properties" ma:root="true" ma:fieldsID="d4be55e56a7aa00bd7529004870b738f" ns3:_="" ns4:_="">
    <xsd:import namespace="301f3063-4bc9-447e-bd0a-a92ce02a05ad"/>
    <xsd:import namespace="3661713a-e951-4e5d-bcf2-eea9cb023c5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GenerationTime" minOccurs="0"/>
                <xsd:element ref="ns4:MediaServiceEventHashCode" minOccurs="0"/>
                <xsd:element ref="ns4:MediaServiceOCR"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1f3063-4bc9-447e-bd0a-a92ce02a05ad" elementFormDefault="qualified">
    <xsd:import namespace="http://schemas.microsoft.com/office/2006/documentManagement/types"/>
    <xsd:import namespace="http://schemas.microsoft.com/office/infopath/2007/PartnerControls"/>
    <xsd:element name="SharedWithUsers" ma:index="8"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internalName="SharedWithDetails" ma:readOnly="true">
      <xsd:simpleType>
        <xsd:restriction base="dms:Note">
          <xsd:maxLength value="255"/>
        </xsd:restriction>
      </xsd:simpleType>
    </xsd:element>
    <xsd:element name="SharingHintHash" ma:index="10" nillable="true" ma:displayName="Hint-hash dele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661713a-e951-4e5d-bcf2-eea9cb023c5c"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C7DBDE-4D84-4A9E-8684-D015AA563E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1f3063-4bc9-447e-bd0a-a92ce02a05ad"/>
    <ds:schemaRef ds:uri="3661713a-e951-4e5d-bcf2-eea9cb023c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7056C66-B562-45B7-8672-E54297C6F2E0}">
  <ds:schemaRefs>
    <ds:schemaRef ds:uri="http://purl.org/dc/terms/"/>
    <ds:schemaRef ds:uri="301f3063-4bc9-447e-bd0a-a92ce02a05ad"/>
    <ds:schemaRef ds:uri="http://schemas.microsoft.com/office/2006/documentManagement/types"/>
    <ds:schemaRef ds:uri="http://schemas.microsoft.com/office/infopath/2007/PartnerControls"/>
    <ds:schemaRef ds:uri="http://purl.org/dc/elements/1.1/"/>
    <ds:schemaRef ds:uri="http://schemas.microsoft.com/office/2006/metadata/properties"/>
    <ds:schemaRef ds:uri="3661713a-e951-4e5d-bcf2-eea9cb023c5c"/>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CDBD3FDC-D899-480C-B7A5-F4ABB93A1E1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 me</vt:lpstr>
      <vt:lpstr>STEP 1 Water Balance</vt:lpstr>
      <vt:lpstr>STEP 2 Nutrient Balance</vt:lpstr>
      <vt:lpstr>STEP 3 Other parameters</vt:lpstr>
      <vt:lpstr>STEP 4 parameters PCLake</vt:lpstr>
      <vt:lpstr>STEP 5 think of switches</vt:lpstr>
      <vt:lpstr>Settings PCLake</vt:lpstr>
    </vt:vector>
  </TitlesOfParts>
  <Company>Wageningen University and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Anonymous</dc:creator>
  <cp:lastModifiedBy>Janssen, Annette</cp:lastModifiedBy>
  <dcterms:created xsi:type="dcterms:W3CDTF">2020-08-26T13:35:39Z</dcterms:created>
  <dcterms:modified xsi:type="dcterms:W3CDTF">2020-09-23T08:42:24Z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0x01010081B60A5F39FDA54B8A45D85333B6913C</vt:lpwstr>
  </property>
</Properties>
</file>