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016"/>
  <workbookPr defaultThemeVersion="124226"/>
  <bookViews>
    <workbookView xWindow="240" yWindow="60" windowWidth="20055" windowHeight="7950" xr2:uid="{00000000-000D-0000-FFFF-FFFF00000000}"/>
  </bookViews>
  <sheets>
    <sheet name="lista de material " sheetId="1" r:id="rId1"/>
    <sheet name="vta del dia" sheetId="2" r:id="rId2"/>
    <sheet name="gastos vetas y ganacias" sheetId="3" r:id="rId3"/>
    <sheet name="Hoja4" sheetId="4" r:id="rId4"/>
    <sheet name="Hoja1" sheetId="5" r:id="rId5"/>
    <sheet name="Hoja2" sheetId="6" r:id="rId6"/>
  </sheets>
  <calcPr calcId="171026"/>
</workbook>
</file>

<file path=xl/calcChain.xml><?xml version="1.0" encoding="utf-8"?>
<calcChain xmlns="http://schemas.openxmlformats.org/spreadsheetml/2006/main">
  <c r="V46" i="2" l="1"/>
  <c r="V45" i="2"/>
  <c r="U45" i="2"/>
  <c r="U36" i="2"/>
  <c r="Q46" i="2"/>
  <c r="P46" i="2"/>
  <c r="R46" i="2"/>
  <c r="Q45" i="2"/>
  <c r="P45" i="2"/>
  <c r="O45" i="2"/>
  <c r="P14" i="2"/>
  <c r="S14" i="2"/>
  <c r="R14" i="2"/>
  <c r="P13" i="2"/>
  <c r="M52" i="2"/>
  <c r="M51" i="2"/>
  <c r="M50" i="2"/>
  <c r="M49" i="2"/>
  <c r="N43" i="2"/>
  <c r="N45" i="2"/>
  <c r="N15" i="3"/>
  <c r="N14" i="3"/>
  <c r="D85" i="3"/>
  <c r="E82" i="3"/>
  <c r="B81" i="3"/>
  <c r="J80" i="3"/>
  <c r="K80" i="3"/>
  <c r="K79" i="3"/>
  <c r="J79" i="3"/>
  <c r="K78" i="3"/>
  <c r="J78" i="3"/>
  <c r="K77" i="3"/>
  <c r="J77" i="3"/>
  <c r="K76" i="3"/>
  <c r="J76" i="3"/>
  <c r="J75" i="3"/>
  <c r="K75" i="3"/>
  <c r="K74" i="3"/>
  <c r="J74" i="3"/>
  <c r="I82" i="3"/>
  <c r="G74" i="3"/>
  <c r="F20" i="2"/>
  <c r="E75" i="3"/>
  <c r="D75" i="3"/>
  <c r="D81" i="3"/>
  <c r="C86" i="3"/>
  <c r="I81" i="3"/>
  <c r="H81" i="3"/>
  <c r="G81" i="3"/>
  <c r="F81" i="3"/>
  <c r="E81" i="3"/>
  <c r="C81" i="3"/>
  <c r="K81" i="3"/>
  <c r="J81" i="3"/>
  <c r="P7" i="2"/>
  <c r="S7" i="2"/>
  <c r="R7" i="2"/>
  <c r="C83" i="3"/>
  <c r="C84" i="3"/>
  <c r="C85" i="3"/>
  <c r="R15" i="2"/>
  <c r="P15" i="2"/>
  <c r="S15" i="2"/>
  <c r="H91" i="2"/>
  <c r="E91" i="2"/>
  <c r="G91" i="2"/>
  <c r="H90" i="2"/>
  <c r="E90" i="2"/>
  <c r="G90" i="2"/>
  <c r="G92" i="2"/>
  <c r="H92" i="2"/>
  <c r="K59" i="3"/>
  <c r="J59" i="3"/>
  <c r="K58" i="3"/>
  <c r="J58" i="3"/>
  <c r="K57" i="3"/>
  <c r="J57" i="3"/>
  <c r="K56" i="3"/>
  <c r="J55" i="3"/>
  <c r="H74" i="2"/>
  <c r="E74" i="2"/>
  <c r="G74" i="2"/>
  <c r="E15" i="2"/>
  <c r="G15" i="2"/>
  <c r="H15" i="2"/>
  <c r="E73" i="2"/>
  <c r="G73" i="2"/>
  <c r="H73" i="2"/>
  <c r="E72" i="2"/>
  <c r="G72" i="2"/>
  <c r="H72" i="2"/>
  <c r="E79" i="2"/>
  <c r="G79" i="2"/>
  <c r="H79" i="2"/>
  <c r="G45" i="3"/>
  <c r="I45" i="3"/>
  <c r="C49" i="3"/>
  <c r="C67" i="3"/>
  <c r="J62" i="3"/>
  <c r="I62" i="3"/>
  <c r="H62" i="3"/>
  <c r="G62" i="3"/>
  <c r="F62" i="3"/>
  <c r="E62" i="3"/>
  <c r="D62" i="3"/>
  <c r="C62" i="3"/>
  <c r="K62" i="3"/>
  <c r="K38" i="3"/>
  <c r="C28" i="3"/>
  <c r="G28" i="3"/>
  <c r="I28" i="3"/>
  <c r="C32" i="3"/>
  <c r="K37" i="3"/>
  <c r="K42" i="3"/>
  <c r="J42" i="3"/>
  <c r="K41" i="3"/>
  <c r="J41" i="3"/>
  <c r="K40" i="3"/>
  <c r="J39" i="3"/>
  <c r="J40" i="3"/>
  <c r="K39" i="3"/>
  <c r="O91" i="1"/>
  <c r="N91" i="1"/>
  <c r="T24" i="1"/>
  <c r="S24" i="1"/>
  <c r="J38" i="3"/>
  <c r="P34" i="2"/>
  <c r="S34" i="2"/>
  <c r="R34" i="2"/>
  <c r="J37" i="3"/>
  <c r="I44" i="3"/>
  <c r="H44" i="3"/>
  <c r="G44" i="3"/>
  <c r="F44" i="3"/>
  <c r="E44" i="3"/>
  <c r="D44" i="3"/>
  <c r="C44" i="3"/>
  <c r="J44" i="3"/>
  <c r="K26" i="3"/>
  <c r="K25" i="3"/>
  <c r="J25" i="3"/>
  <c r="K24" i="3"/>
  <c r="J24" i="3"/>
  <c r="H7" i="2"/>
  <c r="E7" i="2"/>
  <c r="G7" i="2"/>
  <c r="E14" i="2"/>
  <c r="G14" i="2"/>
  <c r="H14" i="2"/>
  <c r="H80" i="2"/>
  <c r="E80" i="2"/>
  <c r="G80" i="2"/>
  <c r="E78" i="2"/>
  <c r="G78" i="2"/>
  <c r="H78" i="2"/>
  <c r="D16" i="3"/>
  <c r="K23" i="3"/>
  <c r="J23" i="3"/>
  <c r="K22" i="3"/>
  <c r="J22" i="3"/>
  <c r="I13" i="3"/>
  <c r="P33" i="2"/>
  <c r="S33" i="2"/>
  <c r="R33" i="2"/>
  <c r="P28" i="2"/>
  <c r="S28" i="2"/>
  <c r="H87" i="2"/>
  <c r="E87" i="2"/>
  <c r="G87" i="2"/>
  <c r="J21" i="3"/>
  <c r="K21" i="3"/>
  <c r="Q22" i="3"/>
  <c r="K20" i="3"/>
  <c r="J20" i="3"/>
  <c r="J27" i="3"/>
  <c r="R32" i="2"/>
  <c r="R31" i="2"/>
  <c r="P32" i="2"/>
  <c r="S32" i="2"/>
  <c r="P31" i="2"/>
  <c r="S31" i="2"/>
  <c r="J11" i="3"/>
  <c r="K11" i="3"/>
  <c r="K10" i="3"/>
  <c r="K5" i="3"/>
  <c r="K6" i="3"/>
  <c r="K7" i="3"/>
  <c r="K8" i="3"/>
  <c r="K9" i="3"/>
  <c r="K12" i="3"/>
  <c r="J10" i="3"/>
  <c r="B12" i="3"/>
  <c r="I27" i="3"/>
  <c r="H27" i="3"/>
  <c r="G27" i="3"/>
  <c r="F27" i="3"/>
  <c r="E27" i="3"/>
  <c r="D27" i="3"/>
  <c r="C27" i="3"/>
  <c r="K27" i="3"/>
  <c r="Q21" i="3"/>
  <c r="C13" i="3"/>
  <c r="G13" i="3"/>
  <c r="E12" i="3"/>
  <c r="D12" i="3"/>
  <c r="H86" i="2"/>
  <c r="E86" i="2"/>
  <c r="G86" i="2"/>
  <c r="E76" i="2"/>
  <c r="G76" i="2"/>
  <c r="H76" i="2"/>
  <c r="H75" i="2"/>
  <c r="E75" i="2"/>
  <c r="G75" i="2"/>
  <c r="J5" i="3"/>
  <c r="J6" i="3"/>
  <c r="J7" i="3"/>
  <c r="J8" i="3"/>
  <c r="J9" i="3"/>
  <c r="J12" i="3"/>
  <c r="H12" i="3"/>
  <c r="F12" i="3"/>
  <c r="C14" i="3"/>
  <c r="I12" i="3"/>
  <c r="G12" i="3"/>
  <c r="C12" i="3"/>
  <c r="E77" i="2"/>
  <c r="G77" i="2"/>
  <c r="H77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6" i="2"/>
  <c r="R5" i="2"/>
  <c r="R4" i="2"/>
  <c r="P30" i="2"/>
  <c r="S30" i="2"/>
  <c r="P29" i="2"/>
  <c r="S29" i="2"/>
  <c r="P27" i="2"/>
  <c r="S27" i="2"/>
  <c r="P26" i="2"/>
  <c r="S26" i="2"/>
  <c r="P25" i="2"/>
  <c r="S25" i="2"/>
  <c r="P24" i="2"/>
  <c r="S24" i="2"/>
  <c r="P23" i="2"/>
  <c r="S23" i="2"/>
  <c r="P22" i="2"/>
  <c r="S22" i="2"/>
  <c r="P21" i="2"/>
  <c r="S21" i="2"/>
  <c r="P20" i="2"/>
  <c r="S20" i="2"/>
  <c r="P19" i="2"/>
  <c r="S19" i="2"/>
  <c r="P18" i="2"/>
  <c r="S18" i="2"/>
  <c r="P17" i="2"/>
  <c r="S17" i="2"/>
  <c r="P16" i="2"/>
  <c r="S16" i="2"/>
  <c r="S13" i="2"/>
  <c r="P12" i="2"/>
  <c r="S12" i="2"/>
  <c r="P11" i="2"/>
  <c r="S11" i="2"/>
  <c r="P10" i="2"/>
  <c r="S10" i="2"/>
  <c r="P9" i="2"/>
  <c r="S9" i="2"/>
  <c r="P6" i="2"/>
  <c r="S6" i="2"/>
  <c r="P5" i="2"/>
  <c r="S5" i="2"/>
  <c r="P4" i="2"/>
  <c r="S4" i="2"/>
  <c r="P8" i="2"/>
  <c r="S8" i="2"/>
  <c r="K90" i="1"/>
  <c r="K76" i="1"/>
  <c r="K62" i="1"/>
  <c r="K49" i="1"/>
  <c r="O24" i="1"/>
  <c r="N11" i="1"/>
  <c r="K37" i="1"/>
  <c r="K24" i="1"/>
  <c r="L11" i="1"/>
  <c r="K11" i="1"/>
  <c r="R20" i="3"/>
  <c r="Q20" i="3"/>
  <c r="N13" i="3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3" i="2"/>
  <c r="H12" i="2"/>
  <c r="H11" i="2"/>
  <c r="H10" i="2"/>
  <c r="H9" i="2"/>
  <c r="H8" i="2"/>
  <c r="H6" i="2"/>
  <c r="H5" i="2"/>
  <c r="H4" i="2"/>
  <c r="E71" i="2"/>
  <c r="G71" i="2"/>
  <c r="E70" i="2"/>
  <c r="G70" i="2"/>
  <c r="E69" i="2"/>
  <c r="G69" i="2"/>
  <c r="E68" i="2"/>
  <c r="G68" i="2"/>
  <c r="E67" i="2"/>
  <c r="G67" i="2"/>
  <c r="E66" i="2"/>
  <c r="G66" i="2"/>
  <c r="E65" i="2"/>
  <c r="G65" i="2"/>
  <c r="E64" i="2"/>
  <c r="G64" i="2"/>
  <c r="E63" i="2"/>
  <c r="G63" i="2"/>
  <c r="E62" i="2"/>
  <c r="G62" i="2"/>
  <c r="E61" i="2"/>
  <c r="G61" i="2"/>
  <c r="E60" i="2"/>
  <c r="G60" i="2"/>
  <c r="E59" i="2"/>
  <c r="G59" i="2"/>
  <c r="E58" i="2"/>
  <c r="G58" i="2"/>
  <c r="E57" i="2"/>
  <c r="G57" i="2"/>
  <c r="E56" i="2"/>
  <c r="G56" i="2"/>
  <c r="E55" i="2"/>
  <c r="G55" i="2"/>
  <c r="E54" i="2"/>
  <c r="G54" i="2"/>
  <c r="E53" i="2"/>
  <c r="G53" i="2"/>
  <c r="E52" i="2"/>
  <c r="G52" i="2"/>
  <c r="E51" i="2"/>
  <c r="G51" i="2"/>
  <c r="E50" i="2"/>
  <c r="G50" i="2"/>
  <c r="E49" i="2"/>
  <c r="G49" i="2"/>
  <c r="E48" i="2"/>
  <c r="G48" i="2"/>
  <c r="E47" i="2"/>
  <c r="G47" i="2"/>
  <c r="E46" i="2"/>
  <c r="G46" i="2"/>
  <c r="E45" i="2"/>
  <c r="G45" i="2"/>
  <c r="E44" i="2"/>
  <c r="G44" i="2"/>
  <c r="E43" i="2"/>
  <c r="G43" i="2"/>
  <c r="E42" i="2"/>
  <c r="G42" i="2"/>
  <c r="E41" i="2"/>
  <c r="G41" i="2"/>
  <c r="E40" i="2"/>
  <c r="G40" i="2"/>
  <c r="E39" i="2"/>
  <c r="G39" i="2"/>
  <c r="E38" i="2"/>
  <c r="G38" i="2"/>
  <c r="E37" i="2"/>
  <c r="G37" i="2"/>
  <c r="E36" i="2"/>
  <c r="G36" i="2"/>
  <c r="E35" i="2"/>
  <c r="G35" i="2"/>
  <c r="E34" i="2"/>
  <c r="G34" i="2"/>
  <c r="E33" i="2"/>
  <c r="G33" i="2"/>
  <c r="E32" i="2"/>
  <c r="G32" i="2"/>
  <c r="E31" i="2"/>
  <c r="G31" i="2"/>
  <c r="E30" i="2"/>
  <c r="G30" i="2"/>
  <c r="E29" i="2"/>
  <c r="G29" i="2"/>
  <c r="E28" i="2"/>
  <c r="G28" i="2"/>
  <c r="E27" i="2"/>
  <c r="G27" i="2"/>
  <c r="E26" i="2"/>
  <c r="G26" i="2"/>
  <c r="E25" i="2"/>
  <c r="G25" i="2"/>
  <c r="E24" i="2"/>
  <c r="G24" i="2"/>
  <c r="E23" i="2"/>
  <c r="G23" i="2"/>
  <c r="E22" i="2"/>
  <c r="G22" i="2"/>
  <c r="E21" i="2"/>
  <c r="G21" i="2"/>
  <c r="E20" i="2"/>
  <c r="G20" i="2"/>
  <c r="E19" i="2"/>
  <c r="G19" i="2"/>
  <c r="E18" i="2"/>
  <c r="G18" i="2"/>
  <c r="E17" i="2"/>
  <c r="G17" i="2"/>
  <c r="E16" i="2"/>
  <c r="G16" i="2"/>
  <c r="E13" i="2"/>
  <c r="G13" i="2"/>
  <c r="E12" i="2"/>
  <c r="G12" i="2"/>
  <c r="E11" i="2"/>
  <c r="G11" i="2"/>
  <c r="E10" i="2"/>
  <c r="G10" i="2"/>
  <c r="E9" i="2"/>
  <c r="G9" i="2"/>
  <c r="E8" i="2"/>
  <c r="G8" i="2"/>
  <c r="E6" i="2"/>
  <c r="G6" i="2"/>
  <c r="E5" i="2"/>
  <c r="G5" i="2"/>
  <c r="E4" i="2"/>
  <c r="G4" i="2"/>
  <c r="V13" i="1"/>
  <c r="S16" i="1"/>
  <c r="V8" i="1"/>
  <c r="S8" i="1"/>
  <c r="C64" i="3"/>
  <c r="C66" i="3"/>
  <c r="C65" i="3"/>
  <c r="K44" i="3"/>
  <c r="C47" i="3"/>
  <c r="S35" i="2"/>
  <c r="C46" i="3"/>
  <c r="C48" i="3"/>
  <c r="G81" i="2"/>
  <c r="C30" i="3"/>
  <c r="C31" i="3"/>
  <c r="C29" i="3"/>
  <c r="G88" i="2"/>
  <c r="H81" i="2"/>
  <c r="H88" i="2"/>
  <c r="C16" i="3"/>
  <c r="R35" i="2"/>
  <c r="C15" i="3"/>
</calcChain>
</file>

<file path=xl/sharedStrings.xml><?xml version="1.0" encoding="utf-8"?>
<sst xmlns="http://schemas.openxmlformats.org/spreadsheetml/2006/main" count="544" uniqueCount="273">
  <si>
    <t>lista de precios material</t>
  </si>
  <si>
    <t>precio bulto o caja</t>
  </si>
  <si>
    <t>kg o unidad</t>
  </si>
  <si>
    <t>lt</t>
  </si>
  <si>
    <t>precio por caja o volumen</t>
  </si>
  <si>
    <t>unidad o kg</t>
  </si>
  <si>
    <t>pastel chico</t>
  </si>
  <si>
    <t>3 l</t>
  </si>
  <si>
    <t>casero</t>
  </si>
  <si>
    <t>pastel p 70</t>
  </si>
  <si>
    <t>batido de vainilla</t>
  </si>
  <si>
    <t>batido de chocolate</t>
  </si>
  <si>
    <t xml:space="preserve"> harina de trigo</t>
  </si>
  <si>
    <t xml:space="preserve">tabla mega </t>
  </si>
  <si>
    <t>batido</t>
  </si>
  <si>
    <t>harina</t>
  </si>
  <si>
    <t>harina vainilla cremosa</t>
  </si>
  <si>
    <t>tabla completa</t>
  </si>
  <si>
    <t>relleno</t>
  </si>
  <si>
    <t>huevo</t>
  </si>
  <si>
    <t>harina chocolate cremosa</t>
  </si>
  <si>
    <t>tabla 3/4</t>
  </si>
  <si>
    <t>crema</t>
  </si>
  <si>
    <t>leche</t>
  </si>
  <si>
    <t>azucar</t>
  </si>
  <si>
    <t>tabla 1/2</t>
  </si>
  <si>
    <t>margarina</t>
  </si>
  <si>
    <t>vainilla</t>
  </si>
  <si>
    <t>tabla r-40</t>
  </si>
  <si>
    <t>tabla o domo</t>
  </si>
  <si>
    <t>gas</t>
  </si>
  <si>
    <t>manteca vegetal</t>
  </si>
  <si>
    <t>tabla r-38</t>
  </si>
  <si>
    <t xml:space="preserve">color </t>
  </si>
  <si>
    <t>tabla r-36</t>
  </si>
  <si>
    <t>crema: dibujo</t>
  </si>
  <si>
    <t>tabla r34</t>
  </si>
  <si>
    <t>decoracion</t>
  </si>
  <si>
    <t>preparado de leche</t>
  </si>
  <si>
    <t>preparado de crema</t>
  </si>
  <si>
    <t>crema lincont</t>
  </si>
  <si>
    <t>tabla r30</t>
  </si>
  <si>
    <t xml:space="preserve">vitrina </t>
  </si>
  <si>
    <t>lechera</t>
  </si>
  <si>
    <t>crema li</t>
  </si>
  <si>
    <t>base richs</t>
  </si>
  <si>
    <t>tabla r28</t>
  </si>
  <si>
    <t xml:space="preserve">pedido </t>
  </si>
  <si>
    <t>clavel</t>
  </si>
  <si>
    <t>crema base</t>
  </si>
  <si>
    <t>esencia de richs</t>
  </si>
  <si>
    <t>tabla r25</t>
  </si>
  <si>
    <t>chocolate</t>
  </si>
  <si>
    <t>media crema</t>
  </si>
  <si>
    <t>chantilly vainilla</t>
  </si>
  <si>
    <t>vaso para cup cake</t>
  </si>
  <si>
    <t xml:space="preserve">leche  </t>
  </si>
  <si>
    <t>chantilly chocolate</t>
  </si>
  <si>
    <t>domo p-15 pastel</t>
  </si>
  <si>
    <t xml:space="preserve">pastel med </t>
  </si>
  <si>
    <t xml:space="preserve"> pastel para 100</t>
  </si>
  <si>
    <t>esencia</t>
  </si>
  <si>
    <t>100 mlts</t>
  </si>
  <si>
    <t>color en gel</t>
  </si>
  <si>
    <t>domo p-20 pastel</t>
  </si>
  <si>
    <t>domo p-25 pastel</t>
  </si>
  <si>
    <t>domo p-35 pastel</t>
  </si>
  <si>
    <t>domo p-40 pastel</t>
  </si>
  <si>
    <t>betun de matequilla</t>
  </si>
  <si>
    <t>queso crema</t>
  </si>
  <si>
    <t>domo emp 54</t>
  </si>
  <si>
    <t>mantequilla</t>
  </si>
  <si>
    <t xml:space="preserve">gelatina </t>
  </si>
  <si>
    <t>azucar glass</t>
  </si>
  <si>
    <t>ganachs</t>
  </si>
  <si>
    <t>glase</t>
  </si>
  <si>
    <t>durazno</t>
  </si>
  <si>
    <t>piña</t>
  </si>
  <si>
    <t>mermelada de fresa</t>
  </si>
  <si>
    <t>nuez</t>
  </si>
  <si>
    <t>pastel gde</t>
  </si>
  <si>
    <t>pastel de boda 100</t>
  </si>
  <si>
    <t>relleno fresa</t>
  </si>
  <si>
    <t>relleno piña</t>
  </si>
  <si>
    <t>cajeta</t>
  </si>
  <si>
    <t>cereza</t>
  </si>
  <si>
    <t>chcocolate marqueta</t>
  </si>
  <si>
    <t>grenetina</t>
  </si>
  <si>
    <t>vela pirotecnica</t>
  </si>
  <si>
    <t>vela pirotecnica gde</t>
  </si>
  <si>
    <t>vela piro con numero</t>
  </si>
  <si>
    <t>vela de numero</t>
  </si>
  <si>
    <t>vela de numero gorrito</t>
  </si>
  <si>
    <t>vela 2 en 1</t>
  </si>
  <si>
    <t>vela especial pastel</t>
  </si>
  <si>
    <t>pastel p 20</t>
  </si>
  <si>
    <t>pastel boda 150</t>
  </si>
  <si>
    <t>vela de personaje</t>
  </si>
  <si>
    <t>piñata flaca</t>
  </si>
  <si>
    <t>piña cabz chica</t>
  </si>
  <si>
    <t>piñata caz gde</t>
  </si>
  <si>
    <t>piñata bola</t>
  </si>
  <si>
    <t>piñata cars</t>
  </si>
  <si>
    <t>piñata d jerez</t>
  </si>
  <si>
    <t>piñata de cara</t>
  </si>
  <si>
    <t>piñata de camiseta</t>
  </si>
  <si>
    <t>pastel p 30</t>
  </si>
  <si>
    <t>pastel boda 200</t>
  </si>
  <si>
    <t>pastel p 40</t>
  </si>
  <si>
    <t>pastel boda 250</t>
  </si>
  <si>
    <t>pastel p 50</t>
  </si>
  <si>
    <t>pastel boda 300</t>
  </si>
  <si>
    <t>gasolina</t>
  </si>
  <si>
    <t>perlas</t>
  </si>
  <si>
    <t>flores</t>
  </si>
  <si>
    <t>liston</t>
  </si>
  <si>
    <t>pastel boda 400</t>
  </si>
  <si>
    <t xml:space="preserve">venta de la pasteleria </t>
  </si>
  <si>
    <t>barra de postres</t>
  </si>
  <si>
    <t>producto</t>
  </si>
  <si>
    <t xml:space="preserve">a km sale </t>
  </si>
  <si>
    <t>a la vta</t>
  </si>
  <si>
    <t xml:space="preserve">ganancia </t>
  </si>
  <si>
    <t xml:space="preserve">vta </t>
  </si>
  <si>
    <t>total ganancia</t>
  </si>
  <si>
    <t>vta total</t>
  </si>
  <si>
    <t>sale</t>
  </si>
  <si>
    <t>vta</t>
  </si>
  <si>
    <t>ganancia</t>
  </si>
  <si>
    <t>total</t>
  </si>
  <si>
    <t>sandiwch</t>
  </si>
  <si>
    <t>pastel mediano</t>
  </si>
  <si>
    <t>cuerno</t>
  </si>
  <si>
    <t>dona</t>
  </si>
  <si>
    <t>pastel casero</t>
  </si>
  <si>
    <t>pingüino</t>
  </si>
  <si>
    <t>pastel 20</t>
  </si>
  <si>
    <t>pasticeta</t>
  </si>
  <si>
    <t>pastel 30</t>
  </si>
  <si>
    <t>empanada</t>
  </si>
  <si>
    <t>pastel 40</t>
  </si>
  <si>
    <t xml:space="preserve">pay </t>
  </si>
  <si>
    <t>pastel 50</t>
  </si>
  <si>
    <t>pastel</t>
  </si>
  <si>
    <t>pastel 70</t>
  </si>
  <si>
    <t>cup cake</t>
  </si>
  <si>
    <t>pastel 100</t>
  </si>
  <si>
    <t>arroz con leche</t>
  </si>
  <si>
    <t>pastel solo</t>
  </si>
  <si>
    <t>jugo de naranja</t>
  </si>
  <si>
    <t>pastel solo gde</t>
  </si>
  <si>
    <t>brochetas uva</t>
  </si>
  <si>
    <t>cup cake sencillo</t>
  </si>
  <si>
    <t>brawnie</t>
  </si>
  <si>
    <t>cup cake envasado</t>
  </si>
  <si>
    <t>galleta granola</t>
  </si>
  <si>
    <t>cup cake fondant</t>
  </si>
  <si>
    <t>yoguth fruta</t>
  </si>
  <si>
    <t xml:space="preserve">caja pasticeta </t>
  </si>
  <si>
    <t>fruta de vaso</t>
  </si>
  <si>
    <t>pasticeta ind</t>
  </si>
  <si>
    <t>carlota de limon</t>
  </si>
  <si>
    <t>caja de empanada</t>
  </si>
  <si>
    <t>gelatina</t>
  </si>
  <si>
    <t>empanada ind</t>
  </si>
  <si>
    <t>flan</t>
  </si>
  <si>
    <t>caja d galleta granola</t>
  </si>
  <si>
    <t>cereal chico</t>
  </si>
  <si>
    <t>galleta de granola ind</t>
  </si>
  <si>
    <t>cereal gde</t>
  </si>
  <si>
    <t>agua chica</t>
  </si>
  <si>
    <t>gelatina ind</t>
  </si>
  <si>
    <t>agua gde</t>
  </si>
  <si>
    <t>gelatina gde</t>
  </si>
  <si>
    <t>carlota de 3 leches</t>
  </si>
  <si>
    <t>gelatina de 2lts</t>
  </si>
  <si>
    <t>manzana</t>
  </si>
  <si>
    <t>hielito</t>
  </si>
  <si>
    <t>pastel imposible</t>
  </si>
  <si>
    <t>bollos</t>
  </si>
  <si>
    <t>café</t>
  </si>
  <si>
    <t>reb pay</t>
  </si>
  <si>
    <t>malteda choco chica</t>
  </si>
  <si>
    <t>malteada gde</t>
  </si>
  <si>
    <t>brochetas</t>
  </si>
  <si>
    <t>reb pastel</t>
  </si>
  <si>
    <t>cota</t>
  </si>
  <si>
    <t>ayuda</t>
  </si>
  <si>
    <t>domo 54</t>
  </si>
  <si>
    <t xml:space="preserve">yaris </t>
  </si>
  <si>
    <t>pros d barra</t>
  </si>
  <si>
    <t>dulces</t>
  </si>
  <si>
    <t>barra</t>
  </si>
  <si>
    <t>limpieza</t>
  </si>
  <si>
    <t>cuota</t>
  </si>
  <si>
    <t>beca</t>
  </si>
  <si>
    <t>bolsa para regalo chica</t>
  </si>
  <si>
    <t>sra ayudante</t>
  </si>
  <si>
    <t>total utilidad</t>
  </si>
  <si>
    <t>bolsa para regalo mediana</t>
  </si>
  <si>
    <t>casa paste limpieza</t>
  </si>
  <si>
    <t>bolsa para regalo gde</t>
  </si>
  <si>
    <t>vela piro mini</t>
  </si>
  <si>
    <t>400+100+300</t>
  </si>
  <si>
    <t>globos</t>
  </si>
  <si>
    <t>palo de piñata</t>
  </si>
  <si>
    <t>invitaciones</t>
  </si>
  <si>
    <t>chantilly 1/2 lt vainilla</t>
  </si>
  <si>
    <t>chantilly 2lts vainilla</t>
  </si>
  <si>
    <t>bolsa</t>
  </si>
  <si>
    <t>harina preparada</t>
  </si>
  <si>
    <t>molde para cup cake</t>
  </si>
  <si>
    <t>bolsa para bolo economi</t>
  </si>
  <si>
    <t>gelatinas gdes</t>
  </si>
  <si>
    <t>rosca de reyes</t>
  </si>
  <si>
    <t>donas</t>
  </si>
  <si>
    <t>domo para pastel</t>
  </si>
  <si>
    <t>servicio  a domicilio</t>
  </si>
  <si>
    <t>pasteles nissan</t>
  </si>
  <si>
    <t>pasticietas nissan</t>
  </si>
  <si>
    <t>vta de empanada</t>
  </si>
  <si>
    <t>vta de pasticeta</t>
  </si>
  <si>
    <t xml:space="preserve">  </t>
  </si>
  <si>
    <t xml:space="preserve">semana </t>
  </si>
  <si>
    <t>20-26 jun 16</t>
  </si>
  <si>
    <t>ventas y ganancias</t>
  </si>
  <si>
    <t>pasteleria</t>
  </si>
  <si>
    <t>gastos paste</t>
  </si>
  <si>
    <t>gastos casa</t>
  </si>
  <si>
    <t>gastos mensuales</t>
  </si>
  <si>
    <t>casa</t>
  </si>
  <si>
    <t>mes</t>
  </si>
  <si>
    <t>semana</t>
  </si>
  <si>
    <t>vta emp gall</t>
  </si>
  <si>
    <t>paste nissan</t>
  </si>
  <si>
    <t>vta paste</t>
  </si>
  <si>
    <t>ganancias</t>
  </si>
  <si>
    <t>renta</t>
  </si>
  <si>
    <t>agua</t>
  </si>
  <si>
    <t>luz</t>
  </si>
  <si>
    <t>internet</t>
  </si>
  <si>
    <t>sra aseo</t>
  </si>
  <si>
    <t>aux de reposteria</t>
  </si>
  <si>
    <t>plan telcel</t>
  </si>
  <si>
    <t>panadero</t>
  </si>
  <si>
    <t>carne</t>
  </si>
  <si>
    <t>telefono</t>
  </si>
  <si>
    <t>fruta</t>
  </si>
  <si>
    <t>mandado</t>
  </si>
  <si>
    <t>cenas</t>
  </si>
  <si>
    <t>siria</t>
  </si>
  <si>
    <t>aseo</t>
  </si>
  <si>
    <t>briis</t>
  </si>
  <si>
    <t>comida</t>
  </si>
  <si>
    <t>school</t>
  </si>
  <si>
    <t xml:space="preserve">gastos </t>
  </si>
  <si>
    <t xml:space="preserve">ropa </t>
  </si>
  <si>
    <t>juegos</t>
  </si>
  <si>
    <t>27-3 julio</t>
  </si>
  <si>
    <t>cosas</t>
  </si>
  <si>
    <t>niños</t>
  </si>
  <si>
    <t>aseo casa</t>
  </si>
  <si>
    <t>4-10 julio 16</t>
  </si>
  <si>
    <t>lunes</t>
  </si>
  <si>
    <t>martes</t>
  </si>
  <si>
    <t>miercoles</t>
  </si>
  <si>
    <t>jueves</t>
  </si>
  <si>
    <t>viernes</t>
  </si>
  <si>
    <t>sabado</t>
  </si>
  <si>
    <t>domingo</t>
  </si>
  <si>
    <t>11-17 julio 16</t>
  </si>
  <si>
    <t>23-28 agosto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</si>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</sst>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" xfId="0" applyBorder="1"/>
    <xf numFmtId="0" fontId="9" fillId="0" borderId="1" xfId="0" applyFont="1" applyBorder="1"/>
    <xf numFmtId="0" fontId="10" fillId="0" borderId="0" xfId="0" applyFont="1"/>
    <xf numFmtId="0" fontId="2" fillId="0" borderId="1" xfId="0" applyFont="1" applyBorder="1"/>
    <xf numFmtId="0" fontId="2" fillId="0" borderId="1" xfId="0" applyFont="1" applyFill="1" applyBorder="1"/>
    <xf numFmtId="17" fontId="0" fillId="0" borderId="0" xfId="0" applyNumberFormat="1"/>
    <xf numFmtId="0" fontId="11" fillId="0" borderId="0" xfId="0" applyFont="1"/>
    <xf numFmtId="0" fontId="14" fillId="0" borderId="0" xfId="0" applyFont="1"/>
    <xf numFmtId="0" fontId="15" fillId="0" borderId="0" xfId="0" applyFont="1"/>
    <xf numFmtId="17" fontId="15" fillId="0" borderId="0" xfId="0" applyNumberFormat="1" applyFont="1"/>
    <xf numFmtId="0" fontId="12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17" fontId="0" fillId="0" borderId="0" xfId="0" applyNumberFormat="1" applyFont="1"/>
    <xf numFmtId="0" fontId="19" fillId="0" borderId="0" xfId="0" applyFont="1"/>
    <xf numFmtId="0" fontId="13" fillId="0" borderId="1" xfId="0" applyFont="1" applyBorder="1"/>
    <xf numFmtId="0" fontId="20" fillId="0" borderId="1" xfId="0" applyFont="1" applyBorder="1"/>
    <xf numFmtId="0" fontId="19" fillId="0" borderId="1" xfId="0" applyFont="1" applyBorder="1"/>
    <xf numFmtId="0" fontId="0" fillId="0" borderId="2" xfId="0" applyFill="1" applyBorder="1"/>
    <xf numFmtId="0" fontId="15" fillId="0" borderId="0" xfId="0" applyFont="1" applyFill="1" applyBorder="1"/>
    <xf numFmtId="0" fontId="2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1" topLeftCell="C95" workbookViewId="0" xr3:uid="{AEA406A1-0E4B-5B11-9CD5-51D6E497D94C}">
      <selection activeCell="E100" sqref="E100"/>
    </sheetView>
  </sheetViews>
  <sheetFormatPr defaultColWidth="11.42578125" defaultRowHeight="15"/>
  <cols>
    <col min="1" max="1" width="25.140625" customWidth="1"/>
    <col min="2" max="2" width="22" customWidth="1"/>
    <col min="5" max="5" width="20.42578125" customWidth="1"/>
    <col min="6" max="6" width="18.5703125" customWidth="1"/>
    <col min="7" max="7" width="13.42578125" customWidth="1"/>
    <col min="10" max="10" width="16" customWidth="1"/>
    <col min="13" max="13" width="13.28515625" customWidth="1"/>
    <col min="19" max="19" width="11.85546875" bestFit="1" customWidth="1"/>
  </cols>
  <sheetData>
    <row r="1" spans="1:29">
      <c r="A1" t="s">
        <v>0</v>
      </c>
    </row>
    <row r="2" spans="1:29" ht="23.25"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3</v>
      </c>
      <c r="J2" s="3" t="s">
        <v>6</v>
      </c>
      <c r="K2" t="s">
        <v>7</v>
      </c>
      <c r="L2" t="s">
        <v>8</v>
      </c>
      <c r="M2" s="3" t="s">
        <v>9</v>
      </c>
      <c r="R2" s="4" t="s">
        <v>10</v>
      </c>
      <c r="U2" s="4" t="s">
        <v>11</v>
      </c>
    </row>
    <row r="3" spans="1:29">
      <c r="A3" t="s">
        <v>12</v>
      </c>
      <c r="B3">
        <v>330</v>
      </c>
      <c r="C3">
        <v>8.25</v>
      </c>
      <c r="E3" t="s">
        <v>13</v>
      </c>
      <c r="J3" t="s">
        <v>14</v>
      </c>
      <c r="K3">
        <v>8</v>
      </c>
      <c r="L3">
        <v>8</v>
      </c>
      <c r="M3" t="s">
        <v>14</v>
      </c>
      <c r="N3">
        <v>128</v>
      </c>
      <c r="R3" t="s">
        <v>15</v>
      </c>
      <c r="S3">
        <v>30</v>
      </c>
      <c r="U3" t="s">
        <v>15</v>
      </c>
      <c r="V3">
        <v>37</v>
      </c>
    </row>
    <row r="4" spans="1:29">
      <c r="A4" t="s">
        <v>16</v>
      </c>
      <c r="B4">
        <v>600</v>
      </c>
      <c r="C4">
        <v>30</v>
      </c>
      <c r="E4" t="s">
        <v>17</v>
      </c>
      <c r="J4" t="s">
        <v>18</v>
      </c>
      <c r="K4">
        <v>5</v>
      </c>
      <c r="L4">
        <v>5</v>
      </c>
      <c r="M4" t="s">
        <v>18</v>
      </c>
      <c r="N4">
        <v>40</v>
      </c>
      <c r="R4" t="s">
        <v>19</v>
      </c>
      <c r="S4">
        <v>8</v>
      </c>
      <c r="U4" t="s">
        <v>19</v>
      </c>
      <c r="V4">
        <v>8</v>
      </c>
    </row>
    <row r="5" spans="1:29">
      <c r="A5" t="s">
        <v>20</v>
      </c>
      <c r="B5">
        <v>730</v>
      </c>
      <c r="C5">
        <v>37</v>
      </c>
      <c r="E5" t="s">
        <v>21</v>
      </c>
      <c r="J5" t="s">
        <v>22</v>
      </c>
      <c r="K5">
        <v>11</v>
      </c>
      <c r="L5">
        <v>8</v>
      </c>
      <c r="M5" t="s">
        <v>22</v>
      </c>
      <c r="N5">
        <v>200</v>
      </c>
      <c r="R5" t="s">
        <v>23</v>
      </c>
      <c r="S5">
        <v>5</v>
      </c>
      <c r="U5" t="s">
        <v>23</v>
      </c>
      <c r="V5">
        <v>5</v>
      </c>
    </row>
    <row r="6" spans="1:29">
      <c r="A6" t="s">
        <v>24</v>
      </c>
      <c r="B6">
        <v>650</v>
      </c>
      <c r="C6">
        <v>13</v>
      </c>
      <c r="E6" t="s">
        <v>25</v>
      </c>
      <c r="J6" t="s">
        <v>23</v>
      </c>
      <c r="K6">
        <v>6</v>
      </c>
      <c r="M6" t="s">
        <v>23</v>
      </c>
      <c r="N6">
        <v>90</v>
      </c>
      <c r="R6" t="s">
        <v>26</v>
      </c>
      <c r="S6">
        <v>6</v>
      </c>
      <c r="U6" t="s">
        <v>26</v>
      </c>
      <c r="V6">
        <v>6</v>
      </c>
    </row>
    <row r="7" spans="1:29">
      <c r="A7" t="s">
        <v>27</v>
      </c>
      <c r="B7">
        <v>30</v>
      </c>
      <c r="C7">
        <v>3</v>
      </c>
      <c r="E7" t="s">
        <v>28</v>
      </c>
      <c r="G7">
        <v>12</v>
      </c>
      <c r="J7" t="s">
        <v>29</v>
      </c>
      <c r="K7">
        <v>5</v>
      </c>
      <c r="L7">
        <v>5</v>
      </c>
      <c r="M7" t="s">
        <v>29</v>
      </c>
      <c r="N7">
        <v>20</v>
      </c>
      <c r="R7" t="s">
        <v>30</v>
      </c>
      <c r="S7">
        <v>15</v>
      </c>
      <c r="U7" t="s">
        <v>30</v>
      </c>
      <c r="V7">
        <v>15</v>
      </c>
    </row>
    <row r="8" spans="1:29">
      <c r="A8" t="s">
        <v>31</v>
      </c>
      <c r="B8">
        <v>550</v>
      </c>
      <c r="C8">
        <v>22</v>
      </c>
      <c r="E8" t="s">
        <v>32</v>
      </c>
      <c r="G8">
        <v>9</v>
      </c>
      <c r="J8" t="s">
        <v>33</v>
      </c>
      <c r="K8">
        <v>0</v>
      </c>
      <c r="M8" t="s">
        <v>33</v>
      </c>
      <c r="N8">
        <v>10</v>
      </c>
      <c r="S8" s="6">
        <f>SUM(S3:S7)</f>
        <v>64</v>
      </c>
      <c r="V8" s="6">
        <f>SUM(V3:V7)</f>
        <v>71</v>
      </c>
    </row>
    <row r="9" spans="1:29">
      <c r="A9" t="s">
        <v>26</v>
      </c>
      <c r="B9">
        <v>255</v>
      </c>
      <c r="C9">
        <v>26</v>
      </c>
      <c r="E9" t="s">
        <v>34</v>
      </c>
      <c r="G9">
        <v>9</v>
      </c>
      <c r="J9" t="s">
        <v>35</v>
      </c>
      <c r="M9" t="s">
        <v>35</v>
      </c>
      <c r="N9">
        <v>20</v>
      </c>
    </row>
    <row r="10" spans="1:29" ht="18.75">
      <c r="A10" t="s">
        <v>19</v>
      </c>
      <c r="C10">
        <v>25</v>
      </c>
      <c r="E10" t="s">
        <v>36</v>
      </c>
      <c r="G10">
        <v>8</v>
      </c>
      <c r="J10" t="s">
        <v>37</v>
      </c>
      <c r="K10">
        <v>5</v>
      </c>
      <c r="L10">
        <v>5</v>
      </c>
      <c r="M10" t="s">
        <v>37</v>
      </c>
      <c r="N10">
        <v>10</v>
      </c>
      <c r="R10" s="3" t="s">
        <v>38</v>
      </c>
      <c r="U10" s="3" t="s">
        <v>39</v>
      </c>
    </row>
    <row r="11" spans="1:29">
      <c r="A11" t="s">
        <v>40</v>
      </c>
      <c r="B11">
        <v>204</v>
      </c>
      <c r="C11">
        <v>40</v>
      </c>
      <c r="E11" t="s">
        <v>41</v>
      </c>
      <c r="G11">
        <v>7</v>
      </c>
      <c r="J11" s="1" t="s">
        <v>42</v>
      </c>
      <c r="K11" s="1">
        <f>SUM(K3:K10)</f>
        <v>40</v>
      </c>
      <c r="L11" s="1">
        <f>SUM(L3:L10)</f>
        <v>31</v>
      </c>
      <c r="N11" s="1">
        <f>SUM(N3:N10)</f>
        <v>518</v>
      </c>
      <c r="R11" t="s">
        <v>43</v>
      </c>
      <c r="S11">
        <v>15</v>
      </c>
      <c r="U11" t="s">
        <v>44</v>
      </c>
      <c r="V11">
        <v>180</v>
      </c>
    </row>
    <row r="12" spans="1:29" ht="18.75">
      <c r="A12" t="s">
        <v>45</v>
      </c>
      <c r="B12">
        <v>720</v>
      </c>
      <c r="C12">
        <v>180</v>
      </c>
      <c r="D12">
        <v>45</v>
      </c>
      <c r="E12" t="s">
        <v>46</v>
      </c>
      <c r="G12">
        <v>6</v>
      </c>
      <c r="J12" s="3" t="s">
        <v>47</v>
      </c>
      <c r="K12" s="1">
        <v>51</v>
      </c>
      <c r="L12" s="1"/>
      <c r="R12" t="s">
        <v>48</v>
      </c>
      <c r="S12">
        <v>12</v>
      </c>
      <c r="U12" t="s">
        <v>49</v>
      </c>
      <c r="V12">
        <v>204</v>
      </c>
    </row>
    <row r="13" spans="1:29">
      <c r="A13" t="s">
        <v>50</v>
      </c>
      <c r="D13">
        <v>10</v>
      </c>
      <c r="E13" t="s">
        <v>51</v>
      </c>
      <c r="G13">
        <v>5</v>
      </c>
      <c r="J13" s="1" t="s">
        <v>52</v>
      </c>
      <c r="K13" s="1">
        <v>42</v>
      </c>
      <c r="L13" s="1"/>
      <c r="R13" t="s">
        <v>53</v>
      </c>
      <c r="S13">
        <v>10</v>
      </c>
      <c r="V13" s="6">
        <f>SUM(V11:V12)</f>
        <v>384</v>
      </c>
    </row>
    <row r="14" spans="1:29">
      <c r="A14" t="s">
        <v>54</v>
      </c>
      <c r="B14">
        <v>319</v>
      </c>
      <c r="C14">
        <v>80</v>
      </c>
      <c r="D14">
        <v>40</v>
      </c>
      <c r="E14" t="s">
        <v>55</v>
      </c>
      <c r="G14">
        <v>1.2</v>
      </c>
      <c r="R14" t="s">
        <v>56</v>
      </c>
      <c r="S14">
        <v>10</v>
      </c>
      <c r="V14" s="6">
        <v>43</v>
      </c>
      <c r="W14" s="5" t="s">
        <v>3</v>
      </c>
    </row>
    <row r="15" spans="1:29" ht="18.75">
      <c r="A15" t="s">
        <v>57</v>
      </c>
      <c r="B15">
        <v>364</v>
      </c>
      <c r="C15">
        <v>91</v>
      </c>
      <c r="D15">
        <v>46</v>
      </c>
      <c r="E15" t="s">
        <v>58</v>
      </c>
      <c r="G15">
        <v>5</v>
      </c>
      <c r="J15" s="3" t="s">
        <v>59</v>
      </c>
      <c r="M15" s="3" t="s">
        <v>60</v>
      </c>
      <c r="R15" t="s">
        <v>61</v>
      </c>
      <c r="S15">
        <v>5</v>
      </c>
      <c r="U15" s="1" t="s">
        <v>62</v>
      </c>
      <c r="V15" s="1">
        <v>4.3</v>
      </c>
      <c r="AC15" s="5"/>
    </row>
    <row r="16" spans="1:29">
      <c r="A16" t="s">
        <v>63</v>
      </c>
      <c r="B16">
        <v>150</v>
      </c>
      <c r="C16">
        <v>15</v>
      </c>
      <c r="D16">
        <v>1.5</v>
      </c>
      <c r="E16" t="s">
        <v>64</v>
      </c>
      <c r="G16">
        <v>7</v>
      </c>
      <c r="J16" t="s">
        <v>14</v>
      </c>
      <c r="K16">
        <v>16</v>
      </c>
      <c r="M16" t="s">
        <v>14</v>
      </c>
      <c r="O16">
        <v>192</v>
      </c>
      <c r="S16" s="6">
        <f>SUM(S11:S15)</f>
        <v>52</v>
      </c>
    </row>
    <row r="17" spans="1:26">
      <c r="A17" t="s">
        <v>43</v>
      </c>
      <c r="B17">
        <v>15</v>
      </c>
      <c r="C17">
        <v>15</v>
      </c>
      <c r="E17" t="s">
        <v>65</v>
      </c>
      <c r="F17">
        <v>380</v>
      </c>
      <c r="G17">
        <v>8</v>
      </c>
      <c r="J17" t="s">
        <v>18</v>
      </c>
      <c r="K17">
        <v>10</v>
      </c>
      <c r="M17" t="s">
        <v>18</v>
      </c>
      <c r="O17">
        <v>60</v>
      </c>
      <c r="R17" s="1" t="s">
        <v>62</v>
      </c>
      <c r="S17" s="1">
        <v>3</v>
      </c>
    </row>
    <row r="18" spans="1:26">
      <c r="A18" t="s">
        <v>48</v>
      </c>
      <c r="B18">
        <v>12</v>
      </c>
      <c r="C18">
        <v>12</v>
      </c>
      <c r="E18" t="s">
        <v>66</v>
      </c>
      <c r="G18">
        <v>10</v>
      </c>
      <c r="J18" t="s">
        <v>22</v>
      </c>
      <c r="K18">
        <v>12</v>
      </c>
      <c r="M18" t="s">
        <v>22</v>
      </c>
      <c r="O18">
        <v>215</v>
      </c>
    </row>
    <row r="19" spans="1:26" ht="18.75">
      <c r="A19" t="s">
        <v>53</v>
      </c>
      <c r="B19">
        <v>10</v>
      </c>
      <c r="C19">
        <v>10</v>
      </c>
      <c r="E19" t="s">
        <v>67</v>
      </c>
      <c r="G19">
        <v>15</v>
      </c>
      <c r="J19" t="s">
        <v>23</v>
      </c>
      <c r="K19">
        <v>12</v>
      </c>
      <c r="M19" t="s">
        <v>23</v>
      </c>
      <c r="O19">
        <v>104</v>
      </c>
      <c r="R19" s="3" t="s">
        <v>68</v>
      </c>
    </row>
    <row r="20" spans="1:26">
      <c r="A20" t="s">
        <v>69</v>
      </c>
      <c r="B20">
        <v>134</v>
      </c>
      <c r="C20">
        <v>11</v>
      </c>
      <c r="E20" t="s">
        <v>70</v>
      </c>
      <c r="F20">
        <v>680</v>
      </c>
      <c r="G20">
        <v>2.8</v>
      </c>
      <c r="J20" t="s">
        <v>29</v>
      </c>
      <c r="K20">
        <v>7</v>
      </c>
      <c r="M20" t="s">
        <v>29</v>
      </c>
      <c r="O20">
        <v>26</v>
      </c>
      <c r="R20" t="s">
        <v>71</v>
      </c>
      <c r="S20">
        <v>12</v>
      </c>
    </row>
    <row r="21" spans="1:26">
      <c r="A21" t="s">
        <v>72</v>
      </c>
      <c r="B21">
        <v>8</v>
      </c>
      <c r="C21">
        <v>8</v>
      </c>
      <c r="J21" t="s">
        <v>33</v>
      </c>
      <c r="M21" t="s">
        <v>33</v>
      </c>
      <c r="O21">
        <v>5</v>
      </c>
      <c r="R21" t="s">
        <v>24</v>
      </c>
      <c r="S21">
        <v>17.5</v>
      </c>
    </row>
    <row r="22" spans="1:26">
      <c r="A22" t="s">
        <v>73</v>
      </c>
      <c r="B22">
        <v>125</v>
      </c>
      <c r="C22">
        <v>25</v>
      </c>
      <c r="J22" t="s">
        <v>35</v>
      </c>
      <c r="M22" t="s">
        <v>35</v>
      </c>
      <c r="O22">
        <v>30</v>
      </c>
      <c r="R22" t="s">
        <v>27</v>
      </c>
      <c r="S22">
        <v>1</v>
      </c>
    </row>
    <row r="23" spans="1:26">
      <c r="A23" t="s">
        <v>74</v>
      </c>
      <c r="B23">
        <v>245</v>
      </c>
      <c r="C23">
        <v>49</v>
      </c>
      <c r="J23" t="s">
        <v>37</v>
      </c>
      <c r="K23">
        <v>6</v>
      </c>
      <c r="M23" t="s">
        <v>37</v>
      </c>
      <c r="O23">
        <v>10</v>
      </c>
      <c r="R23" t="s">
        <v>23</v>
      </c>
      <c r="S23">
        <v>2</v>
      </c>
    </row>
    <row r="24" spans="1:26">
      <c r="A24" t="s">
        <v>75</v>
      </c>
      <c r="B24">
        <v>40</v>
      </c>
      <c r="C24">
        <v>40</v>
      </c>
      <c r="K24" s="1">
        <f>SUM(K16:K23)</f>
        <v>63</v>
      </c>
      <c r="N24" s="1"/>
      <c r="O24" s="1">
        <f>SUM(O16:O23)</f>
        <v>642</v>
      </c>
      <c r="S24" s="6">
        <f>SUM(S19:S23)</f>
        <v>32.5</v>
      </c>
      <c r="T24">
        <f>32.5*5</f>
        <v>162.5</v>
      </c>
    </row>
    <row r="25" spans="1:26">
      <c r="A25" t="s">
        <v>76</v>
      </c>
      <c r="B25">
        <v>80</v>
      </c>
      <c r="C25">
        <v>30</v>
      </c>
    </row>
    <row r="26" spans="1:26">
      <c r="A26" t="s">
        <v>77</v>
      </c>
      <c r="B26">
        <v>80</v>
      </c>
      <c r="C26">
        <v>32</v>
      </c>
      <c r="Z26" s="5"/>
    </row>
    <row r="27" spans="1:26">
      <c r="A27" t="s">
        <v>78</v>
      </c>
      <c r="B27">
        <v>35</v>
      </c>
      <c r="C27">
        <v>3.5</v>
      </c>
    </row>
    <row r="28" spans="1:26" ht="18.75">
      <c r="A28" t="s">
        <v>79</v>
      </c>
      <c r="B28">
        <v>300</v>
      </c>
      <c r="C28">
        <v>30</v>
      </c>
      <c r="J28" s="3" t="s">
        <v>80</v>
      </c>
      <c r="M28" s="3" t="s">
        <v>81</v>
      </c>
      <c r="Z28" s="5"/>
    </row>
    <row r="29" spans="1:26">
      <c r="A29" t="s">
        <v>82</v>
      </c>
      <c r="B29">
        <v>500</v>
      </c>
      <c r="C29">
        <v>23</v>
      </c>
      <c r="J29" t="s">
        <v>14</v>
      </c>
      <c r="K29">
        <v>32</v>
      </c>
      <c r="M29" t="s">
        <v>14</v>
      </c>
    </row>
    <row r="30" spans="1:26">
      <c r="A30" t="s">
        <v>83</v>
      </c>
      <c r="B30">
        <v>500</v>
      </c>
      <c r="C30">
        <v>23</v>
      </c>
      <c r="J30" t="s">
        <v>18</v>
      </c>
      <c r="K30">
        <v>15</v>
      </c>
      <c r="M30" t="s">
        <v>18</v>
      </c>
      <c r="Z30" s="5"/>
    </row>
    <row r="31" spans="1:26">
      <c r="A31" t="s">
        <v>84</v>
      </c>
      <c r="B31">
        <v>80</v>
      </c>
      <c r="J31" t="s">
        <v>22</v>
      </c>
      <c r="K31">
        <v>25</v>
      </c>
      <c r="M31" t="s">
        <v>22</v>
      </c>
    </row>
    <row r="32" spans="1:26">
      <c r="A32" t="s">
        <v>85</v>
      </c>
      <c r="B32">
        <v>183</v>
      </c>
      <c r="C32">
        <v>19</v>
      </c>
      <c r="J32" t="s">
        <v>23</v>
      </c>
      <c r="K32">
        <v>18</v>
      </c>
      <c r="M32" t="s">
        <v>23</v>
      </c>
    </row>
    <row r="33" spans="1:13">
      <c r="A33" t="s">
        <v>86</v>
      </c>
      <c r="J33" t="s">
        <v>29</v>
      </c>
      <c r="K33">
        <v>8</v>
      </c>
      <c r="M33" t="s">
        <v>29</v>
      </c>
    </row>
    <row r="34" spans="1:13">
      <c r="A34" t="s">
        <v>87</v>
      </c>
      <c r="B34">
        <v>45</v>
      </c>
      <c r="E34" t="s">
        <v>88</v>
      </c>
      <c r="F34">
        <v>12</v>
      </c>
      <c r="J34" t="s">
        <v>33</v>
      </c>
      <c r="M34" t="s">
        <v>33</v>
      </c>
    </row>
    <row r="35" spans="1:13">
      <c r="A35" t="s">
        <v>23</v>
      </c>
      <c r="C35">
        <v>10</v>
      </c>
      <c r="E35" t="s">
        <v>89</v>
      </c>
      <c r="F35">
        <v>10.5</v>
      </c>
      <c r="J35" t="s">
        <v>35</v>
      </c>
      <c r="M35" t="s">
        <v>35</v>
      </c>
    </row>
    <row r="36" spans="1:13">
      <c r="A36" t="s">
        <v>30</v>
      </c>
      <c r="E36" t="s">
        <v>90</v>
      </c>
      <c r="F36">
        <v>20</v>
      </c>
      <c r="J36" t="s">
        <v>37</v>
      </c>
      <c r="K36">
        <v>15</v>
      </c>
      <c r="M36" t="s">
        <v>37</v>
      </c>
    </row>
    <row r="37" spans="1:13">
      <c r="E37" t="s">
        <v>91</v>
      </c>
      <c r="F37">
        <v>5.5</v>
      </c>
      <c r="K37" s="1">
        <f>SUM(K29:K36)</f>
        <v>113</v>
      </c>
    </row>
    <row r="38" spans="1:13">
      <c r="E38" t="s">
        <v>92</v>
      </c>
      <c r="F38">
        <v>10</v>
      </c>
    </row>
    <row r="39" spans="1:13">
      <c r="E39" t="s">
        <v>93</v>
      </c>
      <c r="F39">
        <v>30</v>
      </c>
    </row>
    <row r="40" spans="1:13" ht="18.75">
      <c r="E40" t="s">
        <v>94</v>
      </c>
      <c r="F40">
        <v>10</v>
      </c>
      <c r="J40" s="3" t="s">
        <v>95</v>
      </c>
      <c r="M40" s="3" t="s">
        <v>96</v>
      </c>
    </row>
    <row r="41" spans="1:13">
      <c r="E41" t="s">
        <v>97</v>
      </c>
      <c r="F41">
        <v>25</v>
      </c>
      <c r="J41" t="s">
        <v>14</v>
      </c>
      <c r="K41">
        <v>60</v>
      </c>
      <c r="M41" t="s">
        <v>14</v>
      </c>
    </row>
    <row r="42" spans="1:13">
      <c r="E42" t="s">
        <v>98</v>
      </c>
      <c r="F42">
        <v>70</v>
      </c>
      <c r="J42" t="s">
        <v>18</v>
      </c>
      <c r="K42">
        <v>20</v>
      </c>
      <c r="M42" t="s">
        <v>18</v>
      </c>
    </row>
    <row r="43" spans="1:13">
      <c r="E43" t="s">
        <v>99</v>
      </c>
      <c r="F43">
        <v>90</v>
      </c>
      <c r="J43" t="s">
        <v>22</v>
      </c>
      <c r="K43">
        <v>43</v>
      </c>
      <c r="M43" t="s">
        <v>22</v>
      </c>
    </row>
    <row r="44" spans="1:13">
      <c r="E44" t="s">
        <v>100</v>
      </c>
      <c r="F44">
        <v>100</v>
      </c>
      <c r="J44" t="s">
        <v>23</v>
      </c>
      <c r="K44">
        <v>30</v>
      </c>
      <c r="M44" t="s">
        <v>23</v>
      </c>
    </row>
    <row r="45" spans="1:13">
      <c r="E45" t="s">
        <v>101</v>
      </c>
      <c r="F45">
        <v>100</v>
      </c>
      <c r="J45" t="s">
        <v>29</v>
      </c>
      <c r="K45">
        <v>9</v>
      </c>
      <c r="M45" t="s">
        <v>29</v>
      </c>
    </row>
    <row r="46" spans="1:13">
      <c r="E46" t="s">
        <v>102</v>
      </c>
      <c r="F46">
        <v>100</v>
      </c>
      <c r="J46" t="s">
        <v>33</v>
      </c>
      <c r="K46">
        <v>10</v>
      </c>
      <c r="M46" t="s">
        <v>33</v>
      </c>
    </row>
    <row r="47" spans="1:13">
      <c r="E47" t="s">
        <v>103</v>
      </c>
      <c r="F47">
        <v>180</v>
      </c>
      <c r="J47" t="s">
        <v>35</v>
      </c>
      <c r="K47">
        <v>15</v>
      </c>
      <c r="M47" t="s">
        <v>35</v>
      </c>
    </row>
    <row r="48" spans="1:13">
      <c r="E48" t="s">
        <v>104</v>
      </c>
      <c r="F48">
        <v>100</v>
      </c>
      <c r="J48" t="s">
        <v>37</v>
      </c>
      <c r="K48">
        <v>10</v>
      </c>
      <c r="M48" t="s">
        <v>37</v>
      </c>
    </row>
    <row r="49" spans="5:13">
      <c r="E49" t="s">
        <v>105</v>
      </c>
      <c r="F49">
        <v>100</v>
      </c>
      <c r="K49" s="1">
        <f>SUM(K41:K48)</f>
        <v>197</v>
      </c>
    </row>
    <row r="53" spans="5:13" ht="18.75">
      <c r="J53" s="3" t="s">
        <v>106</v>
      </c>
      <c r="M53" s="3" t="s">
        <v>107</v>
      </c>
    </row>
    <row r="54" spans="5:13">
      <c r="J54" t="s">
        <v>14</v>
      </c>
      <c r="K54">
        <v>64</v>
      </c>
      <c r="M54" t="s">
        <v>14</v>
      </c>
    </row>
    <row r="55" spans="5:13">
      <c r="J55" t="s">
        <v>18</v>
      </c>
      <c r="K55">
        <v>40</v>
      </c>
      <c r="M55" t="s">
        <v>18</v>
      </c>
    </row>
    <row r="56" spans="5:13">
      <c r="J56" t="s">
        <v>22</v>
      </c>
      <c r="K56">
        <v>64</v>
      </c>
      <c r="M56" t="s">
        <v>22</v>
      </c>
    </row>
    <row r="57" spans="5:13">
      <c r="J57" t="s">
        <v>23</v>
      </c>
      <c r="K57">
        <v>42</v>
      </c>
      <c r="M57" t="s">
        <v>23</v>
      </c>
    </row>
    <row r="58" spans="5:13">
      <c r="J58" t="s">
        <v>29</v>
      </c>
      <c r="K58">
        <v>10</v>
      </c>
      <c r="M58" t="s">
        <v>29</v>
      </c>
    </row>
    <row r="59" spans="5:13">
      <c r="J59" t="s">
        <v>33</v>
      </c>
      <c r="K59">
        <v>10</v>
      </c>
      <c r="M59" t="s">
        <v>33</v>
      </c>
    </row>
    <row r="60" spans="5:13">
      <c r="J60" t="s">
        <v>35</v>
      </c>
      <c r="K60">
        <v>20</v>
      </c>
      <c r="M60" t="s">
        <v>35</v>
      </c>
    </row>
    <row r="61" spans="5:13">
      <c r="J61" t="s">
        <v>37</v>
      </c>
      <c r="K61">
        <v>10</v>
      </c>
      <c r="M61" t="s">
        <v>37</v>
      </c>
    </row>
    <row r="62" spans="5:13">
      <c r="K62" s="1">
        <f>SUM(K54:K61)</f>
        <v>260</v>
      </c>
    </row>
    <row r="67" spans="10:13" ht="18.75">
      <c r="J67" s="3" t="s">
        <v>108</v>
      </c>
      <c r="M67" s="3" t="s">
        <v>109</v>
      </c>
    </row>
    <row r="68" spans="10:13">
      <c r="J68" t="s">
        <v>14</v>
      </c>
      <c r="K68">
        <v>70</v>
      </c>
      <c r="M68" t="s">
        <v>14</v>
      </c>
    </row>
    <row r="69" spans="10:13">
      <c r="J69" t="s">
        <v>18</v>
      </c>
      <c r="K69">
        <v>45</v>
      </c>
      <c r="M69" t="s">
        <v>18</v>
      </c>
    </row>
    <row r="70" spans="10:13">
      <c r="J70" t="s">
        <v>22</v>
      </c>
      <c r="K70">
        <v>64</v>
      </c>
      <c r="M70" t="s">
        <v>22</v>
      </c>
    </row>
    <row r="71" spans="10:13">
      <c r="J71" t="s">
        <v>23</v>
      </c>
      <c r="K71">
        <v>50</v>
      </c>
      <c r="M71" t="s">
        <v>23</v>
      </c>
    </row>
    <row r="72" spans="10:13">
      <c r="J72" t="s">
        <v>29</v>
      </c>
      <c r="K72">
        <v>10</v>
      </c>
      <c r="M72" t="s">
        <v>29</v>
      </c>
    </row>
    <row r="73" spans="10:13">
      <c r="J73" t="s">
        <v>33</v>
      </c>
      <c r="K73">
        <v>10</v>
      </c>
      <c r="M73" t="s">
        <v>33</v>
      </c>
    </row>
    <row r="74" spans="10:13">
      <c r="J74" t="s">
        <v>35</v>
      </c>
      <c r="K74">
        <v>20</v>
      </c>
      <c r="M74" t="s">
        <v>35</v>
      </c>
    </row>
    <row r="75" spans="10:13">
      <c r="J75" t="s">
        <v>37</v>
      </c>
      <c r="K75">
        <v>10</v>
      </c>
      <c r="M75" t="s">
        <v>37</v>
      </c>
    </row>
    <row r="76" spans="10:13">
      <c r="K76" s="1">
        <f>SUM(K68:K75)</f>
        <v>279</v>
      </c>
    </row>
    <row r="81" spans="10:15" ht="18.75">
      <c r="J81" s="3" t="s">
        <v>110</v>
      </c>
      <c r="M81" s="3" t="s">
        <v>111</v>
      </c>
    </row>
    <row r="82" spans="10:15">
      <c r="J82" t="s">
        <v>14</v>
      </c>
      <c r="K82">
        <v>96</v>
      </c>
      <c r="M82" t="s">
        <v>14</v>
      </c>
      <c r="N82">
        <v>576</v>
      </c>
    </row>
    <row r="83" spans="10:15">
      <c r="J83" t="s">
        <v>18</v>
      </c>
      <c r="K83">
        <v>50</v>
      </c>
      <c r="M83" t="s">
        <v>18</v>
      </c>
      <c r="N83">
        <v>50</v>
      </c>
    </row>
    <row r="84" spans="10:15">
      <c r="J84" t="s">
        <v>22</v>
      </c>
      <c r="K84">
        <v>172</v>
      </c>
      <c r="M84" t="s">
        <v>22</v>
      </c>
      <c r="N84">
        <v>162</v>
      </c>
    </row>
    <row r="85" spans="10:15">
      <c r="J85" t="s">
        <v>23</v>
      </c>
      <c r="K85">
        <v>60</v>
      </c>
      <c r="M85" t="s">
        <v>23</v>
      </c>
    </row>
    <row r="86" spans="10:15">
      <c r="J86" t="s">
        <v>29</v>
      </c>
      <c r="K86">
        <v>20</v>
      </c>
      <c r="M86" t="s">
        <v>29</v>
      </c>
      <c r="N86">
        <v>200</v>
      </c>
    </row>
    <row r="87" spans="10:15">
      <c r="J87" t="s">
        <v>33</v>
      </c>
      <c r="K87">
        <v>10</v>
      </c>
      <c r="M87" t="s">
        <v>112</v>
      </c>
      <c r="N87">
        <v>30</v>
      </c>
    </row>
    <row r="88" spans="10:15">
      <c r="J88" t="s">
        <v>35</v>
      </c>
      <c r="K88">
        <v>20</v>
      </c>
      <c r="M88" t="s">
        <v>113</v>
      </c>
      <c r="N88">
        <v>10</v>
      </c>
    </row>
    <row r="89" spans="10:15">
      <c r="J89" t="s">
        <v>37</v>
      </c>
      <c r="K89">
        <v>10</v>
      </c>
      <c r="M89" t="s">
        <v>114</v>
      </c>
      <c r="N89">
        <v>460</v>
      </c>
    </row>
    <row r="90" spans="10:15">
      <c r="K90" s="1">
        <f>SUM(K82:K89)</f>
        <v>438</v>
      </c>
      <c r="M90" t="s">
        <v>115</v>
      </c>
      <c r="N90">
        <v>80</v>
      </c>
    </row>
    <row r="91" spans="10:15">
      <c r="N91">
        <f>SUM(N82:N90)</f>
        <v>1568</v>
      </c>
      <c r="O91">
        <f>1558-2800</f>
        <v>-1242</v>
      </c>
    </row>
    <row r="95" spans="10:15" ht="18.75">
      <c r="M95" s="3" t="s">
        <v>116</v>
      </c>
    </row>
    <row r="96" spans="10:15">
      <c r="M96" t="s">
        <v>14</v>
      </c>
    </row>
    <row r="97" spans="13:13">
      <c r="M97" t="s">
        <v>18</v>
      </c>
    </row>
    <row r="98" spans="13:13">
      <c r="M98" t="s">
        <v>22</v>
      </c>
    </row>
    <row r="99" spans="13:13">
      <c r="M99" t="s">
        <v>23</v>
      </c>
    </row>
    <row r="100" spans="13:13">
      <c r="M100" t="s">
        <v>29</v>
      </c>
    </row>
    <row r="101" spans="13:13">
      <c r="M101" t="s">
        <v>33</v>
      </c>
    </row>
    <row r="102" spans="13:13">
      <c r="M102" t="s">
        <v>35</v>
      </c>
    </row>
    <row r="103" spans="13:13">
      <c r="M10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99"/>
  <sheetViews>
    <sheetView topLeftCell="A15" workbookViewId="0" xr3:uid="{958C4451-9541-5A59-BF78-D2F731DF1C81}">
      <selection activeCell="A43" sqref="A43"/>
    </sheetView>
  </sheetViews>
  <sheetFormatPr defaultColWidth="11.42578125" defaultRowHeight="15"/>
  <cols>
    <col min="2" max="2" width="23.85546875" customWidth="1"/>
    <col min="7" max="7" width="13.140625" customWidth="1"/>
    <col min="13" max="13" width="16.140625" customWidth="1"/>
    <col min="16" max="16" width="14.140625" customWidth="1"/>
    <col min="19" max="19" width="12.7109375" customWidth="1"/>
  </cols>
  <sheetData>
    <row r="2" spans="1:19" ht="21">
      <c r="C2" s="2" t="s">
        <v>117</v>
      </c>
      <c r="M2" s="11" t="s">
        <v>118</v>
      </c>
    </row>
    <row r="3" spans="1:19" ht="21">
      <c r="B3" s="7" t="s">
        <v>119</v>
      </c>
      <c r="C3" s="1" t="s">
        <v>120</v>
      </c>
      <c r="D3" s="1" t="s">
        <v>121</v>
      </c>
      <c r="E3" s="1" t="s">
        <v>122</v>
      </c>
      <c r="F3" s="9" t="s">
        <v>123</v>
      </c>
      <c r="G3" s="1" t="s">
        <v>124</v>
      </c>
      <c r="H3" s="1" t="s">
        <v>125</v>
      </c>
      <c r="M3" s="12"/>
      <c r="N3" s="15" t="s">
        <v>126</v>
      </c>
      <c r="O3" s="15" t="s">
        <v>127</v>
      </c>
      <c r="P3" s="15" t="s">
        <v>128</v>
      </c>
      <c r="Q3" s="15" t="s">
        <v>127</v>
      </c>
      <c r="R3" s="12" t="s">
        <v>129</v>
      </c>
      <c r="S3" s="16" t="s">
        <v>124</v>
      </c>
    </row>
    <row r="4" spans="1:19">
      <c r="A4">
        <v>1</v>
      </c>
      <c r="B4" t="s">
        <v>6</v>
      </c>
      <c r="C4">
        <v>40</v>
      </c>
      <c r="D4">
        <v>60</v>
      </c>
      <c r="E4">
        <f>(D4-C4)</f>
        <v>20</v>
      </c>
      <c r="F4" s="8"/>
      <c r="G4">
        <f>(F4*E4)</f>
        <v>0</v>
      </c>
      <c r="H4">
        <f>(F4*D4)</f>
        <v>0</v>
      </c>
      <c r="M4" s="12" t="s">
        <v>130</v>
      </c>
      <c r="N4" s="12">
        <v>7</v>
      </c>
      <c r="O4" s="12">
        <v>10</v>
      </c>
      <c r="P4" s="12">
        <f t="shared" ref="P4:P7" si="0">(O4-N4)</f>
        <v>3</v>
      </c>
      <c r="Q4" s="12">
        <v>17</v>
      </c>
      <c r="R4" s="12">
        <f>(Q4*O4)</f>
        <v>170</v>
      </c>
      <c r="S4" s="12">
        <f>(Q4*P4)</f>
        <v>51</v>
      </c>
    </row>
    <row r="5" spans="1:19">
      <c r="A5">
        <v>2</v>
      </c>
      <c r="B5" t="s">
        <v>131</v>
      </c>
      <c r="C5">
        <v>63</v>
      </c>
      <c r="D5">
        <v>90</v>
      </c>
      <c r="E5">
        <f t="shared" ref="E5:E79" si="1">(D5-C5)</f>
        <v>27</v>
      </c>
      <c r="F5" s="8"/>
      <c r="G5">
        <f t="shared" ref="G5:G79" si="2">(F5*E5)</f>
        <v>0</v>
      </c>
      <c r="H5">
        <f t="shared" ref="H5:H79" si="3">(F5*D5)</f>
        <v>0</v>
      </c>
      <c r="M5" s="12" t="s">
        <v>132</v>
      </c>
      <c r="N5" s="12">
        <v>9</v>
      </c>
      <c r="O5" s="12">
        <v>12</v>
      </c>
      <c r="P5" s="12">
        <f t="shared" si="0"/>
        <v>3</v>
      </c>
      <c r="Q5" s="12"/>
      <c r="R5" s="12">
        <f t="shared" ref="R5:R29" si="4">(Q5*O5)</f>
        <v>0</v>
      </c>
      <c r="S5" s="12">
        <f t="shared" ref="S5:S29" si="5">(Q5*P5)</f>
        <v>0</v>
      </c>
    </row>
    <row r="6" spans="1:19">
      <c r="A6">
        <v>3</v>
      </c>
      <c r="B6" t="s">
        <v>80</v>
      </c>
      <c r="C6">
        <v>113</v>
      </c>
      <c r="D6">
        <v>190</v>
      </c>
      <c r="E6">
        <f t="shared" si="1"/>
        <v>77</v>
      </c>
      <c r="F6" s="8"/>
      <c r="G6">
        <f t="shared" si="2"/>
        <v>0</v>
      </c>
      <c r="H6">
        <f t="shared" si="3"/>
        <v>0</v>
      </c>
      <c r="M6" s="12" t="s">
        <v>133</v>
      </c>
      <c r="N6" s="12">
        <v>2.5</v>
      </c>
      <c r="O6" s="12">
        <v>5</v>
      </c>
      <c r="P6" s="12">
        <f t="shared" si="0"/>
        <v>2.5</v>
      </c>
      <c r="Q6" s="12">
        <v>27</v>
      </c>
      <c r="R6" s="12">
        <f t="shared" si="4"/>
        <v>135</v>
      </c>
      <c r="S6" s="12">
        <f t="shared" si="5"/>
        <v>67.5</v>
      </c>
    </row>
    <row r="7" spans="1:19">
      <c r="A7">
        <v>4</v>
      </c>
      <c r="B7" t="s">
        <v>134</v>
      </c>
      <c r="C7">
        <v>103</v>
      </c>
      <c r="D7">
        <v>160</v>
      </c>
      <c r="E7">
        <f t="shared" si="1"/>
        <v>57</v>
      </c>
      <c r="F7" s="8"/>
      <c r="G7">
        <f t="shared" ref="G7" si="6">(F7*E7)</f>
        <v>0</v>
      </c>
      <c r="H7">
        <f t="shared" ref="H7" si="7">(F7*D7)</f>
        <v>0</v>
      </c>
      <c r="M7" s="12" t="s">
        <v>135</v>
      </c>
      <c r="N7" s="12">
        <v>6</v>
      </c>
      <c r="O7" s="12">
        <v>10</v>
      </c>
      <c r="P7" s="12">
        <f t="shared" si="0"/>
        <v>4</v>
      </c>
      <c r="Q7" s="12">
        <v>7</v>
      </c>
      <c r="R7" s="12">
        <f t="shared" ref="R7" si="8">(Q7*O7)</f>
        <v>70</v>
      </c>
      <c r="S7" s="12">
        <f t="shared" ref="S7" si="9">(Q7*P7)</f>
        <v>28</v>
      </c>
    </row>
    <row r="8" spans="1:19">
      <c r="A8">
        <v>5</v>
      </c>
      <c r="B8" t="s">
        <v>136</v>
      </c>
      <c r="C8">
        <v>197</v>
      </c>
      <c r="D8">
        <v>280</v>
      </c>
      <c r="E8">
        <f t="shared" si="1"/>
        <v>83</v>
      </c>
      <c r="F8" s="8"/>
      <c r="G8">
        <f t="shared" si="2"/>
        <v>0</v>
      </c>
      <c r="H8">
        <f t="shared" si="3"/>
        <v>0</v>
      </c>
      <c r="M8" s="12" t="s">
        <v>137</v>
      </c>
      <c r="N8" s="12">
        <v>0.5</v>
      </c>
      <c r="O8" s="12">
        <v>1</v>
      </c>
      <c r="P8" s="12">
        <f>(O8-N8)</f>
        <v>0.5</v>
      </c>
      <c r="Q8" s="12">
        <v>130</v>
      </c>
      <c r="R8" s="12">
        <f t="shared" si="4"/>
        <v>130</v>
      </c>
      <c r="S8" s="12">
        <f t="shared" si="5"/>
        <v>65</v>
      </c>
    </row>
    <row r="9" spans="1:19">
      <c r="A9">
        <v>6</v>
      </c>
      <c r="B9" t="s">
        <v>138</v>
      </c>
      <c r="C9">
        <v>260</v>
      </c>
      <c r="D9">
        <v>380</v>
      </c>
      <c r="E9">
        <f t="shared" si="1"/>
        <v>120</v>
      </c>
      <c r="F9" s="8"/>
      <c r="G9">
        <f t="shared" si="2"/>
        <v>0</v>
      </c>
      <c r="H9">
        <f t="shared" si="3"/>
        <v>0</v>
      </c>
      <c r="M9" s="12" t="s">
        <v>139</v>
      </c>
      <c r="N9" s="12">
        <v>3</v>
      </c>
      <c r="O9" s="12">
        <v>5</v>
      </c>
      <c r="P9" s="12">
        <f t="shared" ref="P9:P34" si="10">(O9-N9)</f>
        <v>2</v>
      </c>
      <c r="Q9" s="12">
        <v>4</v>
      </c>
      <c r="R9" s="12">
        <f t="shared" si="4"/>
        <v>20</v>
      </c>
      <c r="S9" s="12">
        <f t="shared" si="5"/>
        <v>8</v>
      </c>
    </row>
    <row r="10" spans="1:19">
      <c r="A10">
        <v>7</v>
      </c>
      <c r="B10" t="s">
        <v>140</v>
      </c>
      <c r="C10">
        <v>279</v>
      </c>
      <c r="D10">
        <v>440</v>
      </c>
      <c r="E10">
        <f t="shared" si="1"/>
        <v>161</v>
      </c>
      <c r="F10" s="8"/>
      <c r="G10">
        <f t="shared" si="2"/>
        <v>0</v>
      </c>
      <c r="H10">
        <f t="shared" si="3"/>
        <v>0</v>
      </c>
      <c r="M10" s="12" t="s">
        <v>141</v>
      </c>
      <c r="N10" s="12">
        <v>4.5</v>
      </c>
      <c r="O10" s="12">
        <v>8</v>
      </c>
      <c r="P10" s="12">
        <f t="shared" si="10"/>
        <v>3.5</v>
      </c>
      <c r="Q10" s="12"/>
      <c r="R10" s="12">
        <f t="shared" si="4"/>
        <v>0</v>
      </c>
      <c r="S10" s="12">
        <f t="shared" si="5"/>
        <v>0</v>
      </c>
    </row>
    <row r="11" spans="1:19">
      <c r="A11">
        <v>8</v>
      </c>
      <c r="B11" t="s">
        <v>142</v>
      </c>
      <c r="C11">
        <v>438</v>
      </c>
      <c r="D11">
        <v>550</v>
      </c>
      <c r="E11">
        <f t="shared" si="1"/>
        <v>112</v>
      </c>
      <c r="F11" s="8"/>
      <c r="G11">
        <f t="shared" si="2"/>
        <v>0</v>
      </c>
      <c r="H11">
        <f t="shared" si="3"/>
        <v>0</v>
      </c>
      <c r="M11" s="12" t="s">
        <v>143</v>
      </c>
      <c r="N11" s="12">
        <v>5.5</v>
      </c>
      <c r="O11" s="12">
        <v>10</v>
      </c>
      <c r="P11" s="12">
        <f t="shared" si="10"/>
        <v>4.5</v>
      </c>
      <c r="Q11" s="12">
        <v>14</v>
      </c>
      <c r="R11" s="12">
        <f t="shared" si="4"/>
        <v>140</v>
      </c>
      <c r="S11" s="12">
        <f t="shared" si="5"/>
        <v>63</v>
      </c>
    </row>
    <row r="12" spans="1:19">
      <c r="A12">
        <v>9</v>
      </c>
      <c r="B12" t="s">
        <v>144</v>
      </c>
      <c r="C12">
        <v>518</v>
      </c>
      <c r="D12">
        <v>680</v>
      </c>
      <c r="E12">
        <f t="shared" si="1"/>
        <v>162</v>
      </c>
      <c r="F12" s="8"/>
      <c r="G12">
        <f t="shared" si="2"/>
        <v>0</v>
      </c>
      <c r="H12">
        <f t="shared" si="3"/>
        <v>0</v>
      </c>
      <c r="M12" s="12" t="s">
        <v>145</v>
      </c>
      <c r="N12" s="12">
        <v>6</v>
      </c>
      <c r="O12" s="12">
        <v>10</v>
      </c>
      <c r="P12" s="12">
        <f t="shared" si="10"/>
        <v>4</v>
      </c>
      <c r="Q12" s="12"/>
      <c r="R12" s="12">
        <f t="shared" si="4"/>
        <v>0</v>
      </c>
      <c r="S12" s="12">
        <f t="shared" si="5"/>
        <v>0</v>
      </c>
    </row>
    <row r="13" spans="1:19">
      <c r="A13">
        <v>10</v>
      </c>
      <c r="B13" t="s">
        <v>146</v>
      </c>
      <c r="C13">
        <v>642</v>
      </c>
      <c r="D13">
        <v>850</v>
      </c>
      <c r="E13">
        <f t="shared" si="1"/>
        <v>208</v>
      </c>
      <c r="F13" s="8"/>
      <c r="G13">
        <f t="shared" si="2"/>
        <v>0</v>
      </c>
      <c r="H13">
        <f t="shared" si="3"/>
        <v>0</v>
      </c>
      <c r="M13" s="12" t="s">
        <v>147</v>
      </c>
      <c r="N13" s="12">
        <v>4</v>
      </c>
      <c r="O13" s="12">
        <v>6</v>
      </c>
      <c r="P13" s="12">
        <f t="shared" si="10"/>
        <v>2</v>
      </c>
      <c r="Q13" s="12">
        <v>3</v>
      </c>
      <c r="R13" s="12">
        <f t="shared" si="4"/>
        <v>18</v>
      </c>
      <c r="S13" s="12">
        <f t="shared" si="5"/>
        <v>6</v>
      </c>
    </row>
    <row r="14" spans="1:19">
      <c r="A14">
        <v>11</v>
      </c>
      <c r="B14" t="s">
        <v>148</v>
      </c>
      <c r="C14">
        <v>10</v>
      </c>
      <c r="D14">
        <v>25</v>
      </c>
      <c r="E14">
        <f t="shared" si="1"/>
        <v>15</v>
      </c>
      <c r="F14" s="8">
        <v>2</v>
      </c>
      <c r="G14">
        <f t="shared" si="2"/>
        <v>30</v>
      </c>
      <c r="H14">
        <f t="shared" si="3"/>
        <v>50</v>
      </c>
      <c r="M14" s="12" t="s">
        <v>149</v>
      </c>
      <c r="N14" s="12">
        <v>5</v>
      </c>
      <c r="O14" s="12">
        <v>12</v>
      </c>
      <c r="P14" s="12">
        <f t="shared" si="10"/>
        <v>7</v>
      </c>
      <c r="Q14" s="12"/>
      <c r="R14" s="12">
        <f t="shared" si="4"/>
        <v>0</v>
      </c>
      <c r="S14" s="12">
        <f t="shared" si="5"/>
        <v>0</v>
      </c>
    </row>
    <row r="15" spans="1:19">
      <c r="B15" t="s">
        <v>150</v>
      </c>
      <c r="C15">
        <v>40</v>
      </c>
      <c r="D15">
        <v>60</v>
      </c>
      <c r="E15">
        <f t="shared" si="1"/>
        <v>20</v>
      </c>
      <c r="F15" s="8"/>
      <c r="G15">
        <f t="shared" si="2"/>
        <v>0</v>
      </c>
      <c r="H15">
        <f t="shared" si="3"/>
        <v>0</v>
      </c>
      <c r="M15" s="12" t="s">
        <v>151</v>
      </c>
      <c r="N15" s="12">
        <v>3.5</v>
      </c>
      <c r="O15" s="12">
        <v>6</v>
      </c>
      <c r="P15" s="12">
        <f t="shared" si="10"/>
        <v>2.5</v>
      </c>
      <c r="Q15" s="12">
        <v>10</v>
      </c>
      <c r="R15" s="12">
        <f t="shared" ref="R15" si="11">(Q15*O15)</f>
        <v>60</v>
      </c>
      <c r="S15" s="12">
        <f t="shared" ref="S15" si="12">(Q15*P15)</f>
        <v>25</v>
      </c>
    </row>
    <row r="16" spans="1:19">
      <c r="A16">
        <v>12</v>
      </c>
      <c r="B16" t="s">
        <v>152</v>
      </c>
      <c r="C16">
        <v>5</v>
      </c>
      <c r="D16">
        <v>8.5</v>
      </c>
      <c r="E16">
        <f t="shared" si="1"/>
        <v>3.5</v>
      </c>
      <c r="F16" s="8"/>
      <c r="G16">
        <f t="shared" si="2"/>
        <v>0</v>
      </c>
      <c r="H16">
        <f t="shared" si="3"/>
        <v>0</v>
      </c>
      <c r="M16" s="12" t="s">
        <v>153</v>
      </c>
      <c r="N16" s="12">
        <v>2.5</v>
      </c>
      <c r="O16" s="12">
        <v>5</v>
      </c>
      <c r="P16" s="12">
        <f t="shared" si="10"/>
        <v>2.5</v>
      </c>
      <c r="Q16" s="12">
        <v>39</v>
      </c>
      <c r="R16" s="12">
        <f t="shared" si="4"/>
        <v>195</v>
      </c>
      <c r="S16" s="12">
        <f t="shared" si="5"/>
        <v>97.5</v>
      </c>
    </row>
    <row r="17" spans="1:19">
      <c r="A17">
        <v>13</v>
      </c>
      <c r="B17" t="s">
        <v>154</v>
      </c>
      <c r="C17">
        <v>6</v>
      </c>
      <c r="D17">
        <v>10</v>
      </c>
      <c r="E17">
        <f t="shared" si="1"/>
        <v>4</v>
      </c>
      <c r="F17" s="8">
        <v>3</v>
      </c>
      <c r="G17">
        <f t="shared" si="2"/>
        <v>12</v>
      </c>
      <c r="H17">
        <f t="shared" si="3"/>
        <v>30</v>
      </c>
      <c r="M17" s="12" t="s">
        <v>155</v>
      </c>
      <c r="N17" s="12">
        <v>3</v>
      </c>
      <c r="O17" s="12">
        <v>5</v>
      </c>
      <c r="P17" s="12">
        <f t="shared" si="10"/>
        <v>2</v>
      </c>
      <c r="Q17" s="12"/>
      <c r="R17" s="12">
        <f t="shared" si="4"/>
        <v>0</v>
      </c>
      <c r="S17" s="12">
        <f t="shared" si="5"/>
        <v>0</v>
      </c>
    </row>
    <row r="18" spans="1:19">
      <c r="A18">
        <v>14</v>
      </c>
      <c r="B18" t="s">
        <v>156</v>
      </c>
      <c r="C18">
        <v>10</v>
      </c>
      <c r="D18">
        <v>16</v>
      </c>
      <c r="E18">
        <f t="shared" si="1"/>
        <v>6</v>
      </c>
      <c r="F18" s="8"/>
      <c r="G18">
        <f t="shared" si="2"/>
        <v>0</v>
      </c>
      <c r="H18">
        <f t="shared" si="3"/>
        <v>0</v>
      </c>
      <c r="M18" s="12" t="s">
        <v>157</v>
      </c>
      <c r="N18" s="12">
        <v>7</v>
      </c>
      <c r="O18" s="12">
        <v>10</v>
      </c>
      <c r="P18" s="12">
        <f t="shared" si="10"/>
        <v>3</v>
      </c>
      <c r="Q18" s="12"/>
      <c r="R18" s="12">
        <f t="shared" si="4"/>
        <v>0</v>
      </c>
      <c r="S18" s="12">
        <f t="shared" si="5"/>
        <v>0</v>
      </c>
    </row>
    <row r="19" spans="1:19">
      <c r="A19">
        <v>15</v>
      </c>
      <c r="B19" t="s">
        <v>158</v>
      </c>
      <c r="C19">
        <v>24</v>
      </c>
      <c r="D19">
        <v>45</v>
      </c>
      <c r="E19">
        <f t="shared" si="1"/>
        <v>21</v>
      </c>
      <c r="F19" s="8"/>
      <c r="G19">
        <f t="shared" si="2"/>
        <v>0</v>
      </c>
      <c r="H19">
        <f t="shared" si="3"/>
        <v>0</v>
      </c>
      <c r="M19" s="12" t="s">
        <v>159</v>
      </c>
      <c r="N19" s="12">
        <v>3</v>
      </c>
      <c r="O19" s="12">
        <v>5</v>
      </c>
      <c r="P19" s="12">
        <f t="shared" si="10"/>
        <v>2</v>
      </c>
      <c r="Q19" s="12">
        <v>28</v>
      </c>
      <c r="R19" s="12">
        <f t="shared" si="4"/>
        <v>140</v>
      </c>
      <c r="S19" s="12">
        <f t="shared" si="5"/>
        <v>56</v>
      </c>
    </row>
    <row r="20" spans="1:19">
      <c r="A20">
        <v>16</v>
      </c>
      <c r="B20" t="s">
        <v>160</v>
      </c>
      <c r="C20">
        <v>0.5</v>
      </c>
      <c r="D20">
        <v>1</v>
      </c>
      <c r="E20">
        <f t="shared" si="1"/>
        <v>0.5</v>
      </c>
      <c r="F20" s="8">
        <f>6+7</f>
        <v>13</v>
      </c>
      <c r="G20">
        <f t="shared" si="2"/>
        <v>6.5</v>
      </c>
      <c r="H20">
        <f t="shared" si="3"/>
        <v>13</v>
      </c>
      <c r="M20" s="12" t="s">
        <v>161</v>
      </c>
      <c r="N20" s="12">
        <v>2.5</v>
      </c>
      <c r="O20" s="12">
        <v>5</v>
      </c>
      <c r="P20" s="12">
        <f t="shared" si="10"/>
        <v>2.5</v>
      </c>
      <c r="Q20" s="12">
        <v>22</v>
      </c>
      <c r="R20" s="12">
        <f t="shared" si="4"/>
        <v>110</v>
      </c>
      <c r="S20" s="12">
        <f t="shared" si="5"/>
        <v>55</v>
      </c>
    </row>
    <row r="21" spans="1:19">
      <c r="A21">
        <v>17</v>
      </c>
      <c r="B21" t="s">
        <v>162</v>
      </c>
      <c r="C21">
        <v>60</v>
      </c>
      <c r="D21">
        <v>85</v>
      </c>
      <c r="E21">
        <f t="shared" si="1"/>
        <v>25</v>
      </c>
      <c r="F21" s="8"/>
      <c r="G21">
        <f t="shared" si="2"/>
        <v>0</v>
      </c>
      <c r="H21">
        <f t="shared" si="3"/>
        <v>0</v>
      </c>
      <c r="M21" s="12" t="s">
        <v>163</v>
      </c>
      <c r="N21" s="12">
        <v>4.5</v>
      </c>
      <c r="O21" s="12">
        <v>8</v>
      </c>
      <c r="P21" s="12">
        <f t="shared" si="10"/>
        <v>3.5</v>
      </c>
      <c r="Q21" s="12">
        <v>5</v>
      </c>
      <c r="R21" s="12">
        <f t="shared" si="4"/>
        <v>40</v>
      </c>
      <c r="S21" s="12">
        <f t="shared" si="5"/>
        <v>17.5</v>
      </c>
    </row>
    <row r="22" spans="1:19">
      <c r="A22">
        <v>18</v>
      </c>
      <c r="B22" t="s">
        <v>164</v>
      </c>
      <c r="C22">
        <v>3</v>
      </c>
      <c r="D22">
        <v>5</v>
      </c>
      <c r="E22">
        <f t="shared" si="1"/>
        <v>2</v>
      </c>
      <c r="F22" s="8"/>
      <c r="G22">
        <f t="shared" si="2"/>
        <v>0</v>
      </c>
      <c r="H22">
        <f t="shared" si="3"/>
        <v>0</v>
      </c>
      <c r="M22" s="12" t="s">
        <v>165</v>
      </c>
      <c r="N22" s="12">
        <v>4</v>
      </c>
      <c r="O22" s="12">
        <v>6</v>
      </c>
      <c r="P22" s="12">
        <f t="shared" si="10"/>
        <v>2</v>
      </c>
      <c r="Q22" s="12">
        <v>3</v>
      </c>
      <c r="R22" s="12">
        <f t="shared" si="4"/>
        <v>18</v>
      </c>
      <c r="S22" s="12">
        <f t="shared" si="5"/>
        <v>6</v>
      </c>
    </row>
    <row r="23" spans="1:19">
      <c r="A23">
        <v>19</v>
      </c>
      <c r="B23" t="s">
        <v>166</v>
      </c>
      <c r="C23">
        <v>70</v>
      </c>
      <c r="D23">
        <v>100</v>
      </c>
      <c r="E23">
        <f t="shared" si="1"/>
        <v>30</v>
      </c>
      <c r="F23" s="8"/>
      <c r="G23">
        <f t="shared" si="2"/>
        <v>0</v>
      </c>
      <c r="H23">
        <f t="shared" si="3"/>
        <v>0</v>
      </c>
      <c r="M23" s="12" t="s">
        <v>167</v>
      </c>
      <c r="N23" s="12">
        <v>4</v>
      </c>
      <c r="O23" s="12">
        <v>6</v>
      </c>
      <c r="P23" s="12">
        <f t="shared" si="10"/>
        <v>2</v>
      </c>
      <c r="Q23" s="12">
        <v>2</v>
      </c>
      <c r="R23" s="12">
        <f t="shared" si="4"/>
        <v>12</v>
      </c>
      <c r="S23" s="12">
        <f t="shared" si="5"/>
        <v>4</v>
      </c>
    </row>
    <row r="24" spans="1:19">
      <c r="A24">
        <v>20</v>
      </c>
      <c r="B24" t="s">
        <v>168</v>
      </c>
      <c r="C24">
        <v>2.8</v>
      </c>
      <c r="D24">
        <v>5</v>
      </c>
      <c r="E24">
        <f t="shared" si="1"/>
        <v>2.2000000000000002</v>
      </c>
      <c r="F24" s="8"/>
      <c r="G24">
        <f t="shared" si="2"/>
        <v>0</v>
      </c>
      <c r="H24">
        <f t="shared" si="3"/>
        <v>0</v>
      </c>
      <c r="M24" s="12" t="s">
        <v>169</v>
      </c>
      <c r="N24" s="12">
        <v>8</v>
      </c>
      <c r="O24" s="12">
        <v>10</v>
      </c>
      <c r="P24" s="12">
        <f t="shared" si="10"/>
        <v>2</v>
      </c>
      <c r="Q24" s="12">
        <v>15</v>
      </c>
      <c r="R24" s="12">
        <f t="shared" si="4"/>
        <v>150</v>
      </c>
      <c r="S24" s="12">
        <f t="shared" si="5"/>
        <v>30</v>
      </c>
    </row>
    <row r="25" spans="1:19">
      <c r="A25">
        <v>21</v>
      </c>
      <c r="B25" t="s">
        <v>165</v>
      </c>
      <c r="C25">
        <v>4</v>
      </c>
      <c r="D25">
        <v>8</v>
      </c>
      <c r="E25">
        <f t="shared" si="1"/>
        <v>4</v>
      </c>
      <c r="F25" s="8">
        <v>1</v>
      </c>
      <c r="G25">
        <f t="shared" si="2"/>
        <v>4</v>
      </c>
      <c r="H25">
        <f t="shared" si="3"/>
        <v>8</v>
      </c>
      <c r="M25" s="12" t="s">
        <v>170</v>
      </c>
      <c r="N25" s="12">
        <v>2.5</v>
      </c>
      <c r="O25" s="12">
        <v>5</v>
      </c>
      <c r="P25" s="12">
        <f t="shared" si="10"/>
        <v>2.5</v>
      </c>
      <c r="Q25" s="12">
        <v>10</v>
      </c>
      <c r="R25" s="12">
        <f t="shared" si="4"/>
        <v>50</v>
      </c>
      <c r="S25" s="12">
        <f t="shared" si="5"/>
        <v>25</v>
      </c>
    </row>
    <row r="26" spans="1:19">
      <c r="A26">
        <v>22</v>
      </c>
      <c r="B26" t="s">
        <v>171</v>
      </c>
      <c r="C26">
        <v>3</v>
      </c>
      <c r="D26">
        <v>6</v>
      </c>
      <c r="E26">
        <f t="shared" si="1"/>
        <v>3</v>
      </c>
      <c r="F26" s="8"/>
      <c r="G26">
        <f t="shared" si="2"/>
        <v>0</v>
      </c>
      <c r="H26">
        <f t="shared" si="3"/>
        <v>0</v>
      </c>
      <c r="M26" s="12" t="s">
        <v>172</v>
      </c>
      <c r="N26" s="12">
        <v>5</v>
      </c>
      <c r="O26" s="12">
        <v>10</v>
      </c>
      <c r="P26" s="12">
        <f t="shared" si="10"/>
        <v>5</v>
      </c>
      <c r="Q26" s="12">
        <v>6</v>
      </c>
      <c r="R26" s="12">
        <f t="shared" si="4"/>
        <v>60</v>
      </c>
      <c r="S26" s="12">
        <f t="shared" si="5"/>
        <v>30</v>
      </c>
    </row>
    <row r="27" spans="1:19">
      <c r="A27">
        <v>23</v>
      </c>
      <c r="B27" t="s">
        <v>173</v>
      </c>
      <c r="C27">
        <v>4.5</v>
      </c>
      <c r="D27">
        <v>8</v>
      </c>
      <c r="E27">
        <f t="shared" si="1"/>
        <v>3.5</v>
      </c>
      <c r="F27" s="8">
        <v>1</v>
      </c>
      <c r="G27">
        <f t="shared" si="2"/>
        <v>3.5</v>
      </c>
      <c r="H27">
        <f t="shared" si="3"/>
        <v>8</v>
      </c>
      <c r="M27" s="12" t="s">
        <v>174</v>
      </c>
      <c r="N27" s="12">
        <v>8</v>
      </c>
      <c r="O27" s="12">
        <v>10</v>
      </c>
      <c r="P27" s="12">
        <f t="shared" si="10"/>
        <v>2</v>
      </c>
      <c r="Q27" s="12"/>
      <c r="R27" s="12">
        <f t="shared" si="4"/>
        <v>0</v>
      </c>
      <c r="S27" s="12">
        <f t="shared" si="5"/>
        <v>0</v>
      </c>
    </row>
    <row r="28" spans="1:19">
      <c r="A28">
        <v>24</v>
      </c>
      <c r="B28" t="s">
        <v>175</v>
      </c>
      <c r="C28">
        <v>35</v>
      </c>
      <c r="D28">
        <v>70</v>
      </c>
      <c r="E28">
        <f t="shared" si="1"/>
        <v>35</v>
      </c>
      <c r="F28" s="8"/>
      <c r="G28">
        <f t="shared" si="2"/>
        <v>0</v>
      </c>
      <c r="H28">
        <f t="shared" si="3"/>
        <v>0</v>
      </c>
      <c r="M28" s="12" t="s">
        <v>176</v>
      </c>
      <c r="N28" s="12">
        <v>10</v>
      </c>
      <c r="O28" s="12">
        <v>15</v>
      </c>
      <c r="P28" s="12">
        <f t="shared" si="10"/>
        <v>5</v>
      </c>
      <c r="Q28" s="12"/>
      <c r="R28" s="12">
        <f t="shared" si="4"/>
        <v>0</v>
      </c>
      <c r="S28" s="12">
        <f t="shared" si="5"/>
        <v>0</v>
      </c>
    </row>
    <row r="29" spans="1:19">
      <c r="A29">
        <v>25</v>
      </c>
      <c r="B29" t="s">
        <v>161</v>
      </c>
      <c r="C29">
        <v>3</v>
      </c>
      <c r="D29">
        <v>7</v>
      </c>
      <c r="E29">
        <f t="shared" si="1"/>
        <v>4</v>
      </c>
      <c r="F29" s="8">
        <v>1</v>
      </c>
      <c r="G29">
        <f t="shared" si="2"/>
        <v>4</v>
      </c>
      <c r="H29">
        <f t="shared" si="3"/>
        <v>7</v>
      </c>
      <c r="M29" s="12" t="s">
        <v>177</v>
      </c>
      <c r="N29" s="12">
        <v>2.5</v>
      </c>
      <c r="O29" s="12">
        <v>5</v>
      </c>
      <c r="P29" s="12">
        <f t="shared" si="10"/>
        <v>2.5</v>
      </c>
      <c r="Q29" s="12">
        <v>65</v>
      </c>
      <c r="R29" s="12">
        <f t="shared" si="4"/>
        <v>325</v>
      </c>
      <c r="S29" s="12">
        <f t="shared" si="5"/>
        <v>162.5</v>
      </c>
    </row>
    <row r="30" spans="1:19">
      <c r="A30">
        <v>26</v>
      </c>
      <c r="B30" t="s">
        <v>178</v>
      </c>
      <c r="C30">
        <v>80</v>
      </c>
      <c r="D30">
        <v>160</v>
      </c>
      <c r="E30">
        <f t="shared" si="1"/>
        <v>80</v>
      </c>
      <c r="F30" s="8"/>
      <c r="G30">
        <f t="shared" si="2"/>
        <v>0</v>
      </c>
      <c r="H30">
        <f t="shared" si="3"/>
        <v>0</v>
      </c>
      <c r="M30" s="12" t="s">
        <v>179</v>
      </c>
      <c r="N30" s="12">
        <v>0</v>
      </c>
      <c r="O30" s="12">
        <v>0</v>
      </c>
      <c r="P30" s="12">
        <f t="shared" si="10"/>
        <v>0</v>
      </c>
      <c r="Q30" s="12"/>
      <c r="R30" s="12">
        <f t="shared" ref="R30:R34" si="13">(Q30*O30)</f>
        <v>0</v>
      </c>
      <c r="S30" s="12">
        <f t="shared" ref="S30:S34" si="14">(Q30*P30)</f>
        <v>0</v>
      </c>
    </row>
    <row r="31" spans="1:19">
      <c r="A31">
        <v>27</v>
      </c>
      <c r="B31" t="s">
        <v>174</v>
      </c>
      <c r="C31">
        <v>8</v>
      </c>
      <c r="D31">
        <v>12</v>
      </c>
      <c r="E31">
        <f t="shared" si="1"/>
        <v>4</v>
      </c>
      <c r="F31" s="8"/>
      <c r="G31">
        <f t="shared" si="2"/>
        <v>0</v>
      </c>
      <c r="H31">
        <f t="shared" si="3"/>
        <v>0</v>
      </c>
      <c r="M31" s="12" t="s">
        <v>180</v>
      </c>
      <c r="N31" s="12">
        <v>5</v>
      </c>
      <c r="O31" s="12">
        <v>8</v>
      </c>
      <c r="P31" s="12">
        <f t="shared" si="10"/>
        <v>3</v>
      </c>
      <c r="Q31" s="12"/>
      <c r="R31" s="12">
        <f t="shared" si="13"/>
        <v>0</v>
      </c>
      <c r="S31" s="12">
        <f t="shared" si="14"/>
        <v>0</v>
      </c>
    </row>
    <row r="32" spans="1:19">
      <c r="A32">
        <v>28</v>
      </c>
      <c r="B32" t="s">
        <v>141</v>
      </c>
      <c r="C32">
        <v>40</v>
      </c>
      <c r="D32">
        <v>70</v>
      </c>
      <c r="E32">
        <f t="shared" si="1"/>
        <v>30</v>
      </c>
      <c r="F32" s="8"/>
      <c r="G32">
        <f t="shared" si="2"/>
        <v>0</v>
      </c>
      <c r="H32">
        <f t="shared" si="3"/>
        <v>0</v>
      </c>
      <c r="M32" s="12" t="s">
        <v>52</v>
      </c>
      <c r="N32" s="12">
        <v>5</v>
      </c>
      <c r="O32" s="12">
        <v>8</v>
      </c>
      <c r="P32" s="30">
        <f t="shared" si="10"/>
        <v>3</v>
      </c>
      <c r="Q32" s="30">
        <v>5</v>
      </c>
      <c r="R32" s="30">
        <f t="shared" si="13"/>
        <v>40</v>
      </c>
      <c r="S32" s="30">
        <f t="shared" si="14"/>
        <v>15</v>
      </c>
    </row>
    <row r="33" spans="1:22">
      <c r="A33">
        <v>29</v>
      </c>
      <c r="B33" t="s">
        <v>181</v>
      </c>
      <c r="C33">
        <v>4</v>
      </c>
      <c r="D33">
        <v>10</v>
      </c>
      <c r="E33">
        <f t="shared" si="1"/>
        <v>6</v>
      </c>
      <c r="F33" s="8">
        <v>1</v>
      </c>
      <c r="G33">
        <f t="shared" si="2"/>
        <v>6</v>
      </c>
      <c r="H33">
        <f t="shared" si="3"/>
        <v>10</v>
      </c>
      <c r="M33" s="12" t="s">
        <v>182</v>
      </c>
      <c r="N33" s="12">
        <v>4</v>
      </c>
      <c r="O33" s="12">
        <v>6</v>
      </c>
      <c r="P33" s="12">
        <f t="shared" si="10"/>
        <v>2</v>
      </c>
      <c r="Q33" s="12">
        <v>13</v>
      </c>
      <c r="R33" s="12">
        <f t="shared" si="13"/>
        <v>78</v>
      </c>
      <c r="S33" s="12">
        <f t="shared" si="14"/>
        <v>26</v>
      </c>
    </row>
    <row r="34" spans="1:22">
      <c r="A34">
        <v>30</v>
      </c>
      <c r="B34" t="s">
        <v>135</v>
      </c>
      <c r="C34">
        <v>7</v>
      </c>
      <c r="D34">
        <v>10</v>
      </c>
      <c r="E34">
        <f t="shared" si="1"/>
        <v>3</v>
      </c>
      <c r="F34" s="8"/>
      <c r="G34">
        <f t="shared" si="2"/>
        <v>0</v>
      </c>
      <c r="H34">
        <f t="shared" si="3"/>
        <v>0</v>
      </c>
      <c r="M34" s="12" t="s">
        <v>183</v>
      </c>
      <c r="N34" s="12">
        <v>8</v>
      </c>
      <c r="O34" s="12">
        <v>12</v>
      </c>
      <c r="P34" s="12">
        <f t="shared" si="10"/>
        <v>4</v>
      </c>
      <c r="Q34" s="12">
        <v>10</v>
      </c>
      <c r="R34" s="12">
        <f t="shared" si="13"/>
        <v>120</v>
      </c>
      <c r="S34" s="12">
        <f t="shared" si="14"/>
        <v>40</v>
      </c>
    </row>
    <row r="35" spans="1:22" ht="18.75">
      <c r="A35">
        <v>31</v>
      </c>
      <c r="B35" t="s">
        <v>153</v>
      </c>
      <c r="C35">
        <v>4</v>
      </c>
      <c r="D35">
        <v>7</v>
      </c>
      <c r="E35">
        <f t="shared" si="1"/>
        <v>3</v>
      </c>
      <c r="F35" s="8"/>
      <c r="G35">
        <f t="shared" si="2"/>
        <v>0</v>
      </c>
      <c r="H35">
        <f t="shared" si="3"/>
        <v>0</v>
      </c>
      <c r="M35" s="12"/>
      <c r="N35" s="12"/>
      <c r="O35" s="12"/>
      <c r="P35" s="12"/>
      <c r="Q35" s="13"/>
      <c r="R35" s="13">
        <f>SUM(R4:R34)</f>
        <v>2081</v>
      </c>
      <c r="S35" s="13">
        <f>SUM(S4:S34)</f>
        <v>878</v>
      </c>
    </row>
    <row r="36" spans="1:22">
      <c r="A36">
        <v>32</v>
      </c>
      <c r="B36" t="s">
        <v>176</v>
      </c>
      <c r="C36">
        <v>8</v>
      </c>
      <c r="D36">
        <v>15</v>
      </c>
      <c r="E36">
        <f t="shared" si="1"/>
        <v>7</v>
      </c>
      <c r="F36" s="8">
        <v>1</v>
      </c>
      <c r="G36">
        <f t="shared" si="2"/>
        <v>7</v>
      </c>
      <c r="H36">
        <f t="shared" si="3"/>
        <v>15</v>
      </c>
      <c r="R36" s="31"/>
      <c r="S36" s="31"/>
      <c r="U36">
        <f>878-90-40-110-6-15-75</f>
        <v>542</v>
      </c>
    </row>
    <row r="37" spans="1:22">
      <c r="A37">
        <v>33</v>
      </c>
      <c r="B37" t="s">
        <v>184</v>
      </c>
      <c r="C37">
        <v>4</v>
      </c>
      <c r="D37">
        <v>8</v>
      </c>
      <c r="E37">
        <f t="shared" si="1"/>
        <v>4</v>
      </c>
      <c r="F37" s="8">
        <v>1</v>
      </c>
      <c r="G37">
        <f t="shared" si="2"/>
        <v>4</v>
      </c>
      <c r="H37">
        <f t="shared" si="3"/>
        <v>8</v>
      </c>
      <c r="U37">
        <v>878</v>
      </c>
      <c r="V37" t="s">
        <v>127</v>
      </c>
    </row>
    <row r="38" spans="1:22">
      <c r="A38">
        <v>34</v>
      </c>
      <c r="B38" t="s">
        <v>185</v>
      </c>
      <c r="C38">
        <v>7</v>
      </c>
      <c r="D38">
        <v>10</v>
      </c>
      <c r="E38">
        <f t="shared" si="1"/>
        <v>3</v>
      </c>
      <c r="F38" s="8"/>
      <c r="G38">
        <f t="shared" si="2"/>
        <v>0</v>
      </c>
      <c r="H38">
        <f t="shared" si="3"/>
        <v>0</v>
      </c>
      <c r="M38" t="s">
        <v>186</v>
      </c>
      <c r="N38">
        <v>100</v>
      </c>
      <c r="U38">
        <v>40</v>
      </c>
      <c r="V38" t="s">
        <v>187</v>
      </c>
    </row>
    <row r="39" spans="1:22">
      <c r="A39">
        <v>35</v>
      </c>
      <c r="B39" t="s">
        <v>188</v>
      </c>
      <c r="C39">
        <v>2.6</v>
      </c>
      <c r="D39">
        <v>4</v>
      </c>
      <c r="E39">
        <f t="shared" si="1"/>
        <v>1.4</v>
      </c>
      <c r="F39" s="8"/>
      <c r="G39">
        <f t="shared" si="2"/>
        <v>0</v>
      </c>
      <c r="H39">
        <f t="shared" si="3"/>
        <v>0</v>
      </c>
      <c r="M39" t="s">
        <v>189</v>
      </c>
      <c r="N39">
        <v>36</v>
      </c>
      <c r="U39">
        <v>100</v>
      </c>
      <c r="V39" t="s">
        <v>190</v>
      </c>
    </row>
    <row r="40" spans="1:22">
      <c r="A40">
        <v>36</v>
      </c>
      <c r="B40" t="s">
        <v>191</v>
      </c>
      <c r="C40">
        <v>55</v>
      </c>
      <c r="D40">
        <v>63</v>
      </c>
      <c r="E40">
        <f t="shared" si="1"/>
        <v>8</v>
      </c>
      <c r="F40" s="8"/>
      <c r="G40">
        <f t="shared" si="2"/>
        <v>0</v>
      </c>
      <c r="H40">
        <f t="shared" si="3"/>
        <v>0</v>
      </c>
      <c r="M40" t="s">
        <v>192</v>
      </c>
      <c r="N40">
        <v>100</v>
      </c>
      <c r="U40">
        <v>75</v>
      </c>
      <c r="V40" t="s">
        <v>193</v>
      </c>
    </row>
    <row r="41" spans="1:22">
      <c r="A41">
        <v>37</v>
      </c>
      <c r="B41" t="s">
        <v>191</v>
      </c>
      <c r="C41">
        <v>32</v>
      </c>
      <c r="D41">
        <v>42</v>
      </c>
      <c r="E41">
        <f t="shared" si="1"/>
        <v>10</v>
      </c>
      <c r="F41" s="8"/>
      <c r="G41">
        <f t="shared" si="2"/>
        <v>0</v>
      </c>
      <c r="H41">
        <f t="shared" si="3"/>
        <v>0</v>
      </c>
      <c r="M41" t="s">
        <v>30</v>
      </c>
      <c r="N41">
        <v>30</v>
      </c>
      <c r="U41">
        <v>110</v>
      </c>
      <c r="V41" t="s">
        <v>194</v>
      </c>
    </row>
    <row r="42" spans="1:22">
      <c r="A42">
        <v>38</v>
      </c>
      <c r="B42" t="s">
        <v>191</v>
      </c>
      <c r="C42">
        <v>22</v>
      </c>
      <c r="D42">
        <v>32</v>
      </c>
      <c r="E42">
        <f t="shared" si="1"/>
        <v>10</v>
      </c>
      <c r="F42" s="8"/>
      <c r="G42">
        <f t="shared" si="2"/>
        <v>0</v>
      </c>
      <c r="H42">
        <f t="shared" si="3"/>
        <v>0</v>
      </c>
      <c r="M42" t="s">
        <v>195</v>
      </c>
      <c r="N42">
        <v>15</v>
      </c>
      <c r="U42">
        <v>21</v>
      </c>
      <c r="V42" t="s">
        <v>195</v>
      </c>
    </row>
    <row r="43" spans="1:22" ht="15.75">
      <c r="A43">
        <v>39</v>
      </c>
      <c r="B43" t="s">
        <v>191</v>
      </c>
      <c r="C43">
        <v>34</v>
      </c>
      <c r="D43">
        <v>44</v>
      </c>
      <c r="E43">
        <f t="shared" si="1"/>
        <v>10</v>
      </c>
      <c r="F43" s="8"/>
      <c r="G43">
        <f t="shared" si="2"/>
        <v>0</v>
      </c>
      <c r="H43">
        <f t="shared" si="3"/>
        <v>0</v>
      </c>
      <c r="N43" s="33">
        <f>SUM(N38:N42)</f>
        <v>281</v>
      </c>
      <c r="U43">
        <v>30</v>
      </c>
      <c r="V43" t="s">
        <v>112</v>
      </c>
    </row>
    <row r="44" spans="1:22">
      <c r="A44">
        <v>40</v>
      </c>
      <c r="B44" t="s">
        <v>196</v>
      </c>
      <c r="E44">
        <f t="shared" si="1"/>
        <v>0</v>
      </c>
      <c r="F44" s="8"/>
      <c r="G44">
        <f t="shared" si="2"/>
        <v>0</v>
      </c>
      <c r="H44">
        <f t="shared" si="3"/>
        <v>0</v>
      </c>
      <c r="M44" t="s">
        <v>197</v>
      </c>
      <c r="N44">
        <v>150</v>
      </c>
      <c r="U44">
        <v>502</v>
      </c>
      <c r="V44" t="s">
        <v>198</v>
      </c>
    </row>
    <row r="45" spans="1:22" ht="15.75">
      <c r="A45">
        <v>41</v>
      </c>
      <c r="B45" t="s">
        <v>199</v>
      </c>
      <c r="E45">
        <f t="shared" si="1"/>
        <v>0</v>
      </c>
      <c r="F45" s="8"/>
      <c r="G45">
        <f t="shared" si="2"/>
        <v>0</v>
      </c>
      <c r="H45">
        <f t="shared" si="3"/>
        <v>0</v>
      </c>
      <c r="M45" t="s">
        <v>200</v>
      </c>
      <c r="N45" s="33">
        <f>SUM(N43:N44)</f>
        <v>431</v>
      </c>
      <c r="O45">
        <f>451*5</f>
        <v>2255</v>
      </c>
      <c r="P45">
        <f>5000-2255</f>
        <v>2745</v>
      </c>
      <c r="Q45">
        <f>2745*4</f>
        <v>10980</v>
      </c>
      <c r="U45">
        <f>502-140</f>
        <v>362</v>
      </c>
      <c r="V45">
        <f>362*5</f>
        <v>1810</v>
      </c>
    </row>
    <row r="46" spans="1:22">
      <c r="A46">
        <v>42</v>
      </c>
      <c r="B46" t="s">
        <v>201</v>
      </c>
      <c r="C46">
        <v>20</v>
      </c>
      <c r="D46">
        <v>30</v>
      </c>
      <c r="E46">
        <f t="shared" si="1"/>
        <v>10</v>
      </c>
      <c r="F46" s="8"/>
      <c r="G46">
        <f t="shared" si="2"/>
        <v>0</v>
      </c>
      <c r="H46">
        <f t="shared" si="3"/>
        <v>0</v>
      </c>
      <c r="P46">
        <f>2745-675</f>
        <v>2070</v>
      </c>
      <c r="Q46">
        <f>2070*4</f>
        <v>8280</v>
      </c>
      <c r="R46">
        <f>2700/4</f>
        <v>675</v>
      </c>
      <c r="V46">
        <f>1810*4</f>
        <v>7240</v>
      </c>
    </row>
    <row r="47" spans="1:22">
      <c r="A47">
        <v>43</v>
      </c>
      <c r="B47" t="s">
        <v>202</v>
      </c>
      <c r="C47">
        <v>12</v>
      </c>
      <c r="D47">
        <v>20</v>
      </c>
      <c r="E47">
        <f t="shared" si="1"/>
        <v>8</v>
      </c>
      <c r="F47" s="8">
        <v>1</v>
      </c>
      <c r="G47">
        <f t="shared" si="2"/>
        <v>8</v>
      </c>
      <c r="H47">
        <f t="shared" si="3"/>
        <v>20</v>
      </c>
    </row>
    <row r="48" spans="1:22">
      <c r="A48">
        <v>44</v>
      </c>
      <c r="B48" t="s">
        <v>88</v>
      </c>
      <c r="C48">
        <v>11</v>
      </c>
      <c r="D48">
        <v>25</v>
      </c>
      <c r="E48">
        <f t="shared" si="1"/>
        <v>14</v>
      </c>
      <c r="F48" s="8"/>
      <c r="G48">
        <f t="shared" si="2"/>
        <v>0</v>
      </c>
      <c r="H48">
        <f t="shared" si="3"/>
        <v>0</v>
      </c>
      <c r="M48" t="s">
        <v>203</v>
      </c>
    </row>
    <row r="49" spans="1:13">
      <c r="A49">
        <v>45</v>
      </c>
      <c r="B49" t="s">
        <v>89</v>
      </c>
      <c r="C49">
        <v>11</v>
      </c>
      <c r="D49">
        <v>30</v>
      </c>
      <c r="E49">
        <f t="shared" si="1"/>
        <v>19</v>
      </c>
      <c r="F49" s="8"/>
      <c r="G49">
        <f t="shared" si="2"/>
        <v>0</v>
      </c>
      <c r="H49">
        <f t="shared" si="3"/>
        <v>0</v>
      </c>
      <c r="M49">
        <f>400+100+300</f>
        <v>800</v>
      </c>
    </row>
    <row r="50" spans="1:13">
      <c r="A50">
        <v>46</v>
      </c>
      <c r="B50" t="s">
        <v>90</v>
      </c>
      <c r="C50">
        <v>18</v>
      </c>
      <c r="D50">
        <v>28</v>
      </c>
      <c r="E50">
        <f t="shared" si="1"/>
        <v>10</v>
      </c>
      <c r="F50" s="8"/>
      <c r="G50">
        <f t="shared" si="2"/>
        <v>0</v>
      </c>
      <c r="H50">
        <f t="shared" si="3"/>
        <v>0</v>
      </c>
      <c r="M50">
        <f>800*5</f>
        <v>4000</v>
      </c>
    </row>
    <row r="51" spans="1:13">
      <c r="A51">
        <v>47</v>
      </c>
      <c r="B51" t="s">
        <v>91</v>
      </c>
      <c r="C51">
        <v>5.5</v>
      </c>
      <c r="D51">
        <v>10</v>
      </c>
      <c r="E51">
        <f t="shared" si="1"/>
        <v>4.5</v>
      </c>
      <c r="F51" s="8"/>
      <c r="G51">
        <f t="shared" si="2"/>
        <v>0</v>
      </c>
      <c r="H51">
        <f t="shared" si="3"/>
        <v>0</v>
      </c>
      <c r="M51">
        <f>4000*4</f>
        <v>16000</v>
      </c>
    </row>
    <row r="52" spans="1:13">
      <c r="A52">
        <v>48</v>
      </c>
      <c r="B52" t="s">
        <v>92</v>
      </c>
      <c r="C52">
        <v>10</v>
      </c>
      <c r="D52">
        <v>18</v>
      </c>
      <c r="E52">
        <f t="shared" si="1"/>
        <v>8</v>
      </c>
      <c r="F52" s="8"/>
      <c r="G52">
        <f t="shared" si="2"/>
        <v>0</v>
      </c>
      <c r="H52">
        <f t="shared" si="3"/>
        <v>0</v>
      </c>
      <c r="M52">
        <f>9.4</f>
        <v>9.4</v>
      </c>
    </row>
    <row r="53" spans="1:13">
      <c r="A53">
        <v>49</v>
      </c>
      <c r="B53" t="s">
        <v>93</v>
      </c>
      <c r="C53">
        <v>25</v>
      </c>
      <c r="D53">
        <v>35</v>
      </c>
      <c r="E53">
        <f t="shared" si="1"/>
        <v>10</v>
      </c>
      <c r="F53" s="8"/>
      <c r="G53">
        <f t="shared" si="2"/>
        <v>0</v>
      </c>
      <c r="H53">
        <f t="shared" si="3"/>
        <v>0</v>
      </c>
    </row>
    <row r="54" spans="1:13">
      <c r="A54">
        <v>50</v>
      </c>
      <c r="B54" t="s">
        <v>94</v>
      </c>
      <c r="C54">
        <v>9</v>
      </c>
      <c r="D54">
        <v>18</v>
      </c>
      <c r="E54">
        <f t="shared" si="1"/>
        <v>9</v>
      </c>
      <c r="F54" s="8"/>
      <c r="G54">
        <f t="shared" si="2"/>
        <v>0</v>
      </c>
      <c r="H54">
        <f t="shared" si="3"/>
        <v>0</v>
      </c>
    </row>
    <row r="55" spans="1:13">
      <c r="A55">
        <v>51</v>
      </c>
      <c r="B55" t="s">
        <v>97</v>
      </c>
      <c r="C55">
        <v>25</v>
      </c>
      <c r="D55">
        <v>35</v>
      </c>
      <c r="E55">
        <f t="shared" si="1"/>
        <v>10</v>
      </c>
      <c r="F55" s="8"/>
      <c r="G55">
        <f t="shared" si="2"/>
        <v>0</v>
      </c>
      <c r="H55">
        <f t="shared" si="3"/>
        <v>0</v>
      </c>
    </row>
    <row r="56" spans="1:13">
      <c r="A56">
        <v>52</v>
      </c>
      <c r="B56" t="s">
        <v>98</v>
      </c>
      <c r="C56">
        <v>65</v>
      </c>
      <c r="D56">
        <v>100</v>
      </c>
      <c r="E56">
        <f t="shared" si="1"/>
        <v>35</v>
      </c>
      <c r="F56" s="8"/>
      <c r="G56">
        <f t="shared" si="2"/>
        <v>0</v>
      </c>
      <c r="H56">
        <f t="shared" si="3"/>
        <v>0</v>
      </c>
    </row>
    <row r="57" spans="1:13">
      <c r="A57">
        <v>53</v>
      </c>
      <c r="B57" t="s">
        <v>99</v>
      </c>
      <c r="C57">
        <v>90</v>
      </c>
      <c r="D57">
        <v>150</v>
      </c>
      <c r="E57">
        <f t="shared" si="1"/>
        <v>60</v>
      </c>
      <c r="F57" s="8"/>
      <c r="G57">
        <f t="shared" si="2"/>
        <v>0</v>
      </c>
      <c r="H57">
        <f t="shared" si="3"/>
        <v>0</v>
      </c>
    </row>
    <row r="58" spans="1:13">
      <c r="A58">
        <v>54</v>
      </c>
      <c r="B58" t="s">
        <v>100</v>
      </c>
      <c r="C58">
        <v>100</v>
      </c>
      <c r="D58">
        <v>190</v>
      </c>
      <c r="E58">
        <f t="shared" si="1"/>
        <v>90</v>
      </c>
      <c r="F58" s="8"/>
      <c r="G58">
        <f t="shared" si="2"/>
        <v>0</v>
      </c>
      <c r="H58">
        <f t="shared" si="3"/>
        <v>0</v>
      </c>
    </row>
    <row r="59" spans="1:13">
      <c r="A59">
        <v>55</v>
      </c>
      <c r="B59" t="s">
        <v>101</v>
      </c>
      <c r="C59">
        <v>100</v>
      </c>
      <c r="D59">
        <v>150</v>
      </c>
      <c r="E59">
        <f t="shared" si="1"/>
        <v>50</v>
      </c>
      <c r="F59" s="8"/>
      <c r="G59">
        <f t="shared" si="2"/>
        <v>0</v>
      </c>
      <c r="H59">
        <f t="shared" si="3"/>
        <v>0</v>
      </c>
    </row>
    <row r="60" spans="1:13">
      <c r="A60">
        <v>56</v>
      </c>
      <c r="B60" t="s">
        <v>102</v>
      </c>
      <c r="C60">
        <v>100</v>
      </c>
      <c r="D60">
        <v>150</v>
      </c>
      <c r="E60">
        <f t="shared" si="1"/>
        <v>50</v>
      </c>
      <c r="F60" s="8"/>
      <c r="G60">
        <f t="shared" si="2"/>
        <v>0</v>
      </c>
      <c r="H60">
        <f t="shared" si="3"/>
        <v>0</v>
      </c>
    </row>
    <row r="61" spans="1:13">
      <c r="A61">
        <v>57</v>
      </c>
      <c r="B61" t="s">
        <v>103</v>
      </c>
      <c r="C61">
        <v>180</v>
      </c>
      <c r="D61">
        <v>200</v>
      </c>
      <c r="E61">
        <f t="shared" si="1"/>
        <v>20</v>
      </c>
      <c r="F61" s="8"/>
      <c r="G61">
        <f t="shared" si="2"/>
        <v>0</v>
      </c>
      <c r="H61">
        <f t="shared" si="3"/>
        <v>0</v>
      </c>
    </row>
    <row r="62" spans="1:13">
      <c r="A62">
        <v>58</v>
      </c>
      <c r="B62" t="s">
        <v>104</v>
      </c>
      <c r="C62">
        <v>100</v>
      </c>
      <c r="D62">
        <v>160</v>
      </c>
      <c r="E62">
        <f t="shared" si="1"/>
        <v>60</v>
      </c>
      <c r="F62" s="8"/>
      <c r="G62">
        <f t="shared" si="2"/>
        <v>0</v>
      </c>
      <c r="H62">
        <f t="shared" si="3"/>
        <v>0</v>
      </c>
    </row>
    <row r="63" spans="1:13">
      <c r="A63">
        <v>59</v>
      </c>
      <c r="B63" t="s">
        <v>105</v>
      </c>
      <c r="C63">
        <v>100</v>
      </c>
      <c r="D63">
        <v>160</v>
      </c>
      <c r="E63">
        <f t="shared" si="1"/>
        <v>60</v>
      </c>
      <c r="F63" s="8"/>
      <c r="G63">
        <f t="shared" si="2"/>
        <v>0</v>
      </c>
      <c r="H63">
        <f t="shared" si="3"/>
        <v>0</v>
      </c>
    </row>
    <row r="64" spans="1:13">
      <c r="A64">
        <v>60</v>
      </c>
      <c r="B64" t="s">
        <v>204</v>
      </c>
      <c r="C64">
        <v>22</v>
      </c>
      <c r="D64">
        <v>35</v>
      </c>
      <c r="E64">
        <f t="shared" si="1"/>
        <v>13</v>
      </c>
      <c r="F64" s="8"/>
      <c r="G64">
        <f t="shared" si="2"/>
        <v>0</v>
      </c>
      <c r="H64">
        <f t="shared" si="3"/>
        <v>0</v>
      </c>
    </row>
    <row r="65" spans="1:8">
      <c r="A65">
        <v>61</v>
      </c>
      <c r="B65" t="s">
        <v>204</v>
      </c>
      <c r="C65">
        <v>30</v>
      </c>
      <c r="D65">
        <v>45</v>
      </c>
      <c r="E65">
        <f t="shared" si="1"/>
        <v>15</v>
      </c>
      <c r="F65" s="8"/>
      <c r="G65">
        <f t="shared" si="2"/>
        <v>0</v>
      </c>
      <c r="H65">
        <f t="shared" si="3"/>
        <v>0</v>
      </c>
    </row>
    <row r="66" spans="1:8">
      <c r="A66">
        <v>62</v>
      </c>
      <c r="B66" t="s">
        <v>205</v>
      </c>
      <c r="C66">
        <v>7</v>
      </c>
      <c r="D66">
        <v>15</v>
      </c>
      <c r="E66">
        <f t="shared" si="1"/>
        <v>8</v>
      </c>
      <c r="F66" s="8"/>
      <c r="G66">
        <f t="shared" si="2"/>
        <v>0</v>
      </c>
      <c r="H66">
        <f t="shared" si="3"/>
        <v>0</v>
      </c>
    </row>
    <row r="67" spans="1:8">
      <c r="A67">
        <v>63</v>
      </c>
      <c r="B67" t="s">
        <v>206</v>
      </c>
      <c r="C67">
        <v>6</v>
      </c>
      <c r="D67">
        <v>10</v>
      </c>
      <c r="E67">
        <f t="shared" si="1"/>
        <v>4</v>
      </c>
      <c r="F67" s="8"/>
      <c r="G67">
        <f t="shared" si="2"/>
        <v>0</v>
      </c>
      <c r="H67">
        <f t="shared" si="3"/>
        <v>0</v>
      </c>
    </row>
    <row r="68" spans="1:8">
      <c r="A68">
        <v>64</v>
      </c>
      <c r="B68" t="s">
        <v>191</v>
      </c>
      <c r="C68">
        <v>10</v>
      </c>
      <c r="D68">
        <v>25</v>
      </c>
      <c r="E68">
        <f t="shared" si="1"/>
        <v>15</v>
      </c>
      <c r="F68" s="8"/>
      <c r="G68">
        <f t="shared" si="2"/>
        <v>0</v>
      </c>
      <c r="H68">
        <f t="shared" si="3"/>
        <v>0</v>
      </c>
    </row>
    <row r="69" spans="1:8">
      <c r="A69">
        <v>65</v>
      </c>
      <c r="B69" t="s">
        <v>207</v>
      </c>
      <c r="C69">
        <v>20</v>
      </c>
      <c r="D69">
        <v>30</v>
      </c>
      <c r="E69">
        <f t="shared" si="1"/>
        <v>10</v>
      </c>
      <c r="F69" s="8"/>
      <c r="G69">
        <f t="shared" si="2"/>
        <v>0</v>
      </c>
      <c r="H69">
        <f t="shared" si="3"/>
        <v>0</v>
      </c>
    </row>
    <row r="70" spans="1:8">
      <c r="A70">
        <v>66</v>
      </c>
      <c r="B70" t="s">
        <v>63</v>
      </c>
      <c r="C70">
        <v>20</v>
      </c>
      <c r="D70">
        <v>30</v>
      </c>
      <c r="E70">
        <f t="shared" si="1"/>
        <v>10</v>
      </c>
      <c r="F70" s="8"/>
      <c r="G70">
        <f t="shared" si="2"/>
        <v>0</v>
      </c>
      <c r="H70">
        <f t="shared" si="3"/>
        <v>0</v>
      </c>
    </row>
    <row r="71" spans="1:8">
      <c r="A71">
        <v>67</v>
      </c>
      <c r="B71" t="s">
        <v>208</v>
      </c>
      <c r="C71">
        <v>80</v>
      </c>
      <c r="D71">
        <v>110</v>
      </c>
      <c r="E71">
        <f t="shared" si="1"/>
        <v>30</v>
      </c>
      <c r="F71" s="8"/>
      <c r="G71">
        <f t="shared" si="2"/>
        <v>0</v>
      </c>
      <c r="H71">
        <f t="shared" si="3"/>
        <v>0</v>
      </c>
    </row>
    <row r="72" spans="1:8">
      <c r="A72">
        <v>68</v>
      </c>
      <c r="B72" t="s">
        <v>209</v>
      </c>
      <c r="C72">
        <v>15</v>
      </c>
      <c r="D72">
        <v>20</v>
      </c>
      <c r="E72">
        <f t="shared" si="1"/>
        <v>5</v>
      </c>
      <c r="F72" s="8"/>
      <c r="G72">
        <f t="shared" si="2"/>
        <v>0</v>
      </c>
      <c r="H72">
        <f t="shared" si="3"/>
        <v>0</v>
      </c>
    </row>
    <row r="73" spans="1:8">
      <c r="A73">
        <v>69</v>
      </c>
      <c r="B73" t="s">
        <v>210</v>
      </c>
      <c r="C73">
        <v>32</v>
      </c>
      <c r="D73">
        <v>39</v>
      </c>
      <c r="E73">
        <f t="shared" si="1"/>
        <v>7</v>
      </c>
      <c r="F73" s="8"/>
      <c r="G73">
        <f t="shared" si="2"/>
        <v>0</v>
      </c>
      <c r="H73">
        <f t="shared" si="3"/>
        <v>0</v>
      </c>
    </row>
    <row r="74" spans="1:8">
      <c r="A74">
        <v>70</v>
      </c>
      <c r="B74" t="s">
        <v>211</v>
      </c>
      <c r="C74">
        <v>1.5</v>
      </c>
      <c r="D74">
        <v>3</v>
      </c>
      <c r="E74">
        <f t="shared" si="1"/>
        <v>1.5</v>
      </c>
      <c r="F74" s="8"/>
      <c r="G74">
        <f t="shared" ref="G74" si="15">(F74*E74)</f>
        <v>0</v>
      </c>
      <c r="H74">
        <f t="shared" ref="H74" si="16">(F74*D74)</f>
        <v>0</v>
      </c>
    </row>
    <row r="75" spans="1:8">
      <c r="A75">
        <v>71</v>
      </c>
      <c r="B75" t="s">
        <v>212</v>
      </c>
      <c r="C75">
        <v>18</v>
      </c>
      <c r="D75">
        <v>28</v>
      </c>
      <c r="E75">
        <f t="shared" si="1"/>
        <v>10</v>
      </c>
      <c r="F75" s="8"/>
      <c r="G75">
        <f t="shared" ref="G75" si="17">(F75*E75)</f>
        <v>0</v>
      </c>
      <c r="H75">
        <f t="shared" ref="H75" si="18">(F75*D75)</f>
        <v>0</v>
      </c>
    </row>
    <row r="76" spans="1:8">
      <c r="A76">
        <v>72</v>
      </c>
      <c r="B76" t="s">
        <v>213</v>
      </c>
      <c r="C76">
        <v>70</v>
      </c>
      <c r="D76">
        <v>140</v>
      </c>
      <c r="E76">
        <f t="shared" si="1"/>
        <v>70</v>
      </c>
      <c r="F76" s="8"/>
      <c r="G76">
        <f t="shared" ref="G76" si="19">(F76*E76)</f>
        <v>0</v>
      </c>
      <c r="H76">
        <f t="shared" ref="H76" si="20">(F76*D76)</f>
        <v>0</v>
      </c>
    </row>
    <row r="77" spans="1:8">
      <c r="A77">
        <v>73</v>
      </c>
      <c r="B77" t="s">
        <v>214</v>
      </c>
      <c r="C77">
        <v>120</v>
      </c>
      <c r="D77">
        <v>220</v>
      </c>
      <c r="E77">
        <f t="shared" si="1"/>
        <v>100</v>
      </c>
      <c r="F77" s="8"/>
      <c r="G77">
        <f t="shared" si="2"/>
        <v>0</v>
      </c>
      <c r="H77">
        <f t="shared" si="3"/>
        <v>0</v>
      </c>
    </row>
    <row r="78" spans="1:8">
      <c r="A78">
        <v>74</v>
      </c>
      <c r="B78" t="s">
        <v>215</v>
      </c>
      <c r="C78">
        <v>2.5</v>
      </c>
      <c r="D78">
        <v>4</v>
      </c>
      <c r="E78">
        <f t="shared" si="1"/>
        <v>1.5</v>
      </c>
      <c r="F78" s="8"/>
      <c r="G78">
        <f t="shared" si="2"/>
        <v>0</v>
      </c>
      <c r="H78">
        <f t="shared" si="3"/>
        <v>0</v>
      </c>
    </row>
    <row r="79" spans="1:8">
      <c r="A79">
        <v>75</v>
      </c>
      <c r="B79" s="1" t="s">
        <v>216</v>
      </c>
      <c r="C79">
        <v>8</v>
      </c>
      <c r="D79">
        <v>10</v>
      </c>
      <c r="E79">
        <f t="shared" si="1"/>
        <v>2</v>
      </c>
      <c r="F79" s="8"/>
      <c r="G79">
        <f t="shared" si="2"/>
        <v>0</v>
      </c>
      <c r="H79">
        <f t="shared" si="3"/>
        <v>0</v>
      </c>
    </row>
    <row r="80" spans="1:8">
      <c r="A80">
        <v>76</v>
      </c>
      <c r="B80" t="s">
        <v>217</v>
      </c>
      <c r="C80">
        <v>300</v>
      </c>
      <c r="D80">
        <v>500</v>
      </c>
      <c r="E80">
        <f t="shared" ref="E80" si="21">(D80-C80)</f>
        <v>200</v>
      </c>
      <c r="F80" s="8"/>
      <c r="G80">
        <f t="shared" ref="G80" si="22">(F80*E80)</f>
        <v>0</v>
      </c>
      <c r="H80">
        <f t="shared" ref="H80" si="23">(F80*D80)</f>
        <v>0</v>
      </c>
    </row>
    <row r="81" spans="2:8" ht="21">
      <c r="G81" s="14">
        <f>SUM(G4:G80)</f>
        <v>85</v>
      </c>
      <c r="H81" s="14">
        <f>SUM(H4:H80)</f>
        <v>169</v>
      </c>
    </row>
    <row r="83" spans="2:8" ht="15.75">
      <c r="B83" s="19"/>
      <c r="C83" s="19"/>
      <c r="D83" s="19"/>
      <c r="E83" s="19"/>
      <c r="F83" s="19"/>
      <c r="G83" s="19"/>
      <c r="H83" s="19"/>
    </row>
    <row r="84" spans="2:8" ht="15.75">
      <c r="B84" s="19"/>
      <c r="C84" s="19"/>
      <c r="D84" s="19"/>
      <c r="E84" s="19"/>
      <c r="F84" s="19"/>
      <c r="G84" s="19"/>
      <c r="H84" s="19"/>
    </row>
    <row r="85" spans="2:8" ht="21">
      <c r="G85" s="14"/>
      <c r="H85" s="14"/>
    </row>
    <row r="86" spans="2:8" ht="15.75">
      <c r="B86" s="5" t="s">
        <v>218</v>
      </c>
      <c r="C86">
        <v>40</v>
      </c>
      <c r="D86">
        <v>55</v>
      </c>
      <c r="E86" s="19">
        <f t="shared" ref="E86:E87" si="24">(D86-C86)</f>
        <v>15</v>
      </c>
      <c r="G86" s="19">
        <f t="shared" ref="G86:G87" si="25">(F86*E86)</f>
        <v>0</v>
      </c>
      <c r="H86" s="19">
        <f t="shared" ref="H86:H87" si="26">(F86*D86)</f>
        <v>0</v>
      </c>
    </row>
    <row r="87" spans="2:8" ht="15.75">
      <c r="B87" s="5" t="s">
        <v>219</v>
      </c>
      <c r="C87">
        <v>28.5</v>
      </c>
      <c r="D87">
        <v>50</v>
      </c>
      <c r="E87" s="19">
        <f t="shared" si="24"/>
        <v>21.5</v>
      </c>
      <c r="F87">
        <v>5</v>
      </c>
      <c r="G87" s="19">
        <f t="shared" si="25"/>
        <v>107.5</v>
      </c>
      <c r="H87" s="19">
        <f t="shared" si="26"/>
        <v>250</v>
      </c>
    </row>
    <row r="88" spans="2:8" ht="21">
      <c r="G88" s="14">
        <f>SUM(G86:G87)</f>
        <v>107.5</v>
      </c>
      <c r="H88" s="14">
        <f>SUM(H86:H87)</f>
        <v>250</v>
      </c>
    </row>
    <row r="90" spans="2:8" ht="15.75">
      <c r="B90" s="19" t="s">
        <v>220</v>
      </c>
      <c r="C90" s="19">
        <v>45</v>
      </c>
      <c r="D90" s="19">
        <v>80</v>
      </c>
      <c r="E90" s="19">
        <f t="shared" ref="E90:E91" si="27">(D90-C90)</f>
        <v>35</v>
      </c>
      <c r="F90" s="19">
        <v>6</v>
      </c>
      <c r="G90" s="19">
        <f t="shared" ref="G90:G91" si="28">(F90*E90)</f>
        <v>210</v>
      </c>
      <c r="H90" s="19">
        <f t="shared" ref="H90:H91" si="29">(F90*D90)</f>
        <v>480</v>
      </c>
    </row>
    <row r="91" spans="2:8" ht="15.75">
      <c r="B91" s="19" t="s">
        <v>221</v>
      </c>
      <c r="C91" s="19">
        <v>28.5</v>
      </c>
      <c r="D91" s="19">
        <v>40</v>
      </c>
      <c r="E91" s="19">
        <f t="shared" si="27"/>
        <v>11.5</v>
      </c>
      <c r="F91" s="19">
        <v>10</v>
      </c>
      <c r="G91" s="19">
        <f t="shared" si="28"/>
        <v>115</v>
      </c>
      <c r="H91" s="19">
        <f t="shared" si="29"/>
        <v>400</v>
      </c>
    </row>
    <row r="92" spans="2:8" ht="21">
      <c r="G92" s="14">
        <f>SUM(G90:G91)</f>
        <v>325</v>
      </c>
      <c r="H92" s="14">
        <f>SUM(H90:H91)</f>
        <v>880</v>
      </c>
    </row>
    <row r="97" spans="7:9" ht="21">
      <c r="G97" s="14"/>
    </row>
    <row r="99" spans="7:9">
      <c r="I99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86"/>
  <sheetViews>
    <sheetView topLeftCell="F18" workbookViewId="0" xr3:uid="{842E5F09-E766-5B8D-85AF-A39847EA96FD}">
      <selection activeCell="T18" sqref="T18"/>
    </sheetView>
  </sheetViews>
  <sheetFormatPr defaultColWidth="11.42578125" defaultRowHeight="15"/>
  <cols>
    <col min="8" max="8" width="14" customWidth="1"/>
    <col min="9" max="9" width="12.7109375" customWidth="1"/>
    <col min="10" max="10" width="11.28515625" customWidth="1"/>
    <col min="11" max="11" width="8.7109375" customWidth="1"/>
    <col min="13" max="13" width="16.7109375" customWidth="1"/>
  </cols>
  <sheetData>
    <row r="2" spans="1:18" ht="23.25">
      <c r="B2" t="s">
        <v>223</v>
      </c>
      <c r="C2" t="s">
        <v>224</v>
      </c>
      <c r="F2" s="10" t="s">
        <v>225</v>
      </c>
    </row>
    <row r="3" spans="1:18" ht="23.25">
      <c r="F3" s="10" t="s">
        <v>226</v>
      </c>
      <c r="H3" s="10" t="s">
        <v>192</v>
      </c>
      <c r="J3" s="18" t="s">
        <v>227</v>
      </c>
      <c r="K3" s="18" t="s">
        <v>228</v>
      </c>
      <c r="M3" s="3" t="s">
        <v>229</v>
      </c>
      <c r="P3" s="3" t="s">
        <v>230</v>
      </c>
      <c r="Q3" t="s">
        <v>231</v>
      </c>
      <c r="R3" t="s">
        <v>232</v>
      </c>
    </row>
    <row r="4" spans="1:18">
      <c r="A4" s="17">
        <v>42522</v>
      </c>
      <c r="B4" s="17" t="s">
        <v>233</v>
      </c>
      <c r="C4" s="21" t="s">
        <v>128</v>
      </c>
      <c r="D4" s="26" t="s">
        <v>234</v>
      </c>
      <c r="E4" s="21" t="s">
        <v>128</v>
      </c>
      <c r="F4" t="s">
        <v>235</v>
      </c>
      <c r="G4" s="20" t="s">
        <v>236</v>
      </c>
      <c r="H4" t="s">
        <v>127</v>
      </c>
      <c r="I4" s="20" t="s">
        <v>128</v>
      </c>
      <c r="M4" t="s">
        <v>237</v>
      </c>
      <c r="N4">
        <v>2700</v>
      </c>
      <c r="P4" t="s">
        <v>238</v>
      </c>
      <c r="Q4">
        <v>80</v>
      </c>
    </row>
    <row r="5" spans="1:18">
      <c r="A5">
        <v>20</v>
      </c>
      <c r="C5" s="20"/>
      <c r="D5" s="27">
        <v>0</v>
      </c>
      <c r="E5" s="20">
        <v>0</v>
      </c>
      <c r="F5">
        <v>1000</v>
      </c>
      <c r="G5" s="20">
        <v>202</v>
      </c>
      <c r="H5">
        <v>2699</v>
      </c>
      <c r="I5" s="20">
        <v>900</v>
      </c>
      <c r="J5">
        <f>260+190+290+200</f>
        <v>940</v>
      </c>
      <c r="K5">
        <f>22+24+12+200</f>
        <v>258</v>
      </c>
      <c r="M5" t="s">
        <v>239</v>
      </c>
      <c r="N5">
        <v>1200</v>
      </c>
      <c r="P5" t="s">
        <v>239</v>
      </c>
      <c r="Q5">
        <v>50</v>
      </c>
    </row>
    <row r="6" spans="1:18">
      <c r="A6">
        <v>21</v>
      </c>
      <c r="C6" s="20"/>
      <c r="D6" s="27">
        <v>330</v>
      </c>
      <c r="E6" s="20">
        <v>90</v>
      </c>
      <c r="F6">
        <v>570</v>
      </c>
      <c r="G6" s="20">
        <v>211</v>
      </c>
      <c r="H6">
        <v>2303</v>
      </c>
      <c r="I6" s="20">
        <v>853</v>
      </c>
      <c r="J6">
        <f>140+576+116+53</f>
        <v>885</v>
      </c>
      <c r="K6">
        <f>22+73+66+14+10+17+50+40+15</f>
        <v>307</v>
      </c>
      <c r="M6" t="s">
        <v>238</v>
      </c>
      <c r="N6">
        <v>80</v>
      </c>
      <c r="P6" t="s">
        <v>240</v>
      </c>
      <c r="Q6">
        <v>375</v>
      </c>
    </row>
    <row r="7" spans="1:18">
      <c r="A7">
        <v>22</v>
      </c>
      <c r="C7" s="20"/>
      <c r="D7" s="27">
        <v>495</v>
      </c>
      <c r="E7" s="20">
        <v>135</v>
      </c>
      <c r="F7">
        <v>398</v>
      </c>
      <c r="G7" s="20">
        <v>142</v>
      </c>
      <c r="H7">
        <v>2397</v>
      </c>
      <c r="I7" s="20">
        <v>833</v>
      </c>
      <c r="J7">
        <f>172+629+400</f>
        <v>1201</v>
      </c>
      <c r="K7">
        <f>22+98+26+17+80+10+36+15</f>
        <v>304</v>
      </c>
      <c r="M7" t="s">
        <v>241</v>
      </c>
      <c r="N7">
        <v>1600</v>
      </c>
      <c r="P7" t="s">
        <v>230</v>
      </c>
      <c r="Q7">
        <v>1525</v>
      </c>
    </row>
    <row r="8" spans="1:18">
      <c r="A8">
        <v>23</v>
      </c>
      <c r="C8" s="20"/>
      <c r="D8" s="27">
        <v>275</v>
      </c>
      <c r="E8" s="20">
        <v>75</v>
      </c>
      <c r="F8">
        <v>531</v>
      </c>
      <c r="G8" s="20">
        <v>190</v>
      </c>
      <c r="H8">
        <v>2885</v>
      </c>
      <c r="I8" s="20">
        <v>1018</v>
      </c>
      <c r="J8">
        <f>1406</f>
        <v>1406</v>
      </c>
      <c r="K8">
        <f>293+219+22+700+100</f>
        <v>1334</v>
      </c>
      <c r="M8" t="s">
        <v>242</v>
      </c>
      <c r="N8">
        <v>1800</v>
      </c>
      <c r="P8" t="s">
        <v>243</v>
      </c>
      <c r="Q8">
        <v>600</v>
      </c>
    </row>
    <row r="9" spans="1:18">
      <c r="A9">
        <v>24</v>
      </c>
      <c r="B9">
        <v>1735</v>
      </c>
      <c r="C9" s="20">
        <v>752</v>
      </c>
      <c r="D9" s="27">
        <v>385</v>
      </c>
      <c r="E9" s="20">
        <v>105</v>
      </c>
      <c r="F9">
        <v>1282</v>
      </c>
      <c r="G9" s="20">
        <v>429</v>
      </c>
      <c r="H9">
        <v>0</v>
      </c>
      <c r="I9" s="20">
        <v>0</v>
      </c>
      <c r="J9">
        <f>700+1200+872+85+40+274+22+227+79+264+80+20</f>
        <v>3863</v>
      </c>
      <c r="K9">
        <f>22+31+41+120+8+98+400+100+3+12</f>
        <v>835</v>
      </c>
      <c r="M9" t="s">
        <v>244</v>
      </c>
      <c r="N9">
        <v>3000</v>
      </c>
      <c r="P9" t="s">
        <v>245</v>
      </c>
      <c r="Q9">
        <v>1600</v>
      </c>
      <c r="R9">
        <v>400</v>
      </c>
    </row>
    <row r="10" spans="1:18">
      <c r="A10">
        <v>25</v>
      </c>
      <c r="C10" s="20"/>
      <c r="D10" s="27">
        <v>0</v>
      </c>
      <c r="E10" s="20">
        <v>0</v>
      </c>
      <c r="F10">
        <v>1231</v>
      </c>
      <c r="G10" s="20">
        <v>235</v>
      </c>
      <c r="H10">
        <v>0</v>
      </c>
      <c r="I10" s="20">
        <v>0</v>
      </c>
      <c r="J10">
        <f>960+50+45+300</f>
        <v>1355</v>
      </c>
      <c r="K10">
        <f>18+10+15+22+100+50</f>
        <v>215</v>
      </c>
      <c r="M10" t="s">
        <v>246</v>
      </c>
      <c r="N10">
        <v>400</v>
      </c>
      <c r="P10" t="s">
        <v>247</v>
      </c>
      <c r="Q10">
        <v>600</v>
      </c>
      <c r="R10">
        <v>150</v>
      </c>
    </row>
    <row r="11" spans="1:18">
      <c r="A11">
        <v>26</v>
      </c>
      <c r="C11" s="20"/>
      <c r="D11" s="27">
        <v>0</v>
      </c>
      <c r="E11" s="20">
        <v>0</v>
      </c>
      <c r="F11">
        <v>1050</v>
      </c>
      <c r="G11" s="20">
        <v>295</v>
      </c>
      <c r="I11" s="20"/>
      <c r="J11">
        <f>150+93+314</f>
        <v>557</v>
      </c>
      <c r="K11">
        <f>44+200+105+26+12+66</f>
        <v>453</v>
      </c>
      <c r="P11" t="s">
        <v>248</v>
      </c>
      <c r="Q11">
        <v>4000</v>
      </c>
      <c r="R11">
        <v>1000</v>
      </c>
    </row>
    <row r="12" spans="1:18" ht="15.75">
      <c r="B12" s="28">
        <f t="shared" ref="B12:K12" si="0">SUM(B5:B11)</f>
        <v>1735</v>
      </c>
      <c r="C12" s="29">
        <f t="shared" si="0"/>
        <v>752</v>
      </c>
      <c r="D12" s="28">
        <f t="shared" si="0"/>
        <v>1485</v>
      </c>
      <c r="E12" s="29">
        <f t="shared" si="0"/>
        <v>405</v>
      </c>
      <c r="F12" s="24">
        <f t="shared" si="0"/>
        <v>6062</v>
      </c>
      <c r="G12" s="29">
        <f t="shared" si="0"/>
        <v>1704</v>
      </c>
      <c r="H12" s="24">
        <f t="shared" si="0"/>
        <v>10284</v>
      </c>
      <c r="I12" s="29">
        <f t="shared" si="0"/>
        <v>3604</v>
      </c>
      <c r="J12" s="25">
        <f t="shared" si="0"/>
        <v>10207</v>
      </c>
      <c r="K12" s="25">
        <f t="shared" si="0"/>
        <v>3706</v>
      </c>
      <c r="P12" t="s">
        <v>249</v>
      </c>
      <c r="Q12">
        <v>800</v>
      </c>
      <c r="R12">
        <v>200</v>
      </c>
    </row>
    <row r="13" spans="1:18">
      <c r="C13">
        <f>752-700</f>
        <v>52</v>
      </c>
      <c r="D13" t="s">
        <v>250</v>
      </c>
      <c r="G13">
        <f>1409-400</f>
        <v>1009</v>
      </c>
      <c r="H13" t="s">
        <v>251</v>
      </c>
      <c r="I13">
        <f>3604-560</f>
        <v>3044</v>
      </c>
      <c r="J13" t="s">
        <v>252</v>
      </c>
      <c r="N13">
        <f>SUM(N4:N12)</f>
        <v>10780</v>
      </c>
      <c r="P13" t="s">
        <v>253</v>
      </c>
      <c r="Q13">
        <v>1600</v>
      </c>
      <c r="R13">
        <v>400</v>
      </c>
    </row>
    <row r="14" spans="1:18">
      <c r="B14" t="s">
        <v>125</v>
      </c>
      <c r="C14">
        <f>SUM(B12+D12+F12+H12)</f>
        <v>19566</v>
      </c>
      <c r="N14">
        <f>10780/30</f>
        <v>359.33333333333331</v>
      </c>
      <c r="P14" t="s">
        <v>254</v>
      </c>
      <c r="Q14">
        <v>200</v>
      </c>
      <c r="R14">
        <v>50</v>
      </c>
    </row>
    <row r="15" spans="1:18">
      <c r="B15" t="s">
        <v>255</v>
      </c>
      <c r="C15">
        <f>SUM(J12+K12)</f>
        <v>13913</v>
      </c>
      <c r="N15">
        <f>359*7</f>
        <v>2513</v>
      </c>
      <c r="P15" t="s">
        <v>256</v>
      </c>
    </row>
    <row r="16" spans="1:18">
      <c r="B16" t="s">
        <v>128</v>
      </c>
      <c r="C16">
        <f>SUM(C12+E12+G12+I12)</f>
        <v>6465</v>
      </c>
      <c r="D16">
        <f>52+1009+3044</f>
        <v>4105</v>
      </c>
      <c r="P16" t="s">
        <v>257</v>
      </c>
    </row>
    <row r="17" spans="1:18" ht="23.25">
      <c r="B17" t="s">
        <v>223</v>
      </c>
      <c r="C17" t="s">
        <v>258</v>
      </c>
      <c r="F17" s="10" t="s">
        <v>225</v>
      </c>
      <c r="P17" t="s">
        <v>259</v>
      </c>
    </row>
    <row r="18" spans="1:18" ht="23.25">
      <c r="F18" s="10" t="s">
        <v>226</v>
      </c>
      <c r="H18" s="10" t="s">
        <v>192</v>
      </c>
      <c r="J18" s="18" t="s">
        <v>227</v>
      </c>
      <c r="K18" s="18" t="s">
        <v>228</v>
      </c>
      <c r="P18" t="s">
        <v>260</v>
      </c>
    </row>
    <row r="19" spans="1:18">
      <c r="A19" s="17">
        <v>42522</v>
      </c>
      <c r="B19" s="17" t="s">
        <v>233</v>
      </c>
      <c r="C19" s="21" t="s">
        <v>128</v>
      </c>
      <c r="D19" s="26" t="s">
        <v>234</v>
      </c>
      <c r="E19" s="21" t="s">
        <v>128</v>
      </c>
      <c r="F19" t="s">
        <v>235</v>
      </c>
      <c r="G19" s="20" t="s">
        <v>236</v>
      </c>
      <c r="H19" t="s">
        <v>127</v>
      </c>
      <c r="I19" s="20" t="s">
        <v>128</v>
      </c>
      <c r="P19" t="s">
        <v>261</v>
      </c>
      <c r="Q19">
        <v>1440</v>
      </c>
      <c r="R19">
        <v>360</v>
      </c>
    </row>
    <row r="20" spans="1:18">
      <c r="A20">
        <v>27</v>
      </c>
      <c r="B20">
        <v>1280</v>
      </c>
      <c r="C20" s="20">
        <v>560</v>
      </c>
      <c r="D20" s="27">
        <v>220</v>
      </c>
      <c r="E20" s="20">
        <v>60</v>
      </c>
      <c r="F20">
        <v>114</v>
      </c>
      <c r="G20" s="20">
        <v>56</v>
      </c>
      <c r="H20">
        <v>2773</v>
      </c>
      <c r="I20" s="20">
        <v>886</v>
      </c>
      <c r="J20">
        <f>400+150+191+240+245</f>
        <v>1226</v>
      </c>
      <c r="K20">
        <f>1+22+12+120+59+200</f>
        <v>414</v>
      </c>
      <c r="Q20">
        <f>SUM(Q4:Q19)</f>
        <v>12870</v>
      </c>
      <c r="R20">
        <f>SUM(R4:R19)</f>
        <v>2560</v>
      </c>
    </row>
    <row r="21" spans="1:18">
      <c r="A21">
        <v>28</v>
      </c>
      <c r="B21">
        <v>377</v>
      </c>
      <c r="C21" s="20">
        <v>170</v>
      </c>
      <c r="D21" s="27">
        <v>165</v>
      </c>
      <c r="E21" s="20">
        <v>45</v>
      </c>
      <c r="F21">
        <v>122</v>
      </c>
      <c r="G21" s="20">
        <v>56</v>
      </c>
      <c r="H21" s="27">
        <v>2404</v>
      </c>
      <c r="I21" s="20">
        <v>822</v>
      </c>
      <c r="J21">
        <f>79.5+180</f>
        <v>259.5</v>
      </c>
      <c r="K21">
        <f>22+36+269+263+1340+300</f>
        <v>2230</v>
      </c>
      <c r="Q21">
        <f>12655/4</f>
        <v>3163.75</v>
      </c>
    </row>
    <row r="22" spans="1:18">
      <c r="A22">
        <v>29</v>
      </c>
      <c r="B22">
        <v>0</v>
      </c>
      <c r="C22" s="20">
        <v>0</v>
      </c>
      <c r="D22" s="27">
        <v>760</v>
      </c>
      <c r="E22" s="20">
        <v>216</v>
      </c>
      <c r="F22">
        <v>372</v>
      </c>
      <c r="G22" s="20">
        <v>113</v>
      </c>
      <c r="H22" s="27">
        <v>2657</v>
      </c>
      <c r="I22" s="20">
        <v>952</v>
      </c>
      <c r="J22">
        <f>132+250+406+152+140+250</f>
        <v>1330</v>
      </c>
      <c r="K22">
        <f>22+8</f>
        <v>30</v>
      </c>
      <c r="Q22">
        <f>3163/7</f>
        <v>451.85714285714283</v>
      </c>
    </row>
    <row r="23" spans="1:18">
      <c r="A23">
        <v>30</v>
      </c>
      <c r="C23" s="20"/>
      <c r="D23" s="27">
        <v>280</v>
      </c>
      <c r="E23" s="20">
        <v>120</v>
      </c>
      <c r="F23">
        <v>334</v>
      </c>
      <c r="G23" s="20">
        <v>49</v>
      </c>
      <c r="H23" s="27">
        <v>2398</v>
      </c>
      <c r="I23" s="20">
        <v>870</v>
      </c>
      <c r="J23">
        <f>152+150+152+995</f>
        <v>1449</v>
      </c>
      <c r="K23">
        <f>22+15+96+15+1000+200+133</f>
        <v>1481</v>
      </c>
    </row>
    <row r="24" spans="1:18">
      <c r="A24">
        <v>1</v>
      </c>
      <c r="C24" s="20"/>
      <c r="D24" s="27">
        <v>225</v>
      </c>
      <c r="E24" s="20">
        <v>105</v>
      </c>
      <c r="F24">
        <v>1647</v>
      </c>
      <c r="G24" s="20">
        <v>451</v>
      </c>
      <c r="H24" s="27">
        <v>2566</v>
      </c>
      <c r="I24" s="20">
        <v>900</v>
      </c>
      <c r="J24">
        <f>100+525+20+136+37</f>
        <v>818</v>
      </c>
      <c r="K24">
        <f>22+100+42+40+130</f>
        <v>334</v>
      </c>
    </row>
    <row r="25" spans="1:18">
      <c r="A25">
        <v>2</v>
      </c>
      <c r="B25">
        <v>120</v>
      </c>
      <c r="C25" s="20">
        <v>52</v>
      </c>
      <c r="D25" s="27">
        <v>90</v>
      </c>
      <c r="E25" s="20">
        <v>42</v>
      </c>
      <c r="F25">
        <v>1152</v>
      </c>
      <c r="G25" s="20">
        <v>373</v>
      </c>
      <c r="H25" s="27">
        <v>0</v>
      </c>
      <c r="I25" s="20">
        <v>0</v>
      </c>
      <c r="J25">
        <f>960+177</f>
        <v>1137</v>
      </c>
      <c r="K25">
        <f>15+10+15+111+65+134+15</f>
        <v>365</v>
      </c>
    </row>
    <row r="26" spans="1:18">
      <c r="A26">
        <v>3</v>
      </c>
      <c r="C26" s="20"/>
      <c r="D26" s="27"/>
      <c r="E26" s="20"/>
      <c r="F26">
        <v>1350</v>
      </c>
      <c r="G26" s="20">
        <v>408</v>
      </c>
      <c r="H26" s="27"/>
      <c r="I26" s="20"/>
      <c r="J26">
        <v>268</v>
      </c>
      <c r="K26">
        <f>135+12+65+10+20</f>
        <v>242</v>
      </c>
    </row>
    <row r="27" spans="1:18" ht="15.75">
      <c r="B27" s="22"/>
      <c r="C27" s="23">
        <f t="shared" ref="C27:K27" si="1">SUM(C20:C26)</f>
        <v>782</v>
      </c>
      <c r="D27" s="28">
        <f t="shared" si="1"/>
        <v>1740</v>
      </c>
      <c r="E27" s="23">
        <f t="shared" si="1"/>
        <v>588</v>
      </c>
      <c r="F27" s="24">
        <f t="shared" si="1"/>
        <v>5091</v>
      </c>
      <c r="G27" s="23">
        <f t="shared" si="1"/>
        <v>1506</v>
      </c>
      <c r="H27" s="24">
        <f t="shared" si="1"/>
        <v>12798</v>
      </c>
      <c r="I27" s="23">
        <f t="shared" si="1"/>
        <v>4430</v>
      </c>
      <c r="J27" s="25">
        <f t="shared" si="1"/>
        <v>6487.5</v>
      </c>
      <c r="K27" s="25">
        <f t="shared" si="1"/>
        <v>5096</v>
      </c>
    </row>
    <row r="28" spans="1:18">
      <c r="C28">
        <f>782-525</f>
        <v>257</v>
      </c>
      <c r="D28" t="s">
        <v>250</v>
      </c>
      <c r="G28">
        <f>1506-400</f>
        <v>1106</v>
      </c>
      <c r="H28" t="s">
        <v>251</v>
      </c>
      <c r="I28">
        <f>4430-560</f>
        <v>3870</v>
      </c>
      <c r="J28" t="s">
        <v>252</v>
      </c>
    </row>
    <row r="29" spans="1:18">
      <c r="B29" t="s">
        <v>125</v>
      </c>
      <c r="C29">
        <f>SUM(B27+D27+F27+H27)</f>
        <v>19629</v>
      </c>
    </row>
    <row r="30" spans="1:18">
      <c r="B30" t="s">
        <v>255</v>
      </c>
      <c r="C30">
        <f>SUM(J27+K27)</f>
        <v>11583.5</v>
      </c>
    </row>
    <row r="31" spans="1:18">
      <c r="B31" t="s">
        <v>128</v>
      </c>
      <c r="C31">
        <f>SUM(C27+E27+G27+I27)</f>
        <v>7306</v>
      </c>
    </row>
    <row r="32" spans="1:18">
      <c r="B32" t="s">
        <v>128</v>
      </c>
      <c r="C32">
        <f>SUM(C28+E28+G28+I28)</f>
        <v>5233</v>
      </c>
    </row>
    <row r="34" spans="1:12" ht="23.25">
      <c r="B34" t="s">
        <v>223</v>
      </c>
      <c r="C34" t="s">
        <v>262</v>
      </c>
      <c r="F34" s="10" t="s">
        <v>225</v>
      </c>
    </row>
    <row r="35" spans="1:12" ht="23.25">
      <c r="F35" s="10" t="s">
        <v>226</v>
      </c>
      <c r="H35" s="10" t="s">
        <v>192</v>
      </c>
      <c r="J35" s="1" t="s">
        <v>227</v>
      </c>
      <c r="K35" s="1" t="s">
        <v>228</v>
      </c>
    </row>
    <row r="36" spans="1:12">
      <c r="B36" s="17" t="s">
        <v>233</v>
      </c>
      <c r="C36" s="21" t="s">
        <v>128</v>
      </c>
      <c r="D36" s="26" t="s">
        <v>234</v>
      </c>
      <c r="E36" s="21" t="s">
        <v>128</v>
      </c>
      <c r="F36" t="s">
        <v>235</v>
      </c>
      <c r="G36" s="20" t="s">
        <v>236</v>
      </c>
      <c r="H36" t="s">
        <v>127</v>
      </c>
      <c r="I36" s="20" t="s">
        <v>128</v>
      </c>
    </row>
    <row r="37" spans="1:12">
      <c r="A37">
        <v>4</v>
      </c>
      <c r="C37" s="20"/>
      <c r="D37" s="27">
        <v>450</v>
      </c>
      <c r="E37" s="20">
        <v>210</v>
      </c>
      <c r="F37">
        <v>1076</v>
      </c>
      <c r="G37" s="20">
        <v>368</v>
      </c>
      <c r="H37" s="20">
        <v>2288</v>
      </c>
      <c r="I37" s="20">
        <v>806</v>
      </c>
      <c r="J37">
        <f>80+100+270+659+63+9+200+253</f>
        <v>1634</v>
      </c>
      <c r="K37">
        <f>226+280+1500+49+56+27+100+117+162+47</f>
        <v>2564</v>
      </c>
      <c r="L37" t="s">
        <v>263</v>
      </c>
    </row>
    <row r="38" spans="1:12">
      <c r="A38">
        <v>5</v>
      </c>
      <c r="B38">
        <v>1600</v>
      </c>
      <c r="C38" s="20">
        <v>700</v>
      </c>
      <c r="D38" s="27">
        <v>630</v>
      </c>
      <c r="E38" s="20">
        <v>294</v>
      </c>
      <c r="F38">
        <v>1002</v>
      </c>
      <c r="G38" s="20">
        <v>354</v>
      </c>
      <c r="H38" s="27">
        <v>2222</v>
      </c>
      <c r="I38" s="20">
        <v>737</v>
      </c>
      <c r="J38">
        <f>150+200+70+18+106</f>
        <v>544</v>
      </c>
      <c r="K38">
        <f>22+150+50+90+33+25+100+200+60+300</f>
        <v>1030</v>
      </c>
      <c r="L38" t="s">
        <v>264</v>
      </c>
    </row>
    <row r="39" spans="1:12">
      <c r="A39">
        <v>6</v>
      </c>
      <c r="B39">
        <v>725</v>
      </c>
      <c r="C39" s="20">
        <v>297</v>
      </c>
      <c r="D39" s="27">
        <v>180</v>
      </c>
      <c r="E39" s="20">
        <v>84</v>
      </c>
      <c r="F39">
        <v>1002</v>
      </c>
      <c r="G39" s="20">
        <v>354</v>
      </c>
      <c r="H39" s="27">
        <v>2149</v>
      </c>
      <c r="I39" s="20">
        <v>732</v>
      </c>
      <c r="J39">
        <f>30+150+30+188</f>
        <v>398</v>
      </c>
      <c r="K39">
        <f>22+30+150+150+22+20+188+1534+100</f>
        <v>2216</v>
      </c>
      <c r="L39" t="s">
        <v>265</v>
      </c>
    </row>
    <row r="40" spans="1:12">
      <c r="A40">
        <v>7</v>
      </c>
      <c r="B40">
        <v>120</v>
      </c>
      <c r="C40" s="20">
        <v>48</v>
      </c>
      <c r="D40" s="27">
        <v>180</v>
      </c>
      <c r="E40" s="20">
        <v>84</v>
      </c>
      <c r="F40">
        <v>60</v>
      </c>
      <c r="G40" s="20">
        <v>25</v>
      </c>
      <c r="H40" s="27">
        <v>1773</v>
      </c>
      <c r="I40" s="20">
        <v>605</v>
      </c>
      <c r="J40">
        <f>150+695+1810+268+1062+800</f>
        <v>4785</v>
      </c>
      <c r="K40">
        <f>41+23+22+50+30+200+60+268</f>
        <v>694</v>
      </c>
      <c r="L40" t="s">
        <v>266</v>
      </c>
    </row>
    <row r="41" spans="1:12">
      <c r="A41">
        <v>8</v>
      </c>
      <c r="B41">
        <v>0</v>
      </c>
      <c r="C41" s="20">
        <v>0</v>
      </c>
      <c r="D41" s="27">
        <v>135</v>
      </c>
      <c r="E41" s="20">
        <v>63</v>
      </c>
      <c r="F41">
        <v>506</v>
      </c>
      <c r="G41" s="20">
        <v>217</v>
      </c>
      <c r="H41" s="27">
        <v>1631</v>
      </c>
      <c r="I41" s="20">
        <v>565</v>
      </c>
      <c r="J41">
        <f>100+160+53+300</f>
        <v>613</v>
      </c>
      <c r="K41">
        <f>250+100+22+28+200+62</f>
        <v>662</v>
      </c>
      <c r="L41" t="s">
        <v>267</v>
      </c>
    </row>
    <row r="42" spans="1:12">
      <c r="A42">
        <v>9</v>
      </c>
      <c r="B42">
        <v>0</v>
      </c>
      <c r="C42" s="20">
        <v>0</v>
      </c>
      <c r="D42" s="27">
        <v>360</v>
      </c>
      <c r="E42" s="20">
        <v>168</v>
      </c>
      <c r="F42">
        <v>1651</v>
      </c>
      <c r="G42" s="20">
        <v>486</v>
      </c>
      <c r="H42" s="27">
        <v>0</v>
      </c>
      <c r="I42" s="20">
        <v>0</v>
      </c>
      <c r="J42">
        <f>80+1870+105+480+10+800</f>
        <v>3345</v>
      </c>
      <c r="K42">
        <f>22+300+129+14+160+100</f>
        <v>725</v>
      </c>
      <c r="L42" t="s">
        <v>268</v>
      </c>
    </row>
    <row r="43" spans="1:12">
      <c r="A43">
        <v>10</v>
      </c>
      <c r="C43" s="20"/>
      <c r="D43" s="27"/>
      <c r="E43" s="20"/>
      <c r="F43">
        <v>900</v>
      </c>
      <c r="G43" s="20">
        <v>182</v>
      </c>
      <c r="H43" s="27"/>
      <c r="I43" s="20"/>
      <c r="L43" t="s">
        <v>269</v>
      </c>
    </row>
    <row r="44" spans="1:12" ht="15.75">
      <c r="B44" s="22"/>
      <c r="C44" s="23">
        <f t="shared" ref="C44:K44" si="2">SUM(C37:C43)</f>
        <v>1045</v>
      </c>
      <c r="D44" s="28">
        <f t="shared" si="2"/>
        <v>1935</v>
      </c>
      <c r="E44" s="23">
        <f t="shared" si="2"/>
        <v>903</v>
      </c>
      <c r="F44" s="24">
        <f t="shared" si="2"/>
        <v>6197</v>
      </c>
      <c r="G44" s="23">
        <f t="shared" si="2"/>
        <v>1986</v>
      </c>
      <c r="H44" s="24">
        <f t="shared" si="2"/>
        <v>10063</v>
      </c>
      <c r="I44" s="23">
        <f t="shared" si="2"/>
        <v>3445</v>
      </c>
      <c r="J44" s="25">
        <f t="shared" si="2"/>
        <v>11319</v>
      </c>
      <c r="K44" s="25">
        <f t="shared" si="2"/>
        <v>7891</v>
      </c>
    </row>
    <row r="45" spans="1:12">
      <c r="C45" s="32">
        <v>1045</v>
      </c>
      <c r="D45" t="s">
        <v>250</v>
      </c>
      <c r="E45" s="32"/>
      <c r="G45">
        <f>1986-400</f>
        <v>1586</v>
      </c>
      <c r="H45" t="s">
        <v>251</v>
      </c>
      <c r="I45">
        <f>3445-400</f>
        <v>3045</v>
      </c>
      <c r="J45" t="s">
        <v>252</v>
      </c>
    </row>
    <row r="46" spans="1:12">
      <c r="B46" t="s">
        <v>125</v>
      </c>
      <c r="C46">
        <f>SUM(B44+D44+F44+H44)</f>
        <v>18195</v>
      </c>
    </row>
    <row r="47" spans="1:12">
      <c r="B47" t="s">
        <v>255</v>
      </c>
      <c r="C47">
        <f>SUM(J44+K44)</f>
        <v>19210</v>
      </c>
    </row>
    <row r="48" spans="1:12">
      <c r="B48" t="s">
        <v>128</v>
      </c>
      <c r="C48">
        <f>SUM(C44+E44+G44+I44)</f>
        <v>7379</v>
      </c>
    </row>
    <row r="49" spans="1:12">
      <c r="B49" t="s">
        <v>128</v>
      </c>
      <c r="C49">
        <f>SUM(C45+E45+G45+I45)</f>
        <v>5676</v>
      </c>
    </row>
    <row r="52" spans="1:12" ht="23.25">
      <c r="B52" t="s">
        <v>223</v>
      </c>
      <c r="C52" t="s">
        <v>270</v>
      </c>
      <c r="F52" s="10" t="s">
        <v>225</v>
      </c>
    </row>
    <row r="53" spans="1:12" ht="23.25">
      <c r="F53" s="10" t="s">
        <v>226</v>
      </c>
      <c r="H53" s="10" t="s">
        <v>192</v>
      </c>
      <c r="J53" s="1" t="s">
        <v>227</v>
      </c>
      <c r="K53" s="1" t="s">
        <v>228</v>
      </c>
    </row>
    <row r="54" spans="1:12">
      <c r="B54" s="17" t="s">
        <v>233</v>
      </c>
      <c r="C54" s="21" t="s">
        <v>128</v>
      </c>
      <c r="D54" s="26" t="s">
        <v>234</v>
      </c>
      <c r="E54" s="21" t="s">
        <v>128</v>
      </c>
      <c r="F54" t="s">
        <v>235</v>
      </c>
      <c r="G54" s="20" t="s">
        <v>236</v>
      </c>
      <c r="H54" t="s">
        <v>127</v>
      </c>
      <c r="I54" s="20" t="s">
        <v>128</v>
      </c>
    </row>
    <row r="55" spans="1:12">
      <c r="A55">
        <v>11</v>
      </c>
      <c r="C55" s="20"/>
      <c r="D55" s="27">
        <v>270</v>
      </c>
      <c r="E55" s="20">
        <v>126</v>
      </c>
      <c r="F55">
        <v>805</v>
      </c>
      <c r="G55" s="20">
        <v>312</v>
      </c>
      <c r="H55" s="20"/>
      <c r="I55" s="20"/>
      <c r="J55">
        <f>150</f>
        <v>150</v>
      </c>
      <c r="K55">
        <v>22</v>
      </c>
      <c r="L55" t="s">
        <v>263</v>
      </c>
    </row>
    <row r="56" spans="1:12">
      <c r="A56">
        <v>12</v>
      </c>
      <c r="C56" s="20"/>
      <c r="D56" s="27">
        <v>270</v>
      </c>
      <c r="E56" s="20">
        <v>126</v>
      </c>
      <c r="F56">
        <v>1407</v>
      </c>
      <c r="G56" s="20">
        <v>521</v>
      </c>
      <c r="H56" s="27"/>
      <c r="I56" s="20"/>
      <c r="K56">
        <f>42+89+13+10+400+270</f>
        <v>824</v>
      </c>
      <c r="L56" t="s">
        <v>264</v>
      </c>
    </row>
    <row r="57" spans="1:12">
      <c r="A57">
        <v>13</v>
      </c>
      <c r="B57">
        <v>2000</v>
      </c>
      <c r="C57" s="20">
        <v>868</v>
      </c>
      <c r="D57" s="27">
        <v>135</v>
      </c>
      <c r="E57" s="20">
        <v>63</v>
      </c>
      <c r="F57">
        <v>165</v>
      </c>
      <c r="G57" s="20">
        <v>72</v>
      </c>
      <c r="H57" s="27"/>
      <c r="I57" s="20"/>
      <c r="J57">
        <f>181+33</f>
        <v>214</v>
      </c>
      <c r="K57">
        <f>22+200+260</f>
        <v>482</v>
      </c>
      <c r="L57" t="s">
        <v>265</v>
      </c>
    </row>
    <row r="58" spans="1:12">
      <c r="A58">
        <v>14</v>
      </c>
      <c r="B58">
        <v>280</v>
      </c>
      <c r="C58" s="20">
        <v>116</v>
      </c>
      <c r="D58" s="27">
        <v>270</v>
      </c>
      <c r="E58" s="20">
        <v>126</v>
      </c>
      <c r="F58">
        <v>1085</v>
      </c>
      <c r="G58" s="20">
        <v>408</v>
      </c>
      <c r="H58" s="27"/>
      <c r="I58" s="20"/>
      <c r="J58">
        <f>80+235+160+50+204+1225</f>
        <v>1954</v>
      </c>
      <c r="K58">
        <f>22+268+50+13+100+840+30+100+400</f>
        <v>1823</v>
      </c>
      <c r="L58" t="s">
        <v>266</v>
      </c>
    </row>
    <row r="59" spans="1:12">
      <c r="A59">
        <v>15</v>
      </c>
      <c r="C59" s="20"/>
      <c r="D59" s="27">
        <v>270</v>
      </c>
      <c r="E59" s="20">
        <v>126</v>
      </c>
      <c r="G59" s="20"/>
      <c r="H59" s="27"/>
      <c r="I59" s="20"/>
      <c r="J59">
        <f>389+79</f>
        <v>468</v>
      </c>
      <c r="K59">
        <f>22+100+28</f>
        <v>150</v>
      </c>
      <c r="L59" t="s">
        <v>267</v>
      </c>
    </row>
    <row r="60" spans="1:12">
      <c r="A60">
        <v>16</v>
      </c>
      <c r="C60" s="20"/>
      <c r="D60" s="27"/>
      <c r="E60" s="20"/>
      <c r="G60" s="20"/>
      <c r="H60" s="27"/>
      <c r="I60" s="20"/>
      <c r="L60" t="s">
        <v>268</v>
      </c>
    </row>
    <row r="61" spans="1:12">
      <c r="A61">
        <v>17</v>
      </c>
      <c r="C61" s="20"/>
      <c r="D61" s="27"/>
      <c r="E61" s="20"/>
      <c r="G61" s="20"/>
      <c r="H61" s="27"/>
      <c r="I61" s="20"/>
      <c r="L61" t="s">
        <v>269</v>
      </c>
    </row>
    <row r="62" spans="1:12" ht="15.75">
      <c r="B62" s="22"/>
      <c r="C62" s="23">
        <f t="shared" ref="C62:K62" si="3">SUM(C55:C61)</f>
        <v>984</v>
      </c>
      <c r="D62" s="28">
        <f t="shared" si="3"/>
        <v>1215</v>
      </c>
      <c r="E62" s="23">
        <f t="shared" si="3"/>
        <v>567</v>
      </c>
      <c r="F62" s="24">
        <f t="shared" si="3"/>
        <v>3462</v>
      </c>
      <c r="G62" s="23">
        <f t="shared" si="3"/>
        <v>1313</v>
      </c>
      <c r="H62" s="24">
        <f t="shared" si="3"/>
        <v>0</v>
      </c>
      <c r="I62" s="23">
        <f t="shared" si="3"/>
        <v>0</v>
      </c>
      <c r="J62" s="25">
        <f t="shared" si="3"/>
        <v>2786</v>
      </c>
      <c r="K62" s="25">
        <f t="shared" si="3"/>
        <v>3301</v>
      </c>
    </row>
    <row r="63" spans="1:12">
      <c r="C63" s="32"/>
      <c r="D63" t="s">
        <v>250</v>
      </c>
      <c r="E63" s="32"/>
      <c r="H63" t="s">
        <v>251</v>
      </c>
      <c r="J63" t="s">
        <v>252</v>
      </c>
    </row>
    <row r="64" spans="1:12">
      <c r="B64" t="s">
        <v>125</v>
      </c>
      <c r="C64">
        <f>SUM(B62+D62+F62+H62)</f>
        <v>4677</v>
      </c>
    </row>
    <row r="65" spans="1:12">
      <c r="B65" t="s">
        <v>255</v>
      </c>
      <c r="C65">
        <f>SUM(J62+K62)</f>
        <v>6087</v>
      </c>
    </row>
    <row r="66" spans="1:12">
      <c r="B66" t="s">
        <v>128</v>
      </c>
      <c r="C66">
        <f>SUM(C62+E62+G62+I62)</f>
        <v>2864</v>
      </c>
    </row>
    <row r="67" spans="1:12">
      <c r="B67" t="s">
        <v>128</v>
      </c>
      <c r="C67">
        <f>SUM(C63+E63+G63+I63)</f>
        <v>0</v>
      </c>
    </row>
    <row r="71" spans="1:12" ht="23.25">
      <c r="B71" t="s">
        <v>223</v>
      </c>
      <c r="C71" t="s">
        <v>271</v>
      </c>
      <c r="F71" s="10" t="s">
        <v>225</v>
      </c>
    </row>
    <row r="72" spans="1:12" ht="23.25">
      <c r="D72" t="s">
        <v>272</v>
      </c>
      <c r="F72" s="10" t="s">
        <v>226</v>
      </c>
      <c r="H72" s="10" t="s">
        <v>192</v>
      </c>
      <c r="J72" s="1" t="s">
        <v>227</v>
      </c>
      <c r="K72" s="1" t="s">
        <v>228</v>
      </c>
    </row>
    <row r="73" spans="1:12">
      <c r="B73" s="17" t="s">
        <v>233</v>
      </c>
      <c r="C73" s="21" t="s">
        <v>128</v>
      </c>
      <c r="D73" s="26" t="s">
        <v>234</v>
      </c>
      <c r="E73" s="21" t="s">
        <v>128</v>
      </c>
      <c r="F73" t="s">
        <v>235</v>
      </c>
      <c r="G73" s="20" t="s">
        <v>236</v>
      </c>
      <c r="H73" t="s">
        <v>127</v>
      </c>
      <c r="I73" s="20" t="s">
        <v>128</v>
      </c>
    </row>
    <row r="74" spans="1:12">
      <c r="A74">
        <v>22</v>
      </c>
      <c r="C74" s="20"/>
      <c r="D74" s="27">
        <v>350</v>
      </c>
      <c r="E74" s="20">
        <v>161</v>
      </c>
      <c r="F74">
        <v>169</v>
      </c>
      <c r="G74" s="20">
        <f>16+85</f>
        <v>101</v>
      </c>
      <c r="H74" s="20">
        <v>2374</v>
      </c>
      <c r="I74" s="20">
        <v>930</v>
      </c>
      <c r="J74">
        <f>180+2940+181+40</f>
        <v>3341</v>
      </c>
      <c r="K74">
        <f>22+24+280+280+160+20+100</f>
        <v>886</v>
      </c>
      <c r="L74" t="s">
        <v>263</v>
      </c>
    </row>
    <row r="75" spans="1:12">
      <c r="A75">
        <v>23</v>
      </c>
      <c r="C75" s="20"/>
      <c r="D75" s="27">
        <f>300+150</f>
        <v>450</v>
      </c>
      <c r="E75" s="20">
        <f>144+120</f>
        <v>264</v>
      </c>
      <c r="G75" s="20"/>
      <c r="H75" s="27">
        <v>2703</v>
      </c>
      <c r="I75" s="20">
        <v>1029</v>
      </c>
      <c r="J75">
        <f>180+10</f>
        <v>190</v>
      </c>
      <c r="K75">
        <f>22+134+417+25+20</f>
        <v>618</v>
      </c>
      <c r="L75" t="s">
        <v>264</v>
      </c>
    </row>
    <row r="76" spans="1:12">
      <c r="A76">
        <v>24</v>
      </c>
      <c r="B76">
        <v>2440</v>
      </c>
      <c r="C76" s="20">
        <v>593</v>
      </c>
      <c r="D76" s="27">
        <v>500</v>
      </c>
      <c r="E76" s="20">
        <v>230</v>
      </c>
      <c r="G76" s="20"/>
      <c r="H76" s="27">
        <v>2532</v>
      </c>
      <c r="I76" s="20">
        <v>982</v>
      </c>
      <c r="J76">
        <f>180+102+20</f>
        <v>302</v>
      </c>
      <c r="K76">
        <f>22+46+23+205+2+40+10+30+12</f>
        <v>390</v>
      </c>
      <c r="L76" t="s">
        <v>265</v>
      </c>
    </row>
    <row r="77" spans="1:12">
      <c r="A77">
        <v>25</v>
      </c>
      <c r="B77">
        <v>400</v>
      </c>
      <c r="C77" s="20">
        <v>118</v>
      </c>
      <c r="D77" s="27">
        <v>650</v>
      </c>
      <c r="E77" s="20">
        <v>299</v>
      </c>
      <c r="G77" s="20"/>
      <c r="H77" s="27">
        <v>2732</v>
      </c>
      <c r="I77" s="20">
        <v>1057</v>
      </c>
      <c r="J77">
        <f>1219+160+1400+1863+500+240+15</f>
        <v>5397</v>
      </c>
      <c r="K77">
        <f>22+106+23+40+90+240+19+90</f>
        <v>630</v>
      </c>
      <c r="L77" t="s">
        <v>266</v>
      </c>
    </row>
    <row r="78" spans="1:12">
      <c r="A78">
        <v>26</v>
      </c>
      <c r="B78">
        <v>440</v>
      </c>
      <c r="C78" s="20">
        <v>113</v>
      </c>
      <c r="D78" s="27">
        <v>300</v>
      </c>
      <c r="E78" s="20">
        <v>138</v>
      </c>
      <c r="G78" s="20"/>
      <c r="H78" s="27">
        <v>2933</v>
      </c>
      <c r="I78" s="20">
        <v>1132</v>
      </c>
      <c r="J78">
        <f>600+53+240+321+666</f>
        <v>1880</v>
      </c>
      <c r="K78">
        <f>356+22+174</f>
        <v>552</v>
      </c>
      <c r="L78" t="s">
        <v>267</v>
      </c>
    </row>
    <row r="79" spans="1:12">
      <c r="A79">
        <v>27</v>
      </c>
      <c r="C79" s="20"/>
      <c r="D79" s="27">
        <v>500</v>
      </c>
      <c r="E79" s="20">
        <v>230</v>
      </c>
      <c r="G79" s="20"/>
      <c r="H79" s="27"/>
      <c r="I79" s="20"/>
      <c r="J79">
        <f>295+361+850+53+240+40</f>
        <v>1839</v>
      </c>
      <c r="K79">
        <f>100+69+100+180+15+10+250+36</f>
        <v>760</v>
      </c>
      <c r="L79" t="s">
        <v>268</v>
      </c>
    </row>
    <row r="80" spans="1:12">
      <c r="A80">
        <v>28</v>
      </c>
      <c r="C80" s="20"/>
      <c r="D80" s="27"/>
      <c r="E80" s="20"/>
      <c r="G80" s="20"/>
      <c r="H80" s="27"/>
      <c r="I80" s="20"/>
      <c r="J80">
        <f>131+127+127+204+172+158+60+10</f>
        <v>989</v>
      </c>
      <c r="K80">
        <f>118+101</f>
        <v>219</v>
      </c>
      <c r="L80" t="s">
        <v>269</v>
      </c>
    </row>
    <row r="81" spans="2:11" ht="15.75">
      <c r="B81" s="28">
        <f t="shared" ref="B81:K81" si="4">SUM(B74:B80)</f>
        <v>3280</v>
      </c>
      <c r="C81" s="23">
        <f t="shared" si="4"/>
        <v>824</v>
      </c>
      <c r="D81" s="28">
        <f t="shared" si="4"/>
        <v>2750</v>
      </c>
      <c r="E81" s="23">
        <f t="shared" si="4"/>
        <v>1322</v>
      </c>
      <c r="F81" s="24">
        <f t="shared" si="4"/>
        <v>169</v>
      </c>
      <c r="G81" s="23">
        <f t="shared" si="4"/>
        <v>101</v>
      </c>
      <c r="H81" s="24">
        <f t="shared" si="4"/>
        <v>13274</v>
      </c>
      <c r="I81" s="23">
        <f t="shared" si="4"/>
        <v>5130</v>
      </c>
      <c r="J81" s="25">
        <f t="shared" si="4"/>
        <v>13938</v>
      </c>
      <c r="K81" s="25">
        <f t="shared" si="4"/>
        <v>4055</v>
      </c>
    </row>
    <row r="82" spans="2:11">
      <c r="C82" s="32">
        <v>824</v>
      </c>
      <c r="E82" s="32">
        <f>1322-350</f>
        <v>972</v>
      </c>
      <c r="G82">
        <v>101</v>
      </c>
      <c r="I82">
        <f>5130-450-280-100-110-45-10-15-480</f>
        <v>3640</v>
      </c>
    </row>
    <row r="83" spans="2:11">
      <c r="B83" t="s">
        <v>125</v>
      </c>
      <c r="C83">
        <f>SUM(B81+D81+F81+H81)</f>
        <v>19473</v>
      </c>
    </row>
    <row r="84" spans="2:11">
      <c r="B84" t="s">
        <v>255</v>
      </c>
      <c r="C84">
        <f>SUM(J81+K81)</f>
        <v>17993</v>
      </c>
    </row>
    <row r="85" spans="2:11">
      <c r="B85" t="s">
        <v>128</v>
      </c>
      <c r="C85">
        <f>SUM(C81+E81+G81+I81)</f>
        <v>7377</v>
      </c>
      <c r="D85">
        <f>7377-2500</f>
        <v>4877</v>
      </c>
    </row>
    <row r="86" spans="2:11">
      <c r="B86" t="s">
        <v>128</v>
      </c>
      <c r="C86">
        <f>SUM(C82+E82+G82+I82)</f>
        <v>5537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 xr3:uid="{51F8DEE0-4D01-5F28-A812-FC0BD7CAC4A5}"/>
  </sheetViews>
  <sheetFormatPr defaultColWidth="11.425781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 xr3:uid="{F9CF3CF3-643B-5BE6-8B46-32C596A47465}"/>
  </sheetViews>
  <sheetFormatPr defaultColWidth="11.425781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 xr3:uid="{78B4E459-6924-5F8B-B7BA-2DD04133E49E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carolina del hoyo c.</dc:creator>
  <cp:keywords/>
  <dc:description/>
  <cp:lastModifiedBy>USUARIO</cp:lastModifiedBy>
  <cp:revision/>
  <dcterms:created xsi:type="dcterms:W3CDTF">2016-04-25T01:26:24Z</dcterms:created>
  <dcterms:modified xsi:type="dcterms:W3CDTF">2017-03-23T16:24:20Z</dcterms:modified>
  <cp:category/>
  <cp:contentStatus/>
</cp:coreProperties>
</file>