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.zimet\Dropbox (Longroad)\LR Team\LR Corporate\Asset Management\Engineering\Monthly reports\Wind\2021\202112\Weaver\"/>
    </mc:Choice>
  </mc:AlternateContent>
  <xr:revisionPtr revIDLastSave="0" documentId="13_ncr:1_{637A0B9C-ECE4-47D5-9600-908DCC387175}" xr6:coauthVersionLast="47" xr6:coauthVersionMax="47" xr10:uidLastSave="{00000000-0000-0000-0000-000000000000}"/>
  <bookViews>
    <workbookView xWindow="-22089" yWindow="-197" windowWidth="18729" windowHeight="15214" tabRatio="885" activeTab="7" xr2:uid="{00000000-000D-0000-FFFF-FFFF00000000}"/>
  </bookViews>
  <sheets>
    <sheet name="setup" sheetId="20" r:id="rId1"/>
    <sheet name="certent summary data" sheetId="36" r:id="rId2"/>
    <sheet name="kpi summary" sheetId="41" r:id="rId3"/>
    <sheet name="key initiatives" sheetId="40" r:id="rId4"/>
    <sheet name="safety" sheetId="6" r:id="rId5"/>
    <sheet name="BOP outages" sheetId="15" r:id="rId6"/>
    <sheet name="Turbine outages" sheetId="39" r:id="rId7"/>
    <sheet name="planned maint." sheetId="17" r:id="rId8"/>
    <sheet name="rev walk raw" sheetId="37" r:id="rId9"/>
    <sheet name="revenue walk" sheetId="38" r:id="rId10"/>
    <sheet name="ebitda raw" sheetId="22" r:id="rId11"/>
    <sheet name="month financial" sheetId="7" r:id="rId12"/>
    <sheet name="ytd financial" sheetId="9" r:id="rId13"/>
    <sheet name="rec raw" sheetId="24" r:id="rId14"/>
    <sheet name="REC financial" sheetId="14" r:id="rId15"/>
    <sheet name="hedge raw" sheetId="25" r:id="rId16"/>
    <sheet name="hedge financial" sheetId="13" r:id="rId17"/>
    <sheet name="wo raw" sheetId="32" r:id="rId18"/>
    <sheet name="work order log" sheetId="12" r:id="rId19"/>
    <sheet name="warranty claims" sheetId="11" r:id="rId20"/>
    <sheet name="compliance eia raw" sheetId="30" r:id="rId21"/>
    <sheet name="compliance EIA" sheetId="2" r:id="rId22"/>
    <sheet name="compliance iso raw" sheetId="28" r:id="rId23"/>
    <sheet name="compliance ISO" sheetId="3" r:id="rId24"/>
    <sheet name="compliance nerc raw" sheetId="34" r:id="rId25"/>
    <sheet name="compliance NERC" sheetId="4" r:id="rId26"/>
    <sheet name="compliance tax raw" sheetId="29" r:id="rId27"/>
    <sheet name="compliance - tax" sheetId="5" r:id="rId28"/>
  </sheets>
  <definedNames>
    <definedName name="compliance_full_path">setup!$B$59</definedName>
    <definedName name="curr_year">setup!$B$2</definedName>
    <definedName name="db_base64_key_secret">setup!$B$15</definedName>
    <definedName name="db_key">setup!$B$13</definedName>
    <definedName name="db_secret">setup!$B$14</definedName>
    <definedName name="dropbox_token">setup!$B$12</definedName>
    <definedName name="ebitda_full_path">setup!$B$54</definedName>
    <definedName name="ebitda_sheet">setup!$B$23</definedName>
    <definedName name="eia_sheet">setup!$B$49</definedName>
    <definedName name="ExternalData_1" localSheetId="20">'compliance eia raw'!$A$1:$G$22</definedName>
    <definedName name="ExternalData_1" localSheetId="24" hidden="1">'compliance nerc raw'!$A$1:$E$95</definedName>
    <definedName name="ExternalData_1" localSheetId="26">'compliance tax raw'!$A$1:$H$44</definedName>
    <definedName name="ExternalData_1" localSheetId="10" hidden="1">'ebitda raw'!$A$1:$Q$26</definedName>
    <definedName name="ExternalData_1" localSheetId="17" hidden="1">'wo raw'!$A$1:$J$4</definedName>
    <definedName name="ExternalData_2" localSheetId="22" hidden="1">'compliance iso raw'!$A$1:$H$33</definedName>
    <definedName name="ExternalData_2" localSheetId="15" hidden="1">'hedge raw'!$A$1:$H$32</definedName>
    <definedName name="ExternalData_2" localSheetId="13" hidden="1">'rec raw'!$A$1:$R$33</definedName>
    <definedName name="ExternalData_2" localSheetId="8" hidden="1">'rev walk raw'!$A$1:$R$30</definedName>
    <definedName name="hedge_full_path">setup!$B$56</definedName>
    <definedName name="hedge_sheet">setup!$B$34</definedName>
    <definedName name="iso_puct_sheet">setup!$B$51</definedName>
    <definedName name="month_num">setup!$B$7</definedName>
    <definedName name="month_str">setup!$B$3</definedName>
    <definedName name="nerc_sheet">setup!$B$48</definedName>
    <definedName name="nonincome_tax_sheet">setup!$B$50</definedName>
    <definedName name="_xlnm.Print_Area" localSheetId="5">'BOP outages'!$A$5:$D$15</definedName>
    <definedName name="_xlnm.Print_Area" localSheetId="27">'compliance - tax'!$B$5:$I$48</definedName>
    <definedName name="_xlnm.Print_Area" localSheetId="21">'compliance EIA'!$B$5:$H$26</definedName>
    <definedName name="_xlnm.Print_Area" localSheetId="23">'compliance ISO'!$B$5:$F$37</definedName>
    <definedName name="_xlnm.Print_Area" localSheetId="25">'compliance NERC'!$B$5:$F$98</definedName>
    <definedName name="_xlnm.Print_Area" localSheetId="16">'hedge financial'!$B$6:$N$34</definedName>
    <definedName name="_xlnm.Print_Area" localSheetId="3">'key initiatives'!$A$1:$G$8</definedName>
    <definedName name="_xlnm.Print_Area" localSheetId="2">'kpi summary'!$B$3:$J$9</definedName>
    <definedName name="_xlnm.Print_Area" localSheetId="11">'month financial'!$C$6:$M$29</definedName>
    <definedName name="_xlnm.Print_Area" localSheetId="7">'planned maint.'!$A$3:$G$22</definedName>
    <definedName name="_xlnm.Print_Area" localSheetId="14">'REC financial'!$B$6:$N$24</definedName>
    <definedName name="_xlnm.Print_Area" localSheetId="9">'revenue walk'!$A$3:$G$32</definedName>
    <definedName name="_xlnm.Print_Area" localSheetId="4">safety!$B$4:$J$34</definedName>
    <definedName name="_xlnm.Print_Area" localSheetId="6">'Turbine outages'!$A$3:$H$17</definedName>
    <definedName name="_xlnm.Print_Area" localSheetId="19">Table11[[#All],[Start Date]:[Claim Number]]</definedName>
    <definedName name="_xlnm.Print_Area" localSheetId="18">'work order log'!$A$3:$E$6</definedName>
    <definedName name="_xlnm.Print_Area" localSheetId="12">'ytd financial'!$C$6:$M$29</definedName>
    <definedName name="_xlnm.Print_Titles" localSheetId="25">'compliance NERC'!$4:$5</definedName>
    <definedName name="_xlnm.Print_Titles" localSheetId="7">'planned maint.'!$3:$3</definedName>
    <definedName name="_xlnm.Print_Titles" localSheetId="19">'warranty claims'!$3:$3</definedName>
    <definedName name="_xlnm.Print_Titles" localSheetId="18">'work order log'!$3:$3</definedName>
    <definedName name="rec_full_path">setup!$B$55</definedName>
    <definedName name="rec_sheet">setup!$B$29</definedName>
    <definedName name="revwalk_sheet">setup!$B$24</definedName>
    <definedName name="safety_full_path">setup!$B$58</definedName>
    <definedName name="safety_sheet">setup!$B$43</definedName>
    <definedName name="wo_full_path">setup!$B$57</definedName>
    <definedName name="wo_sheet">setup!$B$38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5" l="1"/>
  <c r="E9" i="15"/>
  <c r="E10" i="15"/>
  <c r="E11" i="15"/>
  <c r="E12" i="15"/>
  <c r="E13" i="15"/>
  <c r="E14" i="15"/>
  <c r="E15" i="15"/>
  <c r="E7" i="15"/>
  <c r="F7" i="41"/>
  <c r="H7" i="41"/>
  <c r="D7" i="41"/>
  <c r="H8" i="41"/>
  <c r="D8" i="41"/>
  <c r="F8" i="41"/>
  <c r="J8" i="41"/>
  <c r="J7" i="41"/>
  <c r="J34" i="6"/>
  <c r="H34" i="6"/>
  <c r="F34" i="6"/>
  <c r="D34" i="6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4" i="17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J6" i="41" l="1"/>
  <c r="H6" i="41"/>
  <c r="F6" i="41"/>
  <c r="D6" i="41"/>
  <c r="B9" i="9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8" i="9"/>
  <c r="I29" i="7" a="1"/>
  <c r="I13" i="9" a="1"/>
  <c r="G11" i="7" a="1"/>
  <c r="I7" i="7" a="1"/>
  <c r="G7" i="7" a="1"/>
  <c r="I19" i="9" a="1"/>
  <c r="G10" i="9" a="1"/>
  <c r="I10" i="7" a="1"/>
  <c r="K13" i="9" a="1"/>
  <c r="G27" i="9" a="1"/>
  <c r="G26" i="9" a="1"/>
  <c r="I16" i="7" a="1"/>
  <c r="G16" i="9" a="1"/>
  <c r="G18" i="7" a="1"/>
  <c r="K19" i="7" a="1"/>
  <c r="G21" i="9" a="1"/>
  <c r="I11" i="9" a="1"/>
  <c r="K27" i="7" a="1"/>
  <c r="G20" i="9" a="1"/>
  <c r="I10" i="9" a="1"/>
  <c r="K10" i="9" a="1"/>
  <c r="G18" i="9" a="1"/>
  <c r="K7" i="9" a="1"/>
  <c r="G12" i="7" a="1"/>
  <c r="I21" i="7" a="1"/>
  <c r="G13" i="9" a="1"/>
  <c r="G19" i="7" a="1"/>
  <c r="K17" i="9" a="1"/>
  <c r="K21" i="9" a="1"/>
  <c r="K25" i="9" a="1"/>
  <c r="G29" i="7" a="1"/>
  <c r="K23" i="7" a="1"/>
  <c r="E23" i="9" a="1"/>
  <c r="K17" i="7" a="1"/>
  <c r="E29" i="9" a="1"/>
  <c r="I12" i="9" a="1"/>
  <c r="E17" i="9" a="1"/>
  <c r="I18" i="9" a="1"/>
  <c r="K13" i="7" a="1"/>
  <c r="G20" i="7" a="1"/>
  <c r="G19" i="9" a="1"/>
  <c r="K29" i="9" a="1"/>
  <c r="G11" i="9" a="1"/>
  <c r="K24" i="9" a="1"/>
  <c r="G27" i="7" a="1"/>
  <c r="I26" i="9" a="1"/>
  <c r="K23" i="9" a="1"/>
  <c r="G17" i="9" a="1"/>
  <c r="G13" i="7" a="1"/>
  <c r="I23" i="7" a="1"/>
  <c r="K11" i="9" a="1"/>
  <c r="E16" i="9" a="1"/>
  <c r="G25" i="9" a="1"/>
  <c r="K26" i="9" a="1"/>
  <c r="I16" i="9" a="1"/>
  <c r="I27" i="7" a="1"/>
  <c r="E10" i="9" a="1"/>
  <c r="I17" i="7" a="1"/>
  <c r="G26" i="7" a="1"/>
  <c r="K29" i="7" a="1"/>
  <c r="K10" i="7" a="1"/>
  <c r="E12" i="9" a="1"/>
  <c r="I24" i="7" a="1"/>
  <c r="G23" i="7" a="1"/>
  <c r="K16" i="7" a="1"/>
  <c r="E26" i="9" a="1"/>
  <c r="I21" i="9" a="1"/>
  <c r="K19" i="9" a="1"/>
  <c r="G16" i="7" a="1"/>
  <c r="I29" i="9" a="1"/>
  <c r="K26" i="7" a="1"/>
  <c r="K12" i="9" a="1"/>
  <c r="I23" i="9" a="1"/>
  <c r="E24" i="9" a="1"/>
  <c r="I25" i="7" a="1"/>
  <c r="E7" i="9" a="1"/>
  <c r="I19" i="7" a="1"/>
  <c r="G7" i="9" a="1"/>
  <c r="K11" i="7" a="1"/>
  <c r="I22" i="7" a="1"/>
  <c r="K18" i="9" a="1"/>
  <c r="K22" i="7" a="1"/>
  <c r="K7" i="7" a="1"/>
  <c r="I17" i="9" a="1"/>
  <c r="G25" i="7" a="1"/>
  <c r="K21" i="7" a="1"/>
  <c r="K20" i="7" a="1"/>
  <c r="I24" i="9" a="1"/>
  <c r="E19" i="9" a="1"/>
  <c r="G24" i="7" a="1"/>
  <c r="I27" i="9" a="1"/>
  <c r="K16" i="9" a="1"/>
  <c r="G12" i="9" a="1"/>
  <c r="K22" i="9" a="1"/>
  <c r="E22" i="9" a="1"/>
  <c r="I20" i="7" a="1"/>
  <c r="I7" i="9" a="1"/>
  <c r="K12" i="7" a="1"/>
  <c r="I26" i="7" a="1"/>
  <c r="G10" i="7" a="1"/>
  <c r="G29" i="9" a="1"/>
  <c r="I25" i="9" a="1"/>
  <c r="G24" i="9" a="1"/>
  <c r="K25" i="7" a="1"/>
  <c r="K24" i="7" a="1"/>
  <c r="I12" i="7" a="1"/>
  <c r="E18" i="9" a="1"/>
  <c r="E7" i="7" a="1"/>
  <c r="K20" i="9" a="1"/>
  <c r="I18" i="7" a="1"/>
  <c r="I20" i="9" a="1"/>
  <c r="G22" i="7" a="1"/>
  <c r="E27" i="9" a="1"/>
  <c r="G23" i="9" a="1"/>
  <c r="E25" i="9" a="1"/>
  <c r="E11" i="9" a="1"/>
  <c r="I11" i="7" a="1"/>
  <c r="G21" i="7" a="1"/>
  <c r="K18" i="7" a="1"/>
  <c r="G17" i="7" a="1"/>
  <c r="K27" i="9" a="1"/>
  <c r="E29" i="7" a="1"/>
  <c r="G22" i="9" a="1"/>
  <c r="I13" i="7" a="1"/>
  <c r="E21" i="9" a="1"/>
  <c r="E13" i="9" a="1"/>
  <c r="E20" i="9" a="1"/>
  <c r="I22" i="9" a="1"/>
  <c r="K18" i="9" l="1"/>
  <c r="E17" i="9"/>
  <c r="E25" i="9"/>
  <c r="G7" i="9"/>
  <c r="G13" i="9"/>
  <c r="G19" i="9"/>
  <c r="G23" i="9"/>
  <c r="G25" i="9"/>
  <c r="I7" i="9"/>
  <c r="I13" i="9"/>
  <c r="I17" i="9"/>
  <c r="I19" i="9"/>
  <c r="I21" i="9"/>
  <c r="I25" i="9"/>
  <c r="I27" i="9"/>
  <c r="E19" i="9"/>
  <c r="E27" i="9"/>
  <c r="G11" i="9"/>
  <c r="G17" i="9"/>
  <c r="G21" i="9"/>
  <c r="G27" i="9"/>
  <c r="I11" i="9"/>
  <c r="I23" i="9"/>
  <c r="E23" i="9"/>
  <c r="K12" i="9"/>
  <c r="E7" i="9"/>
  <c r="K7" i="9"/>
  <c r="K21" i="9"/>
  <c r="E12" i="9"/>
  <c r="E22" i="9"/>
  <c r="G12" i="9"/>
  <c r="G16" i="9"/>
  <c r="G18" i="9"/>
  <c r="G20" i="9"/>
  <c r="G24" i="9"/>
  <c r="G26" i="9"/>
  <c r="G29" i="9"/>
  <c r="J5" i="41" s="1"/>
  <c r="E13" i="9"/>
  <c r="K13" i="9"/>
  <c r="K23" i="9"/>
  <c r="E18" i="9"/>
  <c r="E26" i="9"/>
  <c r="G10" i="9"/>
  <c r="G22" i="9"/>
  <c r="K16" i="9"/>
  <c r="E11" i="9"/>
  <c r="K11" i="9"/>
  <c r="K19" i="9"/>
  <c r="K27" i="9"/>
  <c r="E16" i="9"/>
  <c r="E29" i="9"/>
  <c r="H5" i="41" s="1"/>
  <c r="I10" i="9"/>
  <c r="I16" i="9"/>
  <c r="I18" i="9"/>
  <c r="I20" i="9"/>
  <c r="I24" i="9"/>
  <c r="I26" i="9"/>
  <c r="I29" i="9"/>
  <c r="K10" i="9"/>
  <c r="E21" i="9"/>
  <c r="K17" i="9"/>
  <c r="K25" i="9"/>
  <c r="E10" i="9"/>
  <c r="E20" i="9"/>
  <c r="E24" i="9"/>
  <c r="I12" i="9"/>
  <c r="I22" i="9"/>
  <c r="K22" i="9"/>
  <c r="K24" i="9"/>
  <c r="K29" i="9"/>
  <c r="K20" i="9"/>
  <c r="K26" i="9"/>
  <c r="K16" i="7"/>
  <c r="K24" i="7"/>
  <c r="K22" i="7"/>
  <c r="K23" i="7"/>
  <c r="K29" i="7"/>
  <c r="K21" i="7"/>
  <c r="K13" i="7"/>
  <c r="K20" i="7"/>
  <c r="K12" i="7"/>
  <c r="K27" i="7"/>
  <c r="K19" i="7"/>
  <c r="K11" i="7"/>
  <c r="K26" i="7"/>
  <c r="K18" i="7"/>
  <c r="K10" i="7"/>
  <c r="K25" i="7"/>
  <c r="K17" i="7"/>
  <c r="K7" i="7"/>
  <c r="I7" i="7"/>
  <c r="I22" i="7"/>
  <c r="I23" i="7"/>
  <c r="I21" i="7"/>
  <c r="I13" i="7"/>
  <c r="I20" i="7"/>
  <c r="I12" i="7"/>
  <c r="I27" i="7"/>
  <c r="I19" i="7"/>
  <c r="I26" i="7"/>
  <c r="I18" i="7"/>
  <c r="I10" i="7"/>
  <c r="I25" i="7"/>
  <c r="I17" i="7"/>
  <c r="I24" i="7"/>
  <c r="I16" i="7"/>
  <c r="I29" i="7"/>
  <c r="I11" i="7"/>
  <c r="G7" i="7"/>
  <c r="G19" i="7"/>
  <c r="G18" i="7"/>
  <c r="G25" i="7"/>
  <c r="G24" i="7"/>
  <c r="G16" i="7"/>
  <c r="G23" i="7"/>
  <c r="G11" i="7"/>
  <c r="G26" i="7"/>
  <c r="G29" i="7"/>
  <c r="F5" i="41" s="1"/>
  <c r="G21" i="7"/>
  <c r="G13" i="7"/>
  <c r="G27" i="7"/>
  <c r="G10" i="7"/>
  <c r="G17" i="7"/>
  <c r="G22" i="7"/>
  <c r="G20" i="7"/>
  <c r="G12" i="7"/>
  <c r="E7" i="7"/>
  <c r="E29" i="7"/>
  <c r="D5" i="41" s="1"/>
  <c r="B14" i="7"/>
  <c r="B15" i="7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8" i="7"/>
  <c r="B9" i="7" s="1"/>
  <c r="B10" i="7" s="1"/>
  <c r="B11" i="7" s="1"/>
  <c r="B12" i="7" s="1"/>
  <c r="B13" i="7" s="1"/>
  <c r="E10" i="7" a="1"/>
  <c r="E25" i="7" a="1"/>
  <c r="E16" i="7" a="1"/>
  <c r="E22" i="7" a="1"/>
  <c r="E11" i="7" a="1"/>
  <c r="E17" i="7" a="1"/>
  <c r="E20" i="7" a="1"/>
  <c r="E13" i="7" a="1"/>
  <c r="E23" i="7" a="1"/>
  <c r="E18" i="7" a="1"/>
  <c r="E19" i="7" a="1"/>
  <c r="E27" i="7" a="1"/>
  <c r="E24" i="7" a="1"/>
  <c r="E26" i="7" a="1"/>
  <c r="E12" i="7" a="1"/>
  <c r="E21" i="7" a="1"/>
  <c r="E10" i="7" l="1"/>
  <c r="E19" i="7"/>
  <c r="E26" i="7"/>
  <c r="E25" i="7"/>
  <c r="E17" i="7"/>
  <c r="E12" i="7"/>
  <c r="E27" i="7"/>
  <c r="E18" i="7"/>
  <c r="E13" i="7"/>
  <c r="E24" i="7"/>
  <c r="E16" i="7"/>
  <c r="E11" i="7"/>
  <c r="E21" i="7"/>
  <c r="E23" i="7"/>
  <c r="E22" i="7"/>
  <c r="E20" i="7"/>
  <c r="J18" i="6" l="1"/>
  <c r="H18" i="6"/>
  <c r="F18" i="6"/>
  <c r="D18" i="6"/>
  <c r="G6" i="38" l="1"/>
  <c r="G7" i="38"/>
  <c r="G8" i="38"/>
  <c r="G10" i="38"/>
  <c r="G11" i="38"/>
  <c r="G12" i="38"/>
  <c r="G13" i="38"/>
  <c r="G15" i="38"/>
  <c r="G16" i="38"/>
  <c r="G17" i="38"/>
  <c r="G18" i="38"/>
  <c r="G20" i="38"/>
  <c r="G21" i="38"/>
  <c r="G22" i="38"/>
  <c r="G23" i="38"/>
  <c r="G25" i="38"/>
  <c r="G26" i="38"/>
  <c r="G27" i="38"/>
  <c r="G28" i="38"/>
  <c r="G29" i="38"/>
  <c r="G31" i="38"/>
  <c r="G32" i="38"/>
  <c r="G5" i="38"/>
  <c r="C10" i="38"/>
  <c r="C11" i="38"/>
  <c r="C12" i="38"/>
  <c r="C13" i="38"/>
  <c r="C15" i="38"/>
  <c r="C16" i="38"/>
  <c r="C17" i="38"/>
  <c r="C18" i="38"/>
  <c r="C20" i="38"/>
  <c r="C21" i="38"/>
  <c r="C22" i="38"/>
  <c r="C23" i="38"/>
  <c r="C25" i="38"/>
  <c r="C26" i="38"/>
  <c r="C27" i="38"/>
  <c r="C28" i="38"/>
  <c r="C29" i="38"/>
  <c r="C31" i="38"/>
  <c r="C32" i="38"/>
  <c r="C6" i="38"/>
  <c r="C7" i="38"/>
  <c r="C8" i="38"/>
  <c r="C5" i="38"/>
  <c r="B54" i="20"/>
  <c r="C4" i="36" l="1"/>
  <c r="F4" i="36" s="1"/>
  <c r="B43" i="20" l="1"/>
  <c r="F6" i="4" l="1" a="1"/>
  <c r="F6" i="4" s="1"/>
  <c r="D6" i="4" a="1"/>
  <c r="D6" i="4" s="1"/>
  <c r="B6" i="4" a="1"/>
  <c r="B6" i="4" s="1"/>
  <c r="F6" i="3" a="1"/>
  <c r="F6" i="3" s="1"/>
  <c r="D6" i="3" a="1"/>
  <c r="D6" i="3" s="1"/>
  <c r="B6" i="3" a="1"/>
  <c r="B6" i="3" s="1"/>
  <c r="H26" i="2"/>
  <c r="F26" i="2"/>
  <c r="D26" i="2"/>
  <c r="H25" i="2"/>
  <c r="F25" i="2"/>
  <c r="D25" i="2"/>
  <c r="H24" i="2"/>
  <c r="F24" i="2"/>
  <c r="D24" i="2"/>
  <c r="H23" i="2"/>
  <c r="F23" i="2"/>
  <c r="D23" i="2"/>
  <c r="H22" i="2"/>
  <c r="F22" i="2"/>
  <c r="D22" i="2"/>
  <c r="H21" i="2"/>
  <c r="F21" i="2"/>
  <c r="D21" i="2"/>
  <c r="H20" i="2"/>
  <c r="F20" i="2"/>
  <c r="D20" i="2"/>
  <c r="H19" i="2"/>
  <c r="F19" i="2"/>
  <c r="D19" i="2"/>
  <c r="H18" i="2"/>
  <c r="F18" i="2"/>
  <c r="D18" i="2"/>
  <c r="H17" i="2"/>
  <c r="F17" i="2"/>
  <c r="D17" i="2"/>
  <c r="H16" i="2"/>
  <c r="F16" i="2"/>
  <c r="D16" i="2"/>
  <c r="H15" i="2"/>
  <c r="F15" i="2"/>
  <c r="D15" i="2"/>
  <c r="H11" i="2"/>
  <c r="F11" i="2"/>
  <c r="D11" i="2"/>
  <c r="B11" i="2"/>
  <c r="H7" i="2"/>
  <c r="F7" i="2"/>
  <c r="D7" i="2"/>
  <c r="B7" i="2"/>
  <c r="E4" i="12" a="1"/>
  <c r="E4" i="12" s="1"/>
  <c r="D4" i="12" a="1"/>
  <c r="D4" i="12" s="1"/>
  <c r="C4" i="12" a="1"/>
  <c r="C4" i="12" s="1"/>
  <c r="B4" i="12" a="1"/>
  <c r="B4" i="12" s="1"/>
  <c r="A4" i="12" a="1"/>
  <c r="A4" i="12" s="1"/>
  <c r="N34" i="13"/>
  <c r="L34" i="13"/>
  <c r="N33" i="13"/>
  <c r="L33" i="13"/>
  <c r="N32" i="13"/>
  <c r="L32" i="13"/>
  <c r="N31" i="13"/>
  <c r="L31" i="13"/>
  <c r="N30" i="13"/>
  <c r="L30" i="13"/>
  <c r="N27" i="13"/>
  <c r="L27" i="13"/>
  <c r="N26" i="13"/>
  <c r="L26" i="13"/>
  <c r="N25" i="13"/>
  <c r="L25" i="13"/>
  <c r="N24" i="13"/>
  <c r="L24" i="13"/>
  <c r="N23" i="13"/>
  <c r="L23" i="13"/>
  <c r="N22" i="13"/>
  <c r="L22" i="13"/>
  <c r="N19" i="13"/>
  <c r="L19" i="13"/>
  <c r="N16" i="13"/>
  <c r="L16" i="13"/>
  <c r="N15" i="13"/>
  <c r="L15" i="13"/>
  <c r="N14" i="13"/>
  <c r="L14" i="13"/>
  <c r="N13" i="13"/>
  <c r="L13" i="13"/>
  <c r="N12" i="13"/>
  <c r="L12" i="13"/>
  <c r="N9" i="13"/>
  <c r="L9" i="13"/>
  <c r="N8" i="13"/>
  <c r="L8" i="13"/>
  <c r="L24" i="14"/>
  <c r="J24" i="14"/>
  <c r="N24" i="14" s="1"/>
  <c r="F24" i="14"/>
  <c r="D24" i="14"/>
  <c r="H24" i="14" s="1"/>
  <c r="L22" i="14"/>
  <c r="J22" i="14"/>
  <c r="N22" i="14" s="1"/>
  <c r="F22" i="14"/>
  <c r="D22" i="14"/>
  <c r="L21" i="14"/>
  <c r="J21" i="14"/>
  <c r="F21" i="14"/>
  <c r="D21" i="14"/>
  <c r="H21" i="14" s="1"/>
  <c r="L20" i="14"/>
  <c r="J20" i="14"/>
  <c r="F20" i="14"/>
  <c r="D20" i="14"/>
  <c r="L19" i="14"/>
  <c r="J19" i="14"/>
  <c r="N19" i="14" s="1"/>
  <c r="F19" i="14"/>
  <c r="D19" i="14"/>
  <c r="H19" i="14" s="1"/>
  <c r="L18" i="14"/>
  <c r="J18" i="14"/>
  <c r="F18" i="14"/>
  <c r="D18" i="14"/>
  <c r="L17" i="14"/>
  <c r="J17" i="14"/>
  <c r="N17" i="14" s="1"/>
  <c r="F17" i="14"/>
  <c r="D17" i="14"/>
  <c r="H17" i="14" s="1"/>
  <c r="J16" i="14"/>
  <c r="N16" i="14" s="1"/>
  <c r="D16" i="14"/>
  <c r="H16" i="14" s="1"/>
  <c r="J15" i="14"/>
  <c r="N15" i="14" s="1"/>
  <c r="D15" i="14"/>
  <c r="H15" i="14" s="1"/>
  <c r="J14" i="14"/>
  <c r="N14" i="14" s="1"/>
  <c r="D14" i="14"/>
  <c r="H14" i="14" s="1"/>
  <c r="AE7" i="14"/>
  <c r="AD7" i="14"/>
  <c r="AC7" i="14"/>
  <c r="AB7" i="14"/>
  <c r="AA7" i="14"/>
  <c r="Z7" i="14"/>
  <c r="Y7" i="14"/>
  <c r="X7" i="14"/>
  <c r="W7" i="14"/>
  <c r="V7" i="14"/>
  <c r="U7" i="14"/>
  <c r="T7" i="14"/>
  <c r="C7" i="36"/>
  <c r="C6" i="36"/>
  <c r="F6" i="36" s="1"/>
  <c r="C5" i="36"/>
  <c r="B59" i="20"/>
  <c r="B58" i="20"/>
  <c r="B57" i="20"/>
  <c r="B56" i="20"/>
  <c r="B55" i="20"/>
  <c r="B8" i="20"/>
  <c r="B7" i="20"/>
  <c r="K31" i="6" l="1"/>
  <c r="K26" i="6"/>
  <c r="K29" i="6"/>
  <c r="K32" i="6"/>
  <c r="K25" i="6"/>
  <c r="K28" i="6"/>
  <c r="K30" i="6"/>
  <c r="K33" i="6"/>
  <c r="K23" i="6"/>
  <c r="K22" i="6"/>
  <c r="K24" i="6"/>
  <c r="K27" i="6"/>
  <c r="J3" i="13"/>
  <c r="J6" i="13" s="1"/>
  <c r="K14" i="6"/>
  <c r="K15" i="6"/>
  <c r="K16" i="6"/>
  <c r="K13" i="6"/>
  <c r="K17" i="6"/>
  <c r="K9" i="6"/>
  <c r="K6" i="6"/>
  <c r="K7" i="6"/>
  <c r="K8" i="6"/>
  <c r="K10" i="6"/>
  <c r="K11" i="6"/>
  <c r="K12" i="6"/>
  <c r="B9" i="20"/>
  <c r="D3" i="13"/>
  <c r="F3" i="13"/>
  <c r="H3" i="13"/>
  <c r="N20" i="14"/>
  <c r="N21" i="14"/>
  <c r="H18" i="14"/>
  <c r="H20" i="14"/>
  <c r="N18" i="14"/>
  <c r="H22" i="14"/>
  <c r="J4" i="13" l="1"/>
  <c r="J24" i="13" s="1"/>
  <c r="D6" i="13"/>
  <c r="D4" i="13"/>
  <c r="H6" i="13"/>
  <c r="H4" i="13"/>
  <c r="F6" i="13"/>
  <c r="F4" i="13"/>
  <c r="J33" i="13" l="1"/>
  <c r="J14" i="13"/>
  <c r="J34" i="13"/>
  <c r="J22" i="13"/>
  <c r="J25" i="13"/>
  <c r="J32" i="13"/>
  <c r="J13" i="13"/>
  <c r="J16" i="13"/>
  <c r="J23" i="13"/>
  <c r="J8" i="13"/>
  <c r="J30" i="13"/>
  <c r="J9" i="13"/>
  <c r="J26" i="13"/>
  <c r="J15" i="13"/>
  <c r="J12" i="13"/>
  <c r="J19" i="13"/>
  <c r="J31" i="13"/>
  <c r="J27" i="13"/>
  <c r="F27" i="13"/>
  <c r="F15" i="13"/>
  <c r="F34" i="13"/>
  <c r="F24" i="13"/>
  <c r="F12" i="13"/>
  <c r="F31" i="13"/>
  <c r="F19" i="13"/>
  <c r="F26" i="13"/>
  <c r="F14" i="13"/>
  <c r="F33" i="13"/>
  <c r="F23" i="13"/>
  <c r="F9" i="13"/>
  <c r="F30" i="13"/>
  <c r="F16" i="13"/>
  <c r="F25" i="13"/>
  <c r="F13" i="13"/>
  <c r="F32" i="13"/>
  <c r="F22" i="13"/>
  <c r="F8" i="13"/>
  <c r="H34" i="13"/>
  <c r="H24" i="13"/>
  <c r="H12" i="13"/>
  <c r="H31" i="13"/>
  <c r="H19" i="13"/>
  <c r="H26" i="13"/>
  <c r="H14" i="13"/>
  <c r="H33" i="13"/>
  <c r="H23" i="13"/>
  <c r="H9" i="13"/>
  <c r="H30" i="13"/>
  <c r="H16" i="13"/>
  <c r="H27" i="13"/>
  <c r="H25" i="13"/>
  <c r="H13" i="13"/>
  <c r="H15" i="13"/>
  <c r="H32" i="13"/>
  <c r="H22" i="13"/>
  <c r="H8" i="13"/>
  <c r="D27" i="13"/>
  <c r="D15" i="13"/>
  <c r="D34" i="13"/>
  <c r="D24" i="13"/>
  <c r="D12" i="13"/>
  <c r="D31" i="13"/>
  <c r="D19" i="13"/>
  <c r="D26" i="13"/>
  <c r="D14" i="13"/>
  <c r="D33" i="13"/>
  <c r="D23" i="13"/>
  <c r="D9" i="13"/>
  <c r="D22" i="13"/>
  <c r="D30" i="13"/>
  <c r="D16" i="13"/>
  <c r="D8" i="13"/>
  <c r="D25" i="13"/>
  <c r="D13" i="13"/>
  <c r="D32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7F35F5-B240-4947-B57A-C18961543D2D}" keepAlive="1" name="Query - Query_EBITDA" description="Connection to the 'Query_EBITDA' query in the workbook." type="5" refreshedVersion="7" background="1" saveData="1">
    <dbPr connection="Provider=Microsoft.Mashup.OleDb.1;Data Source=$Workbook$;Location=Query_EBITDA;Extended Properties=&quot;&quot;" command="SELECT * FROM [Query_EBITDA]"/>
  </connection>
  <connection id="2" xr16:uid="{021652F8-CB4B-4E1B-A62B-C574F45F80DB}" keepAlive="1" name="Query - Query_EIA_Compliance_Prospero" description="Connection to the 'Query_EIA_Compliance_Prospero' query in the workbook." type="5" refreshedVersion="6" background="1" saveData="1">
    <dbPr connection="Provider=Microsoft.Mashup.OleDb.1;Data Source=$Workbook$;Location=Query_EIA_Compliance_Prospero;Extended Properties=&quot;&quot;" command="SELECT * FROM [Query_EIA_Compliance_Prospero]"/>
  </connection>
  <connection id="3" xr16:uid="{013F53C3-030E-4079-862C-D8C0308ED13D}" keepAlive="1" name="Query - Query_Hedge_Prospero" description="Connection to the 'Query_Hedge_Prospero' query in the workbook." type="5" refreshedVersion="6" background="1" saveData="1">
    <dbPr connection="Provider=Microsoft.Mashup.OleDb.1;Data Source=$Workbook$;Location=Query_Hedge_Prospero;Extended Properties=&quot;&quot;" command="SELECT * FROM [Query_Hedge_Prospero]"/>
  </connection>
  <connection id="4" xr16:uid="{4CA131B2-801B-4117-AF57-A242C2A1B547}" keepAlive="1" name="Query - Query_ISO_PUCT_Compliance_Prospero" description="Connection to the 'Query_ISO_PUCT_Compliance_Prospero' query in the workbook." type="5" refreshedVersion="6" background="1" saveData="1">
    <dbPr connection="Provider=Microsoft.Mashup.OleDb.1;Data Source=$Workbook$;Location=Query_ISO_PUCT_Compliance_Prospero;Extended Properties=&quot;&quot;" command="SELECT * FROM [Query_ISO_PUCT_Compliance_Prospero]"/>
  </connection>
  <connection id="5" xr16:uid="{6900BB84-C5BE-4D2D-B2F6-37CF36BFF623}" keepAlive="1" name="Query - Query_NERC_Compliance_Prospero" description="Connection to the 'Query_NERC_Compliance_Prospero' query in the workbook." type="5" refreshedVersion="6" background="1" saveData="1">
    <dbPr connection="Provider=Microsoft.Mashup.OleDb.1;Data Source=$Workbook$;Location=Query_NERC_Compliance_Prospero;Extended Properties=&quot;&quot;" command="SELECT * FROM [Query_NERC_Compliance_Prospero]"/>
  </connection>
  <connection id="6" xr16:uid="{FB3CCD3E-69B4-4006-A8AF-6674CDBA26BE}" keepAlive="1" name="Query - Query_NonIncomeTax_Compliance_Prospero" description="Connection to the 'Query_NonIncomeTax_Compliance_Prospero' query in the workbook." type="5" refreshedVersion="6" background="1" saveData="1">
    <dbPr connection="Provider=Microsoft.Mashup.OleDb.1;Data Source=$Workbook$;Location=Query_NonIncomeTax_Compliance_Prospero;Extended Properties=&quot;&quot;" command="SELECT * FROM [Query_NonIncomeTax_Compliance_Prospero]"/>
  </connection>
  <connection id="7" xr16:uid="{FF19A80F-4D45-4F71-BEF9-5660C8169A93}" keepAlive="1" name="Query - Query_PM_Prospero" description="Connection to the 'Query_PM_Prospero' query in the workbook." type="5" refreshedVersion="6" background="1" saveData="1">
    <dbPr connection="Provider=Microsoft.Mashup.OleDb.1;Data Source=$Workbook$;Location=Query_PM_Prospero;Extended Properties=&quot;&quot;" command="SELECT * FROM [Query_PM_Prospero]"/>
  </connection>
  <connection id="8" xr16:uid="{9794E4B1-0529-4EC4-BE34-E7C8F0FC8BEF}" keepAlive="1" name="Query - Query_REC_Prospero" description="Connection to the 'Query_REC_Prospero' query in the workbook." type="5" refreshedVersion="6" background="1" saveData="1">
    <dbPr connection="Provider=Microsoft.Mashup.OleDb.1;Data Source=$Workbook$;Location=Query_REC_Prospero;Extended Properties=&quot;&quot;" command="SELECT * FROM [Query_REC_Prospero]"/>
  </connection>
  <connection id="9" xr16:uid="{95B21C9A-7492-44FA-89EB-B76055C236AF}" keepAlive="1" name="Query - Query_RevWalk_Prospero" description="Connection to the 'Query_RevWalk_Prospero' query in the workbook." type="5" refreshedVersion="6" background="1" saveData="1">
    <dbPr connection="Provider=Microsoft.Mashup.OleDb.1;Data Source=$Workbook$;Location=Query_RevWalk_Prospero;Extended Properties=&quot;&quot;" command="SELECT * FROM [Query_RevWalk_Prospero]"/>
  </connection>
  <connection id="10" xr16:uid="{95F67781-E7AC-4B8D-9BA9-BB81859B52DB}" keepAlive="1" name="Query - Query_Safety_Prospero" description="Connection to the 'Query_Safety_Prospero' query in the workbook." type="5" refreshedVersion="6" background="1" saveData="1">
    <dbPr connection="Provider=Microsoft.Mashup.OleDb.1;Data Source=$Workbook$;Location=Query_Safety_Prospero;Extended Properties=&quot;&quot;" command="SELECT * FROM [Query_Safety_Prospero]"/>
  </connection>
  <connection id="11" xr16:uid="{4E8B875D-03E8-4002-B9C8-B3A653FF3EE8}" keepAlive="1" name="Query - Query_WO_Prospero" description="Connection to the 'Query_WO_Prospero' query in the workbook." type="5" refreshedVersion="6" background="1" saveData="1">
    <dbPr connection="Provider=Microsoft.Mashup.OleDb.1;Data Source=$Workbook$;Location=Query_WO_Prospero;Extended Properties=&quot;&quot;" command="SELECT * FROM [Query_WO_Prosper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<sst xmlns="http://schemas.openxmlformats.org/spreadsheetml/2006/main" count="1521" uniqueCount="582">
  <si>
    <t xml:space="preserve">EIA - Energy Information Agency </t>
  </si>
  <si>
    <t>Prospero Solar - Plant Code: 57766</t>
  </si>
  <si>
    <t>EIA 860 - Electric Generation Report - Annual Filings</t>
  </si>
  <si>
    <t xml:space="preserve">Requirement </t>
  </si>
  <si>
    <t>Due</t>
  </si>
  <si>
    <t xml:space="preserve">Completion Date </t>
  </si>
  <si>
    <t xml:space="preserve">Certificate of Completion </t>
  </si>
  <si>
    <t>Year</t>
  </si>
  <si>
    <t xml:space="preserve">Submitted </t>
  </si>
  <si>
    <t>Status</t>
  </si>
  <si>
    <t>Generation information for Renewable and Green Energy Verification</t>
  </si>
  <si>
    <t>NA for 2020</t>
  </si>
  <si>
    <t>PRC-002-2</t>
  </si>
  <si>
    <t>N/A</t>
  </si>
  <si>
    <t>Generating Capacity Reports</t>
  </si>
  <si>
    <t>PRC-005-6</t>
  </si>
  <si>
    <t>Andrews County Judge</t>
  </si>
  <si>
    <t>Complete</t>
  </si>
  <si>
    <t>EIA 923 - Power Plant Operations - Annual Filings</t>
  </si>
  <si>
    <t>ERCOT Polled Settlement (EPS) metered generation units</t>
  </si>
  <si>
    <t>PRC-019-2</t>
  </si>
  <si>
    <t>Andrews County Hospital</t>
  </si>
  <si>
    <t>Emissions Reporting</t>
  </si>
  <si>
    <t>PRC-024-2</t>
  </si>
  <si>
    <t>Generation Fuel Mix Report</t>
  </si>
  <si>
    <t>PRC-025-2</t>
  </si>
  <si>
    <t xml:space="preserve">Entity </t>
  </si>
  <si>
    <t>Seasonal Voltage Profile Settings-Spring</t>
  </si>
  <si>
    <t>PRC-027-1</t>
  </si>
  <si>
    <t>Andrews County</t>
  </si>
  <si>
    <t>Month</t>
  </si>
  <si>
    <t>NPRR928- Cyber Security Appointment -Market Participants</t>
  </si>
  <si>
    <t>TPL-007-3</t>
  </si>
  <si>
    <t>Andrews Hospital</t>
  </si>
  <si>
    <t>Jan</t>
  </si>
  <si>
    <t>Quarterly MWh production data</t>
  </si>
  <si>
    <t>TexasRE Registration</t>
  </si>
  <si>
    <t>Andrews ISD</t>
  </si>
  <si>
    <t>Feb</t>
  </si>
  <si>
    <t>PUCT Contact and Emergency Information Annual Report</t>
  </si>
  <si>
    <t>CIP-002-5.1a</t>
  </si>
  <si>
    <t>Abatement Compliance Letter</t>
  </si>
  <si>
    <t xml:space="preserve">Mar </t>
  </si>
  <si>
    <t>Weatherization Plan Attestation- Summer</t>
  </si>
  <si>
    <t>CIP-003-8</t>
  </si>
  <si>
    <t>Entity</t>
  </si>
  <si>
    <t>Apr</t>
  </si>
  <si>
    <t>Seasonal Voltage Profile Settings-Summer</t>
  </si>
  <si>
    <t>COM-001-3/IRO-010-2/TOP-003-3</t>
  </si>
  <si>
    <t>May</t>
  </si>
  <si>
    <t>Survey for Frequenccy Response Capability Limitation for IRR's</t>
  </si>
  <si>
    <t>COM-002-4/IRO-001-4/TOP-001-4</t>
  </si>
  <si>
    <t>Jun</t>
  </si>
  <si>
    <t>Implementation of TSAT</t>
  </si>
  <si>
    <t>EOP-004-4</t>
  </si>
  <si>
    <t>Jul</t>
  </si>
  <si>
    <t>Seasonal Voltage Profile Settings-Fall</t>
  </si>
  <si>
    <t>FAC-003-4</t>
  </si>
  <si>
    <t>Aug</t>
  </si>
  <si>
    <t>Digital Certificate Audit Attestation</t>
  </si>
  <si>
    <t>FAC-008-3</t>
  </si>
  <si>
    <t>Malcolm and Khendra Davis</t>
  </si>
  <si>
    <t>Sep</t>
  </si>
  <si>
    <t>Weatherization Plan Attestation-Winter</t>
  </si>
  <si>
    <t>PRC-027-1 Procedure and Option Choice</t>
  </si>
  <si>
    <t>Estate of Willie G Davis and Wanda Davis</t>
  </si>
  <si>
    <t>Oct</t>
  </si>
  <si>
    <t>Seasonal Voltage Profile Settings-Winter</t>
  </si>
  <si>
    <t>FAC-003 Quarterly Vegetation Outage Report</t>
  </si>
  <si>
    <t>Michael Shay Floyd</t>
  </si>
  <si>
    <t>Nov</t>
  </si>
  <si>
    <t>PUC EOP Drill</t>
  </si>
  <si>
    <t>As required</t>
  </si>
  <si>
    <t>MIDAS Reporting</t>
  </si>
  <si>
    <t>Todd Mueller and Stefanie Howard</t>
  </si>
  <si>
    <t>Dec</t>
  </si>
  <si>
    <t>CIP-002 Assessment</t>
  </si>
  <si>
    <t>Andrews County Tax Assessment - 3rd Party Delivery of Calculations</t>
  </si>
  <si>
    <t>CIP-003 Senior Manager</t>
  </si>
  <si>
    <t xml:space="preserve"> </t>
  </si>
  <si>
    <t>NERC Alert - Supply Chain Risk</t>
  </si>
  <si>
    <t>Sales and use tax filings</t>
  </si>
  <si>
    <t>Texas State Comptroller</t>
  </si>
  <si>
    <t>Table 10.1 EIA Compliance</t>
  </si>
  <si>
    <t>EIA 923 - Power Plant Operations - Monthly Filings - 2020</t>
  </si>
  <si>
    <t>Table 10.2 ISO/PUCT Compliance</t>
  </si>
  <si>
    <t>Table 10.3 NERC compliance</t>
  </si>
  <si>
    <t>Table 10.4 Non-Income and Property Tax Filings</t>
  </si>
  <si>
    <t>+</t>
  </si>
  <si>
    <t>Non-Recordable Injury</t>
  </si>
  <si>
    <t>January</t>
  </si>
  <si>
    <t>-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</si>
  <si>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</si>
  <si>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</si>
  <si>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</si>
  <si>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</si>
  <si>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</si>
  <si>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</si>
  <si>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</si>
  <si>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</si>
  <si>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</si>
  <si>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</si>
  <si>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Table 4-1 Month to Date Financial Performance</t>
  </si>
  <si>
    <t>($1,000's unless otherwise indicated)</t>
  </si>
  <si>
    <t>F/(U)</t>
  </si>
  <si>
    <t xml:space="preserve">%F/(U) </t>
  </si>
  <si>
    <t>Comments</t>
  </si>
  <si>
    <t>Site Generation (MWh)</t>
  </si>
  <si>
    <t xml:space="preserve">Revenues </t>
  </si>
  <si>
    <t>Electricity sales</t>
  </si>
  <si>
    <t> </t>
  </si>
  <si>
    <t>REC and PBI sales</t>
  </si>
  <si>
    <t>Other revenues</t>
  </si>
  <si>
    <t>Total Revenues</t>
  </si>
  <si>
    <t>Operations and Maintenance</t>
  </si>
  <si>
    <t>Project Management Fees</t>
  </si>
  <si>
    <t>O&amp;M Fees and Onsite Labor</t>
  </si>
  <si>
    <t>Routine Maintenance</t>
  </si>
  <si>
    <t>Repair</t>
  </si>
  <si>
    <t>Land</t>
  </si>
  <si>
    <t>Taxes</t>
  </si>
  <si>
    <t>Insurance</t>
  </si>
  <si>
    <t>Professional Services</t>
  </si>
  <si>
    <t>Environmental</t>
  </si>
  <si>
    <t>Utilities</t>
  </si>
  <si>
    <t>Facilities</t>
  </si>
  <si>
    <t>Total Operating Costs</t>
  </si>
  <si>
    <t>Project EBITDA</t>
  </si>
  <si>
    <t>Table 4-2 Year to Date Financial Performance</t>
  </si>
  <si>
    <t>YTD Act</t>
  </si>
  <si>
    <t>YTD Bud</t>
  </si>
  <si>
    <t>Completed</t>
  </si>
  <si>
    <t>Description</t>
  </si>
  <si>
    <t>Asset Description</t>
  </si>
  <si>
    <t>Type</t>
  </si>
  <si>
    <t>Priority</t>
  </si>
  <si>
    <t>Start Date</t>
  </si>
  <si>
    <t>End Date</t>
  </si>
  <si>
    <t>Hedge Settlement Details</t>
  </si>
  <si>
    <t>Hedge Quantity (MWh)</t>
  </si>
  <si>
    <t>Actual Quantity (MWh)</t>
  </si>
  <si>
    <t>ERCOT Market Settlement</t>
  </si>
  <si>
    <t>Floating Price (Prospero Node)</t>
  </si>
  <si>
    <t>Node to Hub Basis</t>
  </si>
  <si>
    <t>Fixed Hedge Payment</t>
  </si>
  <si>
    <t>(-) EMA/QSE Fee</t>
  </si>
  <si>
    <t>Facebook</t>
  </si>
  <si>
    <t>SENA</t>
  </si>
  <si>
    <t>Total Generation</t>
  </si>
  <si>
    <t>Contracted REC Revenue ($)</t>
  </si>
  <si>
    <t>Total Revenue</t>
  </si>
  <si>
    <t>FORMAT OPTION 2 (TABLE 4.4)</t>
  </si>
  <si>
    <t>Actual</t>
  </si>
  <si>
    <t>Actual YTD</t>
  </si>
  <si>
    <t>Contracted REC Volume (MWh)</t>
  </si>
  <si>
    <t>Mar</t>
  </si>
  <si>
    <t>Current month</t>
  </si>
  <si>
    <t>Year to Date</t>
  </si>
  <si>
    <t>MTD Act</t>
  </si>
  <si>
    <t>MTD Bud</t>
  </si>
  <si>
    <t>Mismatch/Imbalance (before $3.00 basis adjustment)</t>
  </si>
  <si>
    <t>Net Revenue Settlement Amount Paid to Prospero</t>
  </si>
  <si>
    <t>(-) $3.00 Basis Adjustment</t>
  </si>
  <si>
    <t>Revenue Walk</t>
  </si>
  <si>
    <t>Tracking Accounting Balance</t>
  </si>
  <si>
    <t>Hedge Tracking Account</t>
  </si>
  <si>
    <t>Tracking Account Adjustment</t>
  </si>
  <si>
    <t>ERCOT NPRR Check</t>
  </si>
  <si>
    <t>ERCOT NRRGRR Check</t>
  </si>
  <si>
    <t>ERCOT Survey Chack</t>
  </si>
  <si>
    <t>pending</t>
  </si>
  <si>
    <t>Tracking Account Funding Cap</t>
  </si>
  <si>
    <t>Tracking Account Credit Limit</t>
  </si>
  <si>
    <t>Remaining Credit in Tracking Account</t>
  </si>
  <si>
    <t>Location</t>
  </si>
  <si>
    <t>WO Number</t>
  </si>
  <si>
    <t>Job Plan</t>
  </si>
  <si>
    <t>Hedge Settlement Price (North Hub)</t>
  </si>
  <si>
    <t>Hedge Quantity * North Hub Floating Price</t>
  </si>
  <si>
    <t>Actual Quantity * Prospero Node Realized Floating Price</t>
  </si>
  <si>
    <t>Actual Basis - Gen WTD ($/MWh)</t>
  </si>
  <si>
    <t>(-) RT Imbalance/True Up</t>
  </si>
  <si>
    <t>(+/-) Tracking Account Interest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</si>
  <si>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</si>
  <si>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</si>
  <si>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</si>
  <si>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</si>
  <si>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</si>
  <si>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</si>
  <si>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</si>
  <si>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</si>
  <si>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</si>
  <si>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</si>
  <si>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</si>
  <si>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</si>
  <si>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</si>
  <si>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</si>
  <si>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</si>
  <si>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</si>
  <si>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</si>
  <si>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% F/(U)</t>
  </si>
  <si>
    <t>Site Generation</t>
  </si>
  <si>
    <t>Revenues</t>
  </si>
  <si>
    <t>month</t>
  </si>
  <si>
    <t>project</t>
  </si>
  <si>
    <t>ebitda file name</t>
  </si>
  <si>
    <t>month_num</t>
  </si>
  <si>
    <t>month_str</t>
  </si>
  <si>
    <t>days in current month</t>
  </si>
  <si>
    <t>dropbox token</t>
  </si>
  <si>
    <t>Passwords</t>
  </si>
  <si>
    <t xml:space="preserve">password to edit </t>
  </si>
  <si>
    <t>lre</t>
  </si>
  <si>
    <t>sub_project1</t>
  </si>
  <si>
    <t>sub_project2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</si>
  <si>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</si>
  <si>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</si>
  <si>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</si>
  <si>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</si>
  <si>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</si>
  <si>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</si>
  <si>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</si>
  <si>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</si>
  <si>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</si>
  <si>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</si>
  <si>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</si>
  <si>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</si>
  <si>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ebidta sheet name</t>
  </si>
  <si>
    <t>MOR</t>
  </si>
  <si>
    <t>Calculated sources:</t>
  </si>
  <si>
    <t>ebitda full path</t>
  </si>
  <si>
    <t>rec file name</t>
  </si>
  <si>
    <t>rec sheet name</t>
  </si>
  <si>
    <t>Prospero_RECProd_Rev_Inv Track spreadsheet_2020_FINAL.xlsx</t>
  </si>
  <si>
    <t>rec full path</t>
  </si>
  <si>
    <t>hedge settlement full path</t>
  </si>
  <si>
    <t>hedge file name</t>
  </si>
  <si>
    <t>hedge sheet name</t>
  </si>
  <si>
    <t>Prospero Energy Project_ Designated Account Tracking Balance.xlsx</t>
  </si>
  <si>
    <t>EBITDA File Path</t>
  </si>
  <si>
    <t>REC File Path</t>
  </si>
  <si>
    <t>Physical Hedge Settlement Path</t>
  </si>
  <si>
    <t>folder path</t>
  </si>
  <si>
    <t>2020_Prospero_ComplianceSpreadsheet_FINAL.xlsx</t>
  </si>
  <si>
    <t>compliance file name</t>
  </si>
  <si>
    <t>compliance sheet names</t>
  </si>
  <si>
    <t>NERC</t>
  </si>
  <si>
    <t>EIA</t>
  </si>
  <si>
    <t>Non-Income Tax</t>
  </si>
  <si>
    <t>ISO_PUCT Compliance</t>
  </si>
  <si>
    <t>compliance full path</t>
  </si>
  <si>
    <t>Compliance Path</t>
  </si>
  <si>
    <t>Completed Work Orders from First Solar Plant View.xlsx</t>
  </si>
  <si>
    <t>WO</t>
  </si>
  <si>
    <t>maintenance file name</t>
  </si>
  <si>
    <t>maintenance full path</t>
  </si>
  <si>
    <t>C8HO860vI7gAAAAAAAAAAVz69G_NHVL16gQvkW5KeP9-nzyvgZIaxC-SdeiLlTEa</t>
  </si>
  <si>
    <t>Prospero Energy Project, LLC</t>
  </si>
  <si>
    <t>Through:</t>
  </si>
  <si>
    <t>Column18</t>
  </si>
  <si>
    <t>=inputed cells</t>
  </si>
  <si>
    <t>Prospero REC Production and Revenue*</t>
  </si>
  <si>
    <t>2020 YTD</t>
  </si>
  <si>
    <t>Actual (MWh)</t>
  </si>
  <si>
    <t>TOTAL (MWh)</t>
  </si>
  <si>
    <t>Contracted REC Volumes</t>
  </si>
  <si>
    <t>Total Generation (MWh)</t>
  </si>
  <si>
    <t xml:space="preserve">Total Revenue ($) </t>
  </si>
  <si>
    <t>*Note- Total represented above is those RECs made available by ERCOT on August 15, 2020 (e.g. 45 days after end of each quarter)</t>
  </si>
  <si>
    <t>Prospero Energy Project, LLC-  Physical Hedge Settlement</t>
  </si>
  <si>
    <t>Activity</t>
  </si>
  <si>
    <t xml:space="preserve">Hedge Quantity (MWh) </t>
  </si>
  <si>
    <t>ERCOT Market Settlement (Gen Wtd Node)</t>
  </si>
  <si>
    <t xml:space="preserve">   Hedge Quantity * North Hub Floating Price</t>
  </si>
  <si>
    <t>Mismatch/Imbalance (before $3.00 Basis Adjustment)</t>
  </si>
  <si>
    <t>Actual Basis (Gen Wtd),$/MWh</t>
  </si>
  <si>
    <t xml:space="preserve">Revenue Walk </t>
  </si>
  <si>
    <t xml:space="preserve">   Tracking Account Credit Limit</t>
  </si>
  <si>
    <t xml:space="preserve">Remaining Credit in Tracking Account </t>
  </si>
  <si>
    <t>Work Order Number</t>
  </si>
  <si>
    <t>Completed Date</t>
  </si>
  <si>
    <t>Work Type</t>
  </si>
  <si>
    <t>Warranty Claim #</t>
  </si>
  <si>
    <t>PM #</t>
  </si>
  <si>
    <t>--</t>
  </si>
  <si>
    <t>sheet name</t>
  </si>
  <si>
    <t>Sheet1</t>
  </si>
  <si>
    <t>First Solar PlantView Work Order &amp; Planned Maintenance Path</t>
  </si>
  <si>
    <t>2020</t>
  </si>
  <si>
    <t>Safety File Path</t>
  </si>
  <si>
    <t>safety file name</t>
  </si>
  <si>
    <t>safety sheet name</t>
  </si>
  <si>
    <t>2020_Prospero_SafetyStats_MOR.xlsx</t>
  </si>
  <si>
    <t>safety full path</t>
  </si>
  <si>
    <t>Connection Authorizations</t>
  </si>
  <si>
    <t>Date Calculations</t>
  </si>
  <si>
    <t>Task In PowerHub?</t>
  </si>
  <si>
    <t>x</t>
  </si>
  <si>
    <t>NERC GOP Compliance Review</t>
  </si>
  <si>
    <t>Texas RE Inherent Risk Assessment</t>
  </si>
  <si>
    <t>CIP-003-8 Incident Rsponse Plan Testing - Appendix C</t>
  </si>
  <si>
    <t>s</t>
  </si>
  <si>
    <t>PRC-005-6 4-CM Battery Check - January</t>
  </si>
  <si>
    <t>PRC-005-6 4-CM Battery Check - February</t>
  </si>
  <si>
    <t>PRC-005-6 4-CM Battery Check - March</t>
  </si>
  <si>
    <t>PRC-005-6 4-CM Battery Check - April</t>
  </si>
  <si>
    <t>PRC-005-6 4-CM Battery Check - May</t>
  </si>
  <si>
    <t>PRC-005-6 4-CM Battery Check - June</t>
  </si>
  <si>
    <t>PRC-005-6 4-CM Battery Check - July</t>
  </si>
  <si>
    <t>PRC-005-6 4-CM Battery Check - August</t>
  </si>
  <si>
    <t>PRC-005-6 4-CM Battery Check - September</t>
  </si>
  <si>
    <t>PRC-005-6 4-CM Battery Check - October</t>
  </si>
  <si>
    <t>PRC-005-6 4-CM Battery Check - November</t>
  </si>
  <si>
    <t>PRC-005-6 4-CM Battery Check - December</t>
  </si>
  <si>
    <t>PRC-005-6 18-CM Battery Check</t>
  </si>
  <si>
    <t>CIP-003-8 Physical Security Check - January</t>
  </si>
  <si>
    <t>CIP-003-8 Physical Security Check - February</t>
  </si>
  <si>
    <t>CIP-003-8 Physical Security Check - March</t>
  </si>
  <si>
    <t>CIP-003-8 Physical Security Check - April</t>
  </si>
  <si>
    <t>CIP-003-8 Physical Security Check - May</t>
  </si>
  <si>
    <t>CIP-003-8 Physical Security Check - June</t>
  </si>
  <si>
    <t>CIP-003-8 Physical Security Check - July</t>
  </si>
  <si>
    <t>CIP-003-8 Physical Security Check - August</t>
  </si>
  <si>
    <t>CIP-003-8 Physical Security Check - September</t>
  </si>
  <si>
    <t>CIP-003-8 Physical Security Check - October</t>
  </si>
  <si>
    <t>CIP-003-8 Physical Security Check - November</t>
  </si>
  <si>
    <t>CIP-003-8 Physical Security Check - December</t>
  </si>
  <si>
    <t>CIP-003-8 TCARM Check - January</t>
  </si>
  <si>
    <t>CIP-003-8 TCARM Check - February</t>
  </si>
  <si>
    <t>CIP-003-8 TCARM Check - March</t>
  </si>
  <si>
    <t>CIP-003-8 TCARM Check - April</t>
  </si>
  <si>
    <t>CIP-003-8 TCARM Check - May</t>
  </si>
  <si>
    <t>CIP-003-8 TCARM Check - June</t>
  </si>
  <si>
    <t>CIP-003-8 TCARM Check - July</t>
  </si>
  <si>
    <t>CIP-003-8 TCARM Check - August</t>
  </si>
  <si>
    <t>CIP-003-8 TCARM Check - September</t>
  </si>
  <si>
    <t>CIP-003-8 TCARM Check - October</t>
  </si>
  <si>
    <t>CIP-003-8 TCARM Check - November</t>
  </si>
  <si>
    <t>CIP-003-8 TCARM Check - December</t>
  </si>
  <si>
    <t>CIP-002-5.1a Assessment</t>
  </si>
  <si>
    <t>MIDAS - Any updates for the prior year; Q4</t>
  </si>
  <si>
    <t>MIDAS - Q1</t>
  </si>
  <si>
    <t>MIDAS - Q2</t>
  </si>
  <si>
    <t>MIDAS - Q3</t>
  </si>
  <si>
    <t>GADS - Any updates for the prior year; Q4</t>
  </si>
  <si>
    <t>GADS - Q1</t>
  </si>
  <si>
    <t>GADS - Q2</t>
  </si>
  <si>
    <t>GADS - Q3</t>
  </si>
  <si>
    <t>NERC Geomagnetic Disturbance Data Report</t>
  </si>
  <si>
    <t>FAC-003-4 TRE Report Q1</t>
  </si>
  <si>
    <t>FAC-003-4 TRE Report Q2</t>
  </si>
  <si>
    <t>FAC-003-4 TRE Report Q3</t>
  </si>
  <si>
    <t>FAC-003-4 TRE Report Q4</t>
  </si>
  <si>
    <t>NERC GOP Compliance Review - January</t>
  </si>
  <si>
    <t>NERC GOP Compliance Review - February</t>
  </si>
  <si>
    <t>NERC GOP Compliance Review - March</t>
  </si>
  <si>
    <t>NERC GOP Compliance Review - April</t>
  </si>
  <si>
    <t>NERC GOP Compliance Review - May</t>
  </si>
  <si>
    <t>NERC GOP Compliance Review - June</t>
  </si>
  <si>
    <t>NERC GOP Compliance Review - July</t>
  </si>
  <si>
    <t>NERC GOP Compliance Review - August</t>
  </si>
  <si>
    <t>NERC GOP Compliance Review - September</t>
  </si>
  <si>
    <t>NERC GOP Compliance Review - October</t>
  </si>
  <si>
    <t>NERC GOP Compliance Review - November</t>
  </si>
  <si>
    <t>NERC GOP Compliance Review - December</t>
  </si>
  <si>
    <t>Section 1600 Reporting Confirmation</t>
  </si>
  <si>
    <t>Prospero Energy Project-  Non Income and Property Tax Filings</t>
  </si>
  <si>
    <t>Invoice Received</t>
  </si>
  <si>
    <t>Andrews County Tax  Abatemeent- Annual Payments (Real Property Tax Payments)</t>
  </si>
  <si>
    <t xml:space="preserve">Included with the Andrews ISD </t>
  </si>
  <si>
    <t>not received from LO yet</t>
  </si>
  <si>
    <t>Andrews County Tax Assessment - Property Tax - Annual Payments</t>
  </si>
  <si>
    <t>Will be paid on Nov draw.</t>
  </si>
  <si>
    <t>Chapter 313 Annual Eligibility Report (Form 50-772A); Biennial Progress Report (Form 50-773B);                                                                    Job Creation Compliance Report (Form 50-825)</t>
  </si>
  <si>
    <t>Job Creation Compliance Report</t>
  </si>
  <si>
    <t>Biennial Progress Report ( BISD)</t>
  </si>
  <si>
    <t>Compliance Data Request- 313</t>
  </si>
  <si>
    <t>Waiting for 2021 due date to come out prior to placing in PH</t>
  </si>
  <si>
    <t>EIA 923 - Power Plant Operations - Monthly Filings- YEAR 2020</t>
  </si>
  <si>
    <t>Block: 05 PCS: 05</t>
  </si>
  <si>
    <t>Block: 07 PCS: 09</t>
  </si>
  <si>
    <t>Property Tax Payments: Reimbursement to Landowners by Project</t>
  </si>
  <si>
    <t xml:space="preserve">Chapter 313 Annual Eligibility Report; Biennial Progress Report; Job Creation Compliance Report                                                     </t>
  </si>
  <si>
    <t>Andrews County Tax Assessment - Property Tax Annual Payments</t>
  </si>
  <si>
    <t>Andrews County Tax Abatemeent- Annual Payments</t>
  </si>
  <si>
    <t>Job Creation Compliance Report (50-825)</t>
  </si>
  <si>
    <t>Biennial Progress Report - BISD (50-773B)</t>
  </si>
  <si>
    <t>Compliance Data Request- 313 (50-772A)</t>
  </si>
  <si>
    <t>compliance folder</t>
  </si>
  <si>
    <t>safety folder</t>
  </si>
  <si>
    <t>MOR Path</t>
  </si>
  <si>
    <t>ebitda folder</t>
  </si>
  <si>
    <t>rec folder</t>
  </si>
  <si>
    <t>hedge folder</t>
  </si>
  <si>
    <t>/EBITDA Monthly Review</t>
  </si>
  <si>
    <t>TPL-001-4</t>
  </si>
  <si>
    <t>PER-006-1 Program Manual and Appendix</t>
  </si>
  <si>
    <t>get up to 4 previous months:</t>
  </si>
  <si>
    <t>change + to - above table columns if it's early in year and no previous YTD months exist</t>
  </si>
  <si>
    <t>Property Tax Payments: Reimbursements to Landowners by Project</t>
  </si>
  <si>
    <t>Andrews Hospital and ISD</t>
  </si>
  <si>
    <t>paid</t>
  </si>
  <si>
    <t>NA03069725</t>
  </si>
  <si>
    <t>Tracker actuator PRS1_B007_P009.GWY072.TRK001.ARR043 is STUCK on 2020-12-28.</t>
  </si>
  <si>
    <t>Nextracker Network Control Unit - NCU 01, PCS 09, Block 07</t>
  </si>
  <si>
    <t>NA03066371</t>
  </si>
  <si>
    <t>Tracker actuator PRS1_B005_P005.GWY048.TRK002.ARR077 is STUCK on 2020-12-25.</t>
  </si>
  <si>
    <t>Nextracker Network Control Unit - NCU 02, PCS 05, Block 05</t>
  </si>
  <si>
    <t>NA03065840</t>
  </si>
  <si>
    <t>Tracker actuator PRS1_B005_P005.GWY048.TRK002.ARR077 is STUCK on 2020-12-24.</t>
  </si>
  <si>
    <t>Financial summary</t>
  </si>
  <si>
    <t>##S</t>
  </si>
  <si>
    <t>ebitda_mtd</t>
  </si>
  <si>
    <t>percent_ebitda_mtd</t>
  </si>
  <si>
    <t>ebitda_ytd</t>
  </si>
  <si>
    <t>percent_ebitda_ytd</t>
  </si>
  <si>
    <t>ebitda_mtd_sign</t>
  </si>
  <si>
    <t>ebitda_ytd_sign</t>
  </si>
  <si>
    <t>12/1/2020</t>
  </si>
  <si>
    <t>(-) Non-Energy ERCOT Fees</t>
  </si>
  <si>
    <t>Paid</t>
  </si>
  <si>
    <t>Rev Walk</t>
  </si>
  <si>
    <t>rev walk summary sheet name</t>
  </si>
  <si>
    <t>Month to Date</t>
  </si>
  <si>
    <t>Month to Date_1</t>
  </si>
  <si>
    <t>Year to Date_2</t>
  </si>
  <si>
    <t>Budget</t>
  </si>
  <si>
    <t>Variance</t>
  </si>
  <si>
    <t>Budget Price (Gen Wtd, Node), $/MWh</t>
  </si>
  <si>
    <t>Hedge Volume</t>
  </si>
  <si>
    <t>Actual Price (Gen Wtd, Node), $/MWh</t>
  </si>
  <si>
    <t>Hedge Price</t>
  </si>
  <si>
    <t>Budget Unhedged Generation, MWh</t>
  </si>
  <si>
    <t>Hedge Revenue</t>
  </si>
  <si>
    <t>Unhedged Price Variance (at Budget Gen)</t>
  </si>
  <si>
    <t>Generation</t>
  </si>
  <si>
    <t>Budget Generation, MWh</t>
  </si>
  <si>
    <t>Realized Price</t>
  </si>
  <si>
    <t>Actual Generation, MWh</t>
  </si>
  <si>
    <t>Gen Sales</t>
  </si>
  <si>
    <t>Generation Variance (at Actual Price)</t>
  </si>
  <si>
    <t>Floating Price</t>
  </si>
  <si>
    <t>Budget Shaping (Hub), $/MWh</t>
  </si>
  <si>
    <t>Hedge Cost</t>
  </si>
  <si>
    <t>Actual Shaping (Hub), $/MWh</t>
  </si>
  <si>
    <t>Hedge Volume, MWh</t>
  </si>
  <si>
    <t>Energy Revenue</t>
  </si>
  <si>
    <t>Shaping Variance (at Hub)</t>
  </si>
  <si>
    <t>Budget Basis (Gen Wtd), $/MWh</t>
  </si>
  <si>
    <t>Actual Basis (Gen Wtd), $/MWh</t>
  </si>
  <si>
    <t>Basis Variance (Gen Weighted)</t>
  </si>
  <si>
    <t>Budget Energy Sales</t>
  </si>
  <si>
    <t>Actual Energy Sales</t>
  </si>
  <si>
    <t>Energy Sales Variance</t>
  </si>
  <si>
    <t>Total Variance Explained</t>
  </si>
  <si>
    <t>Unexplained</t>
  </si>
  <si>
    <t>Hedge Weighted Actual Price (Hub), $/MWh</t>
  </si>
  <si>
    <t>Gen Weighted Actual Price (Hub), $/MWh</t>
  </si>
  <si>
    <t>column:</t>
  </si>
  <si>
    <t>row:</t>
  </si>
  <si>
    <t>C</t>
  </si>
  <si>
    <t>D</t>
  </si>
  <si>
    <t>E</t>
  </si>
  <si>
    <t>G</t>
  </si>
  <si>
    <t>I</t>
  </si>
  <si>
    <t>F</t>
  </si>
  <si>
    <t>K</t>
  </si>
  <si>
    <t>L</t>
  </si>
  <si>
    <t>M</t>
  </si>
  <si>
    <t>N</t>
  </si>
  <si>
    <t>O</t>
  </si>
  <si>
    <t>Q</t>
  </si>
  <si>
    <t>month_num_txt</t>
  </si>
  <si>
    <t>Table 7.2 BoP outage summary</t>
  </si>
  <si>
    <t>Planned Start</t>
  </si>
  <si>
    <t>Planned End</t>
  </si>
  <si>
    <t>Actual Start</t>
  </si>
  <si>
    <t>Actual End</t>
  </si>
  <si>
    <t>% Complete</t>
  </si>
  <si>
    <t>Substation Maintenance</t>
  </si>
  <si>
    <t>planned</t>
  </si>
  <si>
    <t>Turbine Major</t>
  </si>
  <si>
    <t>Turbine Minor</t>
  </si>
  <si>
    <t>Table 8.1 Maintenance Summary</t>
  </si>
  <si>
    <t>Table 3.1 Safety Summary</t>
  </si>
  <si>
    <t>Near Miss or Equipment Damage</t>
  </si>
  <si>
    <t>Recordable Injury</t>
  </si>
  <si>
    <t>Estimated Man Hours</t>
  </si>
  <si>
    <t>Table 1.1 Revenue Walk</t>
  </si>
  <si>
    <t>Table 4.4 REC</t>
  </si>
  <si>
    <t>Table 4.3 Hedge Settlement</t>
  </si>
  <si>
    <t>Table 8.2 Work Order Log</t>
  </si>
  <si>
    <t>Table 9.1 Warranty Claim Log</t>
  </si>
  <si>
    <t>Set Project and Month</t>
  </si>
  <si>
    <t>Table 6.3 Offline and curtailed turbines</t>
  </si>
  <si>
    <t>Site</t>
  </si>
  <si>
    <t>Turbine</t>
  </si>
  <si>
    <t>Category</t>
  </si>
  <si>
    <t>Close Date</t>
  </si>
  <si>
    <t>Power Set Point (kW)</t>
  </si>
  <si>
    <t>Comment</t>
  </si>
  <si>
    <t>Weaver</t>
  </si>
  <si>
    <t>Milford 1</t>
  </si>
  <si>
    <t>Milford 1 Clipper</t>
  </si>
  <si>
    <t>Milford 1 GE</t>
  </si>
  <si>
    <t>Milford 2</t>
  </si>
  <si>
    <t>Milford 2 GE</t>
  </si>
  <si>
    <t>El Campo</t>
  </si>
  <si>
    <t>Howard</t>
  </si>
  <si>
    <t>Highland North</t>
  </si>
  <si>
    <t>Mustang Hills</t>
  </si>
  <si>
    <t>Patton</t>
  </si>
  <si>
    <t>Twin Ridges</t>
  </si>
  <si>
    <t>REC sales</t>
  </si>
  <si>
    <t>Type of Project or Component</t>
  </si>
  <si>
    <t>Action</t>
  </si>
  <si>
    <t>Target Completion</t>
  </si>
  <si>
    <t>Year One Performance</t>
  </si>
  <si>
    <t>Year one of project operation is a critical time for infant mortality failures and for establishing the proper monitoring of project performance.</t>
  </si>
  <si>
    <t>Closely monitor turbine and balance-of-plant performance to identify early operating issues.</t>
  </si>
  <si>
    <t>Bat Curtailment</t>
  </si>
  <si>
    <t>Validate Vestas Bat curtailment software to QC functionality for permit compliance.</t>
  </si>
  <si>
    <t>Monitor the Vestas Bat curtailment software during effective dates April 15-September 30</t>
  </si>
  <si>
    <t>Icing Sound Mode</t>
  </si>
  <si>
    <t>Validate Vestas software controls to comply with the Weaver Winter Sound Plan.</t>
  </si>
  <si>
    <t>Monitor Vestas Load and Sound Mode curtailment operation and compare results to performance specification.</t>
  </si>
  <si>
    <t>Intellilight Operation</t>
  </si>
  <si>
    <t>Validate Vestas RAL-Intellilight functionality</t>
  </si>
  <si>
    <t>Monitor Vestas Intellilight software is programed and functioning when required</t>
  </si>
  <si>
    <t xml:space="preserve">Turbine Performance Monitoring </t>
  </si>
  <si>
    <t xml:space="preserve">Monitor turbine operation to assure optimal performance </t>
  </si>
  <si>
    <t xml:space="preserve">Compare performance, utilizing GreenByte and other analytical tools. </t>
  </si>
  <si>
    <t xml:space="preserve">Continuous  </t>
  </si>
  <si>
    <t>Construction Final Completion</t>
  </si>
  <si>
    <t>Final close out items remaining to mark project complete from construction</t>
  </si>
  <si>
    <t>Manage remaining close out items relating to construction for final completion</t>
  </si>
  <si>
    <t>Q3 2021</t>
  </si>
  <si>
    <t>Setpoint Verification</t>
  </si>
  <si>
    <t xml:space="preserve">Validate setpoint accuracy to maintain compliance </t>
  </si>
  <si>
    <t xml:space="preserve">Compare programmed values in Greenbyte to assure they align with the OEM values and site permit requirements  </t>
  </si>
  <si>
    <t>Table 1.1 KPI Summary</t>
  </si>
  <si>
    <t>YTD</t>
  </si>
  <si>
    <t>Metric</t>
  </si>
  <si>
    <t>Plan</t>
  </si>
  <si>
    <t>EBITDA ($1,000's)</t>
  </si>
  <si>
    <t>##D</t>
  </si>
  <si>
    <t>month_energy</t>
  </si>
  <si>
    <t>Generation (MWh)</t>
  </si>
  <si>
    <t>month_availability</t>
  </si>
  <si>
    <t>month_budget_energy</t>
  </si>
  <si>
    <t>Contractual Availability</t>
  </si>
  <si>
    <t>month_contract_avail</t>
  </si>
  <si>
    <t>Performance Index</t>
  </si>
  <si>
    <t>ytd_energy</t>
  </si>
  <si>
    <t>ytd_budget_energy</t>
  </si>
  <si>
    <t>ytd_availability</t>
  </si>
  <si>
    <t>ytd_contract_avail</t>
  </si>
  <si>
    <t>budget_contract_avail</t>
  </si>
  <si>
    <t>current year</t>
  </si>
  <si>
    <t>current month</t>
  </si>
  <si>
    <t>Claim Number</t>
  </si>
  <si>
    <t>Closed</t>
  </si>
  <si>
    <t>Open</t>
  </si>
  <si>
    <t>O&amp;M Tech Room Ceiling Repair</t>
  </si>
  <si>
    <t>DVAR Component Failures</t>
  </si>
  <si>
    <t>Substation Automatic Generator fail to start in auto</t>
  </si>
  <si>
    <t>SBWW-001 Junction 600A Dead Break Elbow and Bus size</t>
  </si>
  <si>
    <t>T12 Fiber Optic Cable Repair</t>
  </si>
  <si>
    <t>Loss of Comm due to FiberOptic water intrusion</t>
  </si>
  <si>
    <t>/LR Services/Fengate/Weaver/12.Ops and Asset Management/07.MORs</t>
  </si>
  <si>
    <t>/LR Services/Fengate/Weaver/??</t>
  </si>
  <si>
    <t>Weaver O&amp;M</t>
  </si>
  <si>
    <t>Vestas</t>
  </si>
  <si>
    <t>Project Availability</t>
  </si>
  <si>
    <t>Weaver EBITDA Review.xlsm</t>
  </si>
  <si>
    <t>No Offline or Curtailed turbines this month</t>
  </si>
  <si>
    <t>budget_project_avail</t>
  </si>
  <si>
    <t>Rock Anchor Tensioning</t>
  </si>
  <si>
    <t>Power Engineers MOD Testing</t>
  </si>
  <si>
    <t>Eagle Compliance</t>
  </si>
  <si>
    <t xml:space="preserve">BlackRock Cash Received </t>
  </si>
  <si>
    <t>No BOP Planned Outages this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</si>
</sst>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0.0%"/>
    <numFmt numFmtId="166" formatCode="_(&quot;$&quot;* #,##0_);_(&quot;$&quot;* \(#,##0\);_(&quot;$&quot;* &quot;-&quot;??_);_(@_)"/>
    <numFmt numFmtId="167" formatCode="[$-409]mmm\-yy;@"/>
    <numFmt numFmtId="168" formatCode="_(* #,##0_);_(* \(#,##0\);_(* &quot;-&quot;??_);_(@_)"/>
    <numFmt numFmtId="169" formatCode="#,##0.0"/>
    <numFmt numFmtId="170" formatCode="0.0"/>
    <numFmt numFmtId="171" formatCode="yyyy\-mm\-dd"/>
  </numFmts>
  <fonts count="3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Trebuchet MS"/>
      <family val="2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theme="1"/>
      <name val="Trebuchet MS"/>
      <family val="2"/>
    </font>
    <font>
      <sz val="11"/>
      <color theme="1"/>
      <name val="Trebuchet MS"/>
      <family val="2"/>
    </font>
    <font>
      <b/>
      <sz val="8"/>
      <color theme="1"/>
      <name val="Trebuchet MS"/>
      <family val="2"/>
    </font>
    <font>
      <sz val="7.5"/>
      <color theme="1"/>
      <name val="Trebuchet MS"/>
      <family val="2"/>
    </font>
    <font>
      <b/>
      <u/>
      <sz val="8"/>
      <color theme="1"/>
      <name val="Trebuchet MS"/>
      <family val="2"/>
    </font>
    <font>
      <i/>
      <sz val="8"/>
      <color theme="1"/>
      <name val="Trebuchet MS"/>
      <family val="2"/>
    </font>
    <font>
      <sz val="8"/>
      <color theme="1" tint="0.49967955565050204"/>
      <name val="Trebuchet MS"/>
      <family val="2"/>
    </font>
    <font>
      <i/>
      <sz val="9"/>
      <color theme="1" tint="0.49967955565050204"/>
      <name val="Trebuchet MS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 tint="-0.249244666890469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 tint="0.499984740745262"/>
      <name val="Trebuchet MS"/>
      <family val="2"/>
    </font>
    <font>
      <sz val="8"/>
      <color theme="1" tint="0.499984740745262"/>
      <name val="Trebuchet MS"/>
      <family val="2"/>
    </font>
    <font>
      <i/>
      <sz val="9"/>
      <color theme="1" tint="0.499984740745262"/>
      <name val="Trebuchet MS"/>
      <family val="2"/>
    </font>
    <font>
      <i/>
      <sz val="11"/>
      <color theme="1" tint="0.49967955565050204"/>
      <name val="Trebuchet MS"/>
      <family val="2"/>
    </font>
    <font>
      <i/>
      <sz val="11"/>
      <color theme="1" tint="0.499984740745262"/>
      <name val="Trebuchet MS"/>
      <family val="2"/>
    </font>
    <font>
      <b/>
      <sz val="10"/>
      <color theme="1"/>
      <name val="Trebuchet MS"/>
      <family val="2"/>
    </font>
    <font>
      <sz val="10"/>
      <color theme="0" tint="-0.248970000305185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name val="Trebuchet MS"/>
      <family val="2"/>
    </font>
    <font>
      <b/>
      <sz val="8"/>
      <name val="Trebuchet MS"/>
      <family val="2"/>
    </font>
    <font>
      <sz val="8"/>
      <name val="Trebuchet MS"/>
      <family val="2"/>
    </font>
    <font>
      <sz val="9"/>
      <name val="Trebuchet MS"/>
      <family val="2"/>
    </font>
    <font>
      <b/>
      <sz val="9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206518753624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2">
    <xf numFmtId="0" fontId="0" fillId="0" borderId="0"/>
    <xf numFmtId="9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43" fontId="15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5" fillId="4" borderId="0" applyNumberFormat="0" applyBorder="0" applyAlignment="0" applyProtection="0"/>
    <xf numFmtId="43" fontId="15" fillId="0" borderId="0" applyFont="0" applyFill="0" applyBorder="0" applyAlignment="0" applyProtection="0"/>
  </cellStyleXfs>
  <cellXfs count="215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9" fillId="0" borderId="0" xfId="0" applyFont="1"/>
    <xf numFmtId="10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 indent="1"/>
    </xf>
    <xf numFmtId="14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NumberFormat="1"/>
    <xf numFmtId="0" fontId="7" fillId="0" borderId="2" xfId="0" applyFont="1" applyBorder="1"/>
    <xf numFmtId="0" fontId="7" fillId="0" borderId="2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Border="1"/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/>
    <xf numFmtId="0" fontId="7" fillId="0" borderId="0" xfId="0" applyFont="1" applyAlignment="1">
      <alignment horizontal="center"/>
    </xf>
    <xf numFmtId="4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Alignment="1">
      <alignment horizontal="center"/>
    </xf>
    <xf numFmtId="14" fontId="11" fillId="0" borderId="0" xfId="0" applyNumberFormat="1" applyFont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9" fontId="2" fillId="0" borderId="0" xfId="0" applyNumberFormat="1" applyFont="1" applyAlignment="1">
      <alignment horizontal="center"/>
    </xf>
    <xf numFmtId="3" fontId="2" fillId="0" borderId="0" xfId="0" applyNumberFormat="1" applyFont="1" applyBorder="1" applyAlignment="1">
      <alignment horizontal="center"/>
    </xf>
    <xf numFmtId="9" fontId="2" fillId="0" borderId="0" xfId="1" applyFont="1" applyAlignment="1">
      <alignment horizont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3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7" fillId="0" borderId="3" xfId="0" applyFont="1" applyBorder="1" applyAlignment="1">
      <alignment vertical="center"/>
    </xf>
    <xf numFmtId="0" fontId="0" fillId="0" borderId="0" xfId="0" applyNumberForma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  <xf numFmtId="44" fontId="2" fillId="0" borderId="0" xfId="0" applyNumberFormat="1" applyFont="1" applyAlignment="1">
      <alignment horizontal="right" vertical="center"/>
    </xf>
    <xf numFmtId="166" fontId="2" fillId="0" borderId="0" xfId="0" applyNumberFormat="1" applyFont="1" applyAlignment="1">
      <alignment horizontal="right"/>
    </xf>
    <xf numFmtId="0" fontId="2" fillId="0" borderId="4" xfId="0" applyFont="1" applyBorder="1" applyAlignment="1">
      <alignment horizontal="right"/>
    </xf>
    <xf numFmtId="166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49" fontId="7" fillId="0" borderId="0" xfId="0" applyNumberFormat="1" applyFont="1" applyBorder="1" applyAlignment="1">
      <alignment horizontal="center" vertical="center"/>
    </xf>
    <xf numFmtId="166" fontId="2" fillId="0" borderId="0" xfId="0" applyNumberFormat="1" applyFont="1" applyBorder="1" applyAlignment="1">
      <alignment horizontal="center"/>
    </xf>
    <xf numFmtId="0" fontId="12" fillId="0" borderId="0" xfId="0" applyFont="1"/>
    <xf numFmtId="167" fontId="5" fillId="0" borderId="0" xfId="0" applyNumberFormat="1" applyFont="1"/>
    <xf numFmtId="10" fontId="7" fillId="0" borderId="0" xfId="0" applyNumberFormat="1" applyFont="1" applyAlignment="1">
      <alignment vertical="center"/>
    </xf>
    <xf numFmtId="43" fontId="2" fillId="0" borderId="0" xfId="3" applyFont="1" applyFill="1" applyBorder="1" applyAlignment="1">
      <alignment vertical="center"/>
    </xf>
    <xf numFmtId="164" fontId="2" fillId="0" borderId="0" xfId="3" applyNumberFormat="1" applyFont="1" applyFill="1" applyBorder="1" applyAlignment="1">
      <alignment vertical="center"/>
    </xf>
    <xf numFmtId="165" fontId="2" fillId="0" borderId="0" xfId="4" applyNumberFormat="1" applyFont="1" applyFill="1" applyAlignment="1">
      <alignment horizontal="right" vertical="center"/>
    </xf>
    <xf numFmtId="165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164" fontId="2" fillId="0" borderId="0" xfId="3" applyNumberFormat="1" applyFont="1" applyFill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64" fontId="2" fillId="0" borderId="0" xfId="3" applyNumberFormat="1" applyFont="1" applyFill="1" applyAlignment="1">
      <alignment horizontal="center" vertical="center"/>
    </xf>
    <xf numFmtId="165" fontId="2" fillId="0" borderId="2" xfId="4" applyNumberFormat="1" applyFont="1" applyFill="1" applyBorder="1" applyAlignment="1">
      <alignment horizontal="right" vertical="center"/>
    </xf>
    <xf numFmtId="0" fontId="7" fillId="0" borderId="0" xfId="0" applyFont="1" applyAlignment="1">
      <alignment vertical="center"/>
    </xf>
    <xf numFmtId="164" fontId="7" fillId="0" borderId="0" xfId="3" applyNumberFormat="1" applyFont="1" applyFill="1" applyAlignment="1">
      <alignment vertical="center"/>
    </xf>
    <xf numFmtId="164" fontId="7" fillId="0" borderId="0" xfId="3" applyNumberFormat="1" applyFont="1" applyFill="1" applyBorder="1" applyAlignment="1">
      <alignment vertical="center"/>
    </xf>
    <xf numFmtId="164" fontId="2" fillId="0" borderId="0" xfId="3" applyNumberFormat="1" applyFont="1" applyFill="1" applyAlignment="1">
      <alignment horizontal="left" vertical="center"/>
    </xf>
    <xf numFmtId="164" fontId="2" fillId="0" borderId="0" xfId="3" applyNumberFormat="1" applyFont="1" applyFill="1" applyAlignment="1">
      <alignment horizontal="right" vertical="center"/>
    </xf>
    <xf numFmtId="164" fontId="2" fillId="0" borderId="0" xfId="3" applyNumberFormat="1" applyFont="1" applyFill="1" applyBorder="1" applyAlignment="1">
      <alignment horizontal="left" vertical="center"/>
    </xf>
    <xf numFmtId="164" fontId="2" fillId="0" borderId="0" xfId="3" applyNumberFormat="1" applyFont="1" applyFill="1" applyBorder="1" applyAlignment="1">
      <alignment horizontal="center" vertical="center"/>
    </xf>
    <xf numFmtId="164" fontId="2" fillId="0" borderId="2" xfId="3" applyNumberFormat="1" applyFont="1" applyFill="1" applyBorder="1" applyAlignment="1">
      <alignment vertical="center"/>
    </xf>
    <xf numFmtId="165" fontId="7" fillId="0" borderId="0" xfId="4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vertical="center"/>
    </xf>
    <xf numFmtId="164" fontId="7" fillId="0" borderId="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2"/>
    </xf>
    <xf numFmtId="0" fontId="2" fillId="0" borderId="2" xfId="0" applyFont="1" applyBorder="1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9" fontId="2" fillId="0" borderId="0" xfId="1" applyFont="1" applyAlignment="1">
      <alignment horizontal="right" vertical="center"/>
    </xf>
    <xf numFmtId="9" fontId="2" fillId="0" borderId="0" xfId="1" applyFont="1" applyAlignment="1">
      <alignment vertical="center"/>
    </xf>
    <xf numFmtId="4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166" fontId="2" fillId="0" borderId="0" xfId="0" applyNumberFormat="1" applyFont="1" applyAlignment="1">
      <alignment vertical="center"/>
    </xf>
    <xf numFmtId="0" fontId="7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vertical="center"/>
    </xf>
    <xf numFmtId="166" fontId="2" fillId="0" borderId="1" xfId="0" applyNumberFormat="1" applyFont="1" applyBorder="1" applyAlignment="1">
      <alignment vertical="center"/>
    </xf>
    <xf numFmtId="166" fontId="2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right" vertical="center"/>
    </xf>
    <xf numFmtId="166" fontId="2" fillId="0" borderId="0" xfId="0" applyNumberFormat="1" applyFont="1" applyAlignment="1">
      <alignment horizontal="right" vertical="center"/>
    </xf>
    <xf numFmtId="165" fontId="7" fillId="0" borderId="0" xfId="4" applyNumberFormat="1" applyFont="1" applyFill="1" applyAlignment="1">
      <alignment horizontal="right" vertical="center"/>
    </xf>
    <xf numFmtId="165" fontId="7" fillId="0" borderId="1" xfId="0" applyNumberFormat="1" applyFont="1" applyBorder="1" applyAlignment="1">
      <alignment horizontal="right" vertical="center"/>
    </xf>
    <xf numFmtId="166" fontId="0" fillId="0" borderId="0" xfId="0" applyNumberFormat="1" applyBorder="1" applyAlignment="1">
      <alignment vertical="center"/>
    </xf>
    <xf numFmtId="164" fontId="7" fillId="0" borderId="3" xfId="3" applyNumberFormat="1" applyFont="1" applyFill="1" applyBorder="1" applyAlignment="1">
      <alignment vertical="center"/>
    </xf>
    <xf numFmtId="168" fontId="2" fillId="0" borderId="0" xfId="3" applyNumberFormat="1" applyFont="1" applyFill="1" applyBorder="1" applyAlignment="1">
      <alignment horizontal="right" vertical="center"/>
    </xf>
    <xf numFmtId="168" fontId="2" fillId="0" borderId="0" xfId="3" applyNumberFormat="1" applyFont="1" applyFill="1" applyBorder="1" applyAlignment="1">
      <alignment vertical="center"/>
    </xf>
    <xf numFmtId="169" fontId="7" fillId="0" borderId="1" xfId="0" applyNumberFormat="1" applyFont="1" applyBorder="1" applyAlignment="1">
      <alignment vertical="center"/>
    </xf>
    <xf numFmtId="0" fontId="0" fillId="0" borderId="0" xfId="0"/>
    <xf numFmtId="0" fontId="0" fillId="0" borderId="0" xfId="0"/>
    <xf numFmtId="166" fontId="2" fillId="0" borderId="3" xfId="0" applyNumberFormat="1" applyFont="1" applyBorder="1" applyAlignment="1">
      <alignment vertical="center"/>
    </xf>
    <xf numFmtId="166" fontId="7" fillId="0" borderId="1" xfId="0" applyNumberFormat="1" applyFont="1" applyBorder="1" applyAlignment="1">
      <alignment vertical="center"/>
    </xf>
    <xf numFmtId="0" fontId="16" fillId="0" borderId="0" xfId="8"/>
    <xf numFmtId="0" fontId="17" fillId="0" borderId="0" xfId="0" applyFont="1"/>
    <xf numFmtId="0" fontId="15" fillId="2" borderId="0" xfId="9" applyAlignment="1">
      <alignment horizontal="right"/>
    </xf>
    <xf numFmtId="0" fontId="18" fillId="0" borderId="0" xfId="0" applyFont="1"/>
    <xf numFmtId="0" fontId="18" fillId="0" borderId="0" xfId="0" quotePrefix="1" applyFont="1"/>
    <xf numFmtId="0" fontId="17" fillId="3" borderId="0" xfId="0" applyFont="1" applyFill="1"/>
    <xf numFmtId="0" fontId="17" fillId="0" borderId="0" xfId="0" applyFont="1" applyFill="1"/>
    <xf numFmtId="49" fontId="17" fillId="3" borderId="0" xfId="0" applyNumberFormat="1" applyFont="1" applyFill="1"/>
    <xf numFmtId="49" fontId="17" fillId="0" borderId="0" xfId="0" applyNumberFormat="1" applyFont="1" applyFill="1"/>
    <xf numFmtId="0" fontId="19" fillId="0" borderId="0" xfId="0" applyFont="1"/>
    <xf numFmtId="0" fontId="9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14" fontId="0" fillId="0" borderId="0" xfId="0" applyNumberFormat="1"/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1" fillId="0" borderId="0" xfId="0" applyFont="1"/>
    <xf numFmtId="0" fontId="21" fillId="0" borderId="0" xfId="0" applyNumberFormat="1" applyFont="1"/>
    <xf numFmtId="0" fontId="9" fillId="0" borderId="0" xfId="0" applyNumberFormat="1" applyFont="1" applyBorder="1" applyAlignment="1">
      <alignment horizontal="right" vertical="center"/>
    </xf>
    <xf numFmtId="0" fontId="22" fillId="0" borderId="0" xfId="0" applyFont="1"/>
    <xf numFmtId="14" fontId="22" fillId="0" borderId="0" xfId="0" applyNumberFormat="1" applyFont="1"/>
    <xf numFmtId="0" fontId="22" fillId="0" borderId="0" xfId="0" applyFont="1" applyAlignment="1">
      <alignment wrapText="1"/>
    </xf>
    <xf numFmtId="1" fontId="22" fillId="0" borderId="0" xfId="0" applyNumberFormat="1" applyFont="1"/>
    <xf numFmtId="1" fontId="18" fillId="0" borderId="0" xfId="0" applyNumberFormat="1" applyFont="1"/>
    <xf numFmtId="14" fontId="7" fillId="0" borderId="2" xfId="0" applyNumberFormat="1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left" vertical="center"/>
    </xf>
    <xf numFmtId="0" fontId="17" fillId="3" borderId="0" xfId="0" applyNumberFormat="1" applyFont="1" applyFill="1"/>
    <xf numFmtId="0" fontId="2" fillId="0" borderId="2" xfId="0" applyFont="1" applyBorder="1" applyAlignment="1">
      <alignment horizontal="left" indent="1"/>
    </xf>
    <xf numFmtId="170" fontId="0" fillId="0" borderId="0" xfId="0" applyNumberFormat="1"/>
    <xf numFmtId="9" fontId="0" fillId="0" borderId="0" xfId="1" applyFont="1"/>
    <xf numFmtId="0" fontId="2" fillId="0" borderId="0" xfId="0" applyFont="1" applyBorder="1" applyAlignment="1">
      <alignment horizontal="left" indent="1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165" fontId="0" fillId="0" borderId="0" xfId="1" applyNumberFormat="1" applyFont="1"/>
    <xf numFmtId="0" fontId="7" fillId="0" borderId="0" xfId="0" applyFont="1"/>
    <xf numFmtId="0" fontId="10" fillId="0" borderId="0" xfId="0" applyFont="1"/>
    <xf numFmtId="0" fontId="7" fillId="0" borderId="3" xfId="0" applyFont="1" applyBorder="1"/>
    <xf numFmtId="44" fontId="2" fillId="0" borderId="0" xfId="2" applyFont="1"/>
    <xf numFmtId="44" fontId="10" fillId="0" borderId="0" xfId="2" applyFont="1"/>
    <xf numFmtId="166" fontId="2" fillId="0" borderId="0" xfId="2" applyNumberFormat="1" applyFont="1"/>
    <xf numFmtId="166" fontId="7" fillId="0" borderId="3" xfId="2" applyNumberFormat="1" applyFont="1" applyBorder="1"/>
    <xf numFmtId="0" fontId="2" fillId="0" borderId="0" xfId="0" applyFont="1" applyAlignment="1">
      <alignment horizontal="left" indent="1"/>
    </xf>
    <xf numFmtId="0" fontId="23" fillId="0" borderId="0" xfId="0" applyFont="1"/>
    <xf numFmtId="0" fontId="24" fillId="0" borderId="0" xfId="0" applyFont="1"/>
    <xf numFmtId="0" fontId="2" fillId="0" borderId="0" xfId="0" applyFont="1" applyAlignment="1">
      <alignment horizontal="right"/>
    </xf>
    <xf numFmtId="0" fontId="7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center"/>
    </xf>
    <xf numFmtId="0" fontId="7" fillId="0" borderId="0" xfId="0" applyFont="1" applyAlignment="1">
      <alignment horizontal="right" vertical="center"/>
    </xf>
    <xf numFmtId="3" fontId="7" fillId="0" borderId="3" xfId="0" applyNumberFormat="1" applyFont="1" applyBorder="1" applyAlignment="1">
      <alignment horizontal="center" vertical="center"/>
    </xf>
    <xf numFmtId="0" fontId="25" fillId="0" borderId="0" xfId="0" applyFont="1"/>
    <xf numFmtId="10" fontId="7" fillId="0" borderId="0" xfId="0" applyNumberFormat="1" applyFont="1" applyAlignment="1">
      <alignment horizontal="center" vertical="center"/>
    </xf>
    <xf numFmtId="10" fontId="7" fillId="0" borderId="2" xfId="0" applyNumberFormat="1" applyFont="1" applyBorder="1" applyAlignment="1">
      <alignment horizontal="center" vertical="center"/>
    </xf>
    <xf numFmtId="10" fontId="7" fillId="0" borderId="0" xfId="0" applyNumberFormat="1" applyFont="1" applyAlignment="1">
      <alignment horizontal="left" vertical="center"/>
    </xf>
    <xf numFmtId="10" fontId="7" fillId="0" borderId="2" xfId="0" applyNumberFormat="1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10" fontId="10" fillId="0" borderId="0" xfId="0" applyNumberFormat="1" applyFont="1" applyAlignment="1">
      <alignment vertic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horizontal="left" wrapText="1"/>
    </xf>
    <xf numFmtId="0" fontId="2" fillId="0" borderId="0" xfId="0" applyFont="1" applyAlignment="1">
      <alignment wrapText="1"/>
    </xf>
    <xf numFmtId="171" fontId="2" fillId="0" borderId="0" xfId="0" applyNumberFormat="1" applyFont="1" applyAlignment="1">
      <alignment horizontal="left" vertical="center"/>
    </xf>
    <xf numFmtId="1" fontId="2" fillId="0" borderId="0" xfId="11" applyNumberFormat="1" applyFont="1" applyFill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7" fillId="0" borderId="0" xfId="0" applyFont="1"/>
    <xf numFmtId="0" fontId="28" fillId="0" borderId="0" xfId="0" applyFont="1"/>
    <xf numFmtId="0" fontId="2" fillId="0" borderId="0" xfId="0" applyFont="1" applyAlignment="1">
      <alignment horizontal="center" wrapText="1"/>
    </xf>
    <xf numFmtId="0" fontId="7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9" fillId="0" borderId="0" xfId="0" applyFont="1"/>
    <xf numFmtId="0" fontId="30" fillId="0" borderId="0" xfId="0" applyFont="1"/>
    <xf numFmtId="0" fontId="32" fillId="0" borderId="0" xfId="0" applyFont="1" applyAlignment="1">
      <alignment horizontal="center"/>
    </xf>
    <xf numFmtId="0" fontId="31" fillId="0" borderId="2" xfId="0" applyFont="1" applyBorder="1" applyAlignment="1">
      <alignment horizontal="center"/>
    </xf>
    <xf numFmtId="0" fontId="32" fillId="0" borderId="0" xfId="0" applyFont="1"/>
    <xf numFmtId="0" fontId="32" fillId="0" borderId="0" xfId="0" applyFont="1" applyAlignment="1">
      <alignment horizontal="left" indent="1"/>
    </xf>
    <xf numFmtId="0" fontId="31" fillId="0" borderId="0" xfId="0" applyFont="1"/>
    <xf numFmtId="3" fontId="32" fillId="0" borderId="0" xfId="0" applyNumberFormat="1" applyFont="1" applyAlignment="1">
      <alignment horizontal="right"/>
    </xf>
    <xf numFmtId="9" fontId="32" fillId="0" borderId="0" xfId="1" applyFont="1" applyAlignment="1">
      <alignment horizontal="right"/>
    </xf>
    <xf numFmtId="9" fontId="31" fillId="0" borderId="0" xfId="1" applyFont="1" applyAlignment="1">
      <alignment horizontal="right"/>
    </xf>
    <xf numFmtId="0" fontId="2" fillId="0" borderId="0" xfId="0" applyFont="1" applyFill="1" applyBorder="1" applyAlignment="1">
      <alignment horizontal="left" vertical="center"/>
    </xf>
    <xf numFmtId="0" fontId="33" fillId="0" borderId="0" xfId="0" applyFont="1"/>
    <xf numFmtId="0" fontId="34" fillId="0" borderId="0" xfId="0" applyFont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right" vertical="center"/>
    </xf>
    <xf numFmtId="3" fontId="7" fillId="0" borderId="2" xfId="0" applyNumberFormat="1" applyFont="1" applyBorder="1" applyAlignment="1">
      <alignment horizontal="center" vertical="center"/>
    </xf>
    <xf numFmtId="165" fontId="32" fillId="0" borderId="0" xfId="1" applyNumberFormat="1" applyFont="1" applyAlignment="1">
      <alignment horizontal="right"/>
    </xf>
    <xf numFmtId="9" fontId="2" fillId="0" borderId="0" xfId="0" applyNumberFormat="1" applyFont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31" fillId="0" borderId="2" xfId="0" applyFont="1" applyBorder="1" applyAlignment="1">
      <alignment horizontal="center"/>
    </xf>
    <xf numFmtId="0" fontId="26" fillId="0" borderId="2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</cellXfs>
  <cellStyles count="12">
    <cellStyle name="20% - Accent6" xfId="9" builtinId="50"/>
    <cellStyle name="20% - Accent6 2" xfId="10" xr:uid="{C71EEC82-0A98-4A7A-B165-4DE45793639F}"/>
    <cellStyle name="Comma" xfId="11" builtinId="3"/>
    <cellStyle name="Comma 2" xfId="3" xr:uid="{00000000-0005-0000-0000-000006000000}"/>
    <cellStyle name="Comma 3" xfId="6" xr:uid="{00000000-0005-0000-0000-000009000000}"/>
    <cellStyle name="Currency" xfId="2" builtinId="4"/>
    <cellStyle name="Currency 2" xfId="7" xr:uid="{00000000-0005-0000-0000-00000A000000}"/>
    <cellStyle name="Explanatory Text" xfId="8" builtinId="53"/>
    <cellStyle name="Normal" xfId="0" builtinId="0"/>
    <cellStyle name="Normal 2" xfId="5" xr:uid="{00000000-0005-0000-0000-000008000000}"/>
    <cellStyle name="Percent" xfId="1" builtinId="5"/>
    <cellStyle name="Percent 2" xfId="4" xr:uid="{00000000-0005-0000-0000-000007000000}"/>
  </cellStyles>
  <dxfs count="9">
    <dxf>
      <font>
        <strike val="0"/>
        <u val="none"/>
        <sz val="8"/>
        <color theme="1"/>
        <name val="Trebuchet MS"/>
        <family val="2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u val="none"/>
        <sz val="8"/>
        <color theme="1"/>
        <name val="Trebuchet MS"/>
        <family val="2"/>
      </font>
      <alignment horizontal="left" vertical="center" textRotation="0" wrapText="1" indent="0" justifyLastLine="0" shrinkToFit="0" readingOrder="0"/>
    </dxf>
    <dxf>
      <font>
        <strike val="0"/>
        <u val="none"/>
        <sz val="8"/>
        <color theme="1"/>
        <name val="Trebuchet MS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u val="none"/>
        <sz val="8"/>
        <color theme="1"/>
        <name val="Trebuchet MS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sz val="8"/>
        <color theme="1"/>
        <name val="Trebuchet MS"/>
        <family val="2"/>
        <scheme val="none"/>
      </font>
      <numFmt numFmtId="19" formatCode="m/d/yyyy"/>
      <alignment horizontal="left" vertical="center" textRotation="0" wrapText="1" indent="0" justifyLastLine="0" shrinkToFit="0" readingOrder="0"/>
    </dxf>
    <dxf>
      <font>
        <strike val="0"/>
        <u val="none"/>
        <sz val="8"/>
        <color theme="1"/>
        <name val="Trebuchet MS"/>
        <family val="2"/>
        <scheme val="none"/>
      </font>
      <numFmt numFmtId="19" formatCode="m/d/yyyy"/>
      <alignment horizontal="left" vertical="center" textRotation="0" wrapText="1" indent="0" justifyLastLine="0" shrinkToFit="0" readingOrder="0"/>
    </dxf>
    <dxf>
      <font>
        <strike val="0"/>
        <u val="none"/>
        <sz val="8"/>
        <color theme="1"/>
        <name val="Trebuchet MS"/>
        <family val="2"/>
      </font>
      <alignment horizontal="left" vertical="center" textRotation="0" wrapText="1" indent="0" justifyLastLine="0" shrinkToFit="0" readingOrder="0"/>
    </dxf>
    <dxf>
      <border>
        <bottom style="thin">
          <color auto="1"/>
        </bottom>
      </border>
    </dxf>
    <dxf>
      <font>
        <b/>
        <strike val="0"/>
        <u val="none"/>
        <sz val="8"/>
        <color theme="1"/>
        <name val="Trebuchet MS"/>
        <family val="2"/>
      </font>
      <fill>
        <patternFill patternType="none">
          <fgColor indexed="64"/>
          <bgColor auto="1"/>
        </patternFill>
      </fill>
      <alignment horizontal="left" vertical="center" textRotation="0" wrapText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connections" Target="connections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3EAC6D9D-80D2-4E2D-A8C8-B88E8A2CB5DD}" autoFormatId="16" applyNumberFormats="0" applyBorderFormats="0" applyFontFormats="0" applyPatternFormats="0" applyAlignmentFormats="0" applyWidthHeightFormats="0">
  <queryTableRefresh nextId="19">
    <queryTableFields count="18">
      <queryTableField id="1" name="Month to Date" tableColumnId="1"/>
      <queryTableField id="2" name="Column2" tableColumnId="2"/>
      <queryTableField id="3" name="Column3" tableColumnId="3"/>
      <queryTableField id="4" name="Column4" tableColumnId="4"/>
      <queryTableField id="5" name="Year to Date" tableColumnId="5"/>
      <queryTableField id="6" name="Column6" tableColumnId="6"/>
      <queryTableField id="7" name="Column7" tableColumnId="7"/>
      <queryTableField id="8" name="Column8" tableColumnId="8"/>
      <queryTableField id="9" name="Month to Date_1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Year to Date_2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FB22D0-D836-4AFD-A335-ACE73C081ACA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45EE391E-7C17-4BBA-8C61-29E0C27953D0}" autoFormatId="16" applyNumberFormats="0" applyBorderFormats="0" applyFontFormats="0" applyPatternFormats="0" applyAlignmentFormats="0" applyWidthHeightFormats="0">
  <queryTableRefresh nextId="21">
    <queryTableFields count="18">
      <queryTableField id="1" name="Prospero Energy Project, LLC" tableColumnId="1"/>
      <queryTableField id="2" name="Through:" tableColumnId="2"/>
      <queryTableField id="19" name="12/1/2020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807367D-6B00-454A-855D-2939B47AD81B}" autoFormatId="16" applyNumberFormats="0" applyBorderFormats="0" applyFontFormats="0" applyPatternFormats="0" applyAlignmentFormats="0" applyWidthHeightFormats="0">
  <queryTableRefresh nextId="11">
    <queryTableFields count="8">
      <queryTableField id="9" name="Column1" tableColumnId="9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A4799BA8-58EC-46B6-9CAF-E50BAF3001DC}" autoFormatId="16" applyNumberFormats="0" applyBorderFormats="0" applyFontFormats="0" applyPatternFormats="0" applyAlignmentFormats="0" applyWidthHeightFormats="0">
  <queryTableRefresh nextId="12">
    <queryTableFields count="10">
      <queryTableField id="2" name="Work Order Number" tableColumnId="2"/>
      <queryTableField id="3" name="Completed Date" tableColumnId="3"/>
      <queryTableField id="4" name="Description" tableColumnId="4"/>
      <queryTableField id="5" name="Location" tableColumnId="5"/>
      <queryTableField id="6" name="Asset Description" tableColumnId="6"/>
      <queryTableField id="7" name="Work Type" tableColumnId="7"/>
      <queryTableField id="8" name="Priority" tableColumnId="8"/>
      <queryTableField id="9" name="Warranty Claim #" tableColumnId="9"/>
      <queryTableField id="10" name="Job Plan" tableColumnId="10"/>
      <queryTableField id="11" name="PM #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1C19A56-B7C0-486A-B975-05318AB91266}" autoFormatId="16" applyNumberFormats="0" applyBorderFormats="0" applyFontFormats="0" applyPatternFormats="0" applyAlignmentFormats="0" applyWidthHeightFormats="0">
  <queryTableRefresh nextId="8">
    <queryTableFields count="7">
      <queryTableField id="1" name="EIA - Energy Information Agency "/>
      <queryTableField id="2" name="Column2"/>
      <queryTableField id="3" name="Column3"/>
      <queryTableField id="4" name="Column4"/>
      <queryTableField id="5" name="Column5"/>
      <queryTableField id="6" name="Column6"/>
      <queryTableField id="7" name="Column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A738AC6F-00EF-4279-A9F2-F6F5604456E0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Requirement " tableColumnId="2"/>
      <queryTableField id="3" name="Due" tableColumnId="3"/>
      <queryTableField id="4" name="Completion Date 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43DE3F1-BB0D-4E0B-B307-F248D6DA4ED5}" autoFormatId="16" applyNumberFormats="0" applyBorderFormats="0" applyFontFormats="0" applyPatternFormats="0" applyAlignmentFormats="0" applyWidthHeightFormats="0">
  <queryTableRefresh nextId="12">
    <queryTableFields count="5">
      <queryTableField id="6" name="Requirement " tableColumnId="6"/>
      <queryTableField id="7" name="Due" tableColumnId="7"/>
      <queryTableField id="8" name="Completion Date " tableColumnId="8"/>
      <queryTableField id="4" name="Column4" tableColumnId="4"/>
      <queryTableField id="5" name="Column5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F954CF96-09CF-4B5C-BF65-BBA77551AFED}" autoFormatId="16" applyNumberFormats="0" applyBorderFormats="0" applyFontFormats="0" applyPatternFormats="0" applyAlignmentFormats="0" applyWidthHeightFormats="0">
  <queryTableRefresh nextId="9">
    <queryTableFields count="8">
      <queryTableField id="1" name="Prospero Energy Project-  Non Income and Property Tax Filings"/>
      <queryTableField id="2" name="Column2"/>
      <queryTableField id="3" name="Column3"/>
      <queryTableField id="4" name="Column4"/>
      <queryTableField id="5" name="Column5"/>
      <queryTableField id="6" name="Column6"/>
      <queryTableField id="7" name="Column7"/>
      <queryTableField id="8" name="Column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1A1E2D1-69BC-407B-8BD9-747EE8B69F81}" name="Query_RevWalk_Prospero" displayName="Query_RevWalk_Prospero" ref="A1:R30" tableType="queryTable" totalsRowShown="0">
  <autoFilter ref="A1:R30" xr:uid="{0FE16CAB-3BF5-47C0-B509-4D4C0B879893}"/>
  <tableColumns count="18">
    <tableColumn id="1" xr3:uid="{3FFCFA26-AE92-468F-B5F5-3CE3E77A03C8}" uniqueName="1" name="Month to Date" queryTableFieldId="1"/>
    <tableColumn id="2" xr3:uid="{C63B8FCA-37BA-42F6-A0F0-01AB53046A5E}" uniqueName="2" name="Column2" queryTableFieldId="2"/>
    <tableColumn id="3" xr3:uid="{9FA6A025-82A3-4439-92EE-8C751F570E94}" uniqueName="3" name="Column3" queryTableFieldId="3"/>
    <tableColumn id="4" xr3:uid="{E150863D-A670-43ED-9019-A0D3B8CB83CD}" uniqueName="4" name="Column4" queryTableFieldId="4"/>
    <tableColumn id="5" xr3:uid="{CDD747FC-04C0-4A63-BC29-860F6DFC0E08}" uniqueName="5" name="Year to Date" queryTableFieldId="5"/>
    <tableColumn id="6" xr3:uid="{65B310CC-CE67-4F47-8015-11D90BDBE6F5}" uniqueName="6" name="Column6" queryTableFieldId="6"/>
    <tableColumn id="7" xr3:uid="{1363E0A6-BFFE-4B31-904E-5B8C0EDAF76F}" uniqueName="7" name="Column7" queryTableFieldId="7"/>
    <tableColumn id="8" xr3:uid="{75C38EE2-DC55-4E21-9917-29BE4F8E0944}" uniqueName="8" name="Column8" queryTableFieldId="8"/>
    <tableColumn id="9" xr3:uid="{93909347-9A85-4927-80C8-349424157BBC}" uniqueName="9" name="Month to Date_1" queryTableFieldId="9"/>
    <tableColumn id="10" xr3:uid="{DF33BF40-8DD8-4F2E-93F1-3E1E2E4B13CC}" uniqueName="10" name="Column10" queryTableFieldId="10"/>
    <tableColumn id="11" xr3:uid="{4D598CB2-1FC2-430F-85CB-4A6936B5BE86}" uniqueName="11" name="Column11" queryTableFieldId="11"/>
    <tableColumn id="12" xr3:uid="{D7EE7511-AD61-4803-864C-84A5E9917B43}" uniqueName="12" name="Column12" queryTableFieldId="12"/>
    <tableColumn id="13" xr3:uid="{B31BA973-4BC0-4BEA-8959-1CEF9986DD85}" uniqueName="13" name="Column13" queryTableFieldId="13"/>
    <tableColumn id="14" xr3:uid="{007B99EC-D375-4494-B005-73AD607760F7}" uniqueName="14" name="Year to Date_2" queryTableFieldId="14"/>
    <tableColumn id="15" xr3:uid="{518C839B-3109-4EC3-A6EC-FB43169806D9}" uniqueName="15" name="Column15" queryTableFieldId="15"/>
    <tableColumn id="16" xr3:uid="{3AD60BAE-B7EE-4275-A1E5-9268A21359E6}" uniqueName="16" name="Column16" queryTableFieldId="16"/>
    <tableColumn id="17" xr3:uid="{66DD77E6-DC2E-4670-A2DF-F8EE04DC51A8}" uniqueName="17" name="Column17" queryTableFieldId="17"/>
    <tableColumn id="18" xr3:uid="{D83D9E2B-923A-4968-B0CF-4161F8AF8DA4}" uniqueName="18" name="Column18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7869CC-D72E-4606-818C-9292D950F8B2}" name="Query_EBITDA" displayName="Query_EBITDA" ref="A1:Q26" tableType="queryTable" totalsRowShown="0">
  <autoFilter ref="A1:Q26" xr:uid="{5756C466-8872-4980-BF11-FC287576800E}"/>
  <tableColumns count="17">
    <tableColumn id="1" xr3:uid="{10240D72-200D-4EE6-BBE6-A0658ACF8A5A}" uniqueName="1" name="Column1" queryTableFieldId="1"/>
    <tableColumn id="2" xr3:uid="{46B4DF6B-23EE-4A57-8860-736B0F0D862E}" uniqueName="2" name="Column2" queryTableFieldId="2"/>
    <tableColumn id="3" xr3:uid="{AA712AD3-2E85-441C-B932-370F9CB924DC}" uniqueName="3" name="Column3" queryTableFieldId="3"/>
    <tableColumn id="4" xr3:uid="{2F04ED8D-CD4D-410B-90F9-5DEF4463A478}" uniqueName="4" name="Column4" queryTableFieldId="4"/>
    <tableColumn id="5" xr3:uid="{B06F359C-6557-42C6-AA99-6EE641F41F3D}" uniqueName="5" name="Column5" queryTableFieldId="5"/>
    <tableColumn id="6" xr3:uid="{A6A6BD24-AB09-4A97-9C85-8C112149F9E3}" uniqueName="6" name="Column6" queryTableFieldId="6"/>
    <tableColumn id="7" xr3:uid="{BDEFBD50-33D4-418E-BFEB-A39195C27285}" uniqueName="7" name="Column7" queryTableFieldId="7"/>
    <tableColumn id="8" xr3:uid="{42FF4990-72F7-4A16-8E6E-61335C0001D9}" uniqueName="8" name="Column8" queryTableFieldId="8"/>
    <tableColumn id="9" xr3:uid="{A8CF8665-8751-4134-9F45-909DA4BEEBB2}" uniqueName="9" name="Column9" queryTableFieldId="9"/>
    <tableColumn id="10" xr3:uid="{2A293D3A-5666-4AE7-A8F3-0F5549071164}" uniqueName="10" name="Column10" queryTableFieldId="10"/>
    <tableColumn id="11" xr3:uid="{94AFF90D-8A5A-4101-BDA5-1B0D2FD15363}" uniqueName="11" name="Column11" queryTableFieldId="11"/>
    <tableColumn id="12" xr3:uid="{AE12AA01-47D6-4B08-BB26-3DD586AAAE7A}" uniqueName="12" name="Column12" queryTableFieldId="12"/>
    <tableColumn id="13" xr3:uid="{E63791BB-D521-4C0A-8442-AB2AA24E55E5}" uniqueName="13" name="Column13" queryTableFieldId="13"/>
    <tableColumn id="14" xr3:uid="{7F7B8AB4-FA62-4419-89A2-227AF301AD1C}" uniqueName="14" name="Column14" queryTableFieldId="14"/>
    <tableColumn id="15" xr3:uid="{BDD7931C-CC35-4E44-8E38-5AA8FD5FD5A0}" uniqueName="15" name="Column15" queryTableFieldId="15"/>
    <tableColumn id="16" xr3:uid="{826F8224-BA26-48B0-9238-2D9274E8784E}" uniqueName="16" name="Column16" queryTableFieldId="16"/>
    <tableColumn id="17" xr3:uid="{A8EA0DD4-D4D1-4E35-950B-067F4D5E161F}" uniqueName="17" name="Column17" queryTableField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BAD265-47CE-4D1D-9BD3-DEC44C4F1B5A}" name="Query_REC_Prospero" displayName="Query_REC_Prospero" ref="A1:R33" tableType="queryTable" totalsRowShown="0">
  <autoFilter ref="A1:R33" xr:uid="{83CEF1FD-F4AB-437E-819F-163260041B8B}"/>
  <tableColumns count="18">
    <tableColumn id="1" xr3:uid="{363DF652-CB22-4DEE-87A2-FCB41B4E585E}" uniqueName="1" name="Prospero Energy Project, LLC" queryTableFieldId="1"/>
    <tableColumn id="2" xr3:uid="{E71082A9-FCCB-40FE-A39C-1B54746D74AB}" uniqueName="2" name="Through:" queryTableFieldId="2"/>
    <tableColumn id="3" xr3:uid="{571F7F80-5741-40EE-A88E-97859500EA07}" uniqueName="3" name="12/1/2020" queryTableFieldId="19"/>
    <tableColumn id="4" xr3:uid="{17C84419-3513-4855-B1CA-45D323844003}" uniqueName="4" name="Column4" queryTableFieldId="4"/>
    <tableColumn id="5" xr3:uid="{56B2B8F7-1410-4E8B-B7E2-989F3D27710A}" uniqueName="5" name="Column5" queryTableFieldId="5"/>
    <tableColumn id="6" xr3:uid="{FA4E2143-0AF3-454B-836D-BF9BD63DD7C2}" uniqueName="6" name="Column6" queryTableFieldId="6"/>
    <tableColumn id="7" xr3:uid="{B691D529-6836-43A3-A153-A0D2B58A2CC7}" uniqueName="7" name="Column7" queryTableFieldId="7"/>
    <tableColumn id="8" xr3:uid="{C981C1CB-9DEA-479C-8397-13540E014C8D}" uniqueName="8" name="Column8" queryTableFieldId="8"/>
    <tableColumn id="9" xr3:uid="{3244DD6F-D9EE-4524-964B-7A7FACE27D9A}" uniqueName="9" name="Column9" queryTableFieldId="9"/>
    <tableColumn id="10" xr3:uid="{055C8BD2-8202-4E13-BC44-A5A9FF833DDC}" uniqueName="10" name="Column10" queryTableFieldId="10"/>
    <tableColumn id="11" xr3:uid="{4CA5347E-27F1-4784-8490-DDAA05245867}" uniqueName="11" name="Column11" queryTableFieldId="11"/>
    <tableColumn id="12" xr3:uid="{60CFC50C-83C6-4BC1-8C0D-3DF748D25484}" uniqueName="12" name="Column12" queryTableFieldId="12"/>
    <tableColumn id="13" xr3:uid="{A8543E88-D3CB-4082-A646-ABF00A37D7FB}" uniqueName="13" name="Column13" queryTableFieldId="13"/>
    <tableColumn id="14" xr3:uid="{971430CC-BA94-4457-BDB0-405682854040}" uniqueName="14" name="Column14" queryTableFieldId="14"/>
    <tableColumn id="15" xr3:uid="{0FC8853A-688D-467B-A58B-93EDAC3442AD}" uniqueName="15" name="Column15" queryTableFieldId="15"/>
    <tableColumn id="16" xr3:uid="{6B1BF19D-8753-4B97-A8D4-E8B2A5596D20}" uniqueName="16" name="Column16" queryTableFieldId="16"/>
    <tableColumn id="17" xr3:uid="{B687D4B6-D935-44F0-95F5-E8AF86079F44}" uniqueName="17" name="Column17" queryTableFieldId="17"/>
    <tableColumn id="18" xr3:uid="{F8081091-5A78-438E-ABCD-3A3D6DECAB93}" uniqueName="18" name="Column18" queryTableFieldId="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2753E0-CBF8-477D-9DF8-2E5A83DBED84}" name="Query_Hedge_Prospero" displayName="Query_Hedge_Prospero" ref="A1:H32" tableType="queryTable" totalsRowShown="0">
  <autoFilter ref="A1:H32" xr:uid="{0689B96B-3FC9-4239-9F49-74A998D69D6E}"/>
  <tableColumns count="8">
    <tableColumn id="9" xr3:uid="{AF1B194C-3686-47AA-A3A7-0FF1DC9F2BCB}" uniqueName="9" name="Column1" queryTableFieldId="9"/>
    <tableColumn id="2" xr3:uid="{3902E6AF-464B-47E0-BD10-E8BD6F6B161F}" uniqueName="2" name="Column2" queryTableFieldId="2"/>
    <tableColumn id="3" xr3:uid="{57537834-48DB-438E-AB51-46AB597DFA12}" uniqueName="3" name="Column3" queryTableFieldId="3"/>
    <tableColumn id="4" xr3:uid="{41E6B079-5F58-43F9-AF8D-E8E12C8602E7}" uniqueName="4" name="Column4" queryTableFieldId="4"/>
    <tableColumn id="5" xr3:uid="{82AB1A1A-E40C-4C9E-B9C3-7B5E0A1EC603}" uniqueName="5" name="Column5" queryTableFieldId="5"/>
    <tableColumn id="6" xr3:uid="{CB8A5EBB-DAFA-427E-AFB2-E655B16F3CF7}" uniqueName="6" name="Column6" queryTableFieldId="6"/>
    <tableColumn id="7" xr3:uid="{C5B1B7F4-1E72-4C64-8743-561B592CEA86}" uniqueName="7" name="Column7" queryTableFieldId="7"/>
    <tableColumn id="8" xr3:uid="{517FCB04-1546-4833-91C0-28603B2CB809}" uniqueName="8" name="Column8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3549C5-DB70-460F-8215-753B8F50EC8A}" name="Query_WO_Prospero" displayName="Query_WO_Prospero" ref="A1:J4" tableType="queryTable" totalsRowShown="0">
  <autoFilter ref="A1:J4" xr:uid="{0FD0D43B-CBC7-4B2F-9EB2-4CED034B9EC4}"/>
  <tableColumns count="10">
    <tableColumn id="2" xr3:uid="{A143FD50-1004-416F-8D02-EDBE484A426E}" uniqueName="2" name="Work Order Number" queryTableFieldId="2"/>
    <tableColumn id="3" xr3:uid="{BDE2DFB1-061F-453A-93EE-D9F7A82313D2}" uniqueName="3" name="Completed Date" queryTableFieldId="3"/>
    <tableColumn id="4" xr3:uid="{E95D87DA-3A69-4FAA-8F38-2BE7621AC2F4}" uniqueName="4" name="Description" queryTableFieldId="4"/>
    <tableColumn id="5" xr3:uid="{D22DE78D-E29B-40BC-802E-651A801B227F}" uniqueName="5" name="Location" queryTableFieldId="5"/>
    <tableColumn id="6" xr3:uid="{5B8B1514-91BB-4F66-8052-04DEA19BA587}" uniqueName="6" name="Asset Description" queryTableFieldId="6"/>
    <tableColumn id="7" xr3:uid="{F6F4E1DE-7E0A-4B4F-B748-63AB56E8111F}" uniqueName="7" name="Work Type" queryTableFieldId="7"/>
    <tableColumn id="8" xr3:uid="{CAABF9CF-754C-47F4-AB59-DAE2E5143EA5}" uniqueName="8" name="Priority" queryTableFieldId="8"/>
    <tableColumn id="9" xr3:uid="{A0FC69FA-2AF5-48F0-9560-C6A6D41E0957}" uniqueName="9" name="Warranty Claim #" queryTableFieldId="9"/>
    <tableColumn id="10" xr3:uid="{D4D67A05-BAFB-4962-B529-7D63A048C8D8}" uniqueName="10" name="Job Plan" queryTableFieldId="10"/>
    <tableColumn id="11" xr3:uid="{277DEFCD-2EBC-4CD5-BD37-12D668962D35}" uniqueName="11" name="PM #" queryTableFieldId="1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1" displayName="Table11" ref="A3:F73" totalsRowShown="0" headerRowDxfId="8" dataDxfId="6" headerRowBorderDxfId="7">
  <sortState xmlns:xlrd2="http://schemas.microsoft.com/office/spreadsheetml/2017/richdata2" ref="A4:E8">
    <sortCondition descending="1" ref="A7:A8"/>
  </sortState>
  <tableColumns count="6">
    <tableColumn id="1" xr3:uid="{00000000-0010-0000-0000-000001000000}" name="Start Date" dataDxfId="5"/>
    <tableColumn id="9" xr3:uid="{00000000-0010-0000-0000-000009000000}" name="End Date" dataDxfId="4"/>
    <tableColumn id="2" xr3:uid="{00000000-0010-0000-0000-000002000000}" name="Status" dataDxfId="3"/>
    <tableColumn id="3" xr3:uid="{00000000-0010-0000-0000-000003000000}" name="Description" dataDxfId="2"/>
    <tableColumn id="6" xr3:uid="{00000000-0010-0000-0000-000006000000}" name="Claim Number" dataDxfId="1"/>
    <tableColumn id="4" xr3:uid="{6EF5710B-830C-447D-891C-3DDD5518D842}" name="+" dataDxfId="0">
      <calculatedColumnFormula>IF(Table11[[#This Row],[Description]]="","-","+")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41FD192-2676-4990-9EC5-0FDC18638456}" name="Query_ISO_PUCT_Compliance_Prospero" displayName="Query_ISO_PUCT_Compliance_Prospero" ref="A1:H33" tableType="queryTable" totalsRowShown="0">
  <autoFilter ref="A1:H33" xr:uid="{925A1C4E-73F9-4CDE-8C38-B38F57B108E7}"/>
  <tableColumns count="8">
    <tableColumn id="1" xr3:uid="{DF6E5C84-B868-4BB3-944A-5A3C46E98450}" uniqueName="1" name="Column1" queryTableFieldId="1"/>
    <tableColumn id="2" xr3:uid="{67CD26AB-D471-4783-98AF-8A1B515D9925}" uniqueName="2" name="Requirement " queryTableFieldId="2"/>
    <tableColumn id="3" xr3:uid="{38AABD8B-AF9C-4103-A8E9-DE6A275F0C0E}" uniqueName="3" name="Due" queryTableFieldId="3"/>
    <tableColumn id="4" xr3:uid="{E23D7B63-4B6E-4A25-9CCA-094990DFEB8A}" uniqueName="4" name="Completion Date " queryTableFieldId="4"/>
    <tableColumn id="5" xr3:uid="{A0E1240B-4196-4B3A-9700-67741B36555E}" uniqueName="5" name="Column5" queryTableFieldId="5"/>
    <tableColumn id="6" xr3:uid="{6B1EE9F4-393A-483F-B59C-BF4D28CE6D7F}" uniqueName="6" name="Column6" queryTableFieldId="6"/>
    <tableColumn id="7" xr3:uid="{D91CB1E9-BEC5-42D6-B36E-FC4C7FF9B2CE}" uniqueName="7" name="Column7" queryTableFieldId="7"/>
    <tableColumn id="8" xr3:uid="{3625EAA7-5984-43E6-8E66-FBEC863019DB}" uniqueName="8" name="Column8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92AB59-BFCD-4BE3-8F09-6F71A0C8ECAF}" name="Query_NERC_Compliance_Prospero" displayName="Query_NERC_Compliance_Prospero" ref="A1:E95" tableType="queryTable" totalsRowShown="0">
  <autoFilter ref="A1:E95" xr:uid="{9743E6EC-A755-4FDC-9829-ECE5FEB5E6F8}"/>
  <tableColumns count="5">
    <tableColumn id="6" xr3:uid="{61D648A6-7126-4C14-9B4B-D3F51E70B34E}" uniqueName="6" name="Requirement " queryTableFieldId="6"/>
    <tableColumn id="7" xr3:uid="{BD053E51-4282-498A-A02B-BC35B82685AF}" uniqueName="7" name="Due" queryTableFieldId="7"/>
    <tableColumn id="8" xr3:uid="{108332C7-7780-4746-99FC-B04D3E9D8D22}" uniqueName="8" name="Completion Date " queryTableFieldId="8"/>
    <tableColumn id="4" xr3:uid="{4D53A808-40E9-4605-A0DB-52E7EDFC9349}" uniqueName="4" name="Column4" queryTableFieldId="4"/>
    <tableColumn id="5" xr3:uid="{886F7A39-767C-4FEA-B772-579CB745842C}" uniqueName="5" name="Column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996D-23B1-4C67-9736-F1BFBD3FEBDF}">
  <dimension ref="A1:Q62"/>
  <sheetViews>
    <sheetView workbookViewId="0">
      <selection activeCell="B3" sqref="B3"/>
    </sheetView>
  </sheetViews>
  <sheetFormatPr defaultRowHeight="14.75" x14ac:dyDescent="0.75"/>
  <cols>
    <col min="1" max="1" width="17.54296875" customWidth="1"/>
    <col min="2" max="2" width="11.1328125" customWidth="1"/>
  </cols>
  <sheetData>
    <row r="1" spans="1:17" x14ac:dyDescent="0.75">
      <c r="A1" s="114" t="s">
        <v>493</v>
      </c>
      <c r="B1" s="115"/>
      <c r="K1" s="117" t="s">
        <v>203</v>
      </c>
      <c r="L1" s="117" t="s">
        <v>207</v>
      </c>
      <c r="M1" s="117" t="s">
        <v>206</v>
      </c>
      <c r="N1" s="117"/>
      <c r="O1" s="184" t="s">
        <v>204</v>
      </c>
      <c r="P1" s="184" t="s">
        <v>213</v>
      </c>
      <c r="Q1" s="184" t="s">
        <v>214</v>
      </c>
    </row>
    <row r="2" spans="1:17" x14ac:dyDescent="0.75">
      <c r="A2" s="115" t="s">
        <v>558</v>
      </c>
      <c r="B2" s="116">
        <v>2021</v>
      </c>
      <c r="K2" s="117" t="s">
        <v>90</v>
      </c>
      <c r="L2" s="118" t="s">
        <v>215</v>
      </c>
      <c r="M2" s="117">
        <v>1</v>
      </c>
      <c r="N2" s="117"/>
      <c r="O2" s="184" t="s">
        <v>502</v>
      </c>
      <c r="P2" s="184" t="s">
        <v>503</v>
      </c>
      <c r="Q2" s="184" t="s">
        <v>504</v>
      </c>
    </row>
    <row r="3" spans="1:17" x14ac:dyDescent="0.75">
      <c r="A3" s="115" t="s">
        <v>559</v>
      </c>
      <c r="B3" s="116" t="s">
        <v>101</v>
      </c>
      <c r="K3" s="117" t="s">
        <v>92</v>
      </c>
      <c r="L3" s="118" t="s">
        <v>216</v>
      </c>
      <c r="M3" s="117">
        <v>2</v>
      </c>
      <c r="N3" s="117"/>
      <c r="O3" s="184" t="s">
        <v>505</v>
      </c>
      <c r="P3" s="184" t="s">
        <v>506</v>
      </c>
      <c r="Q3" s="184"/>
    </row>
    <row r="4" spans="1:17" x14ac:dyDescent="0.75">
      <c r="A4" s="115" t="s">
        <v>204</v>
      </c>
      <c r="B4" s="116" t="s">
        <v>501</v>
      </c>
      <c r="K4" s="117" t="s">
        <v>93</v>
      </c>
      <c r="L4" s="118" t="s">
        <v>217</v>
      </c>
      <c r="M4" s="117">
        <v>3</v>
      </c>
      <c r="N4" s="117"/>
      <c r="O4" s="184" t="s">
        <v>507</v>
      </c>
      <c r="P4" s="184"/>
      <c r="Q4" s="184"/>
    </row>
    <row r="5" spans="1:17" x14ac:dyDescent="0.75">
      <c r="A5" s="115"/>
      <c r="B5" s="115"/>
      <c r="K5" s="117" t="s">
        <v>94</v>
      </c>
      <c r="L5" s="118" t="s">
        <v>218</v>
      </c>
      <c r="M5" s="117">
        <v>4</v>
      </c>
      <c r="N5" s="117"/>
      <c r="O5" s="185" t="s">
        <v>501</v>
      </c>
      <c r="P5" s="185"/>
      <c r="Q5" s="184"/>
    </row>
    <row r="6" spans="1:17" x14ac:dyDescent="0.75">
      <c r="A6" s="114" t="s">
        <v>295</v>
      </c>
      <c r="B6" s="115"/>
      <c r="K6" s="117" t="s">
        <v>49</v>
      </c>
      <c r="L6" s="118" t="s">
        <v>219</v>
      </c>
      <c r="M6" s="117">
        <v>5</v>
      </c>
      <c r="N6" s="117"/>
      <c r="O6" s="184" t="s">
        <v>508</v>
      </c>
      <c r="P6" s="184"/>
      <c r="Q6" s="184"/>
    </row>
    <row r="7" spans="1:17" x14ac:dyDescent="0.75">
      <c r="A7" s="117" t="s">
        <v>206</v>
      </c>
      <c r="B7" s="117">
        <f>INDEX(M2:M13,MATCH($B$3,$K$2:$K$13,0))</f>
        <v>12</v>
      </c>
      <c r="K7" s="117" t="s">
        <v>95</v>
      </c>
      <c r="L7" s="118" t="s">
        <v>220</v>
      </c>
      <c r="M7" s="117">
        <v>6</v>
      </c>
      <c r="N7" s="117"/>
      <c r="O7" s="185" t="s">
        <v>509</v>
      </c>
      <c r="P7" s="185"/>
      <c r="Q7" s="184"/>
    </row>
    <row r="8" spans="1:17" x14ac:dyDescent="0.75">
      <c r="A8" s="117" t="s">
        <v>472</v>
      </c>
      <c r="B8" s="117" t="str">
        <f>INDEX(L2:L13,MATCH($B$3,$K$2:$K$13,0))</f>
        <v>12</v>
      </c>
      <c r="K8" s="117" t="s">
        <v>96</v>
      </c>
      <c r="L8" s="118" t="s">
        <v>221</v>
      </c>
      <c r="M8" s="117">
        <v>7</v>
      </c>
      <c r="N8" s="117"/>
      <c r="O8" s="185" t="s">
        <v>510</v>
      </c>
      <c r="P8" s="185"/>
      <c r="Q8" s="184"/>
    </row>
    <row r="9" spans="1:17" s="111" customFormat="1" x14ac:dyDescent="0.75">
      <c r="A9" s="117" t="s">
        <v>208</v>
      </c>
      <c r="B9" s="140">
        <f>EOMONTH(DATE(curr_year,month_num,1),0)-DATE(curr_year,month_num,1)+1</f>
        <v>31</v>
      </c>
      <c r="K9" s="117" t="s">
        <v>97</v>
      </c>
      <c r="L9" s="118" t="s">
        <v>222</v>
      </c>
      <c r="M9" s="117">
        <v>8</v>
      </c>
      <c r="N9" s="117"/>
      <c r="O9" s="185" t="s">
        <v>511</v>
      </c>
      <c r="P9" s="185"/>
      <c r="Q9" s="184"/>
    </row>
    <row r="10" spans="1:17" s="111" customFormat="1" x14ac:dyDescent="0.75">
      <c r="A10" s="115"/>
      <c r="B10" s="120"/>
      <c r="K10" s="117" t="s">
        <v>98</v>
      </c>
      <c r="L10" s="118" t="s">
        <v>223</v>
      </c>
      <c r="M10" s="117">
        <v>9</v>
      </c>
      <c r="N10" s="117"/>
      <c r="O10" s="185" t="s">
        <v>512</v>
      </c>
      <c r="P10" s="185"/>
      <c r="Q10" s="184"/>
    </row>
    <row r="11" spans="1:17" s="111" customFormat="1" x14ac:dyDescent="0.75">
      <c r="A11" s="114" t="s">
        <v>294</v>
      </c>
      <c r="B11" s="115"/>
      <c r="K11" s="117" t="s">
        <v>99</v>
      </c>
      <c r="L11" s="118" t="s">
        <v>224</v>
      </c>
      <c r="M11" s="117">
        <v>10</v>
      </c>
      <c r="N11" s="117"/>
      <c r="O11" s="117"/>
      <c r="P11" s="117"/>
      <c r="Q11" s="117"/>
    </row>
    <row r="12" spans="1:17" s="111" customFormat="1" x14ac:dyDescent="0.75">
      <c r="A12" s="117" t="s">
        <v>209</v>
      </c>
      <c r="B12" s="117" t="s">
        <v>256</v>
      </c>
      <c r="K12" s="117" t="s">
        <v>100</v>
      </c>
      <c r="L12" s="118" t="s">
        <v>225</v>
      </c>
      <c r="M12" s="117">
        <v>11</v>
      </c>
      <c r="N12" s="117"/>
      <c r="O12" s="117"/>
      <c r="P12" s="117"/>
      <c r="Q12" s="117"/>
    </row>
    <row r="13" spans="1:17" s="111" customFormat="1" x14ac:dyDescent="0.75">
      <c r="A13" s="117"/>
      <c r="B13" s="117"/>
      <c r="K13" s="117" t="s">
        <v>101</v>
      </c>
      <c r="L13" s="118" t="s">
        <v>226</v>
      </c>
      <c r="M13" s="117">
        <v>12</v>
      </c>
      <c r="N13" s="117"/>
      <c r="O13" s="117"/>
      <c r="P13" s="117"/>
      <c r="Q13" s="117"/>
    </row>
    <row r="14" spans="1:17" ht="14.15" customHeight="1" x14ac:dyDescent="0.75">
      <c r="A14" s="117"/>
      <c r="B14" s="117"/>
      <c r="N14" s="117"/>
      <c r="O14" s="117"/>
      <c r="P14" s="117"/>
      <c r="Q14" s="117"/>
    </row>
    <row r="15" spans="1:17" s="111" customFormat="1" ht="14.15" customHeight="1" x14ac:dyDescent="0.75">
      <c r="A15" s="117"/>
      <c r="B15" s="117"/>
      <c r="N15" s="117"/>
      <c r="O15" s="117"/>
      <c r="P15" s="117"/>
      <c r="Q15" s="117"/>
    </row>
    <row r="16" spans="1:17" s="111" customFormat="1" ht="14.15" customHeight="1" x14ac:dyDescent="0.75">
      <c r="A16" s="117"/>
      <c r="B16" s="117"/>
      <c r="N16" s="117"/>
      <c r="O16" s="117"/>
      <c r="P16" s="117"/>
      <c r="Q16" s="117"/>
    </row>
    <row r="17" spans="1:17" s="111" customFormat="1" ht="14.15" customHeight="1" x14ac:dyDescent="0.75">
      <c r="A17" s="114" t="s">
        <v>390</v>
      </c>
      <c r="B17" s="117"/>
      <c r="N17" s="117"/>
      <c r="O17" s="117"/>
      <c r="P17" s="117"/>
      <c r="Q17" s="117"/>
    </row>
    <row r="18" spans="1:17" s="111" customFormat="1" ht="14.15" customHeight="1" x14ac:dyDescent="0.75">
      <c r="A18" s="115" t="s">
        <v>242</v>
      </c>
      <c r="B18" s="119" t="s">
        <v>569</v>
      </c>
      <c r="N18" s="117"/>
      <c r="O18" s="117"/>
      <c r="P18" s="117"/>
      <c r="Q18" s="117"/>
    </row>
    <row r="19" spans="1:17" x14ac:dyDescent="0.75">
      <c r="N19" s="117"/>
      <c r="O19" s="117"/>
      <c r="P19" s="117"/>
      <c r="Q19" s="117"/>
    </row>
    <row r="20" spans="1:17" x14ac:dyDescent="0.75">
      <c r="A20" s="114" t="s">
        <v>239</v>
      </c>
      <c r="B20" s="115"/>
      <c r="N20" s="117"/>
      <c r="O20" s="117"/>
      <c r="P20" s="117"/>
      <c r="Q20" s="117"/>
    </row>
    <row r="21" spans="1:17" s="127" customFormat="1" x14ac:dyDescent="0.75">
      <c r="A21" s="115" t="s">
        <v>391</v>
      </c>
      <c r="B21" s="119" t="s">
        <v>394</v>
      </c>
      <c r="N21" s="117"/>
      <c r="O21" s="117"/>
      <c r="P21" s="117"/>
      <c r="Q21" s="117"/>
    </row>
    <row r="22" spans="1:17" x14ac:dyDescent="0.75">
      <c r="A22" s="115" t="s">
        <v>205</v>
      </c>
      <c r="B22" s="119" t="s">
        <v>574</v>
      </c>
      <c r="N22" s="117"/>
      <c r="O22" s="117"/>
      <c r="P22" s="117"/>
      <c r="Q22" s="117"/>
    </row>
    <row r="23" spans="1:17" x14ac:dyDescent="0.75">
      <c r="A23" s="115" t="s">
        <v>227</v>
      </c>
      <c r="B23" s="119" t="s">
        <v>228</v>
      </c>
      <c r="K23" s="115"/>
      <c r="L23" s="115"/>
      <c r="M23" s="115"/>
      <c r="N23" s="115"/>
      <c r="O23" s="115"/>
      <c r="P23" s="115"/>
      <c r="Q23" s="115"/>
    </row>
    <row r="24" spans="1:17" s="127" customFormat="1" x14ac:dyDescent="0.75">
      <c r="A24" s="115" t="s">
        <v>422</v>
      </c>
      <c r="B24" s="119" t="s">
        <v>421</v>
      </c>
      <c r="K24" s="115"/>
      <c r="L24" s="115"/>
      <c r="M24" s="115"/>
      <c r="N24" s="115"/>
      <c r="O24" s="115"/>
      <c r="P24" s="115"/>
      <c r="Q24" s="115"/>
    </row>
    <row r="25" spans="1:17" s="111" customFormat="1" x14ac:dyDescent="0.75">
      <c r="A25" s="115"/>
      <c r="B25" s="120"/>
      <c r="K25" s="115"/>
      <c r="L25" s="115"/>
      <c r="M25" s="115"/>
      <c r="N25" s="115"/>
      <c r="O25" s="115"/>
      <c r="P25" s="115"/>
      <c r="Q25" s="115"/>
    </row>
    <row r="26" spans="1:17" s="111" customFormat="1" x14ac:dyDescent="0.75">
      <c r="A26" s="114" t="s">
        <v>240</v>
      </c>
      <c r="B26" s="120"/>
      <c r="K26" s="115"/>
      <c r="L26" s="115"/>
      <c r="M26" s="115"/>
      <c r="N26" s="115"/>
      <c r="O26" s="115"/>
      <c r="P26" s="115"/>
      <c r="Q26" s="115"/>
    </row>
    <row r="27" spans="1:17" s="127" customFormat="1" x14ac:dyDescent="0.75">
      <c r="A27" s="115" t="s">
        <v>392</v>
      </c>
      <c r="B27" s="119" t="s">
        <v>570</v>
      </c>
      <c r="K27" s="115"/>
      <c r="L27" s="115"/>
      <c r="M27" s="115"/>
      <c r="N27" s="115"/>
      <c r="O27" s="115"/>
      <c r="P27" s="115"/>
      <c r="Q27" s="115"/>
    </row>
    <row r="28" spans="1:17" s="111" customFormat="1" x14ac:dyDescent="0.75">
      <c r="A28" s="115" t="s">
        <v>231</v>
      </c>
      <c r="B28" s="119" t="s">
        <v>233</v>
      </c>
      <c r="K28" s="115"/>
      <c r="L28" s="115"/>
      <c r="M28" s="115"/>
      <c r="N28" s="115"/>
      <c r="O28" s="115"/>
      <c r="P28" s="115"/>
      <c r="Q28" s="115"/>
    </row>
    <row r="29" spans="1:17" s="111" customFormat="1" x14ac:dyDescent="0.75">
      <c r="A29" s="115" t="s">
        <v>232</v>
      </c>
      <c r="B29" s="119" t="s">
        <v>202</v>
      </c>
      <c r="K29" s="115"/>
      <c r="L29" s="115"/>
      <c r="M29" s="115"/>
      <c r="N29" s="115"/>
      <c r="O29" s="115"/>
      <c r="P29" s="115"/>
      <c r="Q29" s="115"/>
    </row>
    <row r="30" spans="1:17" s="111" customFormat="1" x14ac:dyDescent="0.75">
      <c r="A30" s="117"/>
      <c r="B30" s="117"/>
    </row>
    <row r="31" spans="1:17" s="111" customFormat="1" x14ac:dyDescent="0.75">
      <c r="A31" s="114" t="s">
        <v>241</v>
      </c>
      <c r="B31" s="117"/>
    </row>
    <row r="32" spans="1:17" s="127" customFormat="1" x14ac:dyDescent="0.75">
      <c r="A32" s="115" t="s">
        <v>393</v>
      </c>
      <c r="B32" s="119" t="s">
        <v>570</v>
      </c>
    </row>
    <row r="33" spans="1:2" s="111" customFormat="1" x14ac:dyDescent="0.75">
      <c r="A33" s="115" t="s">
        <v>236</v>
      </c>
      <c r="B33" s="119" t="s">
        <v>238</v>
      </c>
    </row>
    <row r="34" spans="1:2" s="111" customFormat="1" x14ac:dyDescent="0.75">
      <c r="A34" s="115" t="s">
        <v>237</v>
      </c>
      <c r="B34" s="121" t="s">
        <v>288</v>
      </c>
    </row>
    <row r="35" spans="1:2" s="111" customFormat="1" x14ac:dyDescent="0.75">
      <c r="A35" s="115"/>
      <c r="B35" s="122"/>
    </row>
    <row r="36" spans="1:2" s="111" customFormat="1" x14ac:dyDescent="0.75">
      <c r="A36" s="114" t="s">
        <v>287</v>
      </c>
      <c r="B36" s="122"/>
    </row>
    <row r="37" spans="1:2" s="111" customFormat="1" x14ac:dyDescent="0.75">
      <c r="A37" s="115" t="s">
        <v>254</v>
      </c>
      <c r="B37" s="121" t="s">
        <v>252</v>
      </c>
    </row>
    <row r="38" spans="1:2" s="111" customFormat="1" x14ac:dyDescent="0.75">
      <c r="A38" s="115" t="s">
        <v>285</v>
      </c>
      <c r="B38" s="121" t="s">
        <v>286</v>
      </c>
    </row>
    <row r="39" spans="1:2" s="111" customFormat="1" x14ac:dyDescent="0.75">
      <c r="A39" s="115"/>
      <c r="B39" s="122"/>
    </row>
    <row r="40" spans="1:2" s="111" customFormat="1" x14ac:dyDescent="0.75">
      <c r="A40" s="114" t="s">
        <v>289</v>
      </c>
      <c r="B40" s="122"/>
    </row>
    <row r="41" spans="1:2" s="111" customFormat="1" x14ac:dyDescent="0.75">
      <c r="A41" s="115" t="s">
        <v>389</v>
      </c>
      <c r="B41" s="119" t="s">
        <v>570</v>
      </c>
    </row>
    <row r="42" spans="1:2" s="111" customFormat="1" x14ac:dyDescent="0.75">
      <c r="A42" s="115" t="s">
        <v>290</v>
      </c>
      <c r="B42" s="121" t="s">
        <v>292</v>
      </c>
    </row>
    <row r="43" spans="1:2" s="111" customFormat="1" x14ac:dyDescent="0.75">
      <c r="A43" s="115" t="s">
        <v>291</v>
      </c>
      <c r="B43" s="144" t="str">
        <f>LEFT(B3,3)&amp;" "&amp;curr_year</f>
        <v>Dec 2021</v>
      </c>
    </row>
    <row r="44" spans="1:2" s="111" customFormat="1" x14ac:dyDescent="0.75">
      <c r="A44" s="115"/>
      <c r="B44" s="122"/>
    </row>
    <row r="45" spans="1:2" s="111" customFormat="1" x14ac:dyDescent="0.75">
      <c r="A45" s="114" t="s">
        <v>251</v>
      </c>
    </row>
    <row r="46" spans="1:2" s="127" customFormat="1" x14ac:dyDescent="0.75">
      <c r="A46" s="115" t="s">
        <v>388</v>
      </c>
      <c r="B46" s="119" t="s">
        <v>570</v>
      </c>
    </row>
    <row r="47" spans="1:2" s="111" customFormat="1" x14ac:dyDescent="0.75">
      <c r="A47" s="115" t="s">
        <v>244</v>
      </c>
      <c r="B47" s="119" t="s">
        <v>243</v>
      </c>
    </row>
    <row r="48" spans="1:2" s="111" customFormat="1" x14ac:dyDescent="0.75">
      <c r="A48" s="115" t="s">
        <v>245</v>
      </c>
      <c r="B48" s="121" t="s">
        <v>246</v>
      </c>
    </row>
    <row r="49" spans="1:17" s="111" customFormat="1" x14ac:dyDescent="0.75">
      <c r="B49" s="121" t="s">
        <v>247</v>
      </c>
    </row>
    <row r="50" spans="1:17" s="111" customFormat="1" x14ac:dyDescent="0.75">
      <c r="B50" s="121" t="s">
        <v>248</v>
      </c>
    </row>
    <row r="51" spans="1:17" s="111" customFormat="1" x14ac:dyDescent="0.75">
      <c r="B51" s="121" t="s">
        <v>249</v>
      </c>
    </row>
    <row r="52" spans="1:17" s="111" customFormat="1" x14ac:dyDescent="0.75">
      <c r="K52" s="115"/>
      <c r="L52" s="115"/>
      <c r="M52" s="115"/>
      <c r="N52" s="115"/>
      <c r="O52" s="115"/>
      <c r="P52" s="115"/>
      <c r="Q52" s="115"/>
    </row>
    <row r="53" spans="1:17" x14ac:dyDescent="0.75">
      <c r="A53" s="114" t="s">
        <v>229</v>
      </c>
      <c r="N53" s="115"/>
      <c r="O53" s="115"/>
      <c r="P53" s="115"/>
      <c r="Q53" s="115"/>
    </row>
    <row r="54" spans="1:17" x14ac:dyDescent="0.75">
      <c r="A54" s="117" t="s">
        <v>230</v>
      </c>
      <c r="B54" s="117" t="str">
        <f>B21&amp;"/"&amp;B2&amp;"/"&amp;_xlfn.XLOOKUP(B3,K2:K13,L2:L13)&amp;". "&amp;B3&amp;"/"&amp;B22</f>
        <v>/EBITDA Monthly Review/2021/12. December/Weaver EBITDA Review.xlsm</v>
      </c>
    </row>
    <row r="55" spans="1:17" s="111" customFormat="1" x14ac:dyDescent="0.75">
      <c r="A55" s="117" t="s">
        <v>234</v>
      </c>
      <c r="B55" s="117" t="str">
        <f>B27&amp;"/"&amp;B2&amp;"/"&amp;B28</f>
        <v>/LR Services/Fengate/Weaver/??/2021/Prospero_RECProd_Rev_Inv Track spreadsheet_2020_FINAL.xlsx</v>
      </c>
    </row>
    <row r="56" spans="1:17" s="111" customFormat="1" x14ac:dyDescent="0.75">
      <c r="A56" s="117" t="s">
        <v>235</v>
      </c>
      <c r="B56" s="117" t="str">
        <f>B32&amp;"/"&amp;B33</f>
        <v>/LR Services/Fengate/Weaver/??/Prospero Energy Project_ Designated Account Tracking Balance.xlsx</v>
      </c>
    </row>
    <row r="57" spans="1:17" s="111" customFormat="1" x14ac:dyDescent="0.75">
      <c r="A57" s="117" t="s">
        <v>255</v>
      </c>
      <c r="B57" s="117" t="str">
        <f>B18&amp;"/"&amp;B2&amp;"/"&amp;B3&amp;"/"&amp;B37</f>
        <v>/LR Services/Fengate/Weaver/12.Ops and Asset Management/07.MORs/2021/December/Completed Work Orders from First Solar Plant View.xlsx</v>
      </c>
    </row>
    <row r="58" spans="1:17" s="111" customFormat="1" x14ac:dyDescent="0.75">
      <c r="A58" s="117" t="s">
        <v>293</v>
      </c>
      <c r="B58" s="117" t="str">
        <f>B41&amp;"/"&amp;B42</f>
        <v>/LR Services/Fengate/Weaver/??/2020_Prospero_SafetyStats_MOR.xlsx</v>
      </c>
    </row>
    <row r="59" spans="1:17" s="111" customFormat="1" x14ac:dyDescent="0.75">
      <c r="A59" s="117" t="s">
        <v>250</v>
      </c>
      <c r="B59" s="117" t="str">
        <f>B46&amp;"/"&amp;B47</f>
        <v>/LR Services/Fengate/Weaver/??/2020_Prospero_ComplianceSpreadsheet_FINAL.xlsx</v>
      </c>
    </row>
    <row r="61" spans="1:17" x14ac:dyDescent="0.75">
      <c r="A61" s="114" t="s">
        <v>210</v>
      </c>
      <c r="B61" s="115"/>
    </row>
    <row r="62" spans="1:17" x14ac:dyDescent="0.75">
      <c r="A62" s="115" t="s">
        <v>211</v>
      </c>
      <c r="B62" s="115" t="s">
        <v>212</v>
      </c>
    </row>
  </sheetData>
  <protectedRanges>
    <protectedRange sqref="B2:B4" name="year_month_project"/>
  </protectedRanges>
  <dataValidations count="2">
    <dataValidation type="list" allowBlank="1" showInputMessage="1" showErrorMessage="1" sqref="B4" xr:uid="{26458299-F9CF-41D5-95F5-1F7FA6E2D037}">
      <formula1>$O$2:$O$15</formula1>
    </dataValidation>
    <dataValidation type="list" allowBlank="1" showInputMessage="1" showErrorMessage="1" sqref="B3" xr:uid="{C7B709BA-D9A9-461C-BC5D-67EC66924E09}">
      <formula1>$K$2:$K$23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C37A-3058-4783-BF42-45F3EF0197F1}">
  <dimension ref="A3:M20"/>
  <sheetViews>
    <sheetView workbookViewId="0">
      <selection activeCell="E8" sqref="E8"/>
    </sheetView>
  </sheetViews>
  <sheetFormatPr defaultRowHeight="14.75" x14ac:dyDescent="0.75"/>
  <cols>
    <col min="2" max="2" width="18.26953125" customWidth="1"/>
    <col min="5" max="5" width="15.40625" customWidth="1"/>
  </cols>
  <sheetData>
    <row r="3" spans="1:13" x14ac:dyDescent="0.75">
      <c r="A3" s="127" t="s">
        <v>410</v>
      </c>
      <c r="B3" s="127"/>
    </row>
    <row r="4" spans="1:13" x14ac:dyDescent="0.75">
      <c r="A4" s="127" t="s">
        <v>411</v>
      </c>
      <c r="B4" s="127" t="s">
        <v>412</v>
      </c>
      <c r="C4" s="146">
        <f ca="1">'month financial'!I29</f>
        <v>57.196538341725841</v>
      </c>
      <c r="D4" t="s">
        <v>411</v>
      </c>
      <c r="E4" t="s">
        <v>416</v>
      </c>
      <c r="F4" t="str">
        <f ca="1">IF(C4&lt;0,"unfavorable","favorable")</f>
        <v>favorable</v>
      </c>
    </row>
    <row r="5" spans="1:13" x14ac:dyDescent="0.75">
      <c r="A5" s="127" t="s">
        <v>411</v>
      </c>
      <c r="B5" s="127" t="s">
        <v>413</v>
      </c>
      <c r="C5" s="151">
        <f ca="1">'month financial'!K29</f>
        <v>0.12261590222220917</v>
      </c>
    </row>
    <row r="6" spans="1:13" x14ac:dyDescent="0.75">
      <c r="A6" s="127" t="s">
        <v>411</v>
      </c>
      <c r="B6" s="127" t="s">
        <v>414</v>
      </c>
      <c r="C6" s="146">
        <f ca="1">'ytd financial'!I29/1000</f>
        <v>1.603543012181196</v>
      </c>
      <c r="D6" s="127" t="s">
        <v>411</v>
      </c>
      <c r="E6" s="127" t="s">
        <v>417</v>
      </c>
      <c r="F6" s="127" t="str">
        <f ca="1">IF(C6&lt;0,"unfavorable","favorable")</f>
        <v>favorable</v>
      </c>
    </row>
    <row r="7" spans="1:13" x14ac:dyDescent="0.75">
      <c r="A7" s="127" t="s">
        <v>411</v>
      </c>
      <c r="B7" s="127" t="s">
        <v>415</v>
      </c>
      <c r="C7" s="147">
        <f ca="1">'ytd financial'!K29</f>
        <v>0.20417944411927369</v>
      </c>
    </row>
    <row r="12" spans="1:13" x14ac:dyDescent="0.75">
      <c r="A12" s="127"/>
      <c r="B12" s="127"/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7"/>
    </row>
    <row r="13" spans="1:13" x14ac:dyDescent="0.75">
      <c r="A13" s="127"/>
      <c r="B13" s="127"/>
      <c r="C13" s="127"/>
      <c r="D13" s="127"/>
      <c r="E13" s="127"/>
      <c r="F13" s="127"/>
      <c r="G13" s="127"/>
      <c r="H13" s="127"/>
      <c r="I13" s="127"/>
      <c r="J13" s="127"/>
      <c r="K13" s="127"/>
      <c r="L13" s="127"/>
      <c r="M13" s="127"/>
    </row>
    <row r="14" spans="1:13" x14ac:dyDescent="0.75">
      <c r="A14" s="127"/>
      <c r="B14" s="127"/>
      <c r="C14" s="127"/>
      <c r="D14" s="127"/>
      <c r="E14" s="127"/>
      <c r="F14" s="127"/>
      <c r="G14" s="127"/>
      <c r="H14" s="127"/>
      <c r="I14" s="127"/>
      <c r="J14" s="127"/>
      <c r="K14" s="127"/>
      <c r="L14" s="127"/>
      <c r="M14" s="127"/>
    </row>
    <row r="15" spans="1:13" x14ac:dyDescent="0.75">
      <c r="A15" s="127"/>
      <c r="B15" s="127"/>
      <c r="C15" s="127"/>
      <c r="D15" s="127"/>
      <c r="E15" s="127"/>
      <c r="F15" s="127"/>
      <c r="G15" s="127"/>
      <c r="H15" s="127"/>
      <c r="I15" s="127"/>
      <c r="J15" s="127"/>
      <c r="K15" s="127"/>
      <c r="L15" s="127"/>
      <c r="M15" s="127"/>
    </row>
    <row r="16" spans="1:13" x14ac:dyDescent="0.75">
      <c r="A16" s="127"/>
      <c r="B16" s="127"/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</row>
    <row r="17" spans="1:13" x14ac:dyDescent="0.75">
      <c r="A17" s="127"/>
      <c r="B17" s="127"/>
      <c r="C17" s="127"/>
      <c r="D17" s="127"/>
      <c r="E17" s="127"/>
      <c r="F17" s="127"/>
      <c r="G17" s="127"/>
      <c r="H17" s="127"/>
      <c r="I17" s="127"/>
      <c r="J17" s="127"/>
      <c r="K17" s="127"/>
      <c r="L17" s="127"/>
      <c r="M17" s="127"/>
    </row>
    <row r="18" spans="1:13" x14ac:dyDescent="0.75">
      <c r="A18" s="127"/>
      <c r="B18" s="127"/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7"/>
    </row>
    <row r="19" spans="1:13" x14ac:dyDescent="0.75">
      <c r="A19" s="127"/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</row>
    <row r="20" spans="1:13" x14ac:dyDescent="0.75">
      <c r="A20" s="127"/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27"/>
      <c r="M20" s="1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51BE-8ECE-4D44-BDB4-72F05533F831}">
  <dimension ref="A1:O14"/>
  <sheetViews>
    <sheetView workbookViewId="0">
      <selection activeCell="N14" sqref="N14"/>
    </sheetView>
  </sheetViews>
  <sheetFormatPr defaultRowHeight="14.75" x14ac:dyDescent="0.75"/>
  <cols>
    <col min="2" max="2" width="23.7265625" bestFit="1" customWidth="1"/>
    <col min="3" max="3" width="0.40625" customWidth="1"/>
    <col min="5" max="5" width="0.40625" customWidth="1"/>
    <col min="7" max="7" width="0.40625" customWidth="1"/>
    <col min="9" max="9" width="0.40625" customWidth="1"/>
    <col min="13" max="13" width="7.1328125" customWidth="1"/>
    <col min="14" max="14" width="19.40625" bestFit="1" customWidth="1"/>
  </cols>
  <sheetData>
    <row r="1" spans="1:15" x14ac:dyDescent="0.75">
      <c r="A1" s="127"/>
      <c r="B1" s="167" t="s">
        <v>540</v>
      </c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27"/>
    </row>
    <row r="2" spans="1:15" x14ac:dyDescent="0.75">
      <c r="A2" s="127"/>
      <c r="B2" s="191" t="s">
        <v>88</v>
      </c>
      <c r="C2" s="191" t="s">
        <v>88</v>
      </c>
      <c r="D2" s="191"/>
      <c r="E2" s="191" t="s">
        <v>88</v>
      </c>
      <c r="F2" s="191" t="s">
        <v>88</v>
      </c>
      <c r="G2" s="191" t="s">
        <v>88</v>
      </c>
      <c r="H2" s="191" t="s">
        <v>88</v>
      </c>
      <c r="I2" s="191" t="s">
        <v>88</v>
      </c>
      <c r="J2" s="191" t="s">
        <v>88</v>
      </c>
      <c r="K2" s="191"/>
      <c r="L2" s="191"/>
      <c r="M2" s="191"/>
      <c r="N2" s="191"/>
      <c r="O2" s="127"/>
    </row>
    <row r="3" spans="1:15" x14ac:dyDescent="0.75">
      <c r="A3" s="127"/>
      <c r="B3" s="192"/>
      <c r="C3" s="192"/>
      <c r="D3" s="210" t="s">
        <v>30</v>
      </c>
      <c r="E3" s="210"/>
      <c r="F3" s="210"/>
      <c r="G3" s="193"/>
      <c r="H3" s="210" t="s">
        <v>541</v>
      </c>
      <c r="I3" s="210"/>
      <c r="J3" s="210"/>
      <c r="K3" s="191" t="s">
        <v>88</v>
      </c>
      <c r="L3" s="191"/>
      <c r="M3" s="191"/>
      <c r="N3" s="191"/>
      <c r="O3" s="127"/>
    </row>
    <row r="4" spans="1:15" x14ac:dyDescent="0.75">
      <c r="A4" s="127"/>
      <c r="B4" s="194" t="s">
        <v>542</v>
      </c>
      <c r="C4" s="194"/>
      <c r="D4" s="194" t="s">
        <v>152</v>
      </c>
      <c r="E4" s="195"/>
      <c r="F4" s="194" t="s">
        <v>543</v>
      </c>
      <c r="G4" s="195"/>
      <c r="H4" s="194" t="s">
        <v>152</v>
      </c>
      <c r="I4" s="195"/>
      <c r="J4" s="194" t="s">
        <v>543</v>
      </c>
      <c r="K4" s="191" t="s">
        <v>88</v>
      </c>
      <c r="L4" s="191"/>
      <c r="M4" s="191"/>
      <c r="N4" s="191"/>
      <c r="O4" s="127"/>
    </row>
    <row r="5" spans="1:15" x14ac:dyDescent="0.75">
      <c r="A5" s="127"/>
      <c r="B5" s="196" t="s">
        <v>544</v>
      </c>
      <c r="C5" s="195"/>
      <c r="D5" s="198">
        <f ca="1">'month financial'!E29</f>
        <v>523.66570999999999</v>
      </c>
      <c r="E5" s="198"/>
      <c r="F5" s="198">
        <f ca="1">'month financial'!G29</f>
        <v>466.46917165827415</v>
      </c>
      <c r="G5" s="198"/>
      <c r="H5" s="198">
        <f ca="1">'ytd financial'!E29</f>
        <v>9457.1397300000008</v>
      </c>
      <c r="I5" s="198"/>
      <c r="J5" s="198">
        <f ca="1">'ytd financial'!G29</f>
        <v>7853.5967178188048</v>
      </c>
      <c r="K5" s="191" t="s">
        <v>88</v>
      </c>
      <c r="L5" s="191"/>
      <c r="M5" s="202" t="s">
        <v>545</v>
      </c>
      <c r="N5" s="202" t="s">
        <v>546</v>
      </c>
      <c r="O5" s="127"/>
    </row>
    <row r="6" spans="1:15" x14ac:dyDescent="0.75">
      <c r="A6" s="127"/>
      <c r="B6" s="196" t="s">
        <v>547</v>
      </c>
      <c r="C6" s="195"/>
      <c r="D6" s="198">
        <f>O5</f>
        <v>0</v>
      </c>
      <c r="E6" s="198"/>
      <c r="F6" s="198">
        <f>O7</f>
        <v>0</v>
      </c>
      <c r="G6" s="198"/>
      <c r="H6" s="198">
        <f>O9</f>
        <v>0</v>
      </c>
      <c r="I6" s="198"/>
      <c r="J6" s="198">
        <f>O10</f>
        <v>0</v>
      </c>
      <c r="K6" s="191" t="s">
        <v>88</v>
      </c>
      <c r="L6" s="191"/>
      <c r="M6" s="202" t="s">
        <v>545</v>
      </c>
      <c r="N6" s="202" t="s">
        <v>548</v>
      </c>
      <c r="O6" s="127"/>
    </row>
    <row r="7" spans="1:15" x14ac:dyDescent="0.75">
      <c r="A7" s="127"/>
      <c r="B7" s="196" t="s">
        <v>573</v>
      </c>
      <c r="C7" s="195"/>
      <c r="D7" s="207" t="str">
        <f>IF(O6&gt;0,O6,"-")</f>
        <v>-</v>
      </c>
      <c r="E7" s="199"/>
      <c r="F7" s="207" t="str">
        <f>IF(O13&gt;0,O13,"-")</f>
        <v>-</v>
      </c>
      <c r="G7" s="199"/>
      <c r="H7" s="207" t="str">
        <f>IF(O11&gt;0,O11,"-")</f>
        <v>-</v>
      </c>
      <c r="I7" s="199"/>
      <c r="J7" s="207" t="str">
        <f>IF(O13&gt;0,O13,"-")</f>
        <v>-</v>
      </c>
      <c r="K7" s="191" t="s">
        <v>88</v>
      </c>
      <c r="L7" s="191"/>
      <c r="M7" s="202" t="s">
        <v>545</v>
      </c>
      <c r="N7" s="202" t="s">
        <v>549</v>
      </c>
      <c r="O7" s="127"/>
    </row>
    <row r="8" spans="1:15" x14ac:dyDescent="0.75">
      <c r="A8" s="127"/>
      <c r="B8" s="196" t="s">
        <v>550</v>
      </c>
      <c r="C8" s="197"/>
      <c r="D8" s="207" t="str">
        <f>IF(O8&gt;0,O8,"-")</f>
        <v>-</v>
      </c>
      <c r="E8" s="200"/>
      <c r="F8" s="207" t="str">
        <f>IF(O14&gt;0,O14,"-")</f>
        <v>-</v>
      </c>
      <c r="G8" s="200"/>
      <c r="H8" s="207" t="str">
        <f>IF(O12&gt;0,O12,"-")</f>
        <v>-</v>
      </c>
      <c r="I8" s="200"/>
      <c r="J8" s="207" t="str">
        <f>IF(O14&gt;0,O14,"-")</f>
        <v>-</v>
      </c>
      <c r="K8" s="191" t="s">
        <v>88</v>
      </c>
      <c r="L8" s="191"/>
      <c r="M8" s="202" t="s">
        <v>545</v>
      </c>
      <c r="N8" s="202" t="s">
        <v>551</v>
      </c>
      <c r="O8" s="127"/>
    </row>
    <row r="9" spans="1:15" x14ac:dyDescent="0.75">
      <c r="A9" s="127"/>
      <c r="B9" s="196" t="s">
        <v>552</v>
      </c>
      <c r="C9" s="195"/>
      <c r="D9" s="199"/>
      <c r="E9" s="199"/>
      <c r="F9" s="199"/>
      <c r="G9" s="199"/>
      <c r="H9" s="199"/>
      <c r="I9" s="199"/>
      <c r="J9" s="199"/>
      <c r="K9" s="191" t="s">
        <v>91</v>
      </c>
      <c r="L9" s="191"/>
      <c r="M9" s="202" t="s">
        <v>545</v>
      </c>
      <c r="N9" s="202" t="s">
        <v>553</v>
      </c>
      <c r="O9" s="127"/>
    </row>
    <row r="10" spans="1:15" x14ac:dyDescent="0.75">
      <c r="A10" s="127"/>
      <c r="B10" s="196"/>
      <c r="C10" s="195"/>
      <c r="D10" s="192"/>
      <c r="E10" s="195"/>
      <c r="F10" s="192"/>
      <c r="G10" s="195"/>
      <c r="H10" s="192"/>
      <c r="I10" s="195"/>
      <c r="J10" s="192"/>
      <c r="K10" s="191"/>
      <c r="L10" s="191"/>
      <c r="M10" s="202" t="s">
        <v>545</v>
      </c>
      <c r="N10" s="202" t="s">
        <v>554</v>
      </c>
      <c r="O10" s="127"/>
    </row>
    <row r="11" spans="1:15" x14ac:dyDescent="0.75">
      <c r="A11" s="127"/>
      <c r="B11" s="192"/>
      <c r="C11" s="195"/>
      <c r="D11" s="192"/>
      <c r="E11" s="195"/>
      <c r="F11" s="192"/>
      <c r="G11" s="195"/>
      <c r="H11" s="192"/>
      <c r="I11" s="195"/>
      <c r="J11" s="192"/>
      <c r="K11" s="191"/>
      <c r="L11" s="191"/>
      <c r="M11" s="202" t="s">
        <v>545</v>
      </c>
      <c r="N11" s="202" t="s">
        <v>555</v>
      </c>
      <c r="O11" s="127"/>
    </row>
    <row r="12" spans="1:15" x14ac:dyDescent="0.75">
      <c r="A12" s="127"/>
      <c r="B12" s="192"/>
      <c r="C12" s="195"/>
      <c r="D12" s="192"/>
      <c r="E12" s="195"/>
      <c r="F12" s="192"/>
      <c r="G12" s="195"/>
      <c r="H12" s="192"/>
      <c r="I12" s="195"/>
      <c r="J12" s="192"/>
      <c r="K12" s="191"/>
      <c r="L12" s="191"/>
      <c r="M12" s="202" t="s">
        <v>545</v>
      </c>
      <c r="N12" s="202" t="s">
        <v>556</v>
      </c>
      <c r="O12" s="127"/>
    </row>
    <row r="13" spans="1:15" x14ac:dyDescent="0.75">
      <c r="A13" s="127"/>
      <c r="B13" s="192"/>
      <c r="C13" s="197"/>
      <c r="D13" s="192"/>
      <c r="E13" s="197"/>
      <c r="F13" s="192"/>
      <c r="G13" s="197"/>
      <c r="H13" s="192"/>
      <c r="I13" s="197"/>
      <c r="J13" s="192"/>
      <c r="K13" s="191"/>
      <c r="L13" s="191"/>
      <c r="M13" s="202" t="s">
        <v>545</v>
      </c>
      <c r="N13" s="202" t="s">
        <v>576</v>
      </c>
      <c r="O13" s="127"/>
    </row>
    <row r="14" spans="1:15" x14ac:dyDescent="0.75">
      <c r="A14" s="127"/>
      <c r="B14" s="192"/>
      <c r="C14" s="195"/>
      <c r="D14" s="192"/>
      <c r="E14" s="195"/>
      <c r="F14" s="192"/>
      <c r="G14" s="195"/>
      <c r="H14" s="192"/>
      <c r="I14" s="195"/>
      <c r="J14" s="192"/>
      <c r="K14" s="191"/>
      <c r="L14" s="191"/>
      <c r="M14" s="202" t="s">
        <v>545</v>
      </c>
      <c r="N14" s="202" t="s">
        <v>557</v>
      </c>
      <c r="O14" s="127"/>
    </row>
  </sheetData>
  <mergeCells count="2">
    <mergeCell ref="D3:F3"/>
    <mergeCell ref="H3:J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8AF7-525C-4496-9958-90BF8BFA1DFF}">
  <dimension ref="A1:G8"/>
  <sheetViews>
    <sheetView workbookViewId="0">
      <selection activeCell="F4" sqref="F4"/>
    </sheetView>
  </sheetViews>
  <sheetFormatPr defaultRowHeight="14.75" x14ac:dyDescent="0.75"/>
  <cols>
    <col min="1" max="1" width="15.54296875" customWidth="1"/>
    <col min="2" max="2" width="0.40625" customWidth="1"/>
    <col min="3" max="3" width="30.54296875" customWidth="1"/>
    <col min="4" max="4" width="0.40625" customWidth="1"/>
    <col min="5" max="5" width="30.54296875" customWidth="1"/>
    <col min="6" max="6" width="0.40625" customWidth="1"/>
    <col min="7" max="7" width="9.54296875" customWidth="1"/>
  </cols>
  <sheetData>
    <row r="1" spans="1:7" ht="22.5" x14ac:dyDescent="0.75">
      <c r="A1" s="163" t="s">
        <v>514</v>
      </c>
      <c r="B1" s="186"/>
      <c r="C1" s="163" t="s">
        <v>132</v>
      </c>
      <c r="D1" s="186"/>
      <c r="E1" s="163" t="s">
        <v>515</v>
      </c>
      <c r="F1" s="186"/>
      <c r="G1" s="163" t="s">
        <v>516</v>
      </c>
    </row>
    <row r="2" spans="1:7" ht="43" x14ac:dyDescent="0.75">
      <c r="A2" s="187" t="s">
        <v>517</v>
      </c>
      <c r="B2" s="132"/>
      <c r="C2" s="188" t="s">
        <v>518</v>
      </c>
      <c r="D2" s="132"/>
      <c r="E2" s="188" t="s">
        <v>519</v>
      </c>
      <c r="F2" s="132"/>
      <c r="G2" s="189">
        <v>44561</v>
      </c>
    </row>
    <row r="3" spans="1:7" ht="32.25" x14ac:dyDescent="0.75">
      <c r="A3" s="187" t="s">
        <v>520</v>
      </c>
      <c r="B3" s="132"/>
      <c r="C3" s="188" t="s">
        <v>521</v>
      </c>
      <c r="D3" s="132"/>
      <c r="E3" s="188" t="s">
        <v>522</v>
      </c>
      <c r="F3" s="132"/>
      <c r="G3" s="189">
        <v>44300</v>
      </c>
    </row>
    <row r="4" spans="1:7" ht="32.25" x14ac:dyDescent="0.75">
      <c r="A4" s="187" t="s">
        <v>523</v>
      </c>
      <c r="B4" s="132"/>
      <c r="C4" s="188" t="s">
        <v>524</v>
      </c>
      <c r="D4" s="132"/>
      <c r="E4" s="188" t="s">
        <v>525</v>
      </c>
      <c r="F4" s="132"/>
      <c r="G4" s="189">
        <v>44218</v>
      </c>
    </row>
    <row r="5" spans="1:7" ht="21.5" x14ac:dyDescent="0.75">
      <c r="A5" s="187" t="s">
        <v>526</v>
      </c>
      <c r="B5" s="132"/>
      <c r="C5" s="188" t="s">
        <v>527</v>
      </c>
      <c r="D5" s="132"/>
      <c r="E5" s="188" t="s">
        <v>528</v>
      </c>
      <c r="F5" s="132"/>
      <c r="G5" s="189">
        <v>44348</v>
      </c>
    </row>
    <row r="6" spans="1:7" ht="32.25" x14ac:dyDescent="0.75">
      <c r="A6" s="187" t="s">
        <v>529</v>
      </c>
      <c r="B6" s="132"/>
      <c r="C6" s="188" t="s">
        <v>530</v>
      </c>
      <c r="D6" s="132"/>
      <c r="E6" s="188" t="s">
        <v>531</v>
      </c>
      <c r="F6" s="132"/>
      <c r="G6" s="190" t="s">
        <v>532</v>
      </c>
    </row>
    <row r="7" spans="1:7" ht="21.5" x14ac:dyDescent="0.75">
      <c r="A7" s="187" t="s">
        <v>533</v>
      </c>
      <c r="B7" s="132"/>
      <c r="C7" s="188" t="s">
        <v>534</v>
      </c>
      <c r="D7" s="132"/>
      <c r="E7" s="188" t="s">
        <v>535</v>
      </c>
      <c r="F7" s="132"/>
      <c r="G7" s="190" t="s">
        <v>536</v>
      </c>
    </row>
    <row r="8" spans="1:7" ht="32.25" x14ac:dyDescent="0.75">
      <c r="A8" s="187" t="s">
        <v>537</v>
      </c>
      <c r="B8" s="132"/>
      <c r="C8" s="188" t="s">
        <v>538</v>
      </c>
      <c r="D8" s="132"/>
      <c r="E8" s="188" t="s">
        <v>539</v>
      </c>
      <c r="F8" s="132"/>
      <c r="G8" s="189">
        <v>44204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F30A-56AE-4252-8491-EC9B8F2996A1}">
  <sheetPr>
    <tabColor theme="9" tint="0.79998168889431442"/>
  </sheetPr>
  <dimension ref="A1:K34"/>
  <sheetViews>
    <sheetView workbookViewId="0">
      <selection activeCell="K17" sqref="K17"/>
    </sheetView>
  </sheetViews>
  <sheetFormatPr defaultRowHeight="14.75" x14ac:dyDescent="0.75"/>
  <cols>
    <col min="1" max="1" width="9.54296875" style="111" customWidth="1"/>
    <col min="2" max="2" width="12.40625" customWidth="1"/>
    <col min="3" max="3" width="0.7265625" customWidth="1"/>
    <col min="4" max="4" width="18.1328125" customWidth="1"/>
    <col min="5" max="5" width="0.7265625" customWidth="1"/>
    <col min="6" max="6" width="18.1328125" customWidth="1"/>
    <col min="7" max="7" width="0.7265625" customWidth="1"/>
    <col min="8" max="8" width="18.1328125" customWidth="1"/>
    <col min="9" max="9" width="0.7265625" customWidth="1"/>
    <col min="10" max="10" width="18.1328125" customWidth="1"/>
  </cols>
  <sheetData>
    <row r="1" spans="1:11" x14ac:dyDescent="0.7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75">
      <c r="B2" s="161" t="s">
        <v>484</v>
      </c>
    </row>
    <row r="3" spans="1:11" x14ac:dyDescent="0.75">
      <c r="A3" s="11"/>
      <c r="B3" s="12" t="s">
        <v>88</v>
      </c>
      <c r="C3" s="12" t="s">
        <v>88</v>
      </c>
      <c r="D3" s="12" t="s">
        <v>88</v>
      </c>
      <c r="E3" s="12" t="s">
        <v>88</v>
      </c>
      <c r="F3" s="12" t="s">
        <v>88</v>
      </c>
      <c r="G3" s="12" t="s">
        <v>88</v>
      </c>
      <c r="H3" s="12" t="s">
        <v>88</v>
      </c>
      <c r="I3" s="12" t="s">
        <v>88</v>
      </c>
      <c r="J3" s="12" t="s">
        <v>88</v>
      </c>
      <c r="K3" s="12"/>
    </row>
    <row r="4" spans="1:11" s="127" customFormat="1" ht="20.9" customHeight="1" x14ac:dyDescent="0.75">
      <c r="A4" s="11"/>
      <c r="B4" s="211" t="s">
        <v>571</v>
      </c>
      <c r="C4" s="211"/>
      <c r="D4" s="203"/>
      <c r="E4" s="203"/>
      <c r="F4" s="203"/>
      <c r="G4" s="203"/>
      <c r="H4" s="203"/>
      <c r="I4" s="203"/>
      <c r="J4" s="203"/>
      <c r="K4" s="127" t="s">
        <v>88</v>
      </c>
    </row>
    <row r="5" spans="1:11" ht="34.15" customHeight="1" x14ac:dyDescent="0.75">
      <c r="A5" s="125"/>
      <c r="B5" s="25" t="s">
        <v>30</v>
      </c>
      <c r="C5" s="162"/>
      <c r="D5" s="163" t="s">
        <v>485</v>
      </c>
      <c r="E5" s="152"/>
      <c r="F5" s="163" t="s">
        <v>89</v>
      </c>
      <c r="G5" s="152"/>
      <c r="H5" s="163" t="s">
        <v>486</v>
      </c>
      <c r="I5" s="152"/>
      <c r="J5" s="163" t="s">
        <v>487</v>
      </c>
      <c r="K5" s="152" t="s">
        <v>88</v>
      </c>
    </row>
    <row r="6" spans="1:11" x14ac:dyDescent="0.75">
      <c r="A6" s="125">
        <v>1</v>
      </c>
      <c r="B6" s="13" t="s">
        <v>90</v>
      </c>
      <c r="C6" s="70"/>
      <c r="D6" s="71">
        <v>0</v>
      </c>
      <c r="E6" s="71"/>
      <c r="F6" s="71">
        <v>0</v>
      </c>
      <c r="G6" s="71"/>
      <c r="H6" s="71">
        <v>0</v>
      </c>
      <c r="I6" s="71"/>
      <c r="J6" s="71">
        <v>160</v>
      </c>
      <c r="K6" s="12" t="str">
        <f t="shared" ref="K6:K17" si="0">IF(A6&lt;=month_num,"+","-")</f>
        <v>+</v>
      </c>
    </row>
    <row r="7" spans="1:11" x14ac:dyDescent="0.75">
      <c r="A7" s="125">
        <v>2</v>
      </c>
      <c r="B7" s="13" t="s">
        <v>92</v>
      </c>
      <c r="C7" s="70"/>
      <c r="D7" s="71">
        <v>0</v>
      </c>
      <c r="E7" s="71"/>
      <c r="F7" s="71">
        <v>0</v>
      </c>
      <c r="G7" s="71"/>
      <c r="H7" s="71">
        <v>0</v>
      </c>
      <c r="I7" s="71"/>
      <c r="J7" s="71">
        <v>120</v>
      </c>
      <c r="K7" s="12" t="str">
        <f t="shared" si="0"/>
        <v>+</v>
      </c>
    </row>
    <row r="8" spans="1:11" x14ac:dyDescent="0.75">
      <c r="A8" s="125">
        <v>3</v>
      </c>
      <c r="B8" s="13" t="s">
        <v>93</v>
      </c>
      <c r="C8" s="70"/>
      <c r="D8" s="71">
        <v>0</v>
      </c>
      <c r="E8" s="71"/>
      <c r="F8" s="71">
        <v>0</v>
      </c>
      <c r="G8" s="71"/>
      <c r="H8" s="71">
        <v>0</v>
      </c>
      <c r="I8" s="71"/>
      <c r="J8" s="71">
        <v>192</v>
      </c>
      <c r="K8" s="12" t="str">
        <f t="shared" si="0"/>
        <v>+</v>
      </c>
    </row>
    <row r="9" spans="1:11" x14ac:dyDescent="0.75">
      <c r="A9" s="125">
        <v>4</v>
      </c>
      <c r="B9" s="13" t="s">
        <v>94</v>
      </c>
      <c r="C9" s="70"/>
      <c r="D9" s="71">
        <v>0</v>
      </c>
      <c r="E9" s="71"/>
      <c r="F9" s="71">
        <v>0</v>
      </c>
      <c r="G9" s="71"/>
      <c r="H9" s="71">
        <v>0</v>
      </c>
      <c r="I9" s="71"/>
      <c r="J9" s="71">
        <v>168</v>
      </c>
      <c r="K9" s="12" t="str">
        <f t="shared" si="0"/>
        <v>+</v>
      </c>
    </row>
    <row r="10" spans="1:11" x14ac:dyDescent="0.75">
      <c r="A10" s="125">
        <v>5</v>
      </c>
      <c r="B10" s="13" t="s">
        <v>49</v>
      </c>
      <c r="C10" s="70"/>
      <c r="D10" s="71">
        <v>0</v>
      </c>
      <c r="E10" s="71"/>
      <c r="F10" s="71">
        <v>0</v>
      </c>
      <c r="G10" s="71"/>
      <c r="H10" s="71">
        <v>0</v>
      </c>
      <c r="I10" s="71"/>
      <c r="J10" s="71">
        <v>168</v>
      </c>
      <c r="K10" s="12" t="str">
        <f t="shared" si="0"/>
        <v>+</v>
      </c>
    </row>
    <row r="11" spans="1:11" x14ac:dyDescent="0.75">
      <c r="A11" s="125">
        <v>6</v>
      </c>
      <c r="B11" s="13" t="s">
        <v>95</v>
      </c>
      <c r="C11" s="70"/>
      <c r="D11" s="71">
        <v>0</v>
      </c>
      <c r="E11" s="71"/>
      <c r="F11" s="71">
        <v>0</v>
      </c>
      <c r="G11" s="71"/>
      <c r="H11" s="71">
        <v>0</v>
      </c>
      <c r="I11" s="71"/>
      <c r="J11" s="71">
        <v>152</v>
      </c>
      <c r="K11" s="12" t="str">
        <f t="shared" si="0"/>
        <v>+</v>
      </c>
    </row>
    <row r="12" spans="1:11" x14ac:dyDescent="0.75">
      <c r="A12" s="125">
        <v>7</v>
      </c>
      <c r="B12" s="13" t="s">
        <v>96</v>
      </c>
      <c r="C12" s="70"/>
      <c r="D12" s="71">
        <v>0</v>
      </c>
      <c r="E12" s="71"/>
      <c r="F12" s="71">
        <v>0</v>
      </c>
      <c r="G12" s="71"/>
      <c r="H12" s="71">
        <v>0</v>
      </c>
      <c r="I12" s="71"/>
      <c r="J12" s="71">
        <v>152</v>
      </c>
      <c r="K12" s="12" t="str">
        <f t="shared" si="0"/>
        <v>+</v>
      </c>
    </row>
    <row r="13" spans="1:11" x14ac:dyDescent="0.75">
      <c r="A13" s="125">
        <v>8</v>
      </c>
      <c r="B13" s="13" t="s">
        <v>97</v>
      </c>
      <c r="C13" s="70"/>
      <c r="D13" s="71">
        <v>0</v>
      </c>
      <c r="E13" s="71"/>
      <c r="F13" s="71">
        <v>0</v>
      </c>
      <c r="G13" s="71"/>
      <c r="H13" s="71">
        <v>0</v>
      </c>
      <c r="I13" s="71"/>
      <c r="J13" s="71">
        <v>155</v>
      </c>
      <c r="K13" s="12" t="str">
        <f t="shared" si="0"/>
        <v>+</v>
      </c>
    </row>
    <row r="14" spans="1:11" x14ac:dyDescent="0.75">
      <c r="A14" s="125">
        <v>9</v>
      </c>
      <c r="B14" s="13" t="s">
        <v>98</v>
      </c>
      <c r="C14" s="70"/>
      <c r="D14" s="71">
        <v>0</v>
      </c>
      <c r="E14" s="71"/>
      <c r="F14" s="71">
        <v>0</v>
      </c>
      <c r="G14" s="71"/>
      <c r="H14" s="71">
        <v>0</v>
      </c>
      <c r="I14" s="71"/>
      <c r="J14" s="71">
        <v>168</v>
      </c>
      <c r="K14" s="12" t="str">
        <f t="shared" si="0"/>
        <v>+</v>
      </c>
    </row>
    <row r="15" spans="1:11" x14ac:dyDescent="0.75">
      <c r="A15" s="125">
        <v>10</v>
      </c>
      <c r="B15" s="13" t="s">
        <v>99</v>
      </c>
      <c r="C15" s="70"/>
      <c r="D15" s="71">
        <v>0</v>
      </c>
      <c r="E15" s="71"/>
      <c r="F15" s="71">
        <v>0</v>
      </c>
      <c r="G15" s="71"/>
      <c r="H15" s="71">
        <v>0</v>
      </c>
      <c r="I15" s="71"/>
      <c r="J15" s="71">
        <v>168</v>
      </c>
      <c r="K15" s="12" t="str">
        <f t="shared" si="0"/>
        <v>+</v>
      </c>
    </row>
    <row r="16" spans="1:11" x14ac:dyDescent="0.75">
      <c r="A16" s="125">
        <v>11</v>
      </c>
      <c r="B16" s="13" t="s">
        <v>100</v>
      </c>
      <c r="C16" s="70"/>
      <c r="D16" s="71">
        <v>0</v>
      </c>
      <c r="E16" s="71"/>
      <c r="F16" s="71">
        <v>0</v>
      </c>
      <c r="G16" s="71"/>
      <c r="H16" s="71">
        <v>0</v>
      </c>
      <c r="I16" s="71"/>
      <c r="J16" s="71">
        <v>160</v>
      </c>
      <c r="K16" s="12" t="str">
        <f t="shared" si="0"/>
        <v>+</v>
      </c>
    </row>
    <row r="17" spans="1:11" x14ac:dyDescent="0.75">
      <c r="A17" s="125">
        <v>12</v>
      </c>
      <c r="B17" s="164" t="s">
        <v>101</v>
      </c>
      <c r="C17" s="70"/>
      <c r="D17" s="71">
        <v>0</v>
      </c>
      <c r="E17" s="71"/>
      <c r="F17" s="71">
        <v>0</v>
      </c>
      <c r="G17" s="71"/>
      <c r="H17" s="71">
        <v>0</v>
      </c>
      <c r="I17" s="71"/>
      <c r="J17" s="71">
        <v>192</v>
      </c>
      <c r="K17" s="12" t="str">
        <f t="shared" si="0"/>
        <v>+</v>
      </c>
    </row>
    <row r="18" spans="1:11" ht="24.4" customHeight="1" x14ac:dyDescent="0.75">
      <c r="A18" s="125"/>
      <c r="B18" s="74" t="s">
        <v>157</v>
      </c>
      <c r="C18" s="165"/>
      <c r="D18" s="166">
        <f>SUM(D6:D17)</f>
        <v>0</v>
      </c>
      <c r="E18" s="90"/>
      <c r="F18" s="166">
        <f>SUM(F6:F17)</f>
        <v>0</v>
      </c>
      <c r="G18" s="90"/>
      <c r="H18" s="166">
        <f>SUM(H6:H17)</f>
        <v>0</v>
      </c>
      <c r="I18" s="90"/>
      <c r="J18" s="166">
        <f>SUM(J6:J17)</f>
        <v>1955</v>
      </c>
      <c r="K18" s="12" t="s">
        <v>88</v>
      </c>
    </row>
    <row r="19" spans="1:11" s="127" customFormat="1" ht="6.95" customHeight="1" x14ac:dyDescent="0.75">
      <c r="A19" s="125"/>
      <c r="B19" s="204"/>
      <c r="C19" s="205"/>
      <c r="D19" s="206"/>
      <c r="E19" s="91"/>
      <c r="F19" s="206"/>
      <c r="G19" s="91"/>
      <c r="H19" s="206"/>
      <c r="I19" s="91"/>
      <c r="J19" s="206"/>
      <c r="K19" s="12" t="s">
        <v>88</v>
      </c>
    </row>
    <row r="20" spans="1:11" ht="20.9" customHeight="1" x14ac:dyDescent="0.75">
      <c r="A20" s="11"/>
      <c r="B20" s="211" t="s">
        <v>572</v>
      </c>
      <c r="C20" s="211"/>
      <c r="D20" s="203"/>
      <c r="E20" s="203"/>
      <c r="F20" s="203"/>
      <c r="G20" s="203"/>
      <c r="H20" s="203"/>
      <c r="I20" s="203"/>
      <c r="J20" s="203"/>
      <c r="K20" s="12" t="s">
        <v>88</v>
      </c>
    </row>
    <row r="21" spans="1:11" ht="22.5" x14ac:dyDescent="0.75">
      <c r="A21" s="125"/>
      <c r="B21" s="25" t="s">
        <v>30</v>
      </c>
      <c r="C21" s="162"/>
      <c r="D21" s="163" t="s">
        <v>485</v>
      </c>
      <c r="E21" s="152"/>
      <c r="F21" s="163" t="s">
        <v>89</v>
      </c>
      <c r="G21" s="152"/>
      <c r="H21" s="163" t="s">
        <v>486</v>
      </c>
      <c r="I21" s="152"/>
      <c r="J21" s="163" t="s">
        <v>487</v>
      </c>
      <c r="K21" s="12" t="s">
        <v>88</v>
      </c>
    </row>
    <row r="22" spans="1:11" x14ac:dyDescent="0.75">
      <c r="A22" s="125">
        <v>1</v>
      </c>
      <c r="B22" s="13" t="s">
        <v>90</v>
      </c>
      <c r="C22" s="70"/>
      <c r="D22" s="71">
        <v>0</v>
      </c>
      <c r="E22" s="71"/>
      <c r="F22" s="71">
        <v>0</v>
      </c>
      <c r="G22" s="71"/>
      <c r="H22" s="71">
        <v>0</v>
      </c>
      <c r="I22" s="71"/>
      <c r="J22" s="71">
        <v>960</v>
      </c>
      <c r="K22" s="12" t="str">
        <f t="shared" ref="K22:K33" si="1">IF(A22&lt;=month_num,"+","-")</f>
        <v>+</v>
      </c>
    </row>
    <row r="23" spans="1:11" x14ac:dyDescent="0.75">
      <c r="A23" s="125">
        <v>2</v>
      </c>
      <c r="B23" s="13" t="s">
        <v>92</v>
      </c>
      <c r="C23" s="70"/>
      <c r="D23" s="71">
        <v>0</v>
      </c>
      <c r="E23" s="71"/>
      <c r="F23" s="71">
        <v>0</v>
      </c>
      <c r="G23" s="71"/>
      <c r="H23" s="71">
        <v>0</v>
      </c>
      <c r="I23" s="71"/>
      <c r="J23" s="71">
        <v>249</v>
      </c>
      <c r="K23" s="12" t="str">
        <f t="shared" si="1"/>
        <v>+</v>
      </c>
    </row>
    <row r="24" spans="1:11" x14ac:dyDescent="0.75">
      <c r="A24" s="125">
        <v>3</v>
      </c>
      <c r="B24" s="13" t="s">
        <v>93</v>
      </c>
      <c r="C24" s="70"/>
      <c r="D24" s="71">
        <v>0</v>
      </c>
      <c r="E24" s="71"/>
      <c r="F24" s="71">
        <v>0</v>
      </c>
      <c r="G24" s="71"/>
      <c r="H24" s="71">
        <v>0</v>
      </c>
      <c r="I24" s="71"/>
      <c r="J24" s="71">
        <v>207</v>
      </c>
      <c r="K24" s="12" t="str">
        <f t="shared" si="1"/>
        <v>+</v>
      </c>
    </row>
    <row r="25" spans="1:11" x14ac:dyDescent="0.75">
      <c r="A25" s="125">
        <v>4</v>
      </c>
      <c r="B25" s="13" t="s">
        <v>94</v>
      </c>
      <c r="C25" s="70"/>
      <c r="D25" s="71">
        <v>0</v>
      </c>
      <c r="E25" s="71"/>
      <c r="F25" s="71">
        <v>0</v>
      </c>
      <c r="G25" s="71"/>
      <c r="H25" s="71">
        <v>0</v>
      </c>
      <c r="I25" s="71"/>
      <c r="J25" s="71">
        <v>398</v>
      </c>
      <c r="K25" s="12" t="str">
        <f t="shared" si="1"/>
        <v>+</v>
      </c>
    </row>
    <row r="26" spans="1:11" x14ac:dyDescent="0.75">
      <c r="A26" s="125">
        <v>5</v>
      </c>
      <c r="B26" s="13" t="s">
        <v>49</v>
      </c>
      <c r="C26" s="70"/>
      <c r="D26" s="71">
        <v>0</v>
      </c>
      <c r="E26" s="71"/>
      <c r="F26" s="71">
        <v>0</v>
      </c>
      <c r="G26" s="71"/>
      <c r="H26" s="71">
        <v>0</v>
      </c>
      <c r="I26" s="71"/>
      <c r="J26" s="71">
        <v>367</v>
      </c>
      <c r="K26" s="12" t="str">
        <f t="shared" si="1"/>
        <v>+</v>
      </c>
    </row>
    <row r="27" spans="1:11" x14ac:dyDescent="0.75">
      <c r="A27" s="125">
        <v>6</v>
      </c>
      <c r="B27" s="13" t="s">
        <v>95</v>
      </c>
      <c r="C27" s="70"/>
      <c r="D27" s="71">
        <v>0</v>
      </c>
      <c r="E27" s="71"/>
      <c r="F27" s="71">
        <v>0</v>
      </c>
      <c r="G27" s="71"/>
      <c r="H27" s="71">
        <v>0</v>
      </c>
      <c r="I27" s="71"/>
      <c r="J27" s="71">
        <v>128</v>
      </c>
      <c r="K27" s="12" t="str">
        <f t="shared" si="1"/>
        <v>+</v>
      </c>
    </row>
    <row r="28" spans="1:11" x14ac:dyDescent="0.75">
      <c r="A28" s="125">
        <v>7</v>
      </c>
      <c r="B28" s="13" t="s">
        <v>96</v>
      </c>
      <c r="C28" s="70"/>
      <c r="D28" s="71">
        <v>0</v>
      </c>
      <c r="E28" s="71"/>
      <c r="F28" s="71">
        <v>0</v>
      </c>
      <c r="G28" s="71"/>
      <c r="H28" s="71">
        <v>0</v>
      </c>
      <c r="I28" s="71"/>
      <c r="J28" s="71">
        <v>60</v>
      </c>
      <c r="K28" s="12" t="str">
        <f t="shared" si="1"/>
        <v>+</v>
      </c>
    </row>
    <row r="29" spans="1:11" x14ac:dyDescent="0.75">
      <c r="A29" s="125">
        <v>8</v>
      </c>
      <c r="B29" s="13" t="s">
        <v>97</v>
      </c>
      <c r="C29" s="70"/>
      <c r="D29" s="71">
        <v>0</v>
      </c>
      <c r="E29" s="71"/>
      <c r="F29" s="71">
        <v>0</v>
      </c>
      <c r="G29" s="71"/>
      <c r="H29" s="71">
        <v>0</v>
      </c>
      <c r="I29" s="71"/>
      <c r="J29" s="71">
        <v>31</v>
      </c>
      <c r="K29" s="12" t="str">
        <f t="shared" si="1"/>
        <v>+</v>
      </c>
    </row>
    <row r="30" spans="1:11" x14ac:dyDescent="0.75">
      <c r="A30" s="125">
        <v>9</v>
      </c>
      <c r="B30" s="13" t="s">
        <v>98</v>
      </c>
      <c r="C30" s="70"/>
      <c r="D30" s="71">
        <v>0</v>
      </c>
      <c r="E30" s="71"/>
      <c r="F30" s="71">
        <v>0</v>
      </c>
      <c r="G30" s="71"/>
      <c r="H30" s="71">
        <v>0</v>
      </c>
      <c r="I30" s="71"/>
      <c r="J30" s="71">
        <v>29</v>
      </c>
      <c r="K30" s="12" t="str">
        <f t="shared" si="1"/>
        <v>+</v>
      </c>
    </row>
    <row r="31" spans="1:11" x14ac:dyDescent="0.75">
      <c r="A31" s="125">
        <v>10</v>
      </c>
      <c r="B31" s="13" t="s">
        <v>99</v>
      </c>
      <c r="C31" s="70"/>
      <c r="D31" s="71">
        <v>0</v>
      </c>
      <c r="E31" s="71"/>
      <c r="F31" s="71">
        <v>0</v>
      </c>
      <c r="G31" s="71"/>
      <c r="H31" s="71">
        <v>0</v>
      </c>
      <c r="I31" s="71"/>
      <c r="J31" s="71">
        <v>309</v>
      </c>
      <c r="K31" s="12" t="str">
        <f t="shared" si="1"/>
        <v>+</v>
      </c>
    </row>
    <row r="32" spans="1:11" x14ac:dyDescent="0.75">
      <c r="A32" s="125">
        <v>11</v>
      </c>
      <c r="B32" s="13" t="s">
        <v>100</v>
      </c>
      <c r="C32" s="70"/>
      <c r="D32" s="71">
        <v>0</v>
      </c>
      <c r="E32" s="71"/>
      <c r="F32" s="71">
        <v>0</v>
      </c>
      <c r="G32" s="71"/>
      <c r="H32" s="71">
        <v>0</v>
      </c>
      <c r="I32" s="71"/>
      <c r="J32" s="71">
        <v>299</v>
      </c>
      <c r="K32" s="12" t="str">
        <f t="shared" si="1"/>
        <v>+</v>
      </c>
    </row>
    <row r="33" spans="1:11" x14ac:dyDescent="0.75">
      <c r="A33" s="125">
        <v>12</v>
      </c>
      <c r="B33" s="164" t="s">
        <v>101</v>
      </c>
      <c r="C33" s="70"/>
      <c r="D33" s="71">
        <v>0</v>
      </c>
      <c r="E33" s="71"/>
      <c r="F33" s="71">
        <v>0</v>
      </c>
      <c r="G33" s="71"/>
      <c r="H33" s="71">
        <v>0</v>
      </c>
      <c r="I33" s="71"/>
      <c r="J33" s="71">
        <v>0</v>
      </c>
      <c r="K33" s="12" t="str">
        <f t="shared" si="1"/>
        <v>+</v>
      </c>
    </row>
    <row r="34" spans="1:11" x14ac:dyDescent="0.75">
      <c r="A34" s="125"/>
      <c r="B34" s="74" t="s">
        <v>157</v>
      </c>
      <c r="C34" s="165"/>
      <c r="D34" s="166">
        <f>SUM(D22:D33)</f>
        <v>0</v>
      </c>
      <c r="E34" s="90"/>
      <c r="F34" s="166">
        <f>SUM(F22:F33)</f>
        <v>0</v>
      </c>
      <c r="G34" s="90"/>
      <c r="H34" s="166">
        <f>SUM(H22:H33)</f>
        <v>0</v>
      </c>
      <c r="I34" s="90"/>
      <c r="J34" s="166">
        <f>SUM(J22:J33)</f>
        <v>3037</v>
      </c>
      <c r="K34" t="s">
        <v>88</v>
      </c>
    </row>
  </sheetData>
  <protectedRanges>
    <protectedRange sqref="D6:J19 D22:J34" name="safety_table_1"/>
  </protectedRanges>
  <mergeCells count="2">
    <mergeCell ref="B4:C4"/>
    <mergeCell ref="B20:C2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BB97-C569-4CFE-8978-D4FD099563C2}">
  <sheetPr>
    <tabColor theme="9" tint="0.79998168889431442"/>
  </sheetPr>
  <dimension ref="A1:E26"/>
  <sheetViews>
    <sheetView workbookViewId="0">
      <selection activeCell="D6" sqref="D6"/>
    </sheetView>
  </sheetViews>
  <sheetFormatPr defaultRowHeight="14.75" x14ac:dyDescent="0.75"/>
  <cols>
    <col min="1" max="2" width="11.26953125" customWidth="1"/>
    <col min="3" max="3" width="14" customWidth="1"/>
    <col min="4" max="4" width="51.86328125" customWidth="1"/>
  </cols>
  <sheetData>
    <row r="1" spans="1:5" x14ac:dyDescent="0.75">
      <c r="A1" s="161" t="s">
        <v>473</v>
      </c>
    </row>
    <row r="2" spans="1:5" s="127" customFormat="1" x14ac:dyDescent="0.75">
      <c r="A2" s="61"/>
    </row>
    <row r="3" spans="1:5" s="127" customFormat="1" x14ac:dyDescent="0.75">
      <c r="A3" s="61"/>
    </row>
    <row r="5" spans="1:5" x14ac:dyDescent="0.75">
      <c r="A5" s="143" t="s">
        <v>136</v>
      </c>
      <c r="B5" s="143" t="s">
        <v>137</v>
      </c>
      <c r="C5" s="143" t="s">
        <v>134</v>
      </c>
      <c r="D5" s="143" t="s">
        <v>132</v>
      </c>
      <c r="E5" s="209" t="s">
        <v>88</v>
      </c>
    </row>
    <row r="6" spans="1:5" x14ac:dyDescent="0.75">
      <c r="A6" s="131"/>
      <c r="B6" s="131"/>
      <c r="C6" s="131"/>
      <c r="D6" s="132" t="s">
        <v>581</v>
      </c>
      <c r="E6" s="209" t="s">
        <v>88</v>
      </c>
    </row>
    <row r="7" spans="1:5" x14ac:dyDescent="0.75">
      <c r="A7" s="131"/>
      <c r="B7" s="131"/>
      <c r="C7" s="131"/>
      <c r="D7" s="132"/>
      <c r="E7" t="str">
        <f>IF(D7="","-","+")</f>
        <v>-</v>
      </c>
    </row>
    <row r="8" spans="1:5" x14ac:dyDescent="0.75">
      <c r="A8" s="131"/>
      <c r="B8" s="131"/>
      <c r="C8" s="131"/>
      <c r="D8" s="132"/>
      <c r="E8" s="127" t="str">
        <f t="shared" ref="E8:E15" si="0">IF(D8="","-","+")</f>
        <v>-</v>
      </c>
    </row>
    <row r="9" spans="1:5" x14ac:dyDescent="0.75">
      <c r="A9" s="85"/>
      <c r="B9" s="85"/>
      <c r="C9" s="85"/>
      <c r="D9" s="85"/>
      <c r="E9" s="127" t="str">
        <f t="shared" si="0"/>
        <v>-</v>
      </c>
    </row>
    <row r="10" spans="1:5" x14ac:dyDescent="0.75">
      <c r="A10" s="85"/>
      <c r="B10" s="85"/>
      <c r="C10" s="85"/>
      <c r="D10" s="85"/>
      <c r="E10" s="127" t="str">
        <f t="shared" si="0"/>
        <v>-</v>
      </c>
    </row>
    <row r="11" spans="1:5" x14ac:dyDescent="0.75">
      <c r="A11" s="85"/>
      <c r="B11" s="85"/>
      <c r="C11" s="85"/>
      <c r="D11" s="85"/>
      <c r="E11" s="127" t="str">
        <f t="shared" si="0"/>
        <v>-</v>
      </c>
    </row>
    <row r="12" spans="1:5" x14ac:dyDescent="0.75">
      <c r="A12" s="85"/>
      <c r="B12" s="85"/>
      <c r="C12" s="85"/>
      <c r="D12" s="85"/>
      <c r="E12" s="127" t="str">
        <f t="shared" si="0"/>
        <v>-</v>
      </c>
    </row>
    <row r="13" spans="1:5" x14ac:dyDescent="0.75">
      <c r="A13" s="85"/>
      <c r="B13" s="85"/>
      <c r="C13" s="85"/>
      <c r="D13" s="85"/>
      <c r="E13" s="127" t="str">
        <f t="shared" si="0"/>
        <v>-</v>
      </c>
    </row>
    <row r="14" spans="1:5" x14ac:dyDescent="0.75">
      <c r="A14" s="85"/>
      <c r="B14" s="85"/>
      <c r="C14" s="85"/>
      <c r="D14" s="85"/>
      <c r="E14" s="127" t="str">
        <f t="shared" si="0"/>
        <v>-</v>
      </c>
    </row>
    <row r="15" spans="1:5" x14ac:dyDescent="0.75">
      <c r="A15" s="85"/>
      <c r="B15" s="85"/>
      <c r="C15" s="85"/>
      <c r="D15" s="85"/>
      <c r="E15" s="127" t="str">
        <f t="shared" si="0"/>
        <v>-</v>
      </c>
    </row>
    <row r="16" spans="1:5" x14ac:dyDescent="0.75">
      <c r="A16" s="85"/>
      <c r="B16" s="85"/>
      <c r="C16" s="85"/>
      <c r="D16" s="85"/>
    </row>
    <row r="17" spans="1:4" x14ac:dyDescent="0.75">
      <c r="A17" s="85"/>
      <c r="B17" s="85"/>
      <c r="C17" s="85"/>
      <c r="D17" s="85"/>
    </row>
    <row r="18" spans="1:4" x14ac:dyDescent="0.75">
      <c r="A18" s="85"/>
      <c r="B18" s="85"/>
      <c r="C18" s="85"/>
      <c r="D18" s="85"/>
    </row>
    <row r="19" spans="1:4" x14ac:dyDescent="0.75">
      <c r="A19" s="85"/>
      <c r="B19" s="85"/>
      <c r="C19" s="85"/>
      <c r="D19" s="85"/>
    </row>
    <row r="20" spans="1:4" x14ac:dyDescent="0.75">
      <c r="A20" s="85"/>
      <c r="B20" s="85"/>
      <c r="C20" s="85"/>
      <c r="D20" s="85"/>
    </row>
    <row r="21" spans="1:4" x14ac:dyDescent="0.75">
      <c r="A21" s="85"/>
      <c r="B21" s="85"/>
      <c r="C21" s="85"/>
      <c r="D21" s="85"/>
    </row>
    <row r="22" spans="1:4" x14ac:dyDescent="0.75">
      <c r="A22" s="85"/>
      <c r="B22" s="85"/>
      <c r="C22" s="85"/>
      <c r="D22" s="85"/>
    </row>
    <row r="23" spans="1:4" x14ac:dyDescent="0.75">
      <c r="A23" s="85"/>
      <c r="B23" s="85"/>
      <c r="C23" s="85"/>
      <c r="D23" s="85"/>
    </row>
    <row r="24" spans="1:4" x14ac:dyDescent="0.75">
      <c r="A24" s="85"/>
      <c r="B24" s="85"/>
      <c r="C24" s="85"/>
      <c r="D24" s="85"/>
    </row>
    <row r="25" spans="1:4" x14ac:dyDescent="0.75">
      <c r="A25" s="85"/>
      <c r="B25" s="85"/>
      <c r="C25" s="85"/>
      <c r="D25" s="85"/>
    </row>
    <row r="26" spans="1:4" x14ac:dyDescent="0.75">
      <c r="A26" s="85"/>
      <c r="B26" s="85"/>
      <c r="C26" s="85"/>
      <c r="D26" s="8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5A57D-28D1-4AEF-BDF5-80A3B6F86452}">
  <sheetPr>
    <tabColor theme="9" tint="0.79998168889431442"/>
  </sheetPr>
  <dimension ref="A1:I17"/>
  <sheetViews>
    <sheetView workbookViewId="0">
      <selection activeCell="H4" sqref="H4"/>
    </sheetView>
  </sheetViews>
  <sheetFormatPr defaultRowHeight="14.75" x14ac:dyDescent="0.75"/>
  <cols>
    <col min="1" max="1" width="8" customWidth="1"/>
    <col min="2" max="2" width="9" customWidth="1"/>
    <col min="3" max="3" width="13.7265625" customWidth="1"/>
    <col min="4" max="5" width="10.1328125" customWidth="1"/>
    <col min="6" max="6" width="8.7265625" customWidth="1"/>
    <col min="7" max="7" width="9.40625" customWidth="1"/>
    <col min="8" max="8" width="30.7265625" customWidth="1"/>
  </cols>
  <sheetData>
    <row r="1" spans="1:9" x14ac:dyDescent="0.75">
      <c r="A1" s="174" t="s">
        <v>494</v>
      </c>
      <c r="B1" s="175"/>
      <c r="C1" s="11"/>
      <c r="D1" s="11"/>
      <c r="E1" s="11"/>
      <c r="F1" s="12"/>
      <c r="G1" s="176"/>
      <c r="H1" s="177"/>
      <c r="I1" s="12"/>
    </row>
    <row r="2" spans="1:9" x14ac:dyDescent="0.75">
      <c r="A2" s="12"/>
      <c r="B2" s="12"/>
      <c r="C2" s="12"/>
      <c r="D2" s="12"/>
      <c r="E2" s="12"/>
      <c r="F2" s="12"/>
      <c r="G2" s="176"/>
      <c r="H2" s="177"/>
      <c r="I2" s="12"/>
    </row>
    <row r="3" spans="1:9" ht="33" customHeight="1" x14ac:dyDescent="0.75">
      <c r="A3" s="178" t="s">
        <v>495</v>
      </c>
      <c r="B3" s="178" t="s">
        <v>496</v>
      </c>
      <c r="C3" s="178" t="s">
        <v>497</v>
      </c>
      <c r="D3" s="178" t="s">
        <v>136</v>
      </c>
      <c r="E3" s="25" t="s">
        <v>498</v>
      </c>
      <c r="F3" s="178" t="s">
        <v>9</v>
      </c>
      <c r="G3" s="179" t="s">
        <v>499</v>
      </c>
      <c r="H3" s="178" t="s">
        <v>500</v>
      </c>
      <c r="I3" s="180" t="s">
        <v>88</v>
      </c>
    </row>
    <row r="4" spans="1:9" x14ac:dyDescent="0.75">
      <c r="A4" s="17"/>
      <c r="B4" s="71"/>
      <c r="C4" s="13"/>
      <c r="D4" s="181"/>
      <c r="E4" s="181"/>
      <c r="F4" s="129"/>
      <c r="G4" s="182"/>
      <c r="H4" s="17" t="s">
        <v>575</v>
      </c>
      <c r="I4" s="180" t="s">
        <v>88</v>
      </c>
    </row>
    <row r="5" spans="1:9" x14ac:dyDescent="0.75">
      <c r="A5" s="17"/>
      <c r="B5" s="71"/>
      <c r="C5" s="13"/>
      <c r="D5" s="181"/>
      <c r="E5" s="181"/>
      <c r="F5" s="129"/>
      <c r="G5" s="182"/>
      <c r="H5" s="17"/>
      <c r="I5" s="180" t="s">
        <v>91</v>
      </c>
    </row>
    <row r="6" spans="1:9" x14ac:dyDescent="0.75">
      <c r="A6" s="17"/>
      <c r="B6" s="13"/>
      <c r="C6" s="13"/>
      <c r="D6" s="181"/>
      <c r="E6" s="181"/>
      <c r="F6" s="129"/>
      <c r="G6" s="182"/>
      <c r="H6" s="17"/>
      <c r="I6" s="180" t="s">
        <v>91</v>
      </c>
    </row>
    <row r="7" spans="1:9" x14ac:dyDescent="0.75">
      <c r="A7" s="17"/>
      <c r="B7" s="13"/>
      <c r="C7" s="13"/>
      <c r="D7" s="181"/>
      <c r="E7" s="181"/>
      <c r="F7" s="129"/>
      <c r="G7" s="182"/>
      <c r="H7" s="17"/>
      <c r="I7" s="180" t="s">
        <v>91</v>
      </c>
    </row>
    <row r="8" spans="1:9" x14ac:dyDescent="0.75">
      <c r="A8" s="17"/>
      <c r="B8" s="13"/>
      <c r="C8" s="13"/>
      <c r="D8" s="181"/>
      <c r="E8" s="181"/>
      <c r="F8" s="129"/>
      <c r="G8" s="182"/>
      <c r="H8" s="17"/>
      <c r="I8" s="180" t="s">
        <v>91</v>
      </c>
    </row>
    <row r="9" spans="1:9" x14ac:dyDescent="0.75">
      <c r="A9" s="17"/>
      <c r="B9" s="13"/>
      <c r="C9" s="13"/>
      <c r="D9" s="181"/>
      <c r="E9" s="181"/>
      <c r="F9" s="129"/>
      <c r="G9" s="182"/>
      <c r="H9" s="17"/>
      <c r="I9" s="180" t="s">
        <v>91</v>
      </c>
    </row>
    <row r="10" spans="1:9" x14ac:dyDescent="0.75">
      <c r="A10" s="17"/>
      <c r="B10" s="13"/>
      <c r="C10" s="13"/>
      <c r="D10" s="181"/>
      <c r="E10" s="181"/>
      <c r="F10" s="129"/>
      <c r="G10" s="182"/>
      <c r="H10" s="17"/>
      <c r="I10" s="180" t="s">
        <v>91</v>
      </c>
    </row>
    <row r="11" spans="1:9" x14ac:dyDescent="0.75">
      <c r="A11" s="17"/>
      <c r="B11" s="13"/>
      <c r="C11" s="13"/>
      <c r="D11" s="181"/>
      <c r="E11" s="181"/>
      <c r="F11" s="129"/>
      <c r="G11" s="182"/>
      <c r="H11" s="17"/>
      <c r="I11" s="180" t="s">
        <v>91</v>
      </c>
    </row>
    <row r="12" spans="1:9" x14ac:dyDescent="0.75">
      <c r="A12" s="17"/>
      <c r="B12" s="13"/>
      <c r="C12" s="13"/>
      <c r="D12" s="181"/>
      <c r="E12" s="181"/>
      <c r="F12" s="129"/>
      <c r="G12" s="182"/>
      <c r="H12" s="17"/>
      <c r="I12" s="180" t="s">
        <v>91</v>
      </c>
    </row>
    <row r="13" spans="1:9" x14ac:dyDescent="0.75">
      <c r="A13" s="17"/>
      <c r="B13" s="13"/>
      <c r="C13" s="13"/>
      <c r="D13" s="181"/>
      <c r="E13" s="181"/>
      <c r="F13" s="129"/>
      <c r="G13" s="182"/>
      <c r="H13" s="17"/>
      <c r="I13" s="180" t="s">
        <v>91</v>
      </c>
    </row>
    <row r="14" spans="1:9" x14ac:dyDescent="0.75">
      <c r="A14" s="17"/>
      <c r="B14" s="13"/>
      <c r="C14" s="13"/>
      <c r="D14" s="181"/>
      <c r="E14" s="181"/>
      <c r="F14" s="129"/>
      <c r="G14" s="182"/>
      <c r="H14" s="17"/>
      <c r="I14" s="180" t="s">
        <v>91</v>
      </c>
    </row>
    <row r="15" spans="1:9" x14ac:dyDescent="0.75">
      <c r="A15" s="17"/>
      <c r="B15" s="13"/>
      <c r="C15" s="13"/>
      <c r="D15" s="181"/>
      <c r="E15" s="181"/>
      <c r="F15" s="129"/>
      <c r="G15" s="183"/>
      <c r="H15" s="17"/>
      <c r="I15" s="180" t="s">
        <v>91</v>
      </c>
    </row>
    <row r="16" spans="1:9" x14ac:dyDescent="0.75">
      <c r="A16" s="17"/>
      <c r="B16" s="13"/>
      <c r="C16" s="13"/>
      <c r="D16" s="181"/>
      <c r="E16" s="181"/>
      <c r="F16" s="129"/>
      <c r="G16" s="183"/>
      <c r="H16" s="17"/>
      <c r="I16" s="180" t="s">
        <v>91</v>
      </c>
    </row>
    <row r="17" spans="1:9" x14ac:dyDescent="0.75">
      <c r="A17" s="128"/>
      <c r="B17" s="128"/>
      <c r="C17" s="128"/>
      <c r="D17" s="128"/>
      <c r="E17" s="128"/>
      <c r="F17" s="128"/>
      <c r="G17" s="20"/>
      <c r="H17" s="180"/>
      <c r="I17" s="128" t="s">
        <v>91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D0051-34C0-4BB8-88E7-C4C9CC531CB2}">
  <sheetPr>
    <tabColor theme="9" tint="0.79998168889431442"/>
  </sheetPr>
  <dimension ref="A1:H25"/>
  <sheetViews>
    <sheetView tabSelected="1" workbookViewId="0">
      <selection activeCell="I6" sqref="I6"/>
    </sheetView>
  </sheetViews>
  <sheetFormatPr defaultRowHeight="14.75" x14ac:dyDescent="0.75"/>
  <cols>
    <col min="1" max="1" width="19.1328125" customWidth="1"/>
    <col min="2" max="4" width="10.54296875" style="111" customWidth="1"/>
    <col min="5" max="5" width="10.54296875" customWidth="1"/>
    <col min="6" max="6" width="10.26953125" customWidth="1"/>
    <col min="7" max="7" width="17.86328125" customWidth="1"/>
  </cols>
  <sheetData>
    <row r="1" spans="1:8" x14ac:dyDescent="0.75">
      <c r="A1" s="161" t="s">
        <v>483</v>
      </c>
      <c r="B1" s="61"/>
      <c r="C1" s="61"/>
      <c r="D1" s="61"/>
      <c r="E1" s="110"/>
      <c r="F1" s="110"/>
      <c r="G1" s="110"/>
    </row>
    <row r="2" spans="1:8" x14ac:dyDescent="0.75">
      <c r="A2" s="110"/>
      <c r="E2" s="110"/>
      <c r="F2" s="110"/>
      <c r="G2" s="110"/>
    </row>
    <row r="3" spans="1:8" x14ac:dyDescent="0.75">
      <c r="A3" s="141" t="s">
        <v>132</v>
      </c>
      <c r="B3" s="141" t="s">
        <v>474</v>
      </c>
      <c r="C3" s="141" t="s">
        <v>475</v>
      </c>
      <c r="D3" s="141" t="s">
        <v>476</v>
      </c>
      <c r="E3" s="142" t="s">
        <v>477</v>
      </c>
      <c r="F3" s="142" t="s">
        <v>478</v>
      </c>
      <c r="G3" s="142" t="s">
        <v>9</v>
      </c>
      <c r="H3" s="9" t="s">
        <v>88</v>
      </c>
    </row>
    <row r="4" spans="1:8" x14ac:dyDescent="0.75">
      <c r="A4" s="131" t="s">
        <v>479</v>
      </c>
      <c r="B4" s="131">
        <v>44474</v>
      </c>
      <c r="C4" s="131">
        <v>44476</v>
      </c>
      <c r="D4" s="131" t="s">
        <v>91</v>
      </c>
      <c r="E4" s="132" t="s">
        <v>91</v>
      </c>
      <c r="F4" s="208">
        <v>1</v>
      </c>
      <c r="G4" s="132" t="s">
        <v>480</v>
      </c>
      <c r="H4" s="9" t="str">
        <f>IF(A4="","-","+")</f>
        <v>+</v>
      </c>
    </row>
    <row r="5" spans="1:8" x14ac:dyDescent="0.75">
      <c r="A5" s="131" t="s">
        <v>481</v>
      </c>
      <c r="B5" s="131">
        <v>44470</v>
      </c>
      <c r="C5" s="131">
        <v>44560</v>
      </c>
      <c r="D5" s="131"/>
      <c r="E5" s="132"/>
      <c r="F5" s="208">
        <v>1</v>
      </c>
      <c r="G5" s="132" t="s">
        <v>480</v>
      </c>
      <c r="H5" s="9" t="str">
        <f t="shared" ref="H5:H22" si="0">IF(A5="","-","+")</f>
        <v>+</v>
      </c>
    </row>
    <row r="6" spans="1:8" x14ac:dyDescent="0.75">
      <c r="A6" s="131" t="s">
        <v>482</v>
      </c>
      <c r="B6" s="131">
        <v>44200</v>
      </c>
      <c r="C6" s="131">
        <v>44285</v>
      </c>
      <c r="D6" s="131" t="s">
        <v>91</v>
      </c>
      <c r="E6" s="132" t="s">
        <v>91</v>
      </c>
      <c r="F6" s="208">
        <v>1</v>
      </c>
      <c r="G6" s="132" t="s">
        <v>480</v>
      </c>
      <c r="H6" s="9" t="str">
        <f t="shared" si="0"/>
        <v>+</v>
      </c>
    </row>
    <row r="7" spans="1:8" x14ac:dyDescent="0.75">
      <c r="A7" s="131"/>
      <c r="B7" s="131" t="s">
        <v>91</v>
      </c>
      <c r="C7" s="131" t="s">
        <v>91</v>
      </c>
      <c r="D7" s="131" t="s">
        <v>91</v>
      </c>
      <c r="E7" s="132" t="s">
        <v>91</v>
      </c>
      <c r="F7" s="132"/>
      <c r="G7" s="132"/>
      <c r="H7" s="9" t="str">
        <f t="shared" si="0"/>
        <v>-</v>
      </c>
    </row>
    <row r="8" spans="1:8" x14ac:dyDescent="0.75">
      <c r="A8" s="131"/>
      <c r="B8" s="131"/>
      <c r="C8" s="131"/>
      <c r="D8" s="131"/>
      <c r="E8" s="132"/>
      <c r="F8" s="132"/>
      <c r="G8" s="132"/>
      <c r="H8" s="9" t="str">
        <f t="shared" si="0"/>
        <v>-</v>
      </c>
    </row>
    <row r="9" spans="1:8" x14ac:dyDescent="0.75">
      <c r="A9" s="131"/>
      <c r="B9" s="131"/>
      <c r="C9" s="131"/>
      <c r="D9" s="131"/>
      <c r="E9" s="132"/>
      <c r="F9" s="132"/>
      <c r="G9" s="132"/>
      <c r="H9" s="9" t="str">
        <f t="shared" si="0"/>
        <v>-</v>
      </c>
    </row>
    <row r="10" spans="1:8" x14ac:dyDescent="0.75">
      <c r="A10" s="131"/>
      <c r="B10" s="131"/>
      <c r="C10" s="131"/>
      <c r="D10" s="131"/>
      <c r="E10" s="132"/>
      <c r="F10" s="132"/>
      <c r="G10" s="132"/>
      <c r="H10" s="9" t="str">
        <f t="shared" si="0"/>
        <v>-</v>
      </c>
    </row>
    <row r="11" spans="1:8" x14ac:dyDescent="0.75">
      <c r="A11" s="131"/>
      <c r="B11" s="131"/>
      <c r="C11" s="131"/>
      <c r="D11" s="131"/>
      <c r="E11" s="132"/>
      <c r="F11" s="132"/>
      <c r="G11" s="132"/>
      <c r="H11" s="9" t="str">
        <f t="shared" si="0"/>
        <v>-</v>
      </c>
    </row>
    <row r="12" spans="1:8" x14ac:dyDescent="0.75">
      <c r="A12" s="131"/>
      <c r="B12" s="131"/>
      <c r="C12" s="131"/>
      <c r="D12" s="131"/>
      <c r="E12" s="132"/>
      <c r="F12" s="132"/>
      <c r="G12" s="132"/>
      <c r="H12" s="9" t="str">
        <f t="shared" si="0"/>
        <v>-</v>
      </c>
    </row>
    <row r="13" spans="1:8" x14ac:dyDescent="0.75">
      <c r="A13" s="131"/>
      <c r="B13" s="131"/>
      <c r="C13" s="131"/>
      <c r="D13" s="131"/>
      <c r="E13" s="132"/>
      <c r="F13" s="132"/>
      <c r="G13" s="132"/>
      <c r="H13" s="9" t="str">
        <f t="shared" si="0"/>
        <v>-</v>
      </c>
    </row>
    <row r="14" spans="1:8" x14ac:dyDescent="0.75">
      <c r="A14" s="131"/>
      <c r="B14" s="131"/>
      <c r="C14" s="131"/>
      <c r="D14" s="131"/>
      <c r="E14" s="132"/>
      <c r="F14" s="132"/>
      <c r="G14" s="132"/>
      <c r="H14" s="9" t="str">
        <f t="shared" si="0"/>
        <v>-</v>
      </c>
    </row>
    <row r="15" spans="1:8" x14ac:dyDescent="0.75">
      <c r="A15" s="131"/>
      <c r="B15" s="131"/>
      <c r="C15" s="131"/>
      <c r="D15" s="131"/>
      <c r="E15" s="132"/>
      <c r="F15" s="132"/>
      <c r="G15" s="132"/>
      <c r="H15" s="9" t="str">
        <f t="shared" si="0"/>
        <v>-</v>
      </c>
    </row>
    <row r="16" spans="1:8" x14ac:dyDescent="0.75">
      <c r="A16" s="131"/>
      <c r="B16" s="131"/>
      <c r="C16" s="131"/>
      <c r="D16" s="131"/>
      <c r="E16" s="132"/>
      <c r="F16" s="132"/>
      <c r="G16" s="132"/>
      <c r="H16" s="9" t="str">
        <f t="shared" si="0"/>
        <v>-</v>
      </c>
    </row>
    <row r="17" spans="1:8" x14ac:dyDescent="0.75">
      <c r="A17" s="131"/>
      <c r="B17" s="131"/>
      <c r="C17" s="131"/>
      <c r="D17" s="131"/>
      <c r="E17" s="132"/>
      <c r="F17" s="132"/>
      <c r="G17" s="132"/>
      <c r="H17" s="9" t="str">
        <f t="shared" si="0"/>
        <v>-</v>
      </c>
    </row>
    <row r="18" spans="1:8" x14ac:dyDescent="0.75">
      <c r="A18" s="131"/>
      <c r="B18" s="131"/>
      <c r="C18" s="131"/>
      <c r="D18" s="131"/>
      <c r="E18" s="132"/>
      <c r="F18" s="132"/>
      <c r="G18" s="132"/>
      <c r="H18" s="9" t="str">
        <f t="shared" si="0"/>
        <v>-</v>
      </c>
    </row>
    <row r="19" spans="1:8" x14ac:dyDescent="0.75">
      <c r="A19" s="131"/>
      <c r="B19" s="131"/>
      <c r="C19" s="131"/>
      <c r="D19" s="131"/>
      <c r="E19" s="132"/>
      <c r="F19" s="132"/>
      <c r="G19" s="132"/>
      <c r="H19" s="9" t="str">
        <f t="shared" si="0"/>
        <v>-</v>
      </c>
    </row>
    <row r="20" spans="1:8" x14ac:dyDescent="0.75">
      <c r="A20" s="131"/>
      <c r="B20" s="131"/>
      <c r="C20" s="131"/>
      <c r="D20" s="131"/>
      <c r="E20" s="132"/>
      <c r="F20" s="132"/>
      <c r="G20" s="132"/>
      <c r="H20" s="9" t="str">
        <f t="shared" si="0"/>
        <v>-</v>
      </c>
    </row>
    <row r="21" spans="1:8" x14ac:dyDescent="0.75">
      <c r="A21" s="9"/>
      <c r="B21" s="9"/>
      <c r="C21" s="9"/>
      <c r="D21" s="9"/>
      <c r="E21" s="9"/>
      <c r="F21" s="9"/>
      <c r="G21" s="9"/>
      <c r="H21" s="9" t="str">
        <f t="shared" si="0"/>
        <v>-</v>
      </c>
    </row>
    <row r="22" spans="1:8" x14ac:dyDescent="0.75">
      <c r="A22" s="9"/>
      <c r="B22" s="9"/>
      <c r="C22" s="9"/>
      <c r="D22" s="9"/>
      <c r="E22" s="9"/>
      <c r="F22" s="9"/>
      <c r="G22" s="9"/>
      <c r="H22" s="9" t="str">
        <f t="shared" si="0"/>
        <v>-</v>
      </c>
    </row>
    <row r="23" spans="1:8" x14ac:dyDescent="0.75">
      <c r="A23" s="9"/>
      <c r="B23" s="9"/>
      <c r="C23" s="9"/>
      <c r="D23" s="9"/>
      <c r="E23" s="9"/>
      <c r="F23" s="9"/>
      <c r="G23" s="9"/>
      <c r="H23" s="9"/>
    </row>
    <row r="24" spans="1:8" x14ac:dyDescent="0.75">
      <c r="A24" s="9"/>
      <c r="B24" s="9"/>
      <c r="C24" s="9"/>
      <c r="D24" s="9"/>
      <c r="E24" s="9"/>
      <c r="F24" s="9"/>
      <c r="G24" s="9"/>
      <c r="H24" s="9"/>
    </row>
    <row r="25" spans="1:8" x14ac:dyDescent="0.75">
      <c r="A25" s="9"/>
      <c r="B25" s="9"/>
      <c r="C25" s="9"/>
      <c r="D25" s="9"/>
      <c r="E25" s="9"/>
      <c r="F25" s="9"/>
      <c r="G25" s="9"/>
      <c r="H25" s="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CD99-E2CB-4B4F-A3CA-11BF792F1F6E}">
  <dimension ref="A1:R30"/>
  <sheetViews>
    <sheetView topLeftCell="B1" workbookViewId="0"/>
  </sheetViews>
  <sheetFormatPr defaultRowHeight="14.75" x14ac:dyDescent="0.75"/>
  <cols>
    <col min="1" max="1" width="35.40625" bestFit="1" customWidth="1"/>
    <col min="2" max="2" width="10.1328125" bestFit="1" customWidth="1"/>
    <col min="3" max="3" width="12.26953125" bestFit="1" customWidth="1"/>
    <col min="4" max="4" width="10.1328125" bestFit="1" customWidth="1"/>
    <col min="5" max="5" width="35.40625" bestFit="1" customWidth="1"/>
    <col min="6" max="6" width="10.1328125" bestFit="1" customWidth="1"/>
    <col min="7" max="7" width="12.26953125" bestFit="1" customWidth="1"/>
    <col min="8" max="8" width="10.1328125" bestFit="1" customWidth="1"/>
    <col min="9" max="9" width="16.86328125" bestFit="1" customWidth="1"/>
    <col min="10" max="12" width="12.26953125" bestFit="1" customWidth="1"/>
    <col min="13" max="13" width="11.1328125" bestFit="1" customWidth="1"/>
    <col min="14" max="14" width="14.86328125" bestFit="1" customWidth="1"/>
    <col min="15" max="17" width="12.26953125" bestFit="1" customWidth="1"/>
    <col min="18" max="18" width="11.1328125" bestFit="1" customWidth="1"/>
  </cols>
  <sheetData>
    <row r="1" spans="1:18" x14ac:dyDescent="0.75">
      <c r="A1" t="s">
        <v>423</v>
      </c>
      <c r="B1" t="s">
        <v>184</v>
      </c>
      <c r="C1" t="s">
        <v>185</v>
      </c>
      <c r="D1" t="s">
        <v>186</v>
      </c>
      <c r="E1" t="s">
        <v>157</v>
      </c>
      <c r="F1" t="s">
        <v>188</v>
      </c>
      <c r="G1" t="s">
        <v>189</v>
      </c>
      <c r="H1" t="s">
        <v>190</v>
      </c>
      <c r="I1" t="s">
        <v>424</v>
      </c>
      <c r="J1" t="s">
        <v>192</v>
      </c>
      <c r="K1" t="s">
        <v>193</v>
      </c>
      <c r="L1" t="s">
        <v>194</v>
      </c>
      <c r="M1" t="s">
        <v>195</v>
      </c>
      <c r="N1" t="s">
        <v>425</v>
      </c>
      <c r="O1" t="s">
        <v>197</v>
      </c>
      <c r="P1" t="s">
        <v>198</v>
      </c>
      <c r="Q1" t="s">
        <v>199</v>
      </c>
      <c r="R1" t="s">
        <v>259</v>
      </c>
    </row>
    <row r="2" spans="1:18" x14ac:dyDescent="0.75">
      <c r="A2" s="127"/>
      <c r="B2" s="127"/>
      <c r="C2" s="127"/>
      <c r="D2" s="127"/>
      <c r="E2" s="127"/>
      <c r="F2" s="127"/>
      <c r="G2" s="127"/>
      <c r="H2" s="127"/>
      <c r="I2" s="127"/>
      <c r="J2" s="127" t="s">
        <v>426</v>
      </c>
      <c r="K2" s="127" t="s">
        <v>152</v>
      </c>
      <c r="L2" s="127" t="s">
        <v>427</v>
      </c>
      <c r="M2" s="127"/>
      <c r="N2" s="127"/>
      <c r="O2" s="127" t="s">
        <v>426</v>
      </c>
      <c r="P2" s="127" t="s">
        <v>152</v>
      </c>
      <c r="Q2" s="127" t="s">
        <v>427</v>
      </c>
      <c r="R2" s="127"/>
    </row>
    <row r="3" spans="1:18" x14ac:dyDescent="0.75">
      <c r="A3" s="127" t="s">
        <v>428</v>
      </c>
      <c r="B3" s="127"/>
      <c r="C3" s="127">
        <v>22.582932660898411</v>
      </c>
      <c r="D3" s="127"/>
      <c r="E3" s="127" t="s">
        <v>428</v>
      </c>
      <c r="F3" s="127"/>
      <c r="G3" s="127">
        <v>74.349336309318346</v>
      </c>
      <c r="H3" s="127"/>
      <c r="I3" s="127" t="s">
        <v>429</v>
      </c>
      <c r="J3" s="127">
        <v>39897</v>
      </c>
      <c r="K3" s="127">
        <v>39897</v>
      </c>
      <c r="L3" s="127">
        <v>0</v>
      </c>
      <c r="M3" s="127"/>
      <c r="N3" s="127" t="s">
        <v>429</v>
      </c>
      <c r="O3" s="127">
        <v>360698</v>
      </c>
      <c r="P3" s="127">
        <v>360698</v>
      </c>
      <c r="Q3" s="127">
        <v>0</v>
      </c>
      <c r="R3" s="127"/>
    </row>
    <row r="4" spans="1:18" x14ac:dyDescent="0.75">
      <c r="A4" s="127" t="s">
        <v>430</v>
      </c>
      <c r="B4" s="127"/>
      <c r="C4" s="127">
        <v>17.342613929898711</v>
      </c>
      <c r="D4" s="127"/>
      <c r="E4" s="127" t="s">
        <v>430</v>
      </c>
      <c r="F4" s="127"/>
      <c r="G4" s="127">
        <v>28.984504452645371</v>
      </c>
      <c r="H4" s="127"/>
      <c r="I4" s="127" t="s">
        <v>431</v>
      </c>
      <c r="J4" s="127">
        <v>25.65</v>
      </c>
      <c r="K4" s="127">
        <v>25.65</v>
      </c>
      <c r="L4" s="127">
        <v>0</v>
      </c>
      <c r="M4" s="127"/>
      <c r="N4" s="127" t="s">
        <v>431</v>
      </c>
      <c r="O4" s="127">
        <v>25.65</v>
      </c>
      <c r="P4" s="127">
        <v>25.65</v>
      </c>
      <c r="Q4" s="127">
        <v>0</v>
      </c>
      <c r="R4" s="127"/>
    </row>
    <row r="5" spans="1:18" x14ac:dyDescent="0.75">
      <c r="A5" s="127" t="s">
        <v>432</v>
      </c>
      <c r="B5" s="127"/>
      <c r="C5" s="127">
        <v>6563.0514920074493</v>
      </c>
      <c r="D5" s="127"/>
      <c r="E5" s="127" t="s">
        <v>432</v>
      </c>
      <c r="F5" s="127"/>
      <c r="G5" s="127">
        <v>65510.007727084339</v>
      </c>
      <c r="H5" s="127"/>
      <c r="I5" s="127" t="s">
        <v>433</v>
      </c>
      <c r="J5" s="127">
        <v>1023358.05</v>
      </c>
      <c r="K5" s="127">
        <v>1023358.05</v>
      </c>
      <c r="L5" s="127">
        <v>0</v>
      </c>
      <c r="M5" s="127"/>
      <c r="N5" s="127" t="s">
        <v>433</v>
      </c>
      <c r="O5" s="127">
        <v>9251903.6999999993</v>
      </c>
      <c r="P5" s="127">
        <v>9251903.6999999993</v>
      </c>
      <c r="Q5" s="127">
        <v>0</v>
      </c>
      <c r="R5" s="127"/>
    </row>
    <row r="6" spans="1:18" x14ac:dyDescent="0.75">
      <c r="A6" s="127" t="s">
        <v>434</v>
      </c>
      <c r="B6" s="127"/>
      <c r="C6" s="127">
        <v>-34392.481666082167</v>
      </c>
      <c r="D6" s="127"/>
      <c r="E6" s="127" t="s">
        <v>434</v>
      </c>
      <c r="F6" s="127"/>
      <c r="G6" s="127">
        <v>-2971850.4854685278</v>
      </c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</row>
    <row r="7" spans="1:18" x14ac:dyDescent="0.75">
      <c r="A7" s="127"/>
      <c r="B7" s="127"/>
      <c r="C7" s="127"/>
      <c r="D7" s="127"/>
      <c r="E7" s="127"/>
      <c r="F7" s="127"/>
      <c r="G7" s="127"/>
      <c r="H7" s="127"/>
      <c r="I7" s="127" t="s">
        <v>435</v>
      </c>
      <c r="J7" s="127">
        <v>46460.051492007449</v>
      </c>
      <c r="K7" s="127">
        <v>42633.821294999965</v>
      </c>
      <c r="L7" s="127">
        <v>-3826.2301970074841</v>
      </c>
      <c r="M7" s="127"/>
      <c r="N7" s="127" t="s">
        <v>435</v>
      </c>
      <c r="O7" s="127">
        <v>426208.00772708433</v>
      </c>
      <c r="P7" s="127">
        <v>381865.47104300041</v>
      </c>
      <c r="Q7" s="127">
        <v>-44342.536684083927</v>
      </c>
      <c r="R7" s="127"/>
    </row>
    <row r="8" spans="1:18" x14ac:dyDescent="0.75">
      <c r="A8" s="127" t="s">
        <v>436</v>
      </c>
      <c r="B8" s="127"/>
      <c r="C8" s="127">
        <v>46460.051492007449</v>
      </c>
      <c r="D8" s="127"/>
      <c r="E8" s="127" t="s">
        <v>436</v>
      </c>
      <c r="F8" s="127"/>
      <c r="G8" s="127">
        <v>426208.00772708433</v>
      </c>
      <c r="H8" s="127"/>
      <c r="I8" s="127" t="s">
        <v>437</v>
      </c>
      <c r="J8" s="127">
        <v>22.582932660898411</v>
      </c>
      <c r="K8" s="127">
        <v>17.342613929898711</v>
      </c>
      <c r="L8" s="127">
        <v>-5.2403187309997001</v>
      </c>
      <c r="M8" s="127"/>
      <c r="N8" s="127" t="s">
        <v>437</v>
      </c>
      <c r="O8" s="127">
        <v>74.349336309318346</v>
      </c>
      <c r="P8" s="127">
        <v>28.984504452645371</v>
      </c>
      <c r="Q8" s="127">
        <v>-45.364831856672978</v>
      </c>
      <c r="R8" s="127"/>
    </row>
    <row r="9" spans="1:18" x14ac:dyDescent="0.75">
      <c r="A9" s="127" t="s">
        <v>438</v>
      </c>
      <c r="B9" s="127"/>
      <c r="C9" s="127">
        <v>42633.821294999965</v>
      </c>
      <c r="D9" s="127"/>
      <c r="E9" s="127" t="s">
        <v>438</v>
      </c>
      <c r="F9" s="127"/>
      <c r="G9" s="127">
        <v>381865.47104300041</v>
      </c>
      <c r="H9" s="127"/>
      <c r="I9" s="127" t="s">
        <v>439</v>
      </c>
      <c r="J9" s="127">
        <v>1049204.2142658769</v>
      </c>
      <c r="K9" s="127">
        <v>739381.90307547874</v>
      </c>
      <c r="L9" s="127">
        <v>-309822.31119039818</v>
      </c>
      <c r="M9" s="127"/>
      <c r="N9" s="127" t="s">
        <v>439</v>
      </c>
      <c r="O9" s="127">
        <v>31688282.504225545</v>
      </c>
      <c r="P9" s="127">
        <v>11068181.445757369</v>
      </c>
      <c r="Q9" s="127">
        <v>-20620101.058468174</v>
      </c>
      <c r="R9" s="127"/>
    </row>
    <row r="10" spans="1:18" x14ac:dyDescent="0.75">
      <c r="A10" s="127" t="s">
        <v>430</v>
      </c>
      <c r="B10" s="127"/>
      <c r="C10" s="127">
        <v>17.342613929898711</v>
      </c>
      <c r="D10" s="127"/>
      <c r="E10" s="127" t="s">
        <v>430</v>
      </c>
      <c r="F10" s="127"/>
      <c r="G10" s="127">
        <v>28.984504452645371</v>
      </c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</row>
    <row r="11" spans="1:18" x14ac:dyDescent="0.75">
      <c r="A11" s="127" t="s">
        <v>440</v>
      </c>
      <c r="B11" s="127"/>
      <c r="C11" s="127">
        <v>-66356.833113621076</v>
      </c>
      <c r="D11" s="127"/>
      <c r="E11" s="127" t="s">
        <v>440</v>
      </c>
      <c r="F11" s="127"/>
      <c r="G11" s="127">
        <v>-1285246.4519614214</v>
      </c>
      <c r="H11" s="127"/>
      <c r="I11" s="127" t="s">
        <v>429</v>
      </c>
      <c r="J11" s="127">
        <v>-39897</v>
      </c>
      <c r="K11" s="127">
        <v>-39897</v>
      </c>
      <c r="L11" s="127">
        <v>0</v>
      </c>
      <c r="M11" s="127"/>
      <c r="N11" s="127" t="s">
        <v>429</v>
      </c>
      <c r="O11" s="127">
        <v>-360698</v>
      </c>
      <c r="P11" s="127">
        <v>-360698</v>
      </c>
      <c r="Q11" s="127">
        <v>0</v>
      </c>
      <c r="R11" s="127"/>
    </row>
    <row r="12" spans="1:18" x14ac:dyDescent="0.75">
      <c r="A12" s="127"/>
      <c r="B12" s="127"/>
      <c r="C12" s="127"/>
      <c r="D12" s="127"/>
      <c r="E12" s="127"/>
      <c r="F12" s="127"/>
      <c r="G12" s="127"/>
      <c r="H12" s="127"/>
      <c r="I12" s="127" t="s">
        <v>441</v>
      </c>
      <c r="J12" s="127">
        <v>27.368113454101859</v>
      </c>
      <c r="K12" s="127">
        <v>18.315120121813639</v>
      </c>
      <c r="L12" s="127">
        <v>-9.0529933322882208</v>
      </c>
      <c r="M12" s="127"/>
      <c r="N12" s="127" t="s">
        <v>441</v>
      </c>
      <c r="O12" s="127">
        <v>79.134517102521798</v>
      </c>
      <c r="P12" s="127">
        <v>34.303200107846429</v>
      </c>
      <c r="Q12" s="127">
        <v>-44.831316994675369</v>
      </c>
      <c r="R12" s="127"/>
    </row>
    <row r="13" spans="1:18" x14ac:dyDescent="0.75">
      <c r="A13" s="127" t="s">
        <v>442</v>
      </c>
      <c r="B13" s="127"/>
      <c r="C13" s="127">
        <v>0</v>
      </c>
      <c r="D13" s="127"/>
      <c r="E13" s="127" t="s">
        <v>442</v>
      </c>
      <c r="F13" s="127"/>
      <c r="G13" s="127">
        <v>0</v>
      </c>
      <c r="H13" s="127"/>
      <c r="I13" s="127" t="s">
        <v>443</v>
      </c>
      <c r="J13" s="127">
        <v>-1091905.6224783021</v>
      </c>
      <c r="K13" s="127">
        <v>-730718.34749999875</v>
      </c>
      <c r="L13" s="127">
        <v>361187.27497830312</v>
      </c>
      <c r="M13" s="127"/>
      <c r="N13" s="127" t="s">
        <v>443</v>
      </c>
      <c r="O13" s="127">
        <v>-28543662.049845409</v>
      </c>
      <c r="P13" s="127">
        <v>-12373095.672499992</v>
      </c>
      <c r="Q13" s="127">
        <v>16170566.377345417</v>
      </c>
      <c r="R13" s="127"/>
    </row>
    <row r="14" spans="1:18" x14ac:dyDescent="0.75">
      <c r="A14" s="127" t="s">
        <v>444</v>
      </c>
      <c r="B14" s="127"/>
      <c r="C14" s="127">
        <v>0.49750696922927418</v>
      </c>
      <c r="D14" s="127"/>
      <c r="E14" s="127" t="s">
        <v>444</v>
      </c>
      <c r="F14" s="127"/>
      <c r="G14" s="127">
        <v>-2.7076809149595036</v>
      </c>
      <c r="H14" s="127"/>
      <c r="I14" s="127"/>
      <c r="J14" s="127"/>
      <c r="K14" s="127"/>
      <c r="L14" s="127"/>
      <c r="M14" s="127"/>
      <c r="N14" s="127"/>
      <c r="O14" s="127"/>
      <c r="P14" s="127"/>
      <c r="Q14" s="127"/>
      <c r="R14" s="127"/>
    </row>
    <row r="15" spans="1:18" x14ac:dyDescent="0.75">
      <c r="A15" s="127" t="s">
        <v>445</v>
      </c>
      <c r="B15" s="127"/>
      <c r="C15" s="127">
        <v>39897</v>
      </c>
      <c r="D15" s="127"/>
      <c r="E15" s="127" t="s">
        <v>445</v>
      </c>
      <c r="F15" s="127"/>
      <c r="G15" s="127">
        <v>360698</v>
      </c>
      <c r="H15" s="127"/>
      <c r="I15" s="127" t="s">
        <v>446</v>
      </c>
      <c r="J15" s="127">
        <v>980656.64178757486</v>
      </c>
      <c r="K15" s="127">
        <v>1032021.60557548</v>
      </c>
      <c r="L15" s="127">
        <v>51364.963787905173</v>
      </c>
      <c r="M15" s="127"/>
      <c r="N15" s="127" t="s">
        <v>446</v>
      </c>
      <c r="O15" s="127">
        <v>12396524.154380132</v>
      </c>
      <c r="P15" s="127">
        <v>7946989.473257374</v>
      </c>
      <c r="Q15" s="127">
        <v>-4449534.6811227575</v>
      </c>
      <c r="R15" s="127"/>
    </row>
    <row r="16" spans="1:18" x14ac:dyDescent="0.75">
      <c r="A16" s="127" t="s">
        <v>447</v>
      </c>
      <c r="B16" s="127"/>
      <c r="C16" s="127">
        <v>19849.035551340352</v>
      </c>
      <c r="D16" s="127"/>
      <c r="E16" s="127" t="s">
        <v>447</v>
      </c>
      <c r="F16" s="127"/>
      <c r="G16" s="127">
        <v>-976655.090664063</v>
      </c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7"/>
    </row>
    <row r="17" spans="1:18" x14ac:dyDescent="0.75">
      <c r="A17" s="127"/>
      <c r="B17" s="127"/>
      <c r="C17" s="127"/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27"/>
      <c r="P17" s="127"/>
      <c r="Q17" s="127"/>
      <c r="R17" s="127"/>
    </row>
    <row r="18" spans="1:18" x14ac:dyDescent="0.75">
      <c r="A18" s="127" t="s">
        <v>448</v>
      </c>
      <c r="B18" s="127"/>
      <c r="C18" s="127">
        <v>-4.78518079320345</v>
      </c>
      <c r="D18" s="127"/>
      <c r="E18" s="127" t="s">
        <v>448</v>
      </c>
      <c r="F18" s="127"/>
      <c r="G18" s="127">
        <v>-4.78518079320345</v>
      </c>
      <c r="H18" s="127"/>
      <c r="I18" s="127"/>
      <c r="J18" s="127"/>
      <c r="K18" s="127"/>
      <c r="L18" s="127"/>
      <c r="M18" s="127"/>
      <c r="N18" s="127"/>
      <c r="O18" s="127"/>
      <c r="P18" s="127"/>
      <c r="Q18" s="127"/>
      <c r="R18" s="127"/>
    </row>
    <row r="19" spans="1:18" x14ac:dyDescent="0.75">
      <c r="A19" s="127" t="s">
        <v>449</v>
      </c>
      <c r="B19" s="127"/>
      <c r="C19" s="127">
        <v>-1.4700131611442018</v>
      </c>
      <c r="D19" s="127"/>
      <c r="E19" s="127" t="s">
        <v>449</v>
      </c>
      <c r="F19" s="127"/>
      <c r="G19" s="127">
        <v>-2.6110147402415542</v>
      </c>
      <c r="H19" s="127"/>
      <c r="I19" s="127"/>
      <c r="J19" s="127"/>
      <c r="K19" s="127"/>
      <c r="L19" s="127"/>
      <c r="M19" s="127"/>
      <c r="N19" s="127"/>
      <c r="O19" s="127"/>
      <c r="P19" s="127"/>
      <c r="Q19" s="127"/>
      <c r="R19" s="127"/>
    </row>
    <row r="20" spans="1:18" x14ac:dyDescent="0.75">
      <c r="A20" s="127" t="s">
        <v>445</v>
      </c>
      <c r="B20" s="127"/>
      <c r="C20" s="127">
        <v>39897</v>
      </c>
      <c r="D20" s="127"/>
      <c r="E20" s="127" t="s">
        <v>445</v>
      </c>
      <c r="F20" s="127"/>
      <c r="G20" s="127">
        <v>360698</v>
      </c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7"/>
    </row>
    <row r="21" spans="1:18" x14ac:dyDescent="0.75">
      <c r="A21" s="127" t="s">
        <v>450</v>
      </c>
      <c r="B21" s="127"/>
      <c r="C21" s="127">
        <v>132265.24301626784</v>
      </c>
      <c r="D21" s="127"/>
      <c r="E21" s="127" t="s">
        <v>450</v>
      </c>
      <c r="F21" s="127"/>
      <c r="G21" s="127">
        <v>784217.34697124991</v>
      </c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</row>
    <row r="22" spans="1:18" x14ac:dyDescent="0.75">
      <c r="A22" s="127"/>
      <c r="B22" s="127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</row>
    <row r="23" spans="1:18" x14ac:dyDescent="0.75">
      <c r="A23" s="127" t="s">
        <v>451</v>
      </c>
      <c r="B23" s="127"/>
      <c r="C23" s="127">
        <v>980656.64178757486</v>
      </c>
      <c r="D23" s="127"/>
      <c r="E23" s="127" t="s">
        <v>451</v>
      </c>
      <c r="F23" s="127"/>
      <c r="G23" s="127">
        <v>12396524.154380132</v>
      </c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</row>
    <row r="24" spans="1:18" x14ac:dyDescent="0.75">
      <c r="A24" s="127" t="s">
        <v>452</v>
      </c>
      <c r="B24" s="127"/>
      <c r="C24" s="127">
        <v>1032021.60557548</v>
      </c>
      <c r="D24" s="127"/>
      <c r="E24" s="127" t="s">
        <v>452</v>
      </c>
      <c r="F24" s="127"/>
      <c r="G24" s="127">
        <v>7946989.473257374</v>
      </c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7"/>
    </row>
    <row r="25" spans="1:18" x14ac:dyDescent="0.75">
      <c r="A25" s="127" t="s">
        <v>453</v>
      </c>
      <c r="B25" s="127"/>
      <c r="C25" s="127">
        <v>51364.963787905173</v>
      </c>
      <c r="D25" s="127"/>
      <c r="E25" s="127" t="s">
        <v>453</v>
      </c>
      <c r="F25" s="127"/>
      <c r="G25" s="127">
        <v>-4449534.6811227575</v>
      </c>
      <c r="H25" s="127"/>
      <c r="I25" s="127"/>
      <c r="J25" s="127"/>
      <c r="K25" s="127"/>
      <c r="L25" s="127"/>
      <c r="M25" s="127"/>
      <c r="N25" s="127"/>
      <c r="O25" s="127"/>
      <c r="P25" s="127"/>
      <c r="Q25" s="127"/>
      <c r="R25" s="127"/>
    </row>
    <row r="26" spans="1:18" x14ac:dyDescent="0.75">
      <c r="A26" s="127" t="s">
        <v>454</v>
      </c>
      <c r="B26" s="127"/>
      <c r="C26" s="127">
        <v>51364.963787904941</v>
      </c>
      <c r="D26" s="127"/>
      <c r="E26" s="127" t="s">
        <v>454</v>
      </c>
      <c r="F26" s="127"/>
      <c r="G26" s="127">
        <v>-4449534.6811227622</v>
      </c>
      <c r="H26" s="127"/>
      <c r="I26" s="127"/>
      <c r="J26" s="127"/>
      <c r="K26" s="127"/>
      <c r="L26" s="127"/>
      <c r="M26" s="127"/>
      <c r="N26" s="127"/>
      <c r="O26" s="127"/>
      <c r="P26" s="127"/>
      <c r="Q26" s="127"/>
      <c r="R26" s="127"/>
    </row>
    <row r="27" spans="1:18" x14ac:dyDescent="0.75">
      <c r="A27" s="127" t="s">
        <v>455</v>
      </c>
      <c r="B27" s="127"/>
      <c r="C27" s="127">
        <v>2.3283064365386963E-10</v>
      </c>
      <c r="D27" s="127"/>
      <c r="E27" s="127" t="s">
        <v>455</v>
      </c>
      <c r="F27" s="127"/>
      <c r="G27" s="127">
        <v>0</v>
      </c>
      <c r="H27" s="127"/>
      <c r="I27" s="127"/>
      <c r="J27" s="127"/>
      <c r="K27" s="127"/>
      <c r="L27" s="127"/>
      <c r="M27" s="127"/>
      <c r="N27" s="127"/>
      <c r="O27" s="127"/>
      <c r="P27" s="127"/>
      <c r="Q27" s="127"/>
      <c r="R27" s="127"/>
    </row>
    <row r="28" spans="1:18" x14ac:dyDescent="0.75">
      <c r="A28" s="127"/>
      <c r="B28" s="127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127"/>
      <c r="R28" s="127"/>
    </row>
    <row r="29" spans="1:18" x14ac:dyDescent="0.75">
      <c r="A29" s="127" t="s">
        <v>456</v>
      </c>
      <c r="B29" s="127"/>
      <c r="C29" s="127">
        <v>18.315120121813639</v>
      </c>
      <c r="D29" s="127"/>
      <c r="E29" s="127" t="s">
        <v>456</v>
      </c>
      <c r="F29" s="127"/>
      <c r="G29" s="127">
        <v>34.303200107846429</v>
      </c>
      <c r="H29" s="127"/>
      <c r="I29" s="127"/>
      <c r="J29" s="127"/>
      <c r="K29" s="127"/>
      <c r="L29" s="127"/>
      <c r="M29" s="127"/>
      <c r="N29" s="127"/>
      <c r="O29" s="127"/>
      <c r="P29" s="127"/>
      <c r="Q29" s="127"/>
      <c r="R29" s="127"/>
    </row>
    <row r="30" spans="1:18" x14ac:dyDescent="0.75">
      <c r="A30" s="127" t="s">
        <v>457</v>
      </c>
      <c r="B30" s="127"/>
      <c r="C30" s="127">
        <v>18.812627091042913</v>
      </c>
      <c r="D30" s="127"/>
      <c r="E30" s="127" t="s">
        <v>457</v>
      </c>
      <c r="F30" s="127"/>
      <c r="G30" s="127">
        <v>31.595519192886925</v>
      </c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0371-F61D-4462-8F51-A91622BC755A}">
  <dimension ref="A1:G32"/>
  <sheetViews>
    <sheetView workbookViewId="0">
      <selection activeCell="E35" sqref="E35"/>
    </sheetView>
  </sheetViews>
  <sheetFormatPr defaultRowHeight="14.75" x14ac:dyDescent="0.75"/>
  <cols>
    <col min="1" max="1" width="31.54296875" customWidth="1"/>
    <col min="2" max="2" width="0.40625" customWidth="1"/>
    <col min="3" max="3" width="10.54296875" bestFit="1" customWidth="1"/>
    <col min="4" max="4" width="4.1328125" customWidth="1"/>
    <col min="5" max="5" width="31.54296875" customWidth="1"/>
    <col min="6" max="6" width="0.40625" customWidth="1"/>
    <col min="7" max="7" width="12.1328125" bestFit="1" customWidth="1"/>
  </cols>
  <sheetData>
    <row r="1" spans="1:7" x14ac:dyDescent="0.75">
      <c r="A1" s="167" t="s">
        <v>488</v>
      </c>
    </row>
    <row r="3" spans="1:7" x14ac:dyDescent="0.75">
      <c r="A3" s="212" t="s">
        <v>423</v>
      </c>
      <c r="B3" s="212"/>
      <c r="C3" s="212"/>
      <c r="D3" s="128"/>
      <c r="E3" s="212" t="s">
        <v>157</v>
      </c>
      <c r="F3" s="212"/>
      <c r="G3" s="212"/>
    </row>
    <row r="4" spans="1:7" x14ac:dyDescent="0.75">
      <c r="A4" s="128"/>
      <c r="B4" s="128"/>
      <c r="C4" s="128"/>
      <c r="D4" s="128"/>
      <c r="E4" s="128"/>
      <c r="F4" s="128"/>
      <c r="G4" s="128"/>
    </row>
    <row r="5" spans="1:7" x14ac:dyDescent="0.75">
      <c r="A5" s="159" t="s">
        <v>428</v>
      </c>
      <c r="B5" s="128"/>
      <c r="C5" s="155">
        <f>'rev walk raw'!C3</f>
        <v>22.582932660898411</v>
      </c>
      <c r="D5" s="128"/>
      <c r="E5" s="159" t="s">
        <v>428</v>
      </c>
      <c r="F5" s="128"/>
      <c r="G5" s="155">
        <f>'rev walk raw'!G3</f>
        <v>74.349336309318346</v>
      </c>
    </row>
    <row r="6" spans="1:7" x14ac:dyDescent="0.75">
      <c r="A6" s="159" t="s">
        <v>430</v>
      </c>
      <c r="B6" s="128"/>
      <c r="C6" s="155">
        <f>'rev walk raw'!C4</f>
        <v>17.342613929898711</v>
      </c>
      <c r="D6" s="128"/>
      <c r="E6" s="159" t="s">
        <v>430</v>
      </c>
      <c r="F6" s="128"/>
      <c r="G6" s="155">
        <f>'rev walk raw'!G4</f>
        <v>28.984504452645371</v>
      </c>
    </row>
    <row r="7" spans="1:7" x14ac:dyDescent="0.75">
      <c r="A7" s="159" t="s">
        <v>432</v>
      </c>
      <c r="B7" s="128"/>
      <c r="C7" s="157">
        <f>'rev walk raw'!C5</f>
        <v>6563.0514920074493</v>
      </c>
      <c r="D7" s="128"/>
      <c r="E7" s="159" t="s">
        <v>432</v>
      </c>
      <c r="F7" s="128"/>
      <c r="G7" s="157">
        <f>'rev walk raw'!G5</f>
        <v>65510.007727084339</v>
      </c>
    </row>
    <row r="8" spans="1:7" x14ac:dyDescent="0.75">
      <c r="A8" s="154" t="s">
        <v>434</v>
      </c>
      <c r="B8" s="152"/>
      <c r="C8" s="158">
        <f>'rev walk raw'!C6</f>
        <v>-34392.481666082167</v>
      </c>
      <c r="D8" s="152"/>
      <c r="E8" s="154" t="s">
        <v>434</v>
      </c>
      <c r="F8" s="152"/>
      <c r="G8" s="158">
        <f>'rev walk raw'!G6</f>
        <v>-2971850.4854685278</v>
      </c>
    </row>
    <row r="9" spans="1:7" x14ac:dyDescent="0.75">
      <c r="A9" s="128"/>
      <c r="B9" s="128"/>
      <c r="C9" s="155"/>
      <c r="D9" s="128"/>
      <c r="E9" s="128"/>
      <c r="F9" s="128"/>
      <c r="G9" s="155"/>
    </row>
    <row r="10" spans="1:7" x14ac:dyDescent="0.75">
      <c r="A10" s="159" t="s">
        <v>436</v>
      </c>
      <c r="B10" s="128"/>
      <c r="C10" s="157">
        <f>'rev walk raw'!C8</f>
        <v>46460.051492007449</v>
      </c>
      <c r="D10" s="128"/>
      <c r="E10" s="159" t="s">
        <v>436</v>
      </c>
      <c r="F10" s="128"/>
      <c r="G10" s="157">
        <f>'rev walk raw'!G8</f>
        <v>426208.00772708433</v>
      </c>
    </row>
    <row r="11" spans="1:7" x14ac:dyDescent="0.75">
      <c r="A11" s="159" t="s">
        <v>438</v>
      </c>
      <c r="B11" s="128"/>
      <c r="C11" s="157">
        <f>'rev walk raw'!C9</f>
        <v>42633.821294999965</v>
      </c>
      <c r="D11" s="128"/>
      <c r="E11" s="159" t="s">
        <v>438</v>
      </c>
      <c r="F11" s="128"/>
      <c r="G11" s="157">
        <f>'rev walk raw'!G9</f>
        <v>381865.47104300041</v>
      </c>
    </row>
    <row r="12" spans="1:7" x14ac:dyDescent="0.75">
      <c r="A12" s="159" t="s">
        <v>430</v>
      </c>
      <c r="B12" s="128"/>
      <c r="C12" s="155">
        <f>'rev walk raw'!C10</f>
        <v>17.342613929898711</v>
      </c>
      <c r="D12" s="128"/>
      <c r="E12" s="159" t="s">
        <v>430</v>
      </c>
      <c r="F12" s="128"/>
      <c r="G12" s="155">
        <f>'rev walk raw'!G10</f>
        <v>28.984504452645371</v>
      </c>
    </row>
    <row r="13" spans="1:7" x14ac:dyDescent="0.75">
      <c r="A13" s="154" t="s">
        <v>440</v>
      </c>
      <c r="B13" s="152"/>
      <c r="C13" s="158">
        <f>'rev walk raw'!C11</f>
        <v>-66356.833113621076</v>
      </c>
      <c r="D13" s="152"/>
      <c r="E13" s="154" t="s">
        <v>440</v>
      </c>
      <c r="F13" s="152"/>
      <c r="G13" s="158">
        <f>'rev walk raw'!G11</f>
        <v>-1285246.4519614214</v>
      </c>
    </row>
    <row r="14" spans="1:7" x14ac:dyDescent="0.75">
      <c r="A14" s="128"/>
      <c r="B14" s="128"/>
      <c r="C14" s="155"/>
      <c r="D14" s="128"/>
      <c r="E14" s="128"/>
      <c r="F14" s="128"/>
      <c r="G14" s="155"/>
    </row>
    <row r="15" spans="1:7" x14ac:dyDescent="0.75">
      <c r="A15" s="159" t="s">
        <v>442</v>
      </c>
      <c r="B15" s="128"/>
      <c r="C15" s="155">
        <f>'rev walk raw'!C13</f>
        <v>0</v>
      </c>
      <c r="D15" s="128"/>
      <c r="E15" s="159" t="s">
        <v>442</v>
      </c>
      <c r="F15" s="128"/>
      <c r="G15" s="155">
        <f>'rev walk raw'!G13</f>
        <v>0</v>
      </c>
    </row>
    <row r="16" spans="1:7" x14ac:dyDescent="0.75">
      <c r="A16" s="159" t="s">
        <v>444</v>
      </c>
      <c r="B16" s="128"/>
      <c r="C16" s="155">
        <f>'rev walk raw'!C14</f>
        <v>0.49750696922927418</v>
      </c>
      <c r="D16" s="128"/>
      <c r="E16" s="159" t="s">
        <v>444</v>
      </c>
      <c r="F16" s="128"/>
      <c r="G16" s="155">
        <f>'rev walk raw'!G14</f>
        <v>-2.7076809149595036</v>
      </c>
    </row>
    <row r="17" spans="1:7" x14ac:dyDescent="0.75">
      <c r="A17" s="159" t="s">
        <v>445</v>
      </c>
      <c r="B17" s="128"/>
      <c r="C17" s="157">
        <f>'rev walk raw'!C15</f>
        <v>39897</v>
      </c>
      <c r="D17" s="128"/>
      <c r="E17" s="159" t="s">
        <v>445</v>
      </c>
      <c r="F17" s="128"/>
      <c r="G17" s="157">
        <f>'rev walk raw'!G15</f>
        <v>360698</v>
      </c>
    </row>
    <row r="18" spans="1:7" x14ac:dyDescent="0.75">
      <c r="A18" s="154" t="s">
        <v>447</v>
      </c>
      <c r="B18" s="152"/>
      <c r="C18" s="158">
        <f>'rev walk raw'!C16</f>
        <v>19849.035551340352</v>
      </c>
      <c r="D18" s="152"/>
      <c r="E18" s="154" t="s">
        <v>447</v>
      </c>
      <c r="F18" s="152"/>
      <c r="G18" s="158">
        <f>'rev walk raw'!G16</f>
        <v>-976655.090664063</v>
      </c>
    </row>
    <row r="19" spans="1:7" x14ac:dyDescent="0.75">
      <c r="A19" s="128"/>
      <c r="B19" s="128"/>
      <c r="C19" s="155"/>
      <c r="D19" s="128"/>
      <c r="E19" s="128"/>
      <c r="F19" s="128"/>
      <c r="G19" s="155"/>
    </row>
    <row r="20" spans="1:7" x14ac:dyDescent="0.75">
      <c r="A20" s="159" t="s">
        <v>448</v>
      </c>
      <c r="B20" s="128"/>
      <c r="C20" s="155">
        <f>'rev walk raw'!C18</f>
        <v>-4.78518079320345</v>
      </c>
      <c r="D20" s="128"/>
      <c r="E20" s="159" t="s">
        <v>448</v>
      </c>
      <c r="F20" s="128"/>
      <c r="G20" s="155">
        <f>'rev walk raw'!G18</f>
        <v>-4.78518079320345</v>
      </c>
    </row>
    <row r="21" spans="1:7" x14ac:dyDescent="0.75">
      <c r="A21" s="159" t="s">
        <v>449</v>
      </c>
      <c r="B21" s="128"/>
      <c r="C21" s="155">
        <f>'rev walk raw'!C19</f>
        <v>-1.4700131611442018</v>
      </c>
      <c r="D21" s="128"/>
      <c r="E21" s="159" t="s">
        <v>449</v>
      </c>
      <c r="F21" s="128"/>
      <c r="G21" s="155">
        <f>'rev walk raw'!G19</f>
        <v>-2.6110147402415542</v>
      </c>
    </row>
    <row r="22" spans="1:7" x14ac:dyDescent="0.75">
      <c r="A22" s="159" t="s">
        <v>445</v>
      </c>
      <c r="B22" s="128"/>
      <c r="C22" s="157">
        <f>'rev walk raw'!C20</f>
        <v>39897</v>
      </c>
      <c r="D22" s="128"/>
      <c r="E22" s="159" t="s">
        <v>445</v>
      </c>
      <c r="F22" s="128"/>
      <c r="G22" s="157">
        <f>'rev walk raw'!G20</f>
        <v>360698</v>
      </c>
    </row>
    <row r="23" spans="1:7" x14ac:dyDescent="0.75">
      <c r="A23" s="154" t="s">
        <v>450</v>
      </c>
      <c r="B23" s="152"/>
      <c r="C23" s="158">
        <f>'rev walk raw'!C21</f>
        <v>132265.24301626784</v>
      </c>
      <c r="D23" s="152"/>
      <c r="E23" s="154" t="s">
        <v>450</v>
      </c>
      <c r="F23" s="152"/>
      <c r="G23" s="158">
        <f>'rev walk raw'!G21</f>
        <v>784217.34697124991</v>
      </c>
    </row>
    <row r="24" spans="1:7" x14ac:dyDescent="0.75">
      <c r="A24" s="128"/>
      <c r="B24" s="128"/>
      <c r="C24" s="155"/>
      <c r="D24" s="128"/>
      <c r="E24" s="128"/>
      <c r="F24" s="128"/>
      <c r="G24" s="155"/>
    </row>
    <row r="25" spans="1:7" x14ac:dyDescent="0.75">
      <c r="A25" s="128" t="s">
        <v>451</v>
      </c>
      <c r="B25" s="128"/>
      <c r="C25" s="157">
        <f>'rev walk raw'!C23</f>
        <v>980656.64178757486</v>
      </c>
      <c r="D25" s="128"/>
      <c r="E25" s="128" t="s">
        <v>451</v>
      </c>
      <c r="F25" s="128"/>
      <c r="G25" s="157">
        <f>'rev walk raw'!G23</f>
        <v>12396524.154380132</v>
      </c>
    </row>
    <row r="26" spans="1:7" x14ac:dyDescent="0.75">
      <c r="A26" s="128" t="s">
        <v>452</v>
      </c>
      <c r="B26" s="128"/>
      <c r="C26" s="157">
        <f>'rev walk raw'!C24</f>
        <v>1032021.60557548</v>
      </c>
      <c r="D26" s="128"/>
      <c r="E26" s="128" t="s">
        <v>452</v>
      </c>
      <c r="F26" s="128"/>
      <c r="G26" s="157">
        <f>'rev walk raw'!G24</f>
        <v>7946989.473257374</v>
      </c>
    </row>
    <row r="27" spans="1:7" x14ac:dyDescent="0.75">
      <c r="A27" s="154" t="s">
        <v>453</v>
      </c>
      <c r="B27" s="152"/>
      <c r="C27" s="158">
        <f>'rev walk raw'!C25</f>
        <v>51364.963787905173</v>
      </c>
      <c r="D27" s="152"/>
      <c r="E27" s="154" t="s">
        <v>453</v>
      </c>
      <c r="F27" s="152"/>
      <c r="G27" s="158">
        <f>'rev walk raw'!G25</f>
        <v>-4449534.6811227575</v>
      </c>
    </row>
    <row r="28" spans="1:7" x14ac:dyDescent="0.75">
      <c r="A28" s="128" t="s">
        <v>454</v>
      </c>
      <c r="B28" s="128"/>
      <c r="C28" s="157">
        <f>'rev walk raw'!C26</f>
        <v>51364.963787904941</v>
      </c>
      <c r="D28" s="128"/>
      <c r="E28" s="128" t="s">
        <v>454</v>
      </c>
      <c r="F28" s="128"/>
      <c r="G28" s="157">
        <f>'rev walk raw'!G26</f>
        <v>-4449534.6811227622</v>
      </c>
    </row>
    <row r="29" spans="1:7" x14ac:dyDescent="0.75">
      <c r="A29" s="153" t="s">
        <v>455</v>
      </c>
      <c r="B29" s="153"/>
      <c r="C29" s="156">
        <f>'rev walk raw'!C27</f>
        <v>2.3283064365386963E-10</v>
      </c>
      <c r="D29" s="153"/>
      <c r="E29" s="153" t="s">
        <v>455</v>
      </c>
      <c r="F29" s="153"/>
      <c r="G29" s="156">
        <f>'rev walk raw'!G27</f>
        <v>0</v>
      </c>
    </row>
    <row r="30" spans="1:7" x14ac:dyDescent="0.75">
      <c r="A30" s="128"/>
      <c r="B30" s="128"/>
      <c r="C30" s="155"/>
      <c r="D30" s="128"/>
      <c r="E30" s="128"/>
      <c r="F30" s="128"/>
      <c r="G30" s="155"/>
    </row>
    <row r="31" spans="1:7" x14ac:dyDescent="0.75">
      <c r="A31" s="6" t="s">
        <v>456</v>
      </c>
      <c r="B31" s="128"/>
      <c r="C31" s="155">
        <f>'rev walk raw'!C29</f>
        <v>18.315120121813639</v>
      </c>
      <c r="D31" s="128"/>
      <c r="E31" s="6" t="s">
        <v>456</v>
      </c>
      <c r="F31" s="128"/>
      <c r="G31" s="155">
        <f>'rev walk raw'!G29</f>
        <v>34.303200107846429</v>
      </c>
    </row>
    <row r="32" spans="1:7" x14ac:dyDescent="0.75">
      <c r="A32" s="6" t="s">
        <v>457</v>
      </c>
      <c r="B32" s="128"/>
      <c r="C32" s="155">
        <f>'rev walk raw'!C30</f>
        <v>18.812627091042913</v>
      </c>
      <c r="D32" s="128"/>
      <c r="E32" s="6" t="s">
        <v>457</v>
      </c>
      <c r="F32" s="128"/>
      <c r="G32" s="155">
        <f>'rev walk raw'!G30</f>
        <v>31.595519192886925</v>
      </c>
    </row>
  </sheetData>
  <mergeCells count="2">
    <mergeCell ref="A3:C3"/>
    <mergeCell ref="E3:G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FC58-38B3-4B1E-8FC1-19158684E738}">
  <dimension ref="A1:Q26"/>
  <sheetViews>
    <sheetView workbookViewId="0"/>
  </sheetViews>
  <sheetFormatPr defaultRowHeight="14.75" x14ac:dyDescent="0.75"/>
  <cols>
    <col min="1" max="1" width="13.81640625" bestFit="1" customWidth="1"/>
    <col min="2" max="2" width="10.54296875" bestFit="1" customWidth="1"/>
    <col min="3" max="3" width="31.90625" bestFit="1" customWidth="1"/>
    <col min="4" max="4" width="10.54296875" bestFit="1" customWidth="1"/>
    <col min="5" max="5" width="11.953125" bestFit="1" customWidth="1"/>
    <col min="6" max="7" width="12.58984375" bestFit="1" customWidth="1"/>
    <col min="8" max="8" width="10.54296875" bestFit="1" customWidth="1"/>
    <col min="9" max="9" width="26.2265625" bestFit="1" customWidth="1"/>
    <col min="10" max="10" width="11.58984375" bestFit="1" customWidth="1"/>
    <col min="11" max="11" width="31.90625" bestFit="1" customWidth="1"/>
    <col min="12" max="13" width="11.953125" bestFit="1" customWidth="1"/>
    <col min="14" max="15" width="12.58984375" bestFit="1" customWidth="1"/>
    <col min="16" max="17" width="11.58984375" bestFit="1" customWidth="1"/>
  </cols>
  <sheetData>
    <row r="1" spans="1:17" x14ac:dyDescent="0.75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</row>
    <row r="2" spans="1:17" x14ac:dyDescent="0.75">
      <c r="A2" s="111"/>
      <c r="B2" s="111"/>
      <c r="C2" s="111" t="s">
        <v>103</v>
      </c>
      <c r="D2" s="111" t="s">
        <v>158</v>
      </c>
      <c r="E2" s="111" t="s">
        <v>159</v>
      </c>
      <c r="F2" s="111" t="s">
        <v>104</v>
      </c>
      <c r="G2" s="111" t="s">
        <v>200</v>
      </c>
      <c r="H2" s="111"/>
      <c r="I2" s="111" t="s">
        <v>106</v>
      </c>
      <c r="J2" s="111"/>
      <c r="K2" s="111" t="s">
        <v>103</v>
      </c>
      <c r="L2" s="111" t="s">
        <v>129</v>
      </c>
      <c r="M2" s="111" t="s">
        <v>130</v>
      </c>
      <c r="N2" s="111" t="s">
        <v>104</v>
      </c>
      <c r="O2" s="111" t="s">
        <v>200</v>
      </c>
      <c r="P2" s="111"/>
      <c r="Q2" s="111" t="s">
        <v>106</v>
      </c>
    </row>
    <row r="3" spans="1:17" x14ac:dyDescent="0.75">
      <c r="A3" s="111" t="s">
        <v>201</v>
      </c>
      <c r="B3" s="111"/>
      <c r="C3" s="111" t="s">
        <v>107</v>
      </c>
      <c r="D3" s="111">
        <v>24282.06</v>
      </c>
      <c r="E3" s="111">
        <v>22899.87127539537</v>
      </c>
      <c r="F3" s="111">
        <v>1382.1887246046354</v>
      </c>
      <c r="G3" s="111">
        <v>6.0357925508940306E-2</v>
      </c>
      <c r="H3" s="111"/>
      <c r="I3" s="111"/>
      <c r="J3" s="111"/>
      <c r="K3" s="111" t="s">
        <v>107</v>
      </c>
      <c r="L3" s="111">
        <v>220041.82</v>
      </c>
      <c r="M3" s="111">
        <v>218658.71888779351</v>
      </c>
      <c r="N3" s="111">
        <v>1383.1011122064665</v>
      </c>
      <c r="O3" s="111">
        <v>6.3253874313432519E-3</v>
      </c>
      <c r="P3" s="111"/>
      <c r="Q3" s="111"/>
    </row>
    <row r="4" spans="1:17" x14ac:dyDescent="0.75">
      <c r="A4" s="111"/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</row>
    <row r="5" spans="1:17" x14ac:dyDescent="0.75">
      <c r="A5" s="111"/>
      <c r="B5" s="111"/>
      <c r="C5" s="111" t="s">
        <v>202</v>
      </c>
      <c r="D5" s="111"/>
      <c r="E5" s="111"/>
      <c r="F5" s="111"/>
      <c r="G5" s="111"/>
      <c r="H5" s="111"/>
      <c r="I5" s="111"/>
      <c r="J5" s="111"/>
      <c r="K5" s="111" t="s">
        <v>202</v>
      </c>
      <c r="L5" s="111"/>
      <c r="M5" s="111"/>
      <c r="N5" s="111"/>
      <c r="O5" s="111"/>
      <c r="P5" s="111"/>
      <c r="Q5" s="111"/>
    </row>
    <row r="6" spans="1:17" x14ac:dyDescent="0.75">
      <c r="A6" s="111"/>
      <c r="B6" s="111"/>
      <c r="C6" s="111" t="s">
        <v>109</v>
      </c>
      <c r="D6" s="111">
        <v>883.35486000000003</v>
      </c>
      <c r="E6" s="111">
        <v>814.49671187906245</v>
      </c>
      <c r="F6" s="111">
        <v>68.858148120937699</v>
      </c>
      <c r="G6" s="111">
        <v>8.4540731861372884E-2</v>
      </c>
      <c r="H6" s="111"/>
      <c r="I6" s="111"/>
      <c r="J6" s="111"/>
      <c r="K6" s="111" t="s">
        <v>109</v>
      </c>
      <c r="L6" s="111">
        <v>8034.1050400000004</v>
      </c>
      <c r="M6" s="111">
        <v>7666.0563783129965</v>
      </c>
      <c r="N6" s="111">
        <v>368.048661687003</v>
      </c>
      <c r="O6" s="111">
        <v>4.8010168921820043E-2</v>
      </c>
      <c r="P6" s="111"/>
      <c r="Q6" s="111"/>
    </row>
    <row r="7" spans="1:17" x14ac:dyDescent="0.75">
      <c r="A7" s="111"/>
      <c r="B7" s="111"/>
      <c r="C7" s="111" t="s">
        <v>513</v>
      </c>
      <c r="D7" s="111">
        <v>0</v>
      </c>
      <c r="E7" s="111">
        <v>0</v>
      </c>
      <c r="F7" s="111">
        <v>0</v>
      </c>
      <c r="G7" s="111">
        <v>0</v>
      </c>
      <c r="H7" s="111"/>
      <c r="I7" s="111"/>
      <c r="J7" s="111"/>
      <c r="K7" s="111" t="s">
        <v>513</v>
      </c>
      <c r="L7" s="111">
        <v>5269.1596</v>
      </c>
      <c r="M7" s="111">
        <v>4484.7450011439241</v>
      </c>
      <c r="N7" s="111">
        <v>784.41459885607583</v>
      </c>
      <c r="O7" s="111">
        <v>0.17490729097328725</v>
      </c>
      <c r="P7" s="111"/>
      <c r="Q7" s="111"/>
    </row>
    <row r="8" spans="1:17" x14ac:dyDescent="0.75">
      <c r="A8" s="111"/>
      <c r="B8" s="111"/>
      <c r="C8" s="111" t="s">
        <v>112</v>
      </c>
      <c r="D8" s="111">
        <v>0</v>
      </c>
      <c r="E8" s="111">
        <v>25.881272579967792</v>
      </c>
      <c r="F8" s="111">
        <v>-25.881272579967792</v>
      </c>
      <c r="G8" s="111">
        <v>-1</v>
      </c>
      <c r="H8" s="111"/>
      <c r="I8" s="111"/>
      <c r="J8" s="111"/>
      <c r="K8" s="111" t="s">
        <v>112</v>
      </c>
      <c r="L8" s="111">
        <v>0</v>
      </c>
      <c r="M8" s="111">
        <v>358.36288892015818</v>
      </c>
      <c r="N8" s="111">
        <v>-358.36288892015818</v>
      </c>
      <c r="O8" s="111">
        <v>-1</v>
      </c>
      <c r="P8" s="111"/>
      <c r="Q8" s="111"/>
    </row>
    <row r="9" spans="1:17" x14ac:dyDescent="0.75">
      <c r="A9" s="111"/>
      <c r="B9" s="111"/>
      <c r="C9" s="111" t="s">
        <v>113</v>
      </c>
      <c r="D9" s="111">
        <v>883.35486000000003</v>
      </c>
      <c r="E9" s="111">
        <v>840.37798445903013</v>
      </c>
      <c r="F9" s="111">
        <v>42.9768755409699</v>
      </c>
      <c r="G9" s="111">
        <v>5.1139935047959474E-2</v>
      </c>
      <c r="H9" s="111"/>
      <c r="I9" s="111"/>
      <c r="J9" s="111"/>
      <c r="K9" s="111" t="s">
        <v>113</v>
      </c>
      <c r="L9" s="111">
        <v>13303.264639999999</v>
      </c>
      <c r="M9" s="111">
        <v>12509.164268377081</v>
      </c>
      <c r="N9" s="111">
        <v>794.10037162292065</v>
      </c>
      <c r="O9" s="111">
        <v>6.3481488817793419E-2</v>
      </c>
      <c r="P9" s="111"/>
      <c r="Q9" s="111"/>
    </row>
    <row r="10" spans="1:17" x14ac:dyDescent="0.75">
      <c r="A10" s="111"/>
      <c r="B10" s="111"/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</row>
    <row r="11" spans="1:17" x14ac:dyDescent="0.75">
      <c r="A11" s="111"/>
      <c r="B11" s="111"/>
      <c r="C11" s="111" t="s">
        <v>114</v>
      </c>
      <c r="D11" s="111"/>
      <c r="E11" s="111"/>
      <c r="F11" s="111"/>
      <c r="G11" s="111"/>
      <c r="H11" s="111"/>
      <c r="I11" s="111"/>
      <c r="J11" s="111"/>
      <c r="K11" s="111" t="s">
        <v>114</v>
      </c>
      <c r="L11" s="111"/>
      <c r="M11" s="111"/>
      <c r="N11" s="111"/>
      <c r="O11" s="111"/>
      <c r="P11" s="111"/>
      <c r="Q11" s="111"/>
    </row>
    <row r="12" spans="1:17" x14ac:dyDescent="0.75">
      <c r="A12" s="111"/>
      <c r="B12" s="111"/>
      <c r="C12" s="111" t="s">
        <v>115</v>
      </c>
      <c r="D12" s="111">
        <v>25.507750000000001</v>
      </c>
      <c r="E12" s="111">
        <v>25.734938642614622</v>
      </c>
      <c r="F12" s="111">
        <v>0.22718864261462104</v>
      </c>
      <c r="G12" s="111">
        <v>8.8280234808261072E-3</v>
      </c>
      <c r="H12" s="111"/>
      <c r="I12" s="111"/>
      <c r="J12" s="111"/>
      <c r="K12" s="111" t="s">
        <v>115</v>
      </c>
      <c r="L12" s="111">
        <v>290.77706000000006</v>
      </c>
      <c r="M12" s="111">
        <v>308.81926371137541</v>
      </c>
      <c r="N12" s="111">
        <v>18.04220371137535</v>
      </c>
      <c r="O12" s="111">
        <v>5.8423180906997163E-2</v>
      </c>
      <c r="P12" s="111"/>
      <c r="Q12" s="111"/>
    </row>
    <row r="13" spans="1:17" x14ac:dyDescent="0.75">
      <c r="A13" s="111"/>
      <c r="B13" s="111"/>
      <c r="C13" s="111" t="s">
        <v>116</v>
      </c>
      <c r="D13" s="111">
        <v>104.80633</v>
      </c>
      <c r="E13" s="111">
        <v>102.94409653980983</v>
      </c>
      <c r="F13" s="111">
        <v>-1.8622334601901545</v>
      </c>
      <c r="G13" s="111">
        <v>-1.8089754758010855E-2</v>
      </c>
      <c r="H13" s="111"/>
      <c r="I13" s="111"/>
      <c r="J13" s="111"/>
      <c r="K13" s="111" t="s">
        <v>116</v>
      </c>
      <c r="L13" s="111">
        <v>1061.11492</v>
      </c>
      <c r="M13" s="111">
        <v>1175.3425598014342</v>
      </c>
      <c r="N13" s="111">
        <v>114.22763980143418</v>
      </c>
      <c r="O13" s="111">
        <v>9.7186678767705079E-2</v>
      </c>
      <c r="P13" s="111"/>
      <c r="Q13" s="111"/>
    </row>
    <row r="14" spans="1:17" x14ac:dyDescent="0.75">
      <c r="A14" s="111"/>
      <c r="B14" s="111"/>
      <c r="C14" s="111" t="s">
        <v>117</v>
      </c>
      <c r="D14" s="111">
        <v>6.0979399999999995</v>
      </c>
      <c r="E14" s="111">
        <v>7.916666666666667</v>
      </c>
      <c r="F14" s="111">
        <v>1.8187266666666675</v>
      </c>
      <c r="G14" s="111">
        <v>0.22973389473684219</v>
      </c>
      <c r="H14" s="111"/>
      <c r="I14" s="111" t="s">
        <v>577</v>
      </c>
      <c r="J14" s="111"/>
      <c r="K14" s="111" t="s">
        <v>117</v>
      </c>
      <c r="L14" s="111">
        <v>187.10105999999999</v>
      </c>
      <c r="M14" s="111">
        <v>165</v>
      </c>
      <c r="N14" s="111">
        <v>-22.101060000000015</v>
      </c>
      <c r="O14" s="111">
        <v>-0.1339458181818183</v>
      </c>
      <c r="P14" s="111"/>
      <c r="Q14" s="111"/>
    </row>
    <row r="15" spans="1:17" x14ac:dyDescent="0.75">
      <c r="A15" s="111"/>
      <c r="B15" s="111"/>
      <c r="C15" s="111" t="s">
        <v>118</v>
      </c>
      <c r="D15" s="111">
        <v>0</v>
      </c>
      <c r="E15" s="111">
        <v>0</v>
      </c>
      <c r="F15" s="111">
        <v>0</v>
      </c>
      <c r="G15" s="111">
        <v>0</v>
      </c>
      <c r="H15" s="111"/>
      <c r="I15" s="111"/>
      <c r="J15" s="111"/>
      <c r="K15" s="111" t="s">
        <v>118</v>
      </c>
      <c r="L15" s="111">
        <v>0</v>
      </c>
      <c r="M15" s="111">
        <v>0</v>
      </c>
      <c r="N15" s="111">
        <v>0</v>
      </c>
      <c r="O15" s="111">
        <v>0</v>
      </c>
      <c r="P15" s="111"/>
      <c r="Q15" s="111"/>
    </row>
    <row r="16" spans="1:17" x14ac:dyDescent="0.75">
      <c r="A16" s="111"/>
      <c r="B16" s="111"/>
      <c r="C16" s="111" t="s">
        <v>119</v>
      </c>
      <c r="D16" s="111">
        <v>93.9</v>
      </c>
      <c r="E16" s="111">
        <v>64.291307418945038</v>
      </c>
      <c r="F16" s="111">
        <v>-29.608692581054967</v>
      </c>
      <c r="G16" s="111">
        <v>-0.46053959344945639</v>
      </c>
      <c r="H16" s="111"/>
      <c r="I16" s="111"/>
      <c r="J16" s="111"/>
      <c r="K16" s="111" t="s">
        <v>119</v>
      </c>
      <c r="L16" s="111">
        <v>846.38783000000012</v>
      </c>
      <c r="M16" s="111">
        <v>914.66715517633213</v>
      </c>
      <c r="N16" s="111">
        <v>68.279325176332122</v>
      </c>
      <c r="O16" s="111">
        <v>7.4649368122515602E-2</v>
      </c>
      <c r="P16" s="111"/>
      <c r="Q16" s="111"/>
    </row>
    <row r="17" spans="1:17" x14ac:dyDescent="0.75">
      <c r="A17" s="111"/>
      <c r="B17" s="111"/>
      <c r="C17" s="111" t="s">
        <v>120</v>
      </c>
      <c r="D17" s="111">
        <v>91.288259999999994</v>
      </c>
      <c r="E17" s="111">
        <v>122.84281459125002</v>
      </c>
      <c r="F17" s="111">
        <v>31.554554591250024</v>
      </c>
      <c r="G17" s="111">
        <v>0.25686935533222166</v>
      </c>
      <c r="H17" s="111"/>
      <c r="I17" s="111"/>
      <c r="J17" s="111"/>
      <c r="K17" s="111" t="s">
        <v>120</v>
      </c>
      <c r="L17" s="111">
        <v>746.37856999999997</v>
      </c>
      <c r="M17" s="111">
        <v>1474.1137750949999</v>
      </c>
      <c r="N17" s="111">
        <v>727.73520509499986</v>
      </c>
      <c r="O17" s="111">
        <v>0.49367641588458849</v>
      </c>
      <c r="P17" s="111"/>
      <c r="Q17" s="111"/>
    </row>
    <row r="18" spans="1:17" x14ac:dyDescent="0.75">
      <c r="A18" s="111"/>
      <c r="B18" s="111"/>
      <c r="C18" s="111" t="s">
        <v>121</v>
      </c>
      <c r="D18" s="111">
        <v>6.3515800000000002</v>
      </c>
      <c r="E18" s="111">
        <v>21.5</v>
      </c>
      <c r="F18" s="111">
        <v>15.14842</v>
      </c>
      <c r="G18" s="111">
        <v>0.70457767441860464</v>
      </c>
      <c r="H18" s="111"/>
      <c r="I18" s="111"/>
      <c r="J18" s="111"/>
      <c r="K18" s="111" t="s">
        <v>121</v>
      </c>
      <c r="L18" s="111">
        <v>242.25496999999999</v>
      </c>
      <c r="M18" s="111">
        <v>258</v>
      </c>
      <c r="N18" s="111">
        <v>15.745030000000014</v>
      </c>
      <c r="O18" s="111">
        <v>6.1027248062015559E-2</v>
      </c>
      <c r="P18" s="111"/>
      <c r="Q18" s="111"/>
    </row>
    <row r="19" spans="1:17" x14ac:dyDescent="0.75">
      <c r="A19" s="111"/>
      <c r="B19" s="111"/>
      <c r="C19" s="111" t="s">
        <v>122</v>
      </c>
      <c r="D19" s="111">
        <v>21.852080000000001</v>
      </c>
      <c r="E19" s="111">
        <v>8.3889999999999993</v>
      </c>
      <c r="F19" s="111">
        <v>-13.46308</v>
      </c>
      <c r="G19" s="111">
        <v>-1.6048492072952678</v>
      </c>
      <c r="H19" s="111"/>
      <c r="I19" s="111" t="s">
        <v>578</v>
      </c>
      <c r="J19" s="111"/>
      <c r="K19" s="111" t="s">
        <v>122</v>
      </c>
      <c r="L19" s="111">
        <v>312.95722000000001</v>
      </c>
      <c r="M19" s="111">
        <v>130.8249091521638</v>
      </c>
      <c r="N19" s="111">
        <v>-182.13231084783621</v>
      </c>
      <c r="O19" s="111">
        <v>-1.3921837364778618</v>
      </c>
      <c r="P19" s="111"/>
      <c r="Q19" s="111"/>
    </row>
    <row r="20" spans="1:17" x14ac:dyDescent="0.75">
      <c r="A20" s="111"/>
      <c r="B20" s="111"/>
      <c r="C20" s="111" t="s">
        <v>123</v>
      </c>
      <c r="D20" s="111">
        <v>0</v>
      </c>
      <c r="E20" s="111">
        <v>2.0868333333333333</v>
      </c>
      <c r="F20" s="111">
        <v>2.0868333333333333</v>
      </c>
      <c r="G20" s="111">
        <v>1</v>
      </c>
      <c r="H20" s="111"/>
      <c r="I20" s="111" t="s">
        <v>579</v>
      </c>
      <c r="J20" s="111"/>
      <c r="K20" s="111" t="s">
        <v>123</v>
      </c>
      <c r="L20" s="111">
        <v>19.728529999999999</v>
      </c>
      <c r="M20" s="111">
        <v>25.042000000000002</v>
      </c>
      <c r="N20" s="111">
        <v>5.3134699999999988</v>
      </c>
      <c r="O20" s="111">
        <v>0.21218233367941855</v>
      </c>
      <c r="P20" s="111"/>
      <c r="Q20" s="111"/>
    </row>
    <row r="21" spans="1:17" x14ac:dyDescent="0.75">
      <c r="A21" s="111"/>
      <c r="B21" s="111"/>
      <c r="C21" s="111" t="s">
        <v>124</v>
      </c>
      <c r="D21" s="111">
        <v>9.21218</v>
      </c>
      <c r="E21" s="111">
        <v>16.95315560813647</v>
      </c>
      <c r="F21" s="111">
        <v>7.7409756081364707</v>
      </c>
      <c r="G21" s="111">
        <v>0.45660971839492104</v>
      </c>
      <c r="H21" s="111"/>
      <c r="I21" s="111"/>
      <c r="J21" s="111"/>
      <c r="K21" s="111" t="s">
        <v>124</v>
      </c>
      <c r="L21" s="111">
        <v>133.09972999999999</v>
      </c>
      <c r="M21" s="111">
        <v>188.7578876219691</v>
      </c>
      <c r="N21" s="111">
        <v>55.65815762196911</v>
      </c>
      <c r="O21" s="111">
        <v>0.29486533422877309</v>
      </c>
      <c r="P21" s="111"/>
      <c r="Q21" s="111"/>
    </row>
    <row r="22" spans="1:17" x14ac:dyDescent="0.75">
      <c r="A22" s="111"/>
      <c r="B22" s="111"/>
      <c r="C22" s="111" t="s">
        <v>125</v>
      </c>
      <c r="D22" s="111">
        <v>0.67303000000000002</v>
      </c>
      <c r="E22" s="111">
        <v>1.25</v>
      </c>
      <c r="F22" s="111">
        <v>0.57696999999999998</v>
      </c>
      <c r="G22" s="111">
        <v>0.46157599999999999</v>
      </c>
      <c r="H22" s="111"/>
      <c r="I22" s="111" t="s">
        <v>580</v>
      </c>
      <c r="J22" s="111"/>
      <c r="K22" s="111" t="s">
        <v>125</v>
      </c>
      <c r="L22" s="111">
        <v>6.3250200000000101</v>
      </c>
      <c r="M22" s="111">
        <v>15</v>
      </c>
      <c r="N22" s="111">
        <v>8.6749799999999908</v>
      </c>
      <c r="O22" s="111">
        <v>0.5783319999999994</v>
      </c>
      <c r="P22" s="111"/>
      <c r="Q22" s="111"/>
    </row>
    <row r="23" spans="1:17" x14ac:dyDescent="0.75">
      <c r="A23" s="111"/>
      <c r="B23" s="111"/>
      <c r="C23" s="111" t="s">
        <v>126</v>
      </c>
      <c r="D23" s="111">
        <v>359.68914999999998</v>
      </c>
      <c r="E23" s="111">
        <v>373.90881280075598</v>
      </c>
      <c r="F23" s="111">
        <v>14.219662800755998</v>
      </c>
      <c r="G23" s="111">
        <v>3.8029761037842134E-2</v>
      </c>
      <c r="H23" s="111"/>
      <c r="I23" s="111"/>
      <c r="J23" s="111"/>
      <c r="K23" s="111" t="s">
        <v>126</v>
      </c>
      <c r="L23" s="111">
        <v>3846.12491</v>
      </c>
      <c r="M23" s="111">
        <v>4655.5675505582758</v>
      </c>
      <c r="N23" s="111">
        <v>809.4426405582758</v>
      </c>
      <c r="O23" s="111">
        <v>0.17386551301596104</v>
      </c>
      <c r="P23" s="111"/>
      <c r="Q23" s="111"/>
    </row>
    <row r="24" spans="1:17" x14ac:dyDescent="0.75">
      <c r="A24" s="111"/>
      <c r="B24" s="111"/>
      <c r="C24" s="111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</row>
    <row r="25" spans="1:17" x14ac:dyDescent="0.75">
      <c r="A25" s="111"/>
      <c r="B25" s="111"/>
      <c r="C25" s="111" t="s">
        <v>127</v>
      </c>
      <c r="D25" s="111">
        <v>523.66570999999999</v>
      </c>
      <c r="E25" s="111">
        <v>466.46917165827415</v>
      </c>
      <c r="F25" s="111">
        <v>57.196538341725841</v>
      </c>
      <c r="G25" s="111">
        <v>0.12261590222220917</v>
      </c>
      <c r="H25" s="111"/>
      <c r="I25" s="111"/>
      <c r="J25" s="111"/>
      <c r="K25" s="111" t="s">
        <v>127</v>
      </c>
      <c r="L25" s="111">
        <v>9457.1397300000008</v>
      </c>
      <c r="M25" s="111">
        <v>7853.5967178188048</v>
      </c>
      <c r="N25" s="111">
        <v>1603.543012181196</v>
      </c>
      <c r="O25" s="111">
        <v>0.20417944411927369</v>
      </c>
      <c r="P25" s="111"/>
      <c r="Q25" s="111"/>
    </row>
    <row r="26" spans="1:17" x14ac:dyDescent="0.75">
      <c r="A26" s="127"/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  <c r="P26" s="127"/>
      <c r="Q26" s="127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8C78-513B-4D7A-8CE8-DB514C596B61}">
  <dimension ref="B1:N31"/>
  <sheetViews>
    <sheetView topLeftCell="A5" workbookViewId="0">
      <selection activeCell="G16" sqref="G16"/>
    </sheetView>
  </sheetViews>
  <sheetFormatPr defaultRowHeight="14.75" x14ac:dyDescent="0.75"/>
  <cols>
    <col min="3" max="3" width="30.40625" customWidth="1"/>
    <col min="4" max="4" width="0.40625" customWidth="1"/>
    <col min="5" max="5" width="8.86328125" customWidth="1"/>
    <col min="6" max="6" width="0.40625" customWidth="1"/>
    <col min="7" max="7" width="9" customWidth="1"/>
    <col min="8" max="8" width="0.40625" customWidth="1"/>
    <col min="9" max="9" width="8" customWidth="1"/>
    <col min="10" max="10" width="0.40625" customWidth="1"/>
    <col min="11" max="11" width="7.54296875" customWidth="1"/>
    <col min="12" max="12" width="1.1328125" customWidth="1"/>
    <col min="13" max="13" width="31.40625" style="14" customWidth="1"/>
  </cols>
  <sheetData>
    <row r="1" spans="2:14" x14ac:dyDescent="0.75">
      <c r="C1">
        <v>175</v>
      </c>
      <c r="D1">
        <v>3</v>
      </c>
      <c r="E1">
        <v>53</v>
      </c>
      <c r="F1">
        <v>3</v>
      </c>
      <c r="G1">
        <v>51</v>
      </c>
      <c r="H1">
        <v>3</v>
      </c>
      <c r="I1">
        <v>52</v>
      </c>
      <c r="J1">
        <v>3</v>
      </c>
      <c r="K1">
        <v>44</v>
      </c>
      <c r="M1" s="14">
        <v>232</v>
      </c>
    </row>
    <row r="3" spans="2:14" x14ac:dyDescent="0.75">
      <c r="C3" s="161" t="s">
        <v>102</v>
      </c>
      <c r="D3" s="15"/>
      <c r="E3" s="15"/>
      <c r="F3" s="15"/>
      <c r="G3" s="15"/>
      <c r="H3" s="15"/>
      <c r="I3" s="15"/>
      <c r="J3" s="15"/>
      <c r="K3" s="15"/>
      <c r="L3" s="15"/>
      <c r="M3" s="16"/>
    </row>
    <row r="4" spans="2:14" s="127" customFormat="1" x14ac:dyDescent="0.75">
      <c r="B4" s="160" t="s">
        <v>458</v>
      </c>
      <c r="C4" s="61" t="s">
        <v>460</v>
      </c>
      <c r="D4" s="15"/>
      <c r="E4" s="61" t="s">
        <v>461</v>
      </c>
      <c r="F4" s="61"/>
      <c r="G4" s="61" t="s">
        <v>462</v>
      </c>
      <c r="H4" s="61"/>
      <c r="I4" s="61" t="s">
        <v>465</v>
      </c>
      <c r="J4" s="61"/>
      <c r="K4" s="61" t="s">
        <v>463</v>
      </c>
      <c r="L4" s="61"/>
      <c r="M4" s="61" t="s">
        <v>464</v>
      </c>
    </row>
    <row r="5" spans="2:14" x14ac:dyDescent="0.75">
      <c r="B5" s="160" t="s">
        <v>459</v>
      </c>
      <c r="C5" s="15" t="s">
        <v>88</v>
      </c>
      <c r="D5" s="15" t="s">
        <v>88</v>
      </c>
      <c r="E5" s="15" t="s">
        <v>88</v>
      </c>
      <c r="F5" s="15" t="s">
        <v>88</v>
      </c>
      <c r="G5" s="15" t="s">
        <v>88</v>
      </c>
      <c r="H5" s="15" t="s">
        <v>88</v>
      </c>
      <c r="I5" s="15" t="s">
        <v>88</v>
      </c>
      <c r="J5" s="15" t="s">
        <v>88</v>
      </c>
      <c r="K5" s="15" t="s">
        <v>88</v>
      </c>
      <c r="L5" s="15" t="s">
        <v>88</v>
      </c>
      <c r="M5" s="16" t="s">
        <v>88</v>
      </c>
    </row>
    <row r="6" spans="2:14" x14ac:dyDescent="0.75">
      <c r="B6" s="160"/>
      <c r="C6" s="173" t="s">
        <v>103</v>
      </c>
      <c r="D6" s="168"/>
      <c r="E6" s="169" t="s">
        <v>158</v>
      </c>
      <c r="F6" s="168"/>
      <c r="G6" s="169" t="s">
        <v>159</v>
      </c>
      <c r="H6" s="168"/>
      <c r="I6" s="169" t="s">
        <v>104</v>
      </c>
      <c r="J6" s="168"/>
      <c r="K6" s="169" t="s">
        <v>105</v>
      </c>
      <c r="L6" s="170"/>
      <c r="M6" s="171" t="s">
        <v>106</v>
      </c>
      <c r="N6" s="170" t="s">
        <v>88</v>
      </c>
    </row>
    <row r="7" spans="2:14" x14ac:dyDescent="0.75">
      <c r="B7" s="160">
        <v>3</v>
      </c>
      <c r="C7" s="63" t="s">
        <v>107</v>
      </c>
      <c r="D7" s="64"/>
      <c r="E7" s="108" cm="1">
        <f t="array" aca="1" ref="E7" ca="1">INDIRECT("'ebitda raw'!"&amp;E$4&amp;B7)</f>
        <v>24282.06</v>
      </c>
      <c r="F7" s="64"/>
      <c r="G7" s="108" cm="1">
        <f t="array" aca="1" ref="G7" ca="1">INDIRECT("'ebitda raw'!"&amp;G$4&amp;B7)</f>
        <v>22899.87127539537</v>
      </c>
      <c r="H7" s="65"/>
      <c r="I7" s="108" cm="1">
        <f t="array" aca="1" ref="I7" ca="1">INDIRECT("'ebitda raw'!"&amp;I$4&amp;B7)</f>
        <v>1382.1887246046354</v>
      </c>
      <c r="J7" s="64"/>
      <c r="K7" s="66" cm="1">
        <f t="array" aca="1" ref="K7" ca="1">INDIRECT("'ebitda raw'!"&amp;K$4&amp;B7)</f>
        <v>6.0357925508940306E-2</v>
      </c>
      <c r="L7" s="170"/>
      <c r="M7" s="19"/>
      <c r="N7" s="170" t="s">
        <v>88</v>
      </c>
    </row>
    <row r="8" spans="2:14" x14ac:dyDescent="0.75">
      <c r="B8" s="160">
        <f>B7+1</f>
        <v>4</v>
      </c>
      <c r="C8" s="13"/>
      <c r="D8" s="68"/>
      <c r="E8" s="68"/>
      <c r="F8" s="68"/>
      <c r="G8" s="68"/>
      <c r="H8" s="68"/>
      <c r="I8" s="13"/>
      <c r="J8" s="13"/>
      <c r="K8" s="66"/>
      <c r="L8" s="170"/>
      <c r="M8" s="17"/>
      <c r="N8" s="170" t="s">
        <v>88</v>
      </c>
    </row>
    <row r="9" spans="2:14" x14ac:dyDescent="0.75">
      <c r="B9" s="160">
        <f t="shared" ref="B9:B29" si="0">B8+1</f>
        <v>5</v>
      </c>
      <c r="C9" s="47" t="s">
        <v>108</v>
      </c>
      <c r="D9" s="68"/>
      <c r="E9" s="69"/>
      <c r="F9" s="68"/>
      <c r="G9" s="69"/>
      <c r="H9" s="69"/>
      <c r="I9" s="69"/>
      <c r="J9" s="69"/>
      <c r="K9" s="66"/>
      <c r="L9" s="170"/>
      <c r="M9" s="17"/>
      <c r="N9" s="170" t="s">
        <v>88</v>
      </c>
    </row>
    <row r="10" spans="2:14" x14ac:dyDescent="0.75">
      <c r="B10" s="160">
        <f t="shared" si="0"/>
        <v>6</v>
      </c>
      <c r="C10" s="87" t="s">
        <v>109</v>
      </c>
      <c r="D10" s="13"/>
      <c r="E10" s="69" cm="1">
        <f t="array" aca="1" ref="E10" ca="1">INDIRECT("'ebitda raw'!"&amp;E$4&amp;B10)</f>
        <v>883.35486000000003</v>
      </c>
      <c r="F10" s="13"/>
      <c r="G10" s="69" cm="1">
        <f t="array" aca="1" ref="G10" ca="1">INDIRECT("'ebitda raw'!"&amp;G$4&amp;B10)</f>
        <v>814.49671187906245</v>
      </c>
      <c r="H10" s="69"/>
      <c r="I10" s="69" cm="1">
        <f t="array" aca="1" ref="I10" ca="1">INDIRECT("'ebitda raw'!"&amp;I$4&amp;B10)</f>
        <v>68.858148120937699</v>
      </c>
      <c r="J10" s="69"/>
      <c r="K10" s="66" cm="1">
        <f t="array" aca="1" ref="K10" ca="1">INDIRECT("'ebitda raw'!"&amp;K$4&amp;B10)</f>
        <v>8.4540731861372884E-2</v>
      </c>
      <c r="L10" s="170"/>
      <c r="M10" s="19" t="s">
        <v>110</v>
      </c>
      <c r="N10" s="170" t="s">
        <v>88</v>
      </c>
    </row>
    <row r="11" spans="2:14" x14ac:dyDescent="0.75">
      <c r="B11" s="160">
        <f t="shared" si="0"/>
        <v>7</v>
      </c>
      <c r="C11" s="21" t="s">
        <v>111</v>
      </c>
      <c r="D11" s="13"/>
      <c r="E11" s="78" cm="1">
        <f t="array" aca="1" ref="E11" ca="1">INDIRECT("'ebitda raw'!"&amp;E$4&amp;B11)</f>
        <v>0</v>
      </c>
      <c r="F11" s="13"/>
      <c r="G11" s="78" cm="1">
        <f t="array" aca="1" ref="G11" ca="1">INDIRECT("'ebitda raw'!"&amp;G$4&amp;B11)</f>
        <v>0</v>
      </c>
      <c r="H11" s="69"/>
      <c r="I11" s="78" cm="1">
        <f t="array" aca="1" ref="I11" ca="1">INDIRECT("'ebitda raw'!"&amp;I$4&amp;B11)</f>
        <v>0</v>
      </c>
      <c r="J11" s="69"/>
      <c r="K11" s="66" cm="1">
        <f t="array" aca="1" ref="K11" ca="1">INDIRECT("'ebitda raw'!"&amp;K$4&amp;B11)</f>
        <v>0</v>
      </c>
      <c r="L11" s="170"/>
      <c r="M11" s="17" t="s">
        <v>110</v>
      </c>
      <c r="N11" s="170" t="s">
        <v>88</v>
      </c>
    </row>
    <row r="12" spans="2:14" x14ac:dyDescent="0.75">
      <c r="B12" s="160">
        <f t="shared" si="0"/>
        <v>8</v>
      </c>
      <c r="C12" s="21" t="s">
        <v>112</v>
      </c>
      <c r="D12" s="13"/>
      <c r="E12" s="78" cm="1">
        <f t="array" aca="1" ref="E12" ca="1">INDIRECT("'ebitda raw'!"&amp;E$4&amp;B12)</f>
        <v>0</v>
      </c>
      <c r="F12" s="13"/>
      <c r="G12" s="78" cm="1">
        <f t="array" aca="1" ref="G12" ca="1">INDIRECT("'ebitda raw'!"&amp;G$4&amp;B12)</f>
        <v>25.881272579967792</v>
      </c>
      <c r="H12" s="65"/>
      <c r="I12" s="78" cm="1">
        <f t="array" aca="1" ref="I12" ca="1">INDIRECT("'ebitda raw'!"&amp;I$4&amp;B12)</f>
        <v>-25.881272579967792</v>
      </c>
      <c r="J12" s="65"/>
      <c r="K12" s="73" cm="1">
        <f t="array" aca="1" ref="K12" ca="1">INDIRECT("'ebitda raw'!"&amp;K$4&amp;B12)</f>
        <v>-1</v>
      </c>
      <c r="L12" s="170"/>
      <c r="M12" s="17" t="s">
        <v>110</v>
      </c>
      <c r="N12" s="170" t="s">
        <v>88</v>
      </c>
    </row>
    <row r="13" spans="2:14" x14ac:dyDescent="0.75">
      <c r="B13" s="160">
        <f t="shared" si="0"/>
        <v>9</v>
      </c>
      <c r="C13" s="51" t="s">
        <v>113</v>
      </c>
      <c r="D13" s="74"/>
      <c r="E13" s="106" cm="1">
        <f t="array" aca="1" ref="E13" ca="1">INDIRECT("'ebitda raw'!"&amp;E$4&amp;B13)</f>
        <v>883.35486000000003</v>
      </c>
      <c r="F13" s="74"/>
      <c r="G13" s="106" cm="1">
        <f t="array" aca="1" ref="G13" ca="1">INDIRECT("'ebitda raw'!"&amp;G$4&amp;B13)</f>
        <v>840.37798445903013</v>
      </c>
      <c r="H13" s="76"/>
      <c r="I13" s="106" cm="1">
        <f t="array" aca="1" ref="I13" ca="1">INDIRECT("'ebitda raw'!"&amp;I$4&amp;B13)</f>
        <v>42.9768755409699</v>
      </c>
      <c r="J13" s="76"/>
      <c r="K13" s="103" cm="1">
        <f t="array" aca="1" ref="K13" ca="1">INDIRECT("'ebitda raw'!"&amp;K$4&amp;B13)</f>
        <v>5.1139935047959474E-2</v>
      </c>
      <c r="L13" s="170"/>
      <c r="M13" s="17" t="s">
        <v>110</v>
      </c>
      <c r="N13" s="170" t="s">
        <v>88</v>
      </c>
    </row>
    <row r="14" spans="2:14" x14ac:dyDescent="0.75">
      <c r="B14" s="160">
        <f t="shared" si="0"/>
        <v>10</v>
      </c>
      <c r="C14" s="13"/>
      <c r="D14" s="13"/>
      <c r="E14" s="69"/>
      <c r="F14" s="13"/>
      <c r="G14" s="69"/>
      <c r="H14" s="69"/>
      <c r="I14" s="69"/>
      <c r="J14" s="69"/>
      <c r="K14" s="66"/>
      <c r="L14" s="170"/>
      <c r="M14" s="17"/>
      <c r="N14" s="170" t="s">
        <v>88</v>
      </c>
    </row>
    <row r="15" spans="2:14" x14ac:dyDescent="0.75">
      <c r="B15" s="160">
        <f t="shared" si="0"/>
        <v>11</v>
      </c>
      <c r="C15" s="47" t="s">
        <v>114</v>
      </c>
      <c r="D15" s="13"/>
      <c r="E15" s="69"/>
      <c r="F15" s="13"/>
      <c r="G15" s="69"/>
      <c r="H15" s="69"/>
      <c r="I15" s="69"/>
      <c r="J15" s="69"/>
      <c r="K15" s="66"/>
      <c r="L15" s="170"/>
      <c r="M15" s="17"/>
      <c r="N15" s="170" t="s">
        <v>88</v>
      </c>
    </row>
    <row r="16" spans="2:14" x14ac:dyDescent="0.75">
      <c r="B16" s="160">
        <f t="shared" si="0"/>
        <v>12</v>
      </c>
      <c r="C16" s="21" t="s">
        <v>115</v>
      </c>
      <c r="D16" s="77"/>
      <c r="E16" s="78" cm="1">
        <f t="array" aca="1" ref="E16" ca="1">INDIRECT("'ebitda raw'!"&amp;E$4&amp;B16)</f>
        <v>25.507750000000001</v>
      </c>
      <c r="F16" s="77"/>
      <c r="G16" s="78" cm="1">
        <f t="array" aca="1" ref="G16" ca="1">INDIRECT("'ebitda raw'!"&amp;G$4&amp;B16)</f>
        <v>25.734938642614622</v>
      </c>
      <c r="H16" s="77"/>
      <c r="I16" s="65" cm="1">
        <f t="array" aca="1" ref="I16" ca="1">INDIRECT("'ebitda raw'!"&amp;I$4&amp;B16)</f>
        <v>0.22718864261462104</v>
      </c>
      <c r="J16" s="77"/>
      <c r="K16" s="66" cm="1">
        <f t="array" aca="1" ref="K16" ca="1">INDIRECT("'ebitda raw'!"&amp;K$4&amp;B16)</f>
        <v>8.8280234808261072E-3</v>
      </c>
      <c r="L16" s="170"/>
      <c r="M16" s="17" t="s">
        <v>110</v>
      </c>
      <c r="N16" s="170" t="s">
        <v>88</v>
      </c>
    </row>
    <row r="17" spans="2:14" x14ac:dyDescent="0.75">
      <c r="B17" s="160">
        <f t="shared" si="0"/>
        <v>13</v>
      </c>
      <c r="C17" s="21" t="s">
        <v>116</v>
      </c>
      <c r="D17" s="79"/>
      <c r="E17" s="78" cm="1">
        <f t="array" aca="1" ref="E17" ca="1">INDIRECT("'ebitda raw'!"&amp;E$4&amp;B17)</f>
        <v>104.80633</v>
      </c>
      <c r="F17" s="79"/>
      <c r="G17" s="78" cm="1">
        <f t="array" aca="1" ref="G17" ca="1">INDIRECT("'ebitda raw'!"&amp;G$4&amp;B17)</f>
        <v>102.94409653980983</v>
      </c>
      <c r="H17" s="77"/>
      <c r="I17" s="65" cm="1">
        <f t="array" aca="1" ref="I17" ca="1">INDIRECT("'ebitda raw'!"&amp;I$4&amp;B17)</f>
        <v>-1.8622334601901545</v>
      </c>
      <c r="J17" s="77"/>
      <c r="K17" s="66" cm="1">
        <f t="array" aca="1" ref="K17" ca="1">INDIRECT("'ebitda raw'!"&amp;K$4&amp;B17)</f>
        <v>-1.8089754758010855E-2</v>
      </c>
      <c r="L17" s="170"/>
      <c r="M17" s="17" t="s">
        <v>110</v>
      </c>
      <c r="N17" s="170" t="s">
        <v>88</v>
      </c>
    </row>
    <row r="18" spans="2:14" x14ac:dyDescent="0.75">
      <c r="B18" s="160">
        <f t="shared" si="0"/>
        <v>14</v>
      </c>
      <c r="C18" s="21" t="s">
        <v>117</v>
      </c>
      <c r="D18" s="65"/>
      <c r="E18" s="78" cm="1">
        <f t="array" aca="1" ref="E18" ca="1">INDIRECT("'ebitda raw'!"&amp;E$4&amp;B18)</f>
        <v>6.0979399999999995</v>
      </c>
      <c r="F18" s="65"/>
      <c r="G18" s="78" cm="1">
        <f t="array" aca="1" ref="G18" ca="1">INDIRECT("'ebitda raw'!"&amp;G$4&amp;B18)</f>
        <v>7.916666666666667</v>
      </c>
      <c r="H18" s="69"/>
      <c r="I18" s="65" cm="1">
        <f t="array" aca="1" ref="I18" ca="1">INDIRECT("'ebitda raw'!"&amp;I$4&amp;B18)</f>
        <v>1.8187266666666675</v>
      </c>
      <c r="J18" s="69"/>
      <c r="K18" s="66" cm="1">
        <f t="array" aca="1" ref="K18" ca="1">INDIRECT("'ebitda raw'!"&amp;K$4&amp;B18)</f>
        <v>0.22973389473684219</v>
      </c>
      <c r="L18" s="170"/>
      <c r="M18" s="17"/>
      <c r="N18" s="170" t="s">
        <v>88</v>
      </c>
    </row>
    <row r="19" spans="2:14" x14ac:dyDescent="0.75">
      <c r="B19" s="160">
        <f t="shared" si="0"/>
        <v>15</v>
      </c>
      <c r="C19" s="21" t="s">
        <v>118</v>
      </c>
      <c r="D19" s="80"/>
      <c r="E19" s="72" cm="1">
        <f t="array" aca="1" ref="E19" ca="1">INDIRECT("'ebitda raw'!"&amp;E$4&amp;B19)</f>
        <v>0</v>
      </c>
      <c r="F19" s="80"/>
      <c r="G19" s="72" cm="1">
        <f t="array" aca="1" ref="G19" ca="1">INDIRECT("'ebitda raw'!"&amp;G$4&amp;B19)</f>
        <v>0</v>
      </c>
      <c r="H19" s="72"/>
      <c r="I19" s="65" cm="1">
        <f t="array" aca="1" ref="I19" ca="1">INDIRECT("'ebitda raw'!"&amp;I$4&amp;B19)</f>
        <v>0</v>
      </c>
      <c r="J19" s="72"/>
      <c r="K19" s="66" cm="1">
        <f t="array" aca="1" ref="K19" ca="1">INDIRECT("'ebitda raw'!"&amp;K$4&amp;B19)</f>
        <v>0</v>
      </c>
      <c r="L19" s="170"/>
      <c r="M19" s="132"/>
      <c r="N19" s="170" t="s">
        <v>88</v>
      </c>
    </row>
    <row r="20" spans="2:14" x14ac:dyDescent="0.75">
      <c r="B20" s="160">
        <f t="shared" si="0"/>
        <v>16</v>
      </c>
      <c r="C20" s="21" t="s">
        <v>119</v>
      </c>
      <c r="D20" s="65"/>
      <c r="E20" s="69" cm="1">
        <f t="array" aca="1" ref="E20" ca="1">INDIRECT("'ebitda raw'!"&amp;E$4&amp;B20)</f>
        <v>93.9</v>
      </c>
      <c r="F20" s="65"/>
      <c r="G20" s="69" cm="1">
        <f t="array" aca="1" ref="G20" ca="1">INDIRECT("'ebitda raw'!"&amp;G$4&amp;B20)</f>
        <v>64.291307418945038</v>
      </c>
      <c r="H20" s="69"/>
      <c r="I20" s="65" cm="1">
        <f t="array" aca="1" ref="I20" ca="1">INDIRECT("'ebitda raw'!"&amp;I$4&amp;B20)</f>
        <v>-29.608692581054967</v>
      </c>
      <c r="J20" s="69"/>
      <c r="K20" s="66" cm="1">
        <f t="array" aca="1" ref="K20" ca="1">INDIRECT("'ebitda raw'!"&amp;K$4&amp;B20)</f>
        <v>-0.46053959344945639</v>
      </c>
      <c r="L20" s="170"/>
      <c r="M20" s="17" t="s">
        <v>110</v>
      </c>
      <c r="N20" s="170" t="s">
        <v>88</v>
      </c>
    </row>
    <row r="21" spans="2:14" x14ac:dyDescent="0.75">
      <c r="B21" s="160">
        <f t="shared" si="0"/>
        <v>17</v>
      </c>
      <c r="C21" s="21" t="s">
        <v>120</v>
      </c>
      <c r="D21" s="65"/>
      <c r="E21" s="69" cm="1">
        <f t="array" aca="1" ref="E21" ca="1">INDIRECT("'ebitda raw'!"&amp;E$4&amp;B21)</f>
        <v>91.288259999999994</v>
      </c>
      <c r="F21" s="65"/>
      <c r="G21" s="69" cm="1">
        <f t="array" aca="1" ref="G21" ca="1">INDIRECT("'ebitda raw'!"&amp;G$4&amp;B21)</f>
        <v>122.84281459125002</v>
      </c>
      <c r="H21" s="69"/>
      <c r="I21" s="69" cm="1">
        <f t="array" aca="1" ref="I21" ca="1">INDIRECT("'ebitda raw'!"&amp;I$4&amp;B21)</f>
        <v>31.554554591250024</v>
      </c>
      <c r="J21" s="69"/>
      <c r="K21" s="66" cm="1">
        <f t="array" aca="1" ref="K21" ca="1">INDIRECT("'ebitda raw'!"&amp;K$4&amp;B21)</f>
        <v>0.25686935533222166</v>
      </c>
      <c r="L21" s="170"/>
      <c r="M21" s="17" t="s">
        <v>110</v>
      </c>
      <c r="N21" s="170" t="s">
        <v>88</v>
      </c>
    </row>
    <row r="22" spans="2:14" x14ac:dyDescent="0.75">
      <c r="B22" s="160">
        <f t="shared" si="0"/>
        <v>18</v>
      </c>
      <c r="C22" s="21" t="s">
        <v>121</v>
      </c>
      <c r="D22" s="65"/>
      <c r="E22" s="69" cm="1">
        <f t="array" aca="1" ref="E22" ca="1">INDIRECT("'ebitda raw'!"&amp;E$4&amp;B22)</f>
        <v>6.3515800000000002</v>
      </c>
      <c r="F22" s="65"/>
      <c r="G22" s="69" cm="1">
        <f t="array" aca="1" ref="G22" ca="1">INDIRECT("'ebitda raw'!"&amp;G$4&amp;B22)</f>
        <v>21.5</v>
      </c>
      <c r="H22" s="69"/>
      <c r="I22" s="78" cm="1">
        <f t="array" aca="1" ref="I22" ca="1">INDIRECT("'ebitda raw'!"&amp;I$4&amp;B22)</f>
        <v>15.14842</v>
      </c>
      <c r="J22" s="69"/>
      <c r="K22" s="66" cm="1">
        <f t="array" aca="1" ref="K22" ca="1">INDIRECT("'ebitda raw'!"&amp;K$4&amp;B22)</f>
        <v>0.70457767441860464</v>
      </c>
      <c r="L22" s="170"/>
      <c r="M22" s="17" t="s">
        <v>110</v>
      </c>
      <c r="N22" s="170" t="s">
        <v>88</v>
      </c>
    </row>
    <row r="23" spans="2:14" x14ac:dyDescent="0.75">
      <c r="B23" s="160">
        <f t="shared" si="0"/>
        <v>19</v>
      </c>
      <c r="C23" s="21" t="s">
        <v>122</v>
      </c>
      <c r="D23" s="65"/>
      <c r="E23" s="69" cm="1">
        <f t="array" aca="1" ref="E23" ca="1">INDIRECT("'ebitda raw'!"&amp;E$4&amp;B23)</f>
        <v>21.852080000000001</v>
      </c>
      <c r="F23" s="65"/>
      <c r="G23" s="69" cm="1">
        <f t="array" aca="1" ref="G23" ca="1">INDIRECT("'ebitda raw'!"&amp;G$4&amp;B23)</f>
        <v>8.3889999999999993</v>
      </c>
      <c r="H23" s="69"/>
      <c r="I23" s="69" cm="1">
        <f t="array" aca="1" ref="I23" ca="1">INDIRECT("'ebitda raw'!"&amp;I$4&amp;B23)</f>
        <v>-13.46308</v>
      </c>
      <c r="J23" s="69"/>
      <c r="K23" s="66" cm="1">
        <f t="array" aca="1" ref="K23" ca="1">INDIRECT("'ebitda raw'!"&amp;K$4&amp;B23)</f>
        <v>-1.6048492072952678</v>
      </c>
      <c r="L23" s="170"/>
      <c r="M23" s="17" t="s">
        <v>110</v>
      </c>
      <c r="N23" s="170" t="s">
        <v>88</v>
      </c>
    </row>
    <row r="24" spans="2:14" x14ac:dyDescent="0.75">
      <c r="B24" s="160">
        <f t="shared" si="0"/>
        <v>20</v>
      </c>
      <c r="C24" s="21" t="s">
        <v>123</v>
      </c>
      <c r="D24" s="65"/>
      <c r="E24" s="69" cm="1">
        <f t="array" aca="1" ref="E24" ca="1">INDIRECT("'ebitda raw'!"&amp;E$4&amp;B24)</f>
        <v>0</v>
      </c>
      <c r="F24" s="65"/>
      <c r="G24" s="69" cm="1">
        <f t="array" aca="1" ref="G24" ca="1">INDIRECT("'ebitda raw'!"&amp;G$4&amp;B24)</f>
        <v>2.0868333333333333</v>
      </c>
      <c r="H24" s="69"/>
      <c r="I24" s="69" cm="1">
        <f t="array" aca="1" ref="I24" ca="1">INDIRECT("'ebitda raw'!"&amp;I$4&amp;B24)</f>
        <v>2.0868333333333333</v>
      </c>
      <c r="J24" s="69"/>
      <c r="K24" s="66" cm="1">
        <f t="array" aca="1" ref="K24" ca="1">INDIRECT("'ebitda raw'!"&amp;K$4&amp;B24)</f>
        <v>1</v>
      </c>
      <c r="L24" s="170"/>
      <c r="M24" s="17" t="s">
        <v>110</v>
      </c>
      <c r="N24" s="170" t="s">
        <v>88</v>
      </c>
    </row>
    <row r="25" spans="2:14" x14ac:dyDescent="0.75">
      <c r="B25" s="160">
        <f t="shared" si="0"/>
        <v>21</v>
      </c>
      <c r="C25" s="21" t="s">
        <v>124</v>
      </c>
      <c r="D25" s="65"/>
      <c r="E25" s="69" cm="1">
        <f t="array" aca="1" ref="E25" ca="1">INDIRECT("'ebitda raw'!"&amp;E$4&amp;B25)</f>
        <v>9.21218</v>
      </c>
      <c r="F25" s="65"/>
      <c r="G25" s="69" cm="1">
        <f t="array" aca="1" ref="G25" ca="1">INDIRECT("'ebitda raw'!"&amp;G$4&amp;B25)</f>
        <v>16.95315560813647</v>
      </c>
      <c r="H25" s="69"/>
      <c r="I25" s="69" cm="1">
        <f t="array" aca="1" ref="I25" ca="1">INDIRECT("'ebitda raw'!"&amp;I$4&amp;B25)</f>
        <v>7.7409756081364707</v>
      </c>
      <c r="J25" s="69"/>
      <c r="K25" s="66" cm="1">
        <f t="array" aca="1" ref="K25" ca="1">INDIRECT("'ebitda raw'!"&amp;K$4&amp;B25)</f>
        <v>0.45660971839492104</v>
      </c>
      <c r="L25" s="170"/>
      <c r="M25" s="17"/>
      <c r="N25" s="170" t="s">
        <v>88</v>
      </c>
    </row>
    <row r="26" spans="2:14" x14ac:dyDescent="0.75">
      <c r="B26" s="160">
        <f t="shared" si="0"/>
        <v>22</v>
      </c>
      <c r="C26" s="89" t="s">
        <v>125</v>
      </c>
      <c r="D26" s="65"/>
      <c r="E26" s="81" cm="1">
        <f t="array" aca="1" ref="E26" ca="1">INDIRECT("'ebitda raw'!"&amp;E$4&amp;B26)</f>
        <v>0.67303000000000002</v>
      </c>
      <c r="F26" s="65"/>
      <c r="G26" s="81" cm="1">
        <f t="array" aca="1" ref="G26" ca="1">INDIRECT("'ebitda raw'!"&amp;G$4&amp;B26)</f>
        <v>1.25</v>
      </c>
      <c r="H26" s="65"/>
      <c r="I26" s="81" cm="1">
        <f t="array" aca="1" ref="I26" ca="1">INDIRECT("'ebitda raw'!"&amp;I$4&amp;B26)</f>
        <v>0.57696999999999998</v>
      </c>
      <c r="J26" s="65"/>
      <c r="K26" s="73" cm="1">
        <f t="array" aca="1" ref="K26" ca="1">INDIRECT("'ebitda raw'!"&amp;K$4&amp;B26)</f>
        <v>0.46157599999999999</v>
      </c>
      <c r="L26" s="170"/>
      <c r="M26" s="17"/>
      <c r="N26" s="170" t="s">
        <v>88</v>
      </c>
    </row>
    <row r="27" spans="2:14" x14ac:dyDescent="0.75">
      <c r="B27" s="160">
        <f t="shared" si="0"/>
        <v>23</v>
      </c>
      <c r="C27" s="74" t="s">
        <v>126</v>
      </c>
      <c r="D27" s="76"/>
      <c r="E27" s="75" cm="1">
        <f t="array" aca="1" ref="E27" ca="1">INDIRECT("'ebitda raw'!"&amp;E$4&amp;B27)</f>
        <v>359.68914999999998</v>
      </c>
      <c r="F27" s="76"/>
      <c r="G27" s="75" cm="1">
        <f t="array" aca="1" ref="G27" ca="1">INDIRECT("'ebitda raw'!"&amp;G$4&amp;B27)</f>
        <v>373.90881280075598</v>
      </c>
      <c r="H27" s="76"/>
      <c r="I27" s="75" cm="1">
        <f t="array" aca="1" ref="I27" ca="1">INDIRECT("'ebitda raw'!"&amp;I$4&amp;B27)</f>
        <v>14.219662800755998</v>
      </c>
      <c r="J27" s="76"/>
      <c r="K27" s="82" cm="1">
        <f t="array" aca="1" ref="K27" ca="1">INDIRECT("'ebitda raw'!"&amp;K$4&amp;B27)</f>
        <v>3.8029761037842134E-2</v>
      </c>
      <c r="L27" s="170"/>
      <c r="M27" s="17"/>
      <c r="N27" s="170" t="s">
        <v>88</v>
      </c>
    </row>
    <row r="28" spans="2:14" x14ac:dyDescent="0.75">
      <c r="B28" s="160">
        <f t="shared" si="0"/>
        <v>24</v>
      </c>
      <c r="C28" s="85"/>
      <c r="D28" s="85"/>
      <c r="E28" s="85"/>
      <c r="F28" s="85"/>
      <c r="G28" s="85"/>
      <c r="H28" s="85"/>
      <c r="I28" s="85"/>
      <c r="J28" s="85"/>
      <c r="K28" s="86"/>
      <c r="L28" s="170"/>
      <c r="M28" s="17"/>
      <c r="N28" s="170" t="s">
        <v>88</v>
      </c>
    </row>
    <row r="29" spans="2:14" x14ac:dyDescent="0.75">
      <c r="B29" s="160">
        <f t="shared" si="0"/>
        <v>25</v>
      </c>
      <c r="C29" s="83" t="s">
        <v>127</v>
      </c>
      <c r="D29" s="74"/>
      <c r="E29" s="109" cm="1">
        <f t="array" aca="1" ref="E29" ca="1">INDIRECT("'ebitda raw'!"&amp;E$4&amp;B29)</f>
        <v>523.66570999999999</v>
      </c>
      <c r="F29" s="74"/>
      <c r="G29" s="109" cm="1">
        <f t="array" aca="1" ref="G29" ca="1">INDIRECT("'ebitda raw'!"&amp;G$4&amp;B29)</f>
        <v>466.46917165827415</v>
      </c>
      <c r="H29" s="74"/>
      <c r="I29" s="84" cm="1">
        <f t="array" aca="1" ref="I29" ca="1">INDIRECT("'ebitda raw'!"&amp;I$4&amp;B29)</f>
        <v>57.196538341725841</v>
      </c>
      <c r="J29" s="74"/>
      <c r="K29" s="104" cm="1">
        <f t="array" aca="1" ref="K29" ca="1">INDIRECT("'ebitda raw'!"&amp;K$4&amp;B29)</f>
        <v>0.12261590222220917</v>
      </c>
      <c r="L29" s="170"/>
      <c r="M29" s="17"/>
      <c r="N29" s="170" t="s">
        <v>88</v>
      </c>
    </row>
    <row r="30" spans="2:14" x14ac:dyDescent="0.75">
      <c r="C30" s="9"/>
      <c r="D30" s="9"/>
      <c r="E30" s="9"/>
      <c r="F30" s="9"/>
      <c r="G30" s="9"/>
      <c r="H30" s="9"/>
      <c r="I30" s="9"/>
      <c r="J30" s="9"/>
      <c r="K30" s="9"/>
      <c r="L30" s="9"/>
      <c r="M30" s="172"/>
    </row>
    <row r="31" spans="2:14" x14ac:dyDescent="0.75">
      <c r="C31" s="9"/>
      <c r="D31" s="9"/>
      <c r="E31" s="9"/>
      <c r="F31" s="9"/>
      <c r="G31" s="9"/>
      <c r="H31" s="9"/>
      <c r="I31" s="9"/>
      <c r="J31" s="9"/>
      <c r="K31" s="9"/>
      <c r="L31" s="9"/>
      <c r="M31" s="17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583CB-5923-48F1-A1DA-E9D56075BF20}">
  <dimension ref="B1:N30"/>
  <sheetViews>
    <sheetView workbookViewId="0">
      <selection activeCell="I34" sqref="I34"/>
    </sheetView>
  </sheetViews>
  <sheetFormatPr defaultRowHeight="14.75" x14ac:dyDescent="0.75"/>
  <cols>
    <col min="3" max="3" width="30.40625" customWidth="1"/>
    <col min="4" max="4" width="0.40625" customWidth="1"/>
    <col min="5" max="5" width="9.26953125" customWidth="1"/>
    <col min="6" max="6" width="0.40625" customWidth="1"/>
    <col min="7" max="7" width="8.54296875" customWidth="1"/>
    <col min="8" max="8" width="0.40625" customWidth="1"/>
    <col min="9" max="9" width="9.40625" customWidth="1"/>
    <col min="10" max="10" width="0.40625" customWidth="1"/>
    <col min="11" max="11" width="8" customWidth="1"/>
    <col min="12" max="12" width="1.1328125" customWidth="1"/>
    <col min="13" max="13" width="31.40625" style="14" customWidth="1"/>
  </cols>
  <sheetData>
    <row r="1" spans="2:14" x14ac:dyDescent="0.75">
      <c r="C1">
        <v>175</v>
      </c>
      <c r="D1">
        <v>3</v>
      </c>
      <c r="E1">
        <v>53</v>
      </c>
      <c r="F1">
        <v>3</v>
      </c>
      <c r="G1">
        <v>51</v>
      </c>
      <c r="H1">
        <v>3</v>
      </c>
      <c r="I1">
        <v>52</v>
      </c>
      <c r="J1">
        <v>3</v>
      </c>
      <c r="K1">
        <v>44</v>
      </c>
      <c r="M1" s="14">
        <v>232</v>
      </c>
    </row>
    <row r="3" spans="2:14" x14ac:dyDescent="0.75">
      <c r="C3" s="161" t="s">
        <v>128</v>
      </c>
      <c r="D3" s="15"/>
      <c r="E3" s="15"/>
      <c r="F3" s="15"/>
      <c r="G3" s="15"/>
      <c r="H3" s="15"/>
      <c r="I3" s="15"/>
      <c r="J3" s="15"/>
      <c r="K3" s="15"/>
      <c r="L3" s="15"/>
      <c r="M3" s="16"/>
    </row>
    <row r="4" spans="2:14" s="127" customFormat="1" x14ac:dyDescent="0.75">
      <c r="B4" s="160" t="s">
        <v>458</v>
      </c>
      <c r="C4" s="61" t="s">
        <v>466</v>
      </c>
      <c r="D4" s="15"/>
      <c r="E4" s="61" t="s">
        <v>467</v>
      </c>
      <c r="F4" s="61"/>
      <c r="G4" s="61" t="s">
        <v>468</v>
      </c>
      <c r="H4" s="61"/>
      <c r="I4" s="61" t="s">
        <v>469</v>
      </c>
      <c r="J4" s="61"/>
      <c r="K4" s="61" t="s">
        <v>470</v>
      </c>
      <c r="L4" s="61"/>
      <c r="M4" s="61" t="s">
        <v>471</v>
      </c>
    </row>
    <row r="5" spans="2:14" x14ac:dyDescent="0.75">
      <c r="B5" s="160" t="s">
        <v>459</v>
      </c>
      <c r="C5" s="15" t="s">
        <v>88</v>
      </c>
      <c r="D5" s="15" t="s">
        <v>88</v>
      </c>
      <c r="E5" s="15" t="s">
        <v>88</v>
      </c>
      <c r="F5" s="15" t="s">
        <v>88</v>
      </c>
      <c r="G5" s="15" t="s">
        <v>88</v>
      </c>
      <c r="H5" s="15" t="s">
        <v>88</v>
      </c>
      <c r="I5" s="15" t="s">
        <v>88</v>
      </c>
      <c r="J5" s="15" t="s">
        <v>88</v>
      </c>
      <c r="K5" s="15" t="s">
        <v>88</v>
      </c>
      <c r="L5" s="15" t="s">
        <v>88</v>
      </c>
      <c r="M5" s="16" t="s">
        <v>88</v>
      </c>
    </row>
    <row r="6" spans="2:14" x14ac:dyDescent="0.75">
      <c r="B6" s="160"/>
      <c r="C6" s="173" t="s">
        <v>103</v>
      </c>
      <c r="D6" s="168"/>
      <c r="E6" s="169" t="s">
        <v>129</v>
      </c>
      <c r="F6" s="168"/>
      <c r="G6" s="169" t="s">
        <v>130</v>
      </c>
      <c r="H6" s="168"/>
      <c r="I6" s="169" t="s">
        <v>104</v>
      </c>
      <c r="J6" s="168"/>
      <c r="K6" s="169" t="s">
        <v>105</v>
      </c>
      <c r="L6" s="170"/>
      <c r="M6" s="171" t="s">
        <v>106</v>
      </c>
      <c r="N6" s="170" t="s">
        <v>88</v>
      </c>
    </row>
    <row r="7" spans="2:14" x14ac:dyDescent="0.75">
      <c r="B7" s="160">
        <v>3</v>
      </c>
      <c r="C7" s="63" t="s">
        <v>107</v>
      </c>
      <c r="D7" s="64"/>
      <c r="E7" s="108" cm="1">
        <f t="array" aca="1" ref="E7" ca="1">INDIRECT("'ebitda raw'!"&amp;E$4&amp;B7)</f>
        <v>220041.82</v>
      </c>
      <c r="F7" s="64"/>
      <c r="G7" s="108" cm="1">
        <f t="array" aca="1" ref="G7" ca="1">INDIRECT("'ebitda raw'!"&amp;G$4&amp;B7)</f>
        <v>218658.71888779351</v>
      </c>
      <c r="H7" s="65"/>
      <c r="I7" s="108" cm="1">
        <f t="array" aca="1" ref="I7" ca="1">INDIRECT("'ebitda raw'!"&amp;I$4&amp;B7)</f>
        <v>1383.1011122064665</v>
      </c>
      <c r="J7" s="64"/>
      <c r="K7" s="66" cm="1">
        <f t="array" aca="1" ref="K7" ca="1">INDIRECT("'ebitda raw'!"&amp;K$4&amp;B7)</f>
        <v>6.3253874313432519E-3</v>
      </c>
      <c r="L7" s="67"/>
      <c r="M7" s="19"/>
      <c r="N7" s="67" t="s">
        <v>88</v>
      </c>
    </row>
    <row r="8" spans="2:14" x14ac:dyDescent="0.75">
      <c r="B8" s="160">
        <f>B7+1</f>
        <v>4</v>
      </c>
      <c r="C8" s="13"/>
      <c r="D8" s="68"/>
      <c r="E8" s="68"/>
      <c r="F8" s="68"/>
      <c r="G8" s="68"/>
      <c r="H8" s="68"/>
      <c r="I8" s="13"/>
      <c r="J8" s="13"/>
      <c r="K8" s="66"/>
      <c r="L8" s="67"/>
      <c r="M8" s="17"/>
      <c r="N8" s="67" t="s">
        <v>88</v>
      </c>
    </row>
    <row r="9" spans="2:14" x14ac:dyDescent="0.75">
      <c r="B9" s="160">
        <f t="shared" ref="B9:B29" si="0">B8+1</f>
        <v>5</v>
      </c>
      <c r="C9" s="47" t="s">
        <v>108</v>
      </c>
      <c r="D9" s="68"/>
      <c r="E9" s="69"/>
      <c r="F9" s="68"/>
      <c r="G9" s="69"/>
      <c r="H9" s="69"/>
      <c r="I9" s="69"/>
      <c r="J9" s="69"/>
      <c r="K9" s="66"/>
      <c r="L9" s="67"/>
      <c r="M9" s="17"/>
      <c r="N9" s="67" t="s">
        <v>88</v>
      </c>
    </row>
    <row r="10" spans="2:14" x14ac:dyDescent="0.75">
      <c r="B10" s="160">
        <f t="shared" si="0"/>
        <v>6</v>
      </c>
      <c r="C10" s="87" t="s">
        <v>109</v>
      </c>
      <c r="D10" s="13"/>
      <c r="E10" s="69" cm="1">
        <f t="array" aca="1" ref="E10" ca="1">INDIRECT("'ebitda raw'!"&amp;E$4&amp;B10)</f>
        <v>8034.1050400000004</v>
      </c>
      <c r="F10" s="13"/>
      <c r="G10" s="69" cm="1">
        <f t="array" aca="1" ref="G10" ca="1">INDIRECT("'ebitda raw'!"&amp;G$4&amp;B10)</f>
        <v>7666.0563783129965</v>
      </c>
      <c r="H10" s="69"/>
      <c r="I10" s="69" cm="1">
        <f t="array" aca="1" ref="I10" ca="1">INDIRECT("'ebitda raw'!"&amp;I$4&amp;B10)</f>
        <v>368.048661687003</v>
      </c>
      <c r="J10" s="69"/>
      <c r="K10" s="66" cm="1">
        <f t="array" aca="1" ref="K10" ca="1">INDIRECT("'ebitda raw'!"&amp;K$4&amp;B10)</f>
        <v>4.8010168921820043E-2</v>
      </c>
      <c r="L10" s="67"/>
      <c r="M10" s="19" t="s">
        <v>110</v>
      </c>
      <c r="N10" s="67" t="s">
        <v>88</v>
      </c>
    </row>
    <row r="11" spans="2:14" x14ac:dyDescent="0.75">
      <c r="B11" s="160">
        <f t="shared" si="0"/>
        <v>7</v>
      </c>
      <c r="C11" s="21" t="s">
        <v>111</v>
      </c>
      <c r="D11" s="13"/>
      <c r="E11" s="78" cm="1">
        <f t="array" aca="1" ref="E11" ca="1">INDIRECT("'ebitda raw'!"&amp;E$4&amp;B11)</f>
        <v>5269.1596</v>
      </c>
      <c r="F11" s="13"/>
      <c r="G11" s="78" cm="1">
        <f t="array" aca="1" ref="G11" ca="1">INDIRECT("'ebitda raw'!"&amp;G$4&amp;B11)</f>
        <v>4484.7450011439241</v>
      </c>
      <c r="H11" s="69"/>
      <c r="I11" s="78" cm="1">
        <f t="array" aca="1" ref="I11" ca="1">INDIRECT("'ebitda raw'!"&amp;I$4&amp;B11)</f>
        <v>784.41459885607583</v>
      </c>
      <c r="J11" s="69"/>
      <c r="K11" s="66" cm="1">
        <f t="array" aca="1" ref="K11" ca="1">INDIRECT("'ebitda raw'!"&amp;K$4&amp;B11)</f>
        <v>0.17490729097328725</v>
      </c>
      <c r="L11" s="67"/>
      <c r="M11" s="17" t="s">
        <v>110</v>
      </c>
      <c r="N11" s="67" t="s">
        <v>88</v>
      </c>
    </row>
    <row r="12" spans="2:14" x14ac:dyDescent="0.75">
      <c r="B12" s="160">
        <f t="shared" si="0"/>
        <v>8</v>
      </c>
      <c r="C12" s="21" t="s">
        <v>112</v>
      </c>
      <c r="D12" s="13"/>
      <c r="E12" s="78" cm="1">
        <f t="array" aca="1" ref="E12" ca="1">INDIRECT("'ebitda raw'!"&amp;E$4&amp;B12)</f>
        <v>0</v>
      </c>
      <c r="F12" s="13"/>
      <c r="G12" s="78" cm="1">
        <f t="array" aca="1" ref="G12" ca="1">INDIRECT("'ebitda raw'!"&amp;G$4&amp;B12)</f>
        <v>358.36288892015818</v>
      </c>
      <c r="H12" s="65"/>
      <c r="I12" s="78" cm="1">
        <f t="array" aca="1" ref="I12" ca="1">INDIRECT("'ebitda raw'!"&amp;I$4&amp;B12)</f>
        <v>-358.36288892015818</v>
      </c>
      <c r="J12" s="65"/>
      <c r="K12" s="73" cm="1">
        <f t="array" aca="1" ref="K12" ca="1">INDIRECT("'ebitda raw'!"&amp;K$4&amp;B12)</f>
        <v>-1</v>
      </c>
      <c r="L12" s="67"/>
      <c r="M12" s="17" t="s">
        <v>110</v>
      </c>
      <c r="N12" s="67" t="s">
        <v>88</v>
      </c>
    </row>
    <row r="13" spans="2:14" x14ac:dyDescent="0.75">
      <c r="B13" s="160">
        <f t="shared" si="0"/>
        <v>9</v>
      </c>
      <c r="C13" s="51" t="s">
        <v>113</v>
      </c>
      <c r="D13" s="74"/>
      <c r="E13" s="106" cm="1">
        <f t="array" aca="1" ref="E13" ca="1">INDIRECT("'ebitda raw'!"&amp;E$4&amp;B13)</f>
        <v>13303.264639999999</v>
      </c>
      <c r="F13" s="74"/>
      <c r="G13" s="106" cm="1">
        <f t="array" aca="1" ref="G13" ca="1">INDIRECT("'ebitda raw'!"&amp;G$4&amp;B13)</f>
        <v>12509.164268377081</v>
      </c>
      <c r="H13" s="76"/>
      <c r="I13" s="106" cm="1">
        <f t="array" aca="1" ref="I13" ca="1">INDIRECT("'ebitda raw'!"&amp;I$4&amp;B13)</f>
        <v>794.10037162292065</v>
      </c>
      <c r="J13" s="76"/>
      <c r="K13" s="103" cm="1">
        <f t="array" aca="1" ref="K13" ca="1">INDIRECT("'ebitda raw'!"&amp;K$4&amp;B13)</f>
        <v>6.3481488817793419E-2</v>
      </c>
      <c r="L13" s="67"/>
      <c r="M13" s="17" t="s">
        <v>110</v>
      </c>
      <c r="N13" s="67" t="s">
        <v>88</v>
      </c>
    </row>
    <row r="14" spans="2:14" x14ac:dyDescent="0.75">
      <c r="B14" s="160">
        <f t="shared" si="0"/>
        <v>10</v>
      </c>
      <c r="C14" s="13"/>
      <c r="D14" s="13"/>
      <c r="E14" s="69"/>
      <c r="F14" s="13"/>
      <c r="G14" s="69"/>
      <c r="H14" s="69"/>
      <c r="I14" s="69"/>
      <c r="J14" s="69"/>
      <c r="K14" s="66"/>
      <c r="L14" s="67"/>
      <c r="M14" s="17"/>
      <c r="N14" s="67" t="s">
        <v>88</v>
      </c>
    </row>
    <row r="15" spans="2:14" x14ac:dyDescent="0.75">
      <c r="B15" s="160">
        <f t="shared" si="0"/>
        <v>11</v>
      </c>
      <c r="C15" s="47" t="s">
        <v>114</v>
      </c>
      <c r="D15" s="13"/>
      <c r="E15" s="69"/>
      <c r="F15" s="13"/>
      <c r="G15" s="69"/>
      <c r="H15" s="69"/>
      <c r="I15" s="69"/>
      <c r="J15" s="69"/>
      <c r="K15" s="66"/>
      <c r="L15" s="67"/>
      <c r="M15" s="17"/>
      <c r="N15" s="67" t="s">
        <v>88</v>
      </c>
    </row>
    <row r="16" spans="2:14" x14ac:dyDescent="0.75">
      <c r="B16" s="160">
        <f t="shared" si="0"/>
        <v>12</v>
      </c>
      <c r="C16" s="21" t="s">
        <v>115</v>
      </c>
      <c r="D16" s="77"/>
      <c r="E16" s="78" cm="1">
        <f t="array" aca="1" ref="E16" ca="1">INDIRECT("'ebitda raw'!"&amp;E$4&amp;B16)</f>
        <v>290.77706000000006</v>
      </c>
      <c r="F16" s="77"/>
      <c r="G16" s="78" cm="1">
        <f t="array" aca="1" ref="G16" ca="1">INDIRECT("'ebitda raw'!"&amp;G$4&amp;B16)</f>
        <v>308.81926371137541</v>
      </c>
      <c r="H16" s="77"/>
      <c r="I16" s="65" cm="1">
        <f t="array" aca="1" ref="I16" ca="1">INDIRECT("'ebitda raw'!"&amp;I$4&amp;B16)</f>
        <v>18.04220371137535</v>
      </c>
      <c r="J16" s="77"/>
      <c r="K16" s="66" cm="1">
        <f t="array" aca="1" ref="K16" ca="1">INDIRECT("'ebitda raw'!"&amp;K$4&amp;B16)</f>
        <v>5.8423180906997163E-2</v>
      </c>
      <c r="L16" s="67"/>
      <c r="M16" s="17" t="s">
        <v>110</v>
      </c>
      <c r="N16" s="67" t="s">
        <v>88</v>
      </c>
    </row>
    <row r="17" spans="2:14" x14ac:dyDescent="0.75">
      <c r="B17" s="160">
        <f t="shared" si="0"/>
        <v>13</v>
      </c>
      <c r="C17" s="21" t="s">
        <v>116</v>
      </c>
      <c r="D17" s="79"/>
      <c r="E17" s="78" cm="1">
        <f t="array" aca="1" ref="E17" ca="1">INDIRECT("'ebitda raw'!"&amp;E$4&amp;B17)</f>
        <v>1061.11492</v>
      </c>
      <c r="F17" s="79"/>
      <c r="G17" s="78" cm="1">
        <f t="array" aca="1" ref="G17" ca="1">INDIRECT("'ebitda raw'!"&amp;G$4&amp;B17)</f>
        <v>1175.3425598014342</v>
      </c>
      <c r="H17" s="77"/>
      <c r="I17" s="65" cm="1">
        <f t="array" aca="1" ref="I17" ca="1">INDIRECT("'ebitda raw'!"&amp;I$4&amp;B17)</f>
        <v>114.22763980143418</v>
      </c>
      <c r="J17" s="77"/>
      <c r="K17" s="66" cm="1">
        <f t="array" aca="1" ref="K17" ca="1">INDIRECT("'ebitda raw'!"&amp;K$4&amp;B17)</f>
        <v>9.7186678767705079E-2</v>
      </c>
      <c r="L17" s="67"/>
      <c r="M17" s="17" t="s">
        <v>110</v>
      </c>
      <c r="N17" s="67" t="s">
        <v>88</v>
      </c>
    </row>
    <row r="18" spans="2:14" x14ac:dyDescent="0.75">
      <c r="B18" s="160">
        <f t="shared" si="0"/>
        <v>14</v>
      </c>
      <c r="C18" s="21" t="s">
        <v>117</v>
      </c>
      <c r="D18" s="65"/>
      <c r="E18" s="78" cm="1">
        <f t="array" aca="1" ref="E18" ca="1">INDIRECT("'ebitda raw'!"&amp;E$4&amp;B18)</f>
        <v>187.10105999999999</v>
      </c>
      <c r="F18" s="65"/>
      <c r="G18" s="78" cm="1">
        <f t="array" aca="1" ref="G18" ca="1">INDIRECT("'ebitda raw'!"&amp;G$4&amp;B18)</f>
        <v>165</v>
      </c>
      <c r="H18" s="69"/>
      <c r="I18" s="65" cm="1">
        <f t="array" aca="1" ref="I18" ca="1">INDIRECT("'ebitda raw'!"&amp;I$4&amp;B18)</f>
        <v>-22.101060000000015</v>
      </c>
      <c r="J18" s="69"/>
      <c r="K18" s="66" cm="1">
        <f t="array" aca="1" ref="K18" ca="1">INDIRECT("'ebitda raw'!"&amp;K$4&amp;B18)</f>
        <v>-0.1339458181818183</v>
      </c>
      <c r="L18" s="67"/>
      <c r="M18" s="17"/>
      <c r="N18" s="67" t="s">
        <v>88</v>
      </c>
    </row>
    <row r="19" spans="2:14" x14ac:dyDescent="0.75">
      <c r="B19" s="160">
        <f t="shared" si="0"/>
        <v>15</v>
      </c>
      <c r="C19" s="21" t="s">
        <v>118</v>
      </c>
      <c r="D19" s="80"/>
      <c r="E19" s="72" cm="1">
        <f t="array" aca="1" ref="E19" ca="1">INDIRECT("'ebitda raw'!"&amp;E$4&amp;B19)</f>
        <v>0</v>
      </c>
      <c r="F19" s="80"/>
      <c r="G19" s="72" cm="1">
        <f t="array" aca="1" ref="G19" ca="1">INDIRECT("'ebitda raw'!"&amp;G$4&amp;B19)</f>
        <v>0</v>
      </c>
      <c r="H19" s="72"/>
      <c r="I19" s="65" cm="1">
        <f t="array" aca="1" ref="I19" ca="1">INDIRECT("'ebitda raw'!"&amp;I$4&amp;B19)</f>
        <v>0</v>
      </c>
      <c r="J19" s="72"/>
      <c r="K19" s="66" cm="1">
        <f t="array" aca="1" ref="K19" ca="1">INDIRECT("'ebitda raw'!"&amp;K$4&amp;B19)</f>
        <v>0</v>
      </c>
      <c r="L19" s="67"/>
      <c r="M19" s="132"/>
      <c r="N19" s="67" t="s">
        <v>88</v>
      </c>
    </row>
    <row r="20" spans="2:14" x14ac:dyDescent="0.75">
      <c r="B20" s="160">
        <f t="shared" si="0"/>
        <v>16</v>
      </c>
      <c r="C20" s="21" t="s">
        <v>119</v>
      </c>
      <c r="D20" s="65"/>
      <c r="E20" s="69" cm="1">
        <f t="array" aca="1" ref="E20" ca="1">INDIRECT("'ebitda raw'!"&amp;E$4&amp;B20)</f>
        <v>846.38783000000012</v>
      </c>
      <c r="F20" s="65"/>
      <c r="G20" s="69" cm="1">
        <f t="array" aca="1" ref="G20" ca="1">INDIRECT("'ebitda raw'!"&amp;G$4&amp;B20)</f>
        <v>914.66715517633213</v>
      </c>
      <c r="H20" s="69"/>
      <c r="I20" s="65" cm="1">
        <f t="array" aca="1" ref="I20" ca="1">INDIRECT("'ebitda raw'!"&amp;I$4&amp;B20)</f>
        <v>68.279325176332122</v>
      </c>
      <c r="J20" s="69"/>
      <c r="K20" s="66" cm="1">
        <f t="array" aca="1" ref="K20" ca="1">INDIRECT("'ebitda raw'!"&amp;K$4&amp;B20)</f>
        <v>7.4649368122515602E-2</v>
      </c>
      <c r="L20" s="67"/>
      <c r="M20" s="17" t="s">
        <v>110</v>
      </c>
      <c r="N20" s="67" t="s">
        <v>88</v>
      </c>
    </row>
    <row r="21" spans="2:14" x14ac:dyDescent="0.75">
      <c r="B21" s="160">
        <f t="shared" si="0"/>
        <v>17</v>
      </c>
      <c r="C21" s="21" t="s">
        <v>120</v>
      </c>
      <c r="D21" s="65"/>
      <c r="E21" s="69" cm="1">
        <f t="array" aca="1" ref="E21" ca="1">INDIRECT("'ebitda raw'!"&amp;E$4&amp;B21)</f>
        <v>746.37856999999997</v>
      </c>
      <c r="F21" s="65"/>
      <c r="G21" s="69" cm="1">
        <f t="array" aca="1" ref="G21" ca="1">INDIRECT("'ebitda raw'!"&amp;G$4&amp;B21)</f>
        <v>1474.1137750949999</v>
      </c>
      <c r="H21" s="69"/>
      <c r="I21" s="69" cm="1">
        <f t="array" aca="1" ref="I21" ca="1">INDIRECT("'ebitda raw'!"&amp;I$4&amp;B21)</f>
        <v>727.73520509499986</v>
      </c>
      <c r="J21" s="69"/>
      <c r="K21" s="66" cm="1">
        <f t="array" aca="1" ref="K21" ca="1">INDIRECT("'ebitda raw'!"&amp;K$4&amp;B21)</f>
        <v>0.49367641588458849</v>
      </c>
      <c r="L21" s="67"/>
      <c r="M21" s="17" t="s">
        <v>110</v>
      </c>
      <c r="N21" s="67" t="s">
        <v>88</v>
      </c>
    </row>
    <row r="22" spans="2:14" x14ac:dyDescent="0.75">
      <c r="B22" s="160">
        <f t="shared" si="0"/>
        <v>18</v>
      </c>
      <c r="C22" s="21" t="s">
        <v>121</v>
      </c>
      <c r="D22" s="65"/>
      <c r="E22" s="69" cm="1">
        <f t="array" aca="1" ref="E22" ca="1">INDIRECT("'ebitda raw'!"&amp;E$4&amp;B22)</f>
        <v>242.25496999999999</v>
      </c>
      <c r="F22" s="65"/>
      <c r="G22" s="69" cm="1">
        <f t="array" aca="1" ref="G22" ca="1">INDIRECT("'ebitda raw'!"&amp;G$4&amp;B22)</f>
        <v>258</v>
      </c>
      <c r="H22" s="69"/>
      <c r="I22" s="78" cm="1">
        <f t="array" aca="1" ref="I22" ca="1">INDIRECT("'ebitda raw'!"&amp;I$4&amp;B22)</f>
        <v>15.745030000000014</v>
      </c>
      <c r="J22" s="69"/>
      <c r="K22" s="66" cm="1">
        <f t="array" aca="1" ref="K22" ca="1">INDIRECT("'ebitda raw'!"&amp;K$4&amp;B22)</f>
        <v>6.1027248062015559E-2</v>
      </c>
      <c r="L22" s="67"/>
      <c r="M22" s="17" t="s">
        <v>110</v>
      </c>
      <c r="N22" s="67" t="s">
        <v>88</v>
      </c>
    </row>
    <row r="23" spans="2:14" x14ac:dyDescent="0.75">
      <c r="B23" s="160">
        <f t="shared" si="0"/>
        <v>19</v>
      </c>
      <c r="C23" s="21" t="s">
        <v>122</v>
      </c>
      <c r="D23" s="65"/>
      <c r="E23" s="69" cm="1">
        <f t="array" aca="1" ref="E23" ca="1">INDIRECT("'ebitda raw'!"&amp;E$4&amp;B23)</f>
        <v>312.95722000000001</v>
      </c>
      <c r="F23" s="65"/>
      <c r="G23" s="69" cm="1">
        <f t="array" aca="1" ref="G23" ca="1">INDIRECT("'ebitda raw'!"&amp;G$4&amp;B23)</f>
        <v>130.8249091521638</v>
      </c>
      <c r="H23" s="69"/>
      <c r="I23" s="69" cm="1">
        <f t="array" aca="1" ref="I23" ca="1">INDIRECT("'ebitda raw'!"&amp;I$4&amp;B23)</f>
        <v>-182.13231084783621</v>
      </c>
      <c r="J23" s="69"/>
      <c r="K23" s="66" cm="1">
        <f t="array" aca="1" ref="K23" ca="1">INDIRECT("'ebitda raw'!"&amp;K$4&amp;B23)</f>
        <v>-1.3921837364778618</v>
      </c>
      <c r="L23" s="67"/>
      <c r="M23" s="17" t="s">
        <v>110</v>
      </c>
      <c r="N23" s="67" t="s">
        <v>88</v>
      </c>
    </row>
    <row r="24" spans="2:14" x14ac:dyDescent="0.75">
      <c r="B24" s="160">
        <f t="shared" si="0"/>
        <v>20</v>
      </c>
      <c r="C24" s="21" t="s">
        <v>123</v>
      </c>
      <c r="D24" s="65"/>
      <c r="E24" s="69" cm="1">
        <f t="array" aca="1" ref="E24" ca="1">INDIRECT("'ebitda raw'!"&amp;E$4&amp;B24)</f>
        <v>19.728529999999999</v>
      </c>
      <c r="F24" s="65"/>
      <c r="G24" s="69" cm="1">
        <f t="array" aca="1" ref="G24" ca="1">INDIRECT("'ebitda raw'!"&amp;G$4&amp;B24)</f>
        <v>25.042000000000002</v>
      </c>
      <c r="H24" s="69"/>
      <c r="I24" s="69" cm="1">
        <f t="array" aca="1" ref="I24" ca="1">INDIRECT("'ebitda raw'!"&amp;I$4&amp;B24)</f>
        <v>5.3134699999999988</v>
      </c>
      <c r="J24" s="69"/>
      <c r="K24" s="66" cm="1">
        <f t="array" aca="1" ref="K24" ca="1">INDIRECT("'ebitda raw'!"&amp;K$4&amp;B24)</f>
        <v>0.21218233367941855</v>
      </c>
      <c r="L24" s="67"/>
      <c r="M24" s="17" t="s">
        <v>110</v>
      </c>
      <c r="N24" s="67" t="s">
        <v>88</v>
      </c>
    </row>
    <row r="25" spans="2:14" x14ac:dyDescent="0.75">
      <c r="B25" s="160">
        <f t="shared" si="0"/>
        <v>21</v>
      </c>
      <c r="C25" s="21" t="s">
        <v>124</v>
      </c>
      <c r="D25" s="65"/>
      <c r="E25" s="69" cm="1">
        <f t="array" aca="1" ref="E25" ca="1">INDIRECT("'ebitda raw'!"&amp;E$4&amp;B25)</f>
        <v>133.09972999999999</v>
      </c>
      <c r="F25" s="65"/>
      <c r="G25" s="69" cm="1">
        <f t="array" aca="1" ref="G25" ca="1">INDIRECT("'ebitda raw'!"&amp;G$4&amp;B25)</f>
        <v>188.7578876219691</v>
      </c>
      <c r="H25" s="69"/>
      <c r="I25" s="69" cm="1">
        <f t="array" aca="1" ref="I25" ca="1">INDIRECT("'ebitda raw'!"&amp;I$4&amp;B25)</f>
        <v>55.65815762196911</v>
      </c>
      <c r="J25" s="69"/>
      <c r="K25" s="66" cm="1">
        <f t="array" aca="1" ref="K25" ca="1">INDIRECT("'ebitda raw'!"&amp;K$4&amp;B25)</f>
        <v>0.29486533422877309</v>
      </c>
      <c r="L25" s="67"/>
      <c r="M25" s="17"/>
      <c r="N25" s="67" t="s">
        <v>88</v>
      </c>
    </row>
    <row r="26" spans="2:14" x14ac:dyDescent="0.75">
      <c r="B26" s="160">
        <f t="shared" si="0"/>
        <v>22</v>
      </c>
      <c r="C26" s="89" t="s">
        <v>125</v>
      </c>
      <c r="D26" s="65"/>
      <c r="E26" s="81" cm="1">
        <f t="array" aca="1" ref="E26" ca="1">INDIRECT("'ebitda raw'!"&amp;E$4&amp;B26)</f>
        <v>6.3250200000000101</v>
      </c>
      <c r="F26" s="65"/>
      <c r="G26" s="81" cm="1">
        <f t="array" aca="1" ref="G26" ca="1">INDIRECT("'ebitda raw'!"&amp;G$4&amp;B26)</f>
        <v>15</v>
      </c>
      <c r="H26" s="65"/>
      <c r="I26" s="81" cm="1">
        <f t="array" aca="1" ref="I26" ca="1">INDIRECT("'ebitda raw'!"&amp;I$4&amp;B26)</f>
        <v>8.6749799999999908</v>
      </c>
      <c r="J26" s="65"/>
      <c r="K26" s="73" cm="1">
        <f t="array" aca="1" ref="K26" ca="1">INDIRECT("'ebitda raw'!"&amp;K$4&amp;B26)</f>
        <v>0.5783319999999994</v>
      </c>
      <c r="L26" s="67"/>
      <c r="M26" s="17"/>
      <c r="N26" s="67" t="s">
        <v>88</v>
      </c>
    </row>
    <row r="27" spans="2:14" x14ac:dyDescent="0.75">
      <c r="B27" s="160">
        <f t="shared" si="0"/>
        <v>23</v>
      </c>
      <c r="C27" s="74" t="s">
        <v>126</v>
      </c>
      <c r="D27" s="76"/>
      <c r="E27" s="75" cm="1">
        <f t="array" aca="1" ref="E27" ca="1">INDIRECT("'ebitda raw'!"&amp;E$4&amp;B27)</f>
        <v>3846.12491</v>
      </c>
      <c r="F27" s="76"/>
      <c r="G27" s="75" cm="1">
        <f t="array" aca="1" ref="G27" ca="1">INDIRECT("'ebitda raw'!"&amp;G$4&amp;B27)</f>
        <v>4655.5675505582758</v>
      </c>
      <c r="H27" s="76"/>
      <c r="I27" s="75" cm="1">
        <f t="array" aca="1" ref="I27" ca="1">INDIRECT("'ebitda raw'!"&amp;I$4&amp;B27)</f>
        <v>809.4426405582758</v>
      </c>
      <c r="J27" s="76"/>
      <c r="K27" s="82" cm="1">
        <f t="array" aca="1" ref="K27" ca="1">INDIRECT("'ebitda raw'!"&amp;K$4&amp;B27)</f>
        <v>0.17386551301596104</v>
      </c>
      <c r="L27" s="67"/>
      <c r="M27" s="17"/>
      <c r="N27" s="67" t="s">
        <v>88</v>
      </c>
    </row>
    <row r="28" spans="2:14" x14ac:dyDescent="0.75">
      <c r="B28" s="160">
        <f t="shared" si="0"/>
        <v>24</v>
      </c>
      <c r="C28" s="85"/>
      <c r="D28" s="85"/>
      <c r="E28" s="85"/>
      <c r="F28" s="85"/>
      <c r="G28" s="85"/>
      <c r="H28" s="85"/>
      <c r="I28" s="85"/>
      <c r="J28" s="85"/>
      <c r="K28" s="86"/>
      <c r="L28" s="67"/>
      <c r="M28" s="17"/>
      <c r="N28" s="67" t="s">
        <v>88</v>
      </c>
    </row>
    <row r="29" spans="2:14" x14ac:dyDescent="0.75">
      <c r="B29" s="160">
        <f t="shared" si="0"/>
        <v>25</v>
      </c>
      <c r="C29" s="83" t="s">
        <v>127</v>
      </c>
      <c r="D29" s="74"/>
      <c r="E29" s="109" cm="1">
        <f t="array" aca="1" ref="E29" ca="1">INDIRECT("'ebitda raw'!"&amp;E$4&amp;B29)</f>
        <v>9457.1397300000008</v>
      </c>
      <c r="F29" s="74"/>
      <c r="G29" s="109" cm="1">
        <f t="array" aca="1" ref="G29" ca="1">INDIRECT("'ebitda raw'!"&amp;G$4&amp;B29)</f>
        <v>7853.5967178188048</v>
      </c>
      <c r="H29" s="74"/>
      <c r="I29" s="84" cm="1">
        <f t="array" aca="1" ref="I29" ca="1">INDIRECT("'ebitda raw'!"&amp;I$4&amp;B29)</f>
        <v>1603.543012181196</v>
      </c>
      <c r="J29" s="74"/>
      <c r="K29" s="104" cm="1">
        <f t="array" aca="1" ref="K29" ca="1">INDIRECT("'ebitda raw'!"&amp;K$4&amp;B29)</f>
        <v>0.20417944411927369</v>
      </c>
      <c r="L29" s="67"/>
      <c r="M29" s="17"/>
      <c r="N29" s="67" t="s">
        <v>88</v>
      </c>
    </row>
    <row r="30" spans="2:14" x14ac:dyDescent="0.75">
      <c r="C30" s="9"/>
      <c r="D30" s="9"/>
      <c r="E30" s="107"/>
      <c r="F30" s="9"/>
      <c r="G30" s="9"/>
      <c r="H30" s="9"/>
      <c r="I30" s="9"/>
      <c r="J30" s="9"/>
      <c r="K30" s="9"/>
      <c r="L30" s="9"/>
      <c r="M30" s="17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D1DE6-313E-41B8-8831-727E67F9A0B1}">
  <dimension ref="A1:R33"/>
  <sheetViews>
    <sheetView workbookViewId="0">
      <selection sqref="A1:R33"/>
    </sheetView>
  </sheetViews>
  <sheetFormatPr defaultRowHeight="14.75" x14ac:dyDescent="0.75"/>
  <cols>
    <col min="1" max="1" width="32.1328125" bestFit="1" customWidth="1"/>
    <col min="2" max="2" width="80.86328125" bestFit="1" customWidth="1"/>
    <col min="3" max="15" width="11.54296875" bestFit="1" customWidth="1"/>
    <col min="16" max="16" width="11.86328125" bestFit="1" customWidth="1"/>
    <col min="17" max="17" width="11.1328125" bestFit="1" customWidth="1"/>
    <col min="18" max="18" width="11.1328125" style="127" customWidth="1"/>
    <col min="19" max="19" width="11.1328125" bestFit="1" customWidth="1"/>
  </cols>
  <sheetData>
    <row r="1" spans="1:18" x14ac:dyDescent="0.75">
      <c r="A1" t="s">
        <v>257</v>
      </c>
      <c r="B1" t="s">
        <v>258</v>
      </c>
      <c r="C1" t="s">
        <v>418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259</v>
      </c>
    </row>
    <row r="2" spans="1:18" x14ac:dyDescent="0.75">
      <c r="A2" s="111"/>
      <c r="B2" s="111"/>
      <c r="D2" s="111"/>
      <c r="E2" s="111"/>
      <c r="F2" s="111"/>
      <c r="G2" s="111" t="s">
        <v>260</v>
      </c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</row>
    <row r="3" spans="1:18" x14ac:dyDescent="0.75">
      <c r="A3" s="111"/>
      <c r="B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</row>
    <row r="4" spans="1:18" x14ac:dyDescent="0.75">
      <c r="A4" s="111"/>
      <c r="B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</row>
    <row r="5" spans="1:18" x14ac:dyDescent="0.75">
      <c r="A5" s="111"/>
      <c r="B5" s="111"/>
      <c r="D5" s="111"/>
      <c r="E5" s="111"/>
      <c r="F5" s="111"/>
      <c r="G5" s="111"/>
      <c r="H5" s="111"/>
      <c r="I5" s="111"/>
      <c r="J5" s="111">
        <v>86192</v>
      </c>
      <c r="K5" s="111">
        <v>79848</v>
      </c>
      <c r="L5" s="111">
        <v>65386</v>
      </c>
      <c r="M5" s="111">
        <v>59682</v>
      </c>
      <c r="N5" s="111">
        <v>47495</v>
      </c>
      <c r="O5" s="111">
        <v>42634</v>
      </c>
      <c r="P5" s="111"/>
      <c r="Q5" s="111"/>
      <c r="R5" s="111"/>
    </row>
    <row r="6" spans="1:18" x14ac:dyDescent="0.75">
      <c r="A6" s="111" t="s">
        <v>261</v>
      </c>
      <c r="B6" s="111"/>
      <c r="D6" s="126">
        <v>43831</v>
      </c>
      <c r="E6" s="126">
        <v>43862</v>
      </c>
      <c r="F6" s="126">
        <v>43891</v>
      </c>
      <c r="G6" s="126">
        <v>43922</v>
      </c>
      <c r="H6" s="126">
        <v>43952</v>
      </c>
      <c r="I6" s="126">
        <v>43983</v>
      </c>
      <c r="J6" s="126">
        <v>44013</v>
      </c>
      <c r="K6" s="126">
        <v>44044</v>
      </c>
      <c r="L6" s="126">
        <v>44075</v>
      </c>
      <c r="M6" s="126">
        <v>44105</v>
      </c>
      <c r="N6" s="126">
        <v>44136</v>
      </c>
      <c r="O6" s="126">
        <v>44166</v>
      </c>
      <c r="P6" s="111" t="s">
        <v>262</v>
      </c>
      <c r="Q6" s="111"/>
      <c r="R6" s="111"/>
    </row>
    <row r="7" spans="1:18" x14ac:dyDescent="0.75">
      <c r="A7" s="111"/>
      <c r="B7" s="111"/>
      <c r="D7" s="111" t="s">
        <v>263</v>
      </c>
      <c r="E7" s="111" t="s">
        <v>263</v>
      </c>
      <c r="F7" s="111" t="s">
        <v>263</v>
      </c>
      <c r="G7" s="111" t="s">
        <v>263</v>
      </c>
      <c r="H7" s="111" t="s">
        <v>263</v>
      </c>
      <c r="I7" s="111" t="s">
        <v>263</v>
      </c>
      <c r="J7" s="111" t="s">
        <v>263</v>
      </c>
      <c r="K7" s="111" t="s">
        <v>263</v>
      </c>
      <c r="L7" s="111" t="s">
        <v>263</v>
      </c>
      <c r="M7" s="111" t="s">
        <v>263</v>
      </c>
      <c r="N7" s="111" t="s">
        <v>263</v>
      </c>
      <c r="O7" s="111" t="s">
        <v>263</v>
      </c>
      <c r="P7" s="111" t="s">
        <v>264</v>
      </c>
      <c r="Q7" s="111"/>
      <c r="R7" s="111"/>
    </row>
    <row r="8" spans="1:18" x14ac:dyDescent="0.75">
      <c r="A8" s="111" t="s">
        <v>265</v>
      </c>
      <c r="B8" s="111" t="s">
        <v>146</v>
      </c>
      <c r="C8">
        <v>0.9</v>
      </c>
      <c r="D8" s="111"/>
      <c r="E8" s="111"/>
      <c r="F8" s="111"/>
      <c r="G8" s="111">
        <v>1494</v>
      </c>
      <c r="H8" s="111">
        <v>69839</v>
      </c>
      <c r="I8" s="111">
        <v>95238</v>
      </c>
      <c r="J8" s="111">
        <v>77572.800000000003</v>
      </c>
      <c r="K8" s="111">
        <v>71863.199999999997</v>
      </c>
      <c r="L8" s="111">
        <v>58847.4</v>
      </c>
      <c r="M8" s="111">
        <v>53713.8</v>
      </c>
      <c r="N8" s="111">
        <v>42745.5</v>
      </c>
      <c r="O8" s="111">
        <v>38370.6</v>
      </c>
      <c r="P8" s="111">
        <v>509684.3</v>
      </c>
      <c r="Q8" s="111"/>
      <c r="R8" s="111"/>
    </row>
    <row r="9" spans="1:18" x14ac:dyDescent="0.75">
      <c r="A9" s="111"/>
      <c r="B9" s="111" t="s">
        <v>147</v>
      </c>
      <c r="C9">
        <v>0.1</v>
      </c>
      <c r="D9" s="111"/>
      <c r="E9" s="111"/>
      <c r="F9" s="111"/>
      <c r="G9" s="111"/>
      <c r="H9" s="111"/>
      <c r="I9" s="111"/>
      <c r="J9" s="111">
        <v>8619.2000000000007</v>
      </c>
      <c r="K9" s="111">
        <v>7984.8</v>
      </c>
      <c r="L9" s="111">
        <v>6538.6</v>
      </c>
      <c r="M9" s="111">
        <v>5968.2000000000007</v>
      </c>
      <c r="N9" s="111">
        <v>4749.5</v>
      </c>
      <c r="O9" s="111">
        <v>4263.4000000000005</v>
      </c>
      <c r="P9" s="111">
        <v>38123.699999999997</v>
      </c>
      <c r="Q9" s="111"/>
      <c r="R9" s="111"/>
    </row>
    <row r="10" spans="1:18" x14ac:dyDescent="0.75">
      <c r="A10" s="111"/>
      <c r="B10" s="111" t="s">
        <v>266</v>
      </c>
      <c r="D10" s="111" t="s">
        <v>13</v>
      </c>
      <c r="E10" s="111" t="s">
        <v>13</v>
      </c>
      <c r="F10" s="111" t="s">
        <v>13</v>
      </c>
      <c r="G10" s="111">
        <v>1494</v>
      </c>
      <c r="H10" s="111">
        <v>69839</v>
      </c>
      <c r="I10" s="111">
        <v>95238</v>
      </c>
      <c r="J10" s="111">
        <v>86192</v>
      </c>
      <c r="K10" s="111">
        <v>79848</v>
      </c>
      <c r="L10" s="111">
        <v>65386</v>
      </c>
      <c r="M10" s="111">
        <v>59682</v>
      </c>
      <c r="N10" s="111">
        <v>47495</v>
      </c>
      <c r="O10" s="111">
        <v>42634</v>
      </c>
      <c r="P10" s="111">
        <v>547808</v>
      </c>
      <c r="Q10" s="111"/>
      <c r="R10" s="111"/>
    </row>
    <row r="11" spans="1:18" x14ac:dyDescent="0.75">
      <c r="A11" s="111" t="s">
        <v>149</v>
      </c>
      <c r="B11" s="111" t="s">
        <v>146</v>
      </c>
      <c r="C11">
        <v>0.5</v>
      </c>
      <c r="D11" s="111">
        <v>0</v>
      </c>
      <c r="E11" s="111">
        <v>0</v>
      </c>
      <c r="F11" s="111">
        <v>0</v>
      </c>
      <c r="G11" s="111">
        <v>747</v>
      </c>
      <c r="H11" s="111">
        <v>34919.5</v>
      </c>
      <c r="I11" s="111">
        <v>47619</v>
      </c>
      <c r="J11" s="111">
        <v>38786.400000000001</v>
      </c>
      <c r="K11" s="111">
        <v>35931.599999999999</v>
      </c>
      <c r="L11" s="111">
        <v>29423.7</v>
      </c>
      <c r="M11" s="111">
        <v>26856.9</v>
      </c>
      <c r="N11" s="111">
        <v>21372.75</v>
      </c>
      <c r="O11" s="111">
        <v>19185.3</v>
      </c>
      <c r="P11" s="111">
        <v>254842.15</v>
      </c>
      <c r="Q11" s="111"/>
      <c r="R11" s="111"/>
    </row>
    <row r="12" spans="1:18" x14ac:dyDescent="0.75">
      <c r="A12" s="111"/>
      <c r="B12" s="111" t="s">
        <v>147</v>
      </c>
      <c r="C12">
        <v>1</v>
      </c>
      <c r="D12" s="111">
        <v>0</v>
      </c>
      <c r="E12" s="111">
        <v>0</v>
      </c>
      <c r="F12" s="111">
        <v>0</v>
      </c>
      <c r="G12" s="111">
        <v>0</v>
      </c>
      <c r="H12" s="111">
        <v>0</v>
      </c>
      <c r="I12" s="111">
        <v>0</v>
      </c>
      <c r="J12" s="111">
        <v>8619.2000000000007</v>
      </c>
      <c r="K12" s="111">
        <v>7984.8</v>
      </c>
      <c r="L12" s="111">
        <v>6538.6</v>
      </c>
      <c r="M12" s="111">
        <v>5968.2000000000007</v>
      </c>
      <c r="N12" s="111">
        <v>4749.5</v>
      </c>
      <c r="O12" s="111">
        <v>4263.4000000000005</v>
      </c>
      <c r="P12" s="111">
        <v>38123.699999999997</v>
      </c>
      <c r="Q12" s="111"/>
      <c r="R12" s="111"/>
    </row>
    <row r="13" spans="1:18" x14ac:dyDescent="0.75">
      <c r="A13" s="111"/>
      <c r="B13" s="111" t="s">
        <v>267</v>
      </c>
      <c r="C13">
        <v>0</v>
      </c>
      <c r="D13" s="111" t="s">
        <v>13</v>
      </c>
      <c r="E13" s="111" t="s">
        <v>13</v>
      </c>
      <c r="F13" s="111" t="s">
        <v>13</v>
      </c>
      <c r="G13" s="111">
        <v>747</v>
      </c>
      <c r="H13" s="111">
        <v>34919.5</v>
      </c>
      <c r="I13" s="111">
        <v>47619</v>
      </c>
      <c r="J13" s="111">
        <v>47405.600000000006</v>
      </c>
      <c r="K13" s="111">
        <v>43916.4</v>
      </c>
      <c r="L13" s="111">
        <v>35962.300000000003</v>
      </c>
      <c r="M13" s="111">
        <v>32825.100000000006</v>
      </c>
      <c r="N13" s="111">
        <v>26122.25</v>
      </c>
      <c r="O13" s="111">
        <v>23448.7</v>
      </c>
      <c r="P13" s="111">
        <v>292965.85000000003</v>
      </c>
      <c r="Q13" s="111"/>
      <c r="R13" s="111"/>
    </row>
    <row r="14" spans="1:18" x14ac:dyDescent="0.75">
      <c r="A14" s="111"/>
      <c r="B14" s="111" t="s">
        <v>268</v>
      </c>
      <c r="D14" s="111"/>
      <c r="E14" s="111"/>
      <c r="F14" s="111"/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111"/>
    </row>
    <row r="15" spans="1:18" x14ac:dyDescent="0.75">
      <c r="A15" s="111"/>
      <c r="B15" s="111"/>
      <c r="D15" s="111"/>
      <c r="E15" s="111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</row>
    <row r="16" spans="1:18" x14ac:dyDescent="0.75">
      <c r="A16" s="111"/>
      <c r="B16" s="111"/>
      <c r="D16" s="111"/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</row>
    <row r="17" spans="1:18" x14ac:dyDescent="0.75">
      <c r="A17" s="111"/>
      <c r="B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</row>
    <row r="18" spans="1:18" x14ac:dyDescent="0.75">
      <c r="A18" s="111"/>
      <c r="B18" s="111"/>
      <c r="D18" s="111"/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</row>
    <row r="19" spans="1:18" x14ac:dyDescent="0.75">
      <c r="A19" s="111"/>
      <c r="B19" s="111"/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</row>
    <row r="20" spans="1:18" x14ac:dyDescent="0.75">
      <c r="A20" s="111"/>
      <c r="B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</row>
    <row r="21" spans="1:18" x14ac:dyDescent="0.75">
      <c r="A21" s="111"/>
      <c r="B21" s="111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</row>
    <row r="22" spans="1:18" x14ac:dyDescent="0.75">
      <c r="A22" s="111"/>
      <c r="B22" s="111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</row>
    <row r="23" spans="1:18" x14ac:dyDescent="0.75">
      <c r="A23" s="111"/>
      <c r="B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</row>
    <row r="24" spans="1:18" x14ac:dyDescent="0.75">
      <c r="A24" s="111"/>
      <c r="B24" s="111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</row>
    <row r="25" spans="1:18" x14ac:dyDescent="0.75">
      <c r="A25" s="111"/>
      <c r="B25" s="111"/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</row>
    <row r="26" spans="1:18" x14ac:dyDescent="0.75">
      <c r="A26" s="111"/>
      <c r="B26" s="111"/>
      <c r="D26" s="111"/>
      <c r="E26" s="111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</row>
    <row r="27" spans="1:18" x14ac:dyDescent="0.75">
      <c r="A27" s="111"/>
      <c r="B27" s="111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</row>
    <row r="28" spans="1:18" x14ac:dyDescent="0.75">
      <c r="A28" s="111"/>
      <c r="B28" s="111"/>
      <c r="D28" s="111"/>
      <c r="E28" s="111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</row>
    <row r="29" spans="1:18" x14ac:dyDescent="0.75">
      <c r="A29" s="111"/>
      <c r="B29" s="111"/>
      <c r="D29" s="111"/>
      <c r="E29" s="111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</row>
    <row r="30" spans="1:18" x14ac:dyDescent="0.75">
      <c r="A30" s="111"/>
      <c r="B30" s="111"/>
      <c r="D30" s="111"/>
      <c r="E30" s="111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</row>
    <row r="31" spans="1:18" x14ac:dyDescent="0.75">
      <c r="A31" s="111"/>
      <c r="B31" s="111"/>
      <c r="D31" s="111"/>
      <c r="E31" s="111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</row>
    <row r="32" spans="1:18" x14ac:dyDescent="0.75">
      <c r="A32" s="111"/>
      <c r="B32" s="111"/>
      <c r="D32" s="111"/>
      <c r="E32" s="111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</row>
    <row r="33" spans="1:18" x14ac:dyDescent="0.75">
      <c r="A33" s="111"/>
      <c r="B33" s="111"/>
      <c r="D33" s="111"/>
      <c r="E33" s="111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</row>
  </sheetData>
  <phoneticPr fontId="20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0691-80D1-4570-81E5-030AE6662E25}">
  <dimension ref="A1:AH31"/>
  <sheetViews>
    <sheetView topLeftCell="A3" workbookViewId="0">
      <selection activeCell="A4" sqref="A4"/>
    </sheetView>
  </sheetViews>
  <sheetFormatPr defaultRowHeight="14.75" x14ac:dyDescent="0.75"/>
  <cols>
    <col min="2" max="2" width="9" customWidth="1"/>
    <col min="3" max="3" width="0.40625" customWidth="1"/>
    <col min="4" max="4" width="10" customWidth="1"/>
    <col min="5" max="5" width="0.40625" customWidth="1"/>
    <col min="6" max="6" width="9.54296875" customWidth="1"/>
    <col min="7" max="7" width="0.40625" customWidth="1"/>
    <col min="8" max="8" width="13.54296875" customWidth="1"/>
    <col min="9" max="9" width="0.40625" customWidth="1"/>
    <col min="10" max="10" width="10.26953125" customWidth="1"/>
    <col min="11" max="11" width="0.40625" customWidth="1"/>
    <col min="12" max="12" width="9.54296875" customWidth="1"/>
    <col min="13" max="13" width="0.40625" customWidth="1"/>
    <col min="14" max="14" width="12.86328125" customWidth="1"/>
    <col min="15" max="15" width="5.86328125" customWidth="1"/>
    <col min="16" max="16" width="6.26953125" customWidth="1"/>
    <col min="17" max="17" width="22.86328125" customWidth="1"/>
    <col min="18" max="18" width="5.54296875" customWidth="1"/>
    <col min="19" max="19" width="0.40625" customWidth="1"/>
    <col min="20" max="31" width="7.54296875" customWidth="1"/>
    <col min="32" max="32" width="0.40625" customWidth="1"/>
  </cols>
  <sheetData>
    <row r="1" spans="1:34" x14ac:dyDescent="0.75">
      <c r="A1" s="12" t="s">
        <v>156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34" x14ac:dyDescent="0.75">
      <c r="A2" s="62">
        <v>44105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34" x14ac:dyDescent="0.7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34" x14ac:dyDescent="0.75">
      <c r="A4" s="161" t="s">
        <v>489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 t="s">
        <v>151</v>
      </c>
      <c r="Q4" s="12"/>
      <c r="T4" s="39">
        <v>43831</v>
      </c>
      <c r="U4" s="39">
        <v>43862</v>
      </c>
      <c r="V4" s="39">
        <v>43891</v>
      </c>
      <c r="W4" s="39">
        <v>43922</v>
      </c>
      <c r="X4" s="39">
        <v>43952</v>
      </c>
      <c r="Y4" s="39">
        <v>43983</v>
      </c>
      <c r="Z4" s="39">
        <v>44013</v>
      </c>
      <c r="AA4" s="39">
        <v>44044</v>
      </c>
      <c r="AB4" s="39">
        <v>44075</v>
      </c>
      <c r="AC4" s="39">
        <v>44105</v>
      </c>
      <c r="AD4" s="39">
        <v>44136</v>
      </c>
      <c r="AE4" s="39">
        <v>44166</v>
      </c>
    </row>
    <row r="6" spans="1:34" x14ac:dyDescent="0.75">
      <c r="B6" s="13"/>
      <c r="C6" s="13"/>
      <c r="D6" s="213" t="s">
        <v>154</v>
      </c>
      <c r="E6" s="213"/>
      <c r="F6" s="213"/>
      <c r="G6" s="213"/>
      <c r="H6" s="213"/>
      <c r="I6" s="47"/>
      <c r="J6" s="213" t="s">
        <v>149</v>
      </c>
      <c r="K6" s="213"/>
      <c r="L6" s="213"/>
      <c r="M6" s="213"/>
      <c r="N6" s="213"/>
      <c r="O6" s="20" t="s">
        <v>88</v>
      </c>
      <c r="S6" s="33"/>
      <c r="T6" s="32" t="s">
        <v>34</v>
      </c>
      <c r="U6" s="32" t="s">
        <v>38</v>
      </c>
      <c r="V6" s="32" t="s">
        <v>155</v>
      </c>
      <c r="W6" s="32" t="s">
        <v>46</v>
      </c>
      <c r="X6" s="32" t="s">
        <v>49</v>
      </c>
      <c r="Y6" s="32" t="s">
        <v>52</v>
      </c>
      <c r="Z6" s="32" t="s">
        <v>55</v>
      </c>
      <c r="AA6" s="32" t="s">
        <v>58</v>
      </c>
      <c r="AB6" s="32" t="s">
        <v>62</v>
      </c>
      <c r="AC6" s="32" t="s">
        <v>66</v>
      </c>
      <c r="AD6" s="32" t="s">
        <v>70</v>
      </c>
      <c r="AE6" s="32" t="s">
        <v>75</v>
      </c>
      <c r="AF6" s="40"/>
      <c r="AG6" s="32" t="s">
        <v>153</v>
      </c>
    </row>
    <row r="7" spans="1:34" x14ac:dyDescent="0.75">
      <c r="B7" s="13"/>
      <c r="C7" s="90"/>
      <c r="D7" s="91" t="s">
        <v>146</v>
      </c>
      <c r="E7" s="90"/>
      <c r="F7" s="91" t="s">
        <v>147</v>
      </c>
      <c r="G7" s="90"/>
      <c r="H7" s="91" t="s">
        <v>148</v>
      </c>
      <c r="I7" s="90"/>
      <c r="J7" s="91" t="s">
        <v>146</v>
      </c>
      <c r="K7" s="90"/>
      <c r="L7" s="91" t="s">
        <v>147</v>
      </c>
      <c r="M7" s="90"/>
      <c r="N7" s="91" t="s">
        <v>150</v>
      </c>
      <c r="O7" s="31" t="s">
        <v>88</v>
      </c>
      <c r="S7" s="34"/>
      <c r="T7" s="41" t="str">
        <f t="shared" ref="T7:AE7" si="0">IF(T4&lt;=$A$2,"Actual","Estimate")</f>
        <v>Actual</v>
      </c>
      <c r="U7" s="41" t="str">
        <f t="shared" si="0"/>
        <v>Actual</v>
      </c>
      <c r="V7" s="41" t="str">
        <f t="shared" si="0"/>
        <v>Actual</v>
      </c>
      <c r="W7" s="41" t="str">
        <f t="shared" si="0"/>
        <v>Actual</v>
      </c>
      <c r="X7" s="41" t="str">
        <f t="shared" si="0"/>
        <v>Actual</v>
      </c>
      <c r="Y7" s="41" t="str">
        <f t="shared" si="0"/>
        <v>Actual</v>
      </c>
      <c r="Z7" s="41" t="str">
        <f t="shared" si="0"/>
        <v>Actual</v>
      </c>
      <c r="AA7" s="41" t="str">
        <f t="shared" si="0"/>
        <v>Actual</v>
      </c>
      <c r="AB7" s="41" t="str">
        <f t="shared" si="0"/>
        <v>Actual</v>
      </c>
      <c r="AC7" s="41" t="str">
        <f t="shared" si="0"/>
        <v>Actual</v>
      </c>
      <c r="AD7" s="41" t="str">
        <f t="shared" si="0"/>
        <v>Estimate</v>
      </c>
      <c r="AE7" s="41" t="str">
        <f t="shared" si="0"/>
        <v>Estimate</v>
      </c>
      <c r="AF7" s="40"/>
      <c r="AG7" s="1"/>
    </row>
    <row r="8" spans="1:34" x14ac:dyDescent="0.75">
      <c r="B8" s="13"/>
      <c r="C8" s="13"/>
      <c r="D8" s="92">
        <v>0.9</v>
      </c>
      <c r="E8" s="13"/>
      <c r="F8" s="93">
        <v>0.1</v>
      </c>
      <c r="G8" s="13"/>
      <c r="H8" s="93"/>
      <c r="I8" s="13"/>
      <c r="J8" s="94">
        <v>0.5</v>
      </c>
      <c r="K8" s="94"/>
      <c r="L8" s="94">
        <v>1</v>
      </c>
      <c r="M8" s="13"/>
      <c r="N8" s="13"/>
      <c r="O8" s="20" t="s">
        <v>88</v>
      </c>
      <c r="Q8" s="18" t="s">
        <v>154</v>
      </c>
      <c r="R8" s="3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42"/>
      <c r="AG8" s="20"/>
    </row>
    <row r="9" spans="1:34" x14ac:dyDescent="0.75">
      <c r="B9" s="13"/>
      <c r="C9" s="13"/>
      <c r="D9" s="92"/>
      <c r="E9" s="13"/>
      <c r="F9" s="93"/>
      <c r="G9" s="13"/>
      <c r="H9" s="93"/>
      <c r="I9" s="13"/>
      <c r="J9" s="94"/>
      <c r="K9" s="94"/>
      <c r="L9" s="94"/>
      <c r="M9" s="13"/>
      <c r="N9" s="13"/>
      <c r="O9" s="20" t="s">
        <v>88</v>
      </c>
      <c r="Q9" s="21" t="s">
        <v>146</v>
      </c>
      <c r="R9" s="43">
        <v>0.9</v>
      </c>
      <c r="S9" s="20"/>
      <c r="T9" s="38"/>
      <c r="U9" s="38"/>
      <c r="V9" s="38"/>
      <c r="W9" s="38">
        <v>1494</v>
      </c>
      <c r="X9" s="38">
        <v>69839</v>
      </c>
      <c r="Y9" s="38">
        <v>95238</v>
      </c>
      <c r="Z9" s="38">
        <v>85678</v>
      </c>
      <c r="AA9" s="38">
        <v>79504</v>
      </c>
      <c r="AB9" s="38">
        <v>67606</v>
      </c>
      <c r="AC9" s="38">
        <v>60860</v>
      </c>
      <c r="AD9" s="38">
        <v>48049</v>
      </c>
      <c r="AE9" s="38">
        <v>41809</v>
      </c>
      <c r="AF9" s="42"/>
      <c r="AG9" s="44">
        <v>166571</v>
      </c>
    </row>
    <row r="10" spans="1:34" x14ac:dyDescent="0.75">
      <c r="B10" s="47" t="s">
        <v>152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20" t="s">
        <v>91</v>
      </c>
      <c r="Q10" s="21" t="s">
        <v>147</v>
      </c>
      <c r="R10" s="45">
        <v>0.1</v>
      </c>
      <c r="S10" s="20"/>
      <c r="T10" s="20"/>
      <c r="U10" s="20"/>
      <c r="V10" s="20"/>
      <c r="W10" s="36" t="s">
        <v>91</v>
      </c>
      <c r="X10" s="36" t="s">
        <v>91</v>
      </c>
      <c r="Y10" s="36" t="s">
        <v>91</v>
      </c>
      <c r="Z10" s="36" t="s">
        <v>91</v>
      </c>
      <c r="AA10" s="36" t="s">
        <v>91</v>
      </c>
      <c r="AB10" s="36" t="s">
        <v>91</v>
      </c>
      <c r="AC10" s="36" t="s">
        <v>91</v>
      </c>
      <c r="AD10" s="36" t="s">
        <v>91</v>
      </c>
      <c r="AE10" s="36" t="s">
        <v>91</v>
      </c>
      <c r="AF10" s="42"/>
      <c r="AG10" s="31"/>
      <c r="AH10" s="37"/>
    </row>
    <row r="11" spans="1:34" x14ac:dyDescent="0.75">
      <c r="B11" s="3" t="s">
        <v>90</v>
      </c>
      <c r="C11" s="13"/>
      <c r="D11" s="95"/>
      <c r="E11" s="95"/>
      <c r="F11" s="95"/>
      <c r="G11" s="95"/>
      <c r="H11" s="102" t="s">
        <v>91</v>
      </c>
      <c r="I11" s="13"/>
      <c r="J11" s="13"/>
      <c r="K11" s="13"/>
      <c r="L11" s="13"/>
      <c r="M11" s="13"/>
      <c r="N11" s="70" t="s">
        <v>91</v>
      </c>
      <c r="O11" s="20" t="s">
        <v>88</v>
      </c>
      <c r="Q11" s="21" t="s">
        <v>148</v>
      </c>
      <c r="R11" s="30"/>
      <c r="S11" s="20"/>
      <c r="T11" s="36" t="s">
        <v>91</v>
      </c>
      <c r="U11" s="36" t="s">
        <v>91</v>
      </c>
      <c r="V11" s="36" t="s">
        <v>91</v>
      </c>
      <c r="W11" s="38">
        <v>1494</v>
      </c>
      <c r="X11" s="38">
        <v>69839</v>
      </c>
      <c r="Y11" s="38">
        <v>95238</v>
      </c>
      <c r="Z11" s="38">
        <v>85678</v>
      </c>
      <c r="AA11" s="38">
        <v>79504</v>
      </c>
      <c r="AB11" s="44">
        <v>67606</v>
      </c>
      <c r="AC11" s="44">
        <v>60860</v>
      </c>
      <c r="AD11" s="44">
        <v>48049</v>
      </c>
      <c r="AE11" s="44">
        <v>41809</v>
      </c>
      <c r="AF11" s="42"/>
      <c r="AG11" s="44">
        <v>166571</v>
      </c>
    </row>
    <row r="12" spans="1:34" x14ac:dyDescent="0.75">
      <c r="B12" s="3" t="s">
        <v>92</v>
      </c>
      <c r="C12" s="13"/>
      <c r="D12" s="95"/>
      <c r="E12" s="95"/>
      <c r="F12" s="95"/>
      <c r="G12" s="95"/>
      <c r="H12" s="102" t="s">
        <v>91</v>
      </c>
      <c r="I12" s="13"/>
      <c r="J12" s="13"/>
      <c r="K12" s="13"/>
      <c r="L12" s="13"/>
      <c r="M12" s="13"/>
      <c r="N12" s="70" t="s">
        <v>91</v>
      </c>
      <c r="O12" s="20" t="s">
        <v>88</v>
      </c>
      <c r="Q12" s="27"/>
      <c r="R12" s="3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42"/>
      <c r="AG12" s="20"/>
    </row>
    <row r="13" spans="1:34" x14ac:dyDescent="0.75">
      <c r="B13" s="3" t="s">
        <v>93</v>
      </c>
      <c r="C13" s="13"/>
      <c r="D13" s="95"/>
      <c r="E13" s="95"/>
      <c r="F13" s="95"/>
      <c r="G13" s="95"/>
      <c r="H13" s="102" t="s">
        <v>91</v>
      </c>
      <c r="I13" s="13"/>
      <c r="J13" s="13"/>
      <c r="K13" s="13"/>
      <c r="L13" s="13"/>
      <c r="M13" s="13"/>
      <c r="N13" s="70" t="s">
        <v>91</v>
      </c>
      <c r="O13" s="20" t="s">
        <v>88</v>
      </c>
      <c r="Q13" s="18" t="s">
        <v>149</v>
      </c>
      <c r="R13" s="3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42"/>
      <c r="AG13" s="20"/>
    </row>
    <row r="14" spans="1:34" x14ac:dyDescent="0.75">
      <c r="B14" s="3" t="s">
        <v>94</v>
      </c>
      <c r="C14" s="13"/>
      <c r="D14" s="95">
        <f>'rec raw'!G8</f>
        <v>1494</v>
      </c>
      <c r="E14" s="95"/>
      <c r="F14" s="102" t="s">
        <v>91</v>
      </c>
      <c r="G14" s="95"/>
      <c r="H14" s="95">
        <f>D14</f>
        <v>1494</v>
      </c>
      <c r="I14" s="13"/>
      <c r="J14" s="96">
        <f>'rec raw'!G11</f>
        <v>747</v>
      </c>
      <c r="K14" s="96"/>
      <c r="L14" s="102" t="s">
        <v>91</v>
      </c>
      <c r="M14" s="96"/>
      <c r="N14" s="96">
        <f>J14</f>
        <v>747</v>
      </c>
      <c r="O14" s="36" t="s">
        <v>88</v>
      </c>
      <c r="Q14" s="21" t="s">
        <v>146</v>
      </c>
      <c r="R14" s="35">
        <v>0.5</v>
      </c>
      <c r="S14" s="20"/>
      <c r="T14" s="55"/>
      <c r="U14" s="55"/>
      <c r="V14" s="55"/>
      <c r="W14" s="55">
        <v>747</v>
      </c>
      <c r="X14" s="55">
        <v>34920</v>
      </c>
      <c r="Y14" s="55">
        <v>47619</v>
      </c>
      <c r="Z14" s="55">
        <v>42839</v>
      </c>
      <c r="AA14" s="55">
        <v>39752</v>
      </c>
      <c r="AB14" s="55">
        <v>33803</v>
      </c>
      <c r="AC14" s="55">
        <v>30430</v>
      </c>
      <c r="AD14" s="55">
        <v>24024</v>
      </c>
      <c r="AE14" s="55">
        <v>20905</v>
      </c>
      <c r="AF14" s="56"/>
      <c r="AG14" s="57">
        <v>83286</v>
      </c>
    </row>
    <row r="15" spans="1:34" x14ac:dyDescent="0.75">
      <c r="B15" s="3" t="s">
        <v>49</v>
      </c>
      <c r="C15" s="13"/>
      <c r="D15" s="95">
        <f>'rec raw'!H8</f>
        <v>69839</v>
      </c>
      <c r="E15" s="95"/>
      <c r="F15" s="102" t="s">
        <v>91</v>
      </c>
      <c r="G15" s="95"/>
      <c r="H15" s="95">
        <f>D15</f>
        <v>69839</v>
      </c>
      <c r="I15" s="13"/>
      <c r="J15" s="96">
        <f>'rec raw'!H11</f>
        <v>34919.5</v>
      </c>
      <c r="K15" s="96"/>
      <c r="L15" s="102" t="s">
        <v>91</v>
      </c>
      <c r="M15" s="96"/>
      <c r="N15" s="96">
        <f>J15</f>
        <v>34919.5</v>
      </c>
      <c r="O15" s="36" t="s">
        <v>88</v>
      </c>
      <c r="Q15" s="21" t="s">
        <v>147</v>
      </c>
      <c r="R15" s="35">
        <v>1</v>
      </c>
      <c r="S15" s="20"/>
      <c r="T15" s="55"/>
      <c r="U15" s="55"/>
      <c r="V15" s="55"/>
      <c r="W15" s="55" t="s">
        <v>91</v>
      </c>
      <c r="X15" s="55" t="s">
        <v>91</v>
      </c>
      <c r="Y15" s="55" t="s">
        <v>91</v>
      </c>
      <c r="Z15" s="55">
        <v>9520</v>
      </c>
      <c r="AA15" s="55">
        <v>8834</v>
      </c>
      <c r="AB15" s="55">
        <v>7512</v>
      </c>
      <c r="AC15" s="55">
        <v>6762</v>
      </c>
      <c r="AD15" s="55">
        <v>5339</v>
      </c>
      <c r="AE15" s="55">
        <v>4645</v>
      </c>
      <c r="AF15" s="56"/>
      <c r="AG15" s="58" t="s">
        <v>91</v>
      </c>
    </row>
    <row r="16" spans="1:34" x14ac:dyDescent="0.75">
      <c r="B16" s="3" t="s">
        <v>95</v>
      </c>
      <c r="C16" s="13"/>
      <c r="D16" s="95">
        <f>'rec raw'!I8</f>
        <v>95238</v>
      </c>
      <c r="E16" s="95"/>
      <c r="F16" s="102" t="s">
        <v>91</v>
      </c>
      <c r="G16" s="95"/>
      <c r="H16" s="95">
        <f>D16</f>
        <v>95238</v>
      </c>
      <c r="I16" s="13"/>
      <c r="J16" s="96">
        <f>'rec raw'!I11</f>
        <v>47619</v>
      </c>
      <c r="K16" s="96"/>
      <c r="L16" s="102" t="s">
        <v>91</v>
      </c>
      <c r="M16" s="96"/>
      <c r="N16" s="96">
        <f>J16</f>
        <v>47619</v>
      </c>
      <c r="O16" s="36" t="s">
        <v>88</v>
      </c>
      <c r="Q16" s="21" t="s">
        <v>148</v>
      </c>
      <c r="R16" s="30"/>
      <c r="S16" s="20"/>
      <c r="T16" s="55" t="s">
        <v>91</v>
      </c>
      <c r="U16" s="55" t="s">
        <v>91</v>
      </c>
      <c r="V16" s="55" t="s">
        <v>91</v>
      </c>
      <c r="W16" s="55">
        <v>747</v>
      </c>
      <c r="X16" s="55">
        <v>34920</v>
      </c>
      <c r="Y16" s="55">
        <v>47619</v>
      </c>
      <c r="Z16" s="55">
        <v>52359</v>
      </c>
      <c r="AA16" s="55">
        <v>48586</v>
      </c>
      <c r="AB16" s="55">
        <v>41315</v>
      </c>
      <c r="AC16" s="55">
        <v>37192</v>
      </c>
      <c r="AD16" s="55">
        <v>29363</v>
      </c>
      <c r="AE16" s="55">
        <v>25550</v>
      </c>
      <c r="AF16" s="56"/>
      <c r="AG16" s="57">
        <v>83286</v>
      </c>
    </row>
    <row r="17" spans="2:33" x14ac:dyDescent="0.75">
      <c r="B17" s="3" t="s">
        <v>96</v>
      </c>
      <c r="C17" s="13"/>
      <c r="D17" s="95">
        <f>'rec raw'!J8</f>
        <v>77572.800000000003</v>
      </c>
      <c r="E17" s="95"/>
      <c r="F17" s="95">
        <f>'rec raw'!J9</f>
        <v>8619.2000000000007</v>
      </c>
      <c r="G17" s="95"/>
      <c r="H17" s="95">
        <f t="shared" ref="H17:H22" si="1">IFERROR(D17+F17,"-")</f>
        <v>86192</v>
      </c>
      <c r="I17" s="13"/>
      <c r="J17" s="96">
        <f>'rec raw'!J11</f>
        <v>38786.400000000001</v>
      </c>
      <c r="K17" s="96"/>
      <c r="L17" s="96">
        <f>'rec raw'!J12</f>
        <v>8619.2000000000007</v>
      </c>
      <c r="M17" s="96"/>
      <c r="N17" s="96">
        <f t="shared" ref="N17:N22" si="2">J17+L17</f>
        <v>47405.600000000006</v>
      </c>
      <c r="O17" s="36" t="s">
        <v>88</v>
      </c>
    </row>
    <row r="18" spans="2:33" x14ac:dyDescent="0.75">
      <c r="B18" s="3" t="s">
        <v>97</v>
      </c>
      <c r="C18" s="13"/>
      <c r="D18" s="95">
        <f>'rec raw'!K8</f>
        <v>71863.199999999997</v>
      </c>
      <c r="E18" s="95"/>
      <c r="F18" s="95">
        <f>'rec raw'!K9</f>
        <v>7984.8</v>
      </c>
      <c r="G18" s="95"/>
      <c r="H18" s="95">
        <f t="shared" si="1"/>
        <v>79848</v>
      </c>
      <c r="I18" s="13"/>
      <c r="J18" s="96">
        <f>'rec raw'!K11</f>
        <v>35931.599999999999</v>
      </c>
      <c r="K18" s="96"/>
      <c r="L18" s="96">
        <f>'rec raw'!K12</f>
        <v>7984.8</v>
      </c>
      <c r="M18" s="96"/>
      <c r="N18" s="96">
        <f t="shared" si="2"/>
        <v>43916.4</v>
      </c>
      <c r="O18" s="36" t="s">
        <v>88</v>
      </c>
      <c r="Q18" s="21"/>
      <c r="S18" s="1"/>
      <c r="AF18" s="1"/>
      <c r="AG18" s="28"/>
    </row>
    <row r="19" spans="2:33" x14ac:dyDescent="0.75">
      <c r="B19" s="3" t="s">
        <v>98</v>
      </c>
      <c r="C19" s="13"/>
      <c r="D19" s="95">
        <f>'rec raw'!L8</f>
        <v>58847.4</v>
      </c>
      <c r="E19" s="95"/>
      <c r="F19" s="95">
        <f>'rec raw'!L9</f>
        <v>6538.6</v>
      </c>
      <c r="G19" s="95"/>
      <c r="H19" s="95">
        <f t="shared" si="1"/>
        <v>65386</v>
      </c>
      <c r="I19" s="13"/>
      <c r="J19" s="96">
        <f>'rec raw'!K11</f>
        <v>35931.599999999999</v>
      </c>
      <c r="K19" s="96"/>
      <c r="L19" s="96">
        <f>'rec raw'!K12</f>
        <v>7984.8</v>
      </c>
      <c r="M19" s="96"/>
      <c r="N19" s="96">
        <f t="shared" si="2"/>
        <v>43916.4</v>
      </c>
      <c r="O19" s="36" t="s">
        <v>88</v>
      </c>
      <c r="Q19" s="21"/>
      <c r="S19" s="1"/>
      <c r="AF19" s="1"/>
    </row>
    <row r="20" spans="2:33" x14ac:dyDescent="0.75">
      <c r="B20" s="3" t="s">
        <v>99</v>
      </c>
      <c r="C20" s="13"/>
      <c r="D20" s="95">
        <f>'rec raw'!M8</f>
        <v>53713.8</v>
      </c>
      <c r="E20" s="95"/>
      <c r="F20" s="95">
        <f>'rec raw'!M9</f>
        <v>5968.2000000000007</v>
      </c>
      <c r="G20" s="95"/>
      <c r="H20" s="95">
        <f t="shared" si="1"/>
        <v>59682</v>
      </c>
      <c r="I20" s="13"/>
      <c r="J20" s="96">
        <f>'rec raw'!M11</f>
        <v>26856.9</v>
      </c>
      <c r="K20" s="96"/>
      <c r="L20" s="96">
        <f>'rec raw'!M12</f>
        <v>5968.2000000000007</v>
      </c>
      <c r="M20" s="96"/>
      <c r="N20" s="96">
        <f t="shared" si="2"/>
        <v>32825.100000000006</v>
      </c>
      <c r="O20" s="36" t="s">
        <v>88</v>
      </c>
      <c r="Q20" s="21"/>
      <c r="S20" s="1"/>
      <c r="AF20" s="1"/>
    </row>
    <row r="21" spans="2:33" x14ac:dyDescent="0.75">
      <c r="B21" s="3" t="s">
        <v>100</v>
      </c>
      <c r="C21" s="13"/>
      <c r="D21" s="95">
        <f>'rec raw'!N8</f>
        <v>42745.5</v>
      </c>
      <c r="E21" s="95"/>
      <c r="F21" s="95">
        <f>'rec raw'!N9</f>
        <v>4749.5</v>
      </c>
      <c r="G21" s="95"/>
      <c r="H21" s="95">
        <f t="shared" si="1"/>
        <v>47495</v>
      </c>
      <c r="I21" s="13"/>
      <c r="J21" s="96">
        <f>'rec raw'!N11</f>
        <v>21372.75</v>
      </c>
      <c r="K21" s="96"/>
      <c r="L21" s="96">
        <f>'rec raw'!N12</f>
        <v>4749.5</v>
      </c>
      <c r="M21" s="96"/>
      <c r="N21" s="96">
        <f t="shared" si="2"/>
        <v>26122.25</v>
      </c>
      <c r="O21" s="36" t="s">
        <v>88</v>
      </c>
      <c r="Q21" s="21"/>
      <c r="S21" s="1"/>
      <c r="AF21" s="1"/>
    </row>
    <row r="22" spans="2:33" x14ac:dyDescent="0.75">
      <c r="B22" s="3" t="s">
        <v>101</v>
      </c>
      <c r="C22" s="13"/>
      <c r="D22" s="95">
        <f>'rec raw'!O8</f>
        <v>38370.6</v>
      </c>
      <c r="E22" s="95"/>
      <c r="F22" s="95">
        <f>'rec raw'!O9</f>
        <v>4263.4000000000005</v>
      </c>
      <c r="G22" s="95"/>
      <c r="H22" s="95">
        <f t="shared" si="1"/>
        <v>42634</v>
      </c>
      <c r="I22" s="13"/>
      <c r="J22" s="96">
        <f>'rec raw'!O11</f>
        <v>19185.3</v>
      </c>
      <c r="K22" s="96"/>
      <c r="L22" s="96">
        <f>'rec raw'!O12</f>
        <v>4263.4000000000005</v>
      </c>
      <c r="M22" s="96"/>
      <c r="N22" s="96">
        <f t="shared" si="2"/>
        <v>23448.7</v>
      </c>
      <c r="O22" s="36" t="s">
        <v>88</v>
      </c>
      <c r="Q22" s="21"/>
      <c r="S22" s="1"/>
      <c r="AF22" s="1"/>
    </row>
    <row r="23" spans="2:33" x14ac:dyDescent="0.75">
      <c r="B23" s="3"/>
      <c r="C23" s="13"/>
      <c r="D23" s="95"/>
      <c r="E23" s="95"/>
      <c r="F23" s="95"/>
      <c r="G23" s="95"/>
      <c r="H23" s="95"/>
      <c r="I23" s="13"/>
      <c r="J23" s="96"/>
      <c r="K23" s="96"/>
      <c r="L23" s="96"/>
      <c r="M23" s="96"/>
      <c r="N23" s="96"/>
      <c r="O23" s="36" t="s">
        <v>88</v>
      </c>
      <c r="Q23" s="21"/>
      <c r="S23" s="1"/>
      <c r="AF23" s="1"/>
    </row>
    <row r="24" spans="2:33" x14ac:dyDescent="0.75">
      <c r="B24" s="97" t="s">
        <v>153</v>
      </c>
      <c r="C24" s="13"/>
      <c r="D24" s="98">
        <f>'rec raw'!P8</f>
        <v>509684.3</v>
      </c>
      <c r="E24" s="95"/>
      <c r="F24" s="98">
        <f>'rec raw'!P9</f>
        <v>38123.699999999997</v>
      </c>
      <c r="G24" s="95"/>
      <c r="H24" s="98">
        <f>D24+F24</f>
        <v>547808</v>
      </c>
      <c r="I24" s="13"/>
      <c r="J24" s="99">
        <f>'rec raw'!P11</f>
        <v>254842.15</v>
      </c>
      <c r="K24" s="96"/>
      <c r="L24" s="100">
        <f>'rec raw'!P12</f>
        <v>38123.699999999997</v>
      </c>
      <c r="M24" s="96"/>
      <c r="N24" s="99">
        <f>J24+L24</f>
        <v>292965.84999999998</v>
      </c>
      <c r="O24" s="60" t="s">
        <v>88</v>
      </c>
      <c r="S24" s="1"/>
      <c r="AF24" s="1"/>
    </row>
    <row r="31" spans="2:33" x14ac:dyDescent="0.75">
      <c r="C31" s="28"/>
      <c r="E31" s="28"/>
      <c r="G31" s="28"/>
      <c r="I31" s="28"/>
      <c r="M31" s="28"/>
      <c r="S31" s="28"/>
      <c r="AF31" s="28"/>
    </row>
  </sheetData>
  <mergeCells count="2">
    <mergeCell ref="D6:H6"/>
    <mergeCell ref="J6:N6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68DDE-89BD-449C-8DE1-37E3B5C6101E}">
  <dimension ref="A1:H32"/>
  <sheetViews>
    <sheetView workbookViewId="0">
      <selection activeCell="C4" sqref="C4"/>
    </sheetView>
  </sheetViews>
  <sheetFormatPr defaultRowHeight="14.75" x14ac:dyDescent="0.75"/>
  <cols>
    <col min="1" max="1" width="45.86328125" bestFit="1" customWidth="1"/>
    <col min="2" max="3" width="11.54296875" bestFit="1" customWidth="1"/>
    <col min="4" max="4" width="12.26953125" bestFit="1" customWidth="1"/>
    <col min="5" max="6" width="11.54296875" bestFit="1" customWidth="1"/>
    <col min="7" max="7" width="10.54296875" bestFit="1" customWidth="1"/>
    <col min="8" max="8" width="10.1328125" style="111" bestFit="1" customWidth="1"/>
    <col min="9" max="9" width="55.40625" bestFit="1" customWidth="1"/>
    <col min="10" max="10" width="8" bestFit="1" customWidth="1"/>
    <col min="11" max="11" width="14.86328125" bestFit="1" customWidth="1"/>
    <col min="12" max="12" width="8" bestFit="1" customWidth="1"/>
    <col min="13" max="13" width="16.1328125" bestFit="1" customWidth="1"/>
  </cols>
  <sheetData>
    <row r="1" spans="1:8" x14ac:dyDescent="0.75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</row>
    <row r="2" spans="1:8" x14ac:dyDescent="0.75">
      <c r="A2" t="s">
        <v>269</v>
      </c>
      <c r="B2" s="111"/>
      <c r="C2" s="111"/>
      <c r="D2" s="111"/>
      <c r="E2" s="111"/>
      <c r="F2" s="111"/>
      <c r="G2" s="111"/>
    </row>
    <row r="3" spans="1:8" x14ac:dyDescent="0.75">
      <c r="B3" s="111"/>
      <c r="C3" s="111"/>
      <c r="D3" s="111"/>
      <c r="E3" s="111"/>
      <c r="F3" s="111"/>
      <c r="G3" s="111"/>
    </row>
    <row r="4" spans="1:8" x14ac:dyDescent="0.75">
      <c r="A4" t="s">
        <v>270</v>
      </c>
      <c r="B4" s="24">
        <v>44013</v>
      </c>
      <c r="C4" s="24">
        <v>44044</v>
      </c>
      <c r="D4" s="24">
        <v>44075</v>
      </c>
      <c r="E4" s="24">
        <v>44105</v>
      </c>
      <c r="F4" s="24">
        <v>44136</v>
      </c>
      <c r="G4" s="24">
        <v>44166</v>
      </c>
      <c r="H4" s="126"/>
    </row>
    <row r="5" spans="1:8" x14ac:dyDescent="0.75">
      <c r="A5" t="s">
        <v>138</v>
      </c>
      <c r="B5" s="111"/>
      <c r="C5" s="111"/>
      <c r="D5" s="111"/>
      <c r="E5" s="111"/>
      <c r="F5" s="111"/>
      <c r="G5" s="111"/>
    </row>
    <row r="6" spans="1:8" x14ac:dyDescent="0.75">
      <c r="A6" t="s">
        <v>271</v>
      </c>
      <c r="B6" s="111">
        <v>79205</v>
      </c>
      <c r="C6" s="111">
        <v>73873</v>
      </c>
      <c r="D6" s="111">
        <v>63870</v>
      </c>
      <c r="E6" s="111">
        <v>58373</v>
      </c>
      <c r="F6" s="111">
        <v>45480</v>
      </c>
      <c r="G6" s="111">
        <v>39897</v>
      </c>
    </row>
    <row r="7" spans="1:8" x14ac:dyDescent="0.75">
      <c r="A7" t="s">
        <v>140</v>
      </c>
      <c r="B7" s="111">
        <v>86395</v>
      </c>
      <c r="C7" s="111">
        <v>80067</v>
      </c>
      <c r="D7" s="111">
        <v>65593.041837999903</v>
      </c>
      <c r="E7" s="111">
        <v>59682</v>
      </c>
      <c r="F7" s="111">
        <v>47495</v>
      </c>
      <c r="G7" s="111">
        <v>42633.82</v>
      </c>
    </row>
    <row r="8" spans="1:8" x14ac:dyDescent="0.75">
      <c r="B8" s="111"/>
      <c r="C8" s="111"/>
      <c r="D8" s="111"/>
      <c r="E8" s="111"/>
      <c r="F8" s="111"/>
      <c r="G8" s="111"/>
    </row>
    <row r="9" spans="1:8" x14ac:dyDescent="0.75">
      <c r="A9" t="s">
        <v>272</v>
      </c>
      <c r="B9" s="111"/>
      <c r="C9" s="111"/>
      <c r="D9" s="111"/>
      <c r="E9" s="111"/>
      <c r="F9" s="111"/>
      <c r="G9" s="111"/>
    </row>
    <row r="10" spans="1:8" x14ac:dyDescent="0.75">
      <c r="A10" t="s">
        <v>177</v>
      </c>
      <c r="B10" s="111">
        <v>25.375779180607285</v>
      </c>
      <c r="C10" s="111">
        <v>56.459256697304866</v>
      </c>
      <c r="D10" s="111">
        <v>27.374119657116015</v>
      </c>
      <c r="E10" s="111">
        <v>43.430292087095062</v>
      </c>
      <c r="F10" s="111">
        <v>25.31</v>
      </c>
      <c r="G10" s="111">
        <v>20.190000000000001</v>
      </c>
    </row>
    <row r="11" spans="1:8" x14ac:dyDescent="0.75">
      <c r="A11" t="s">
        <v>142</v>
      </c>
      <c r="B11" s="111">
        <v>23.115670467040921</v>
      </c>
      <c r="C11" s="111">
        <v>47.690896499182045</v>
      </c>
      <c r="D11" s="111">
        <v>23.862648505037892</v>
      </c>
      <c r="E11" s="111">
        <v>37.69</v>
      </c>
      <c r="F11" s="111">
        <v>22.74</v>
      </c>
      <c r="G11" s="111">
        <v>19.96</v>
      </c>
    </row>
    <row r="12" spans="1:8" x14ac:dyDescent="0.75">
      <c r="A12" t="s">
        <v>273</v>
      </c>
      <c r="B12" s="111">
        <v>2009888.59</v>
      </c>
      <c r="C12" s="111">
        <v>4170814.6700000023</v>
      </c>
      <c r="D12" s="111">
        <v>1748385.0225</v>
      </c>
      <c r="E12" s="111">
        <v>2535156.44</v>
      </c>
      <c r="F12" s="111">
        <v>1178132.6024999972</v>
      </c>
      <c r="G12" s="111">
        <v>739381.9</v>
      </c>
    </row>
    <row r="13" spans="1:8" x14ac:dyDescent="0.75">
      <c r="A13" t="s">
        <v>179</v>
      </c>
      <c r="B13" s="111">
        <v>1997078.35</v>
      </c>
      <c r="C13" s="111">
        <v>3818467.0100000086</v>
      </c>
      <c r="D13" s="111">
        <v>1565223.7017564364</v>
      </c>
      <c r="E13" s="111">
        <v>1843952.94</v>
      </c>
      <c r="F13" s="111">
        <v>1074874.1824999971</v>
      </c>
      <c r="G13" s="111">
        <v>730718.35</v>
      </c>
    </row>
    <row r="14" spans="1:8" x14ac:dyDescent="0.75">
      <c r="A14" t="s">
        <v>274</v>
      </c>
      <c r="B14" s="111">
        <v>-12810.239999999993</v>
      </c>
      <c r="C14" s="111">
        <v>-352347.65999999316</v>
      </c>
      <c r="D14" s="111">
        <v>-183161.32074356361</v>
      </c>
      <c r="E14" s="111">
        <v>-691203.5</v>
      </c>
      <c r="F14" s="111">
        <v>-103258.41999999993</v>
      </c>
      <c r="G14" s="111">
        <v>-8663.5500000000466</v>
      </c>
    </row>
    <row r="15" spans="1:8" x14ac:dyDescent="0.75">
      <c r="B15" s="111"/>
      <c r="C15" s="111"/>
      <c r="D15" s="111"/>
      <c r="E15" s="111"/>
      <c r="F15" s="111"/>
      <c r="G15" s="111"/>
    </row>
    <row r="16" spans="1:8" x14ac:dyDescent="0.75">
      <c r="A16" t="s">
        <v>143</v>
      </c>
      <c r="B16" s="111"/>
      <c r="C16" s="111"/>
      <c r="D16" s="111"/>
      <c r="E16" s="111"/>
      <c r="F16" s="111"/>
      <c r="G16" s="111"/>
    </row>
    <row r="17" spans="1:7" x14ac:dyDescent="0.75">
      <c r="A17" t="s">
        <v>275</v>
      </c>
      <c r="B17" s="111">
        <v>-1.6</v>
      </c>
      <c r="C17" s="111">
        <v>-2.06</v>
      </c>
      <c r="D17" s="111">
        <v>-1.74</v>
      </c>
      <c r="E17" s="111">
        <v>-6.79</v>
      </c>
      <c r="F17" s="111">
        <v>-2.57</v>
      </c>
      <c r="G17" s="111"/>
    </row>
    <row r="18" spans="1:7" x14ac:dyDescent="0.75">
      <c r="A18" t="s">
        <v>276</v>
      </c>
      <c r="B18" s="111"/>
      <c r="C18" s="111"/>
      <c r="D18" s="111"/>
      <c r="E18" s="111"/>
      <c r="F18" s="111"/>
      <c r="G18" s="111"/>
    </row>
    <row r="19" spans="1:7" x14ac:dyDescent="0.75">
      <c r="A19" t="s">
        <v>144</v>
      </c>
      <c r="B19" s="111">
        <v>2031608</v>
      </c>
      <c r="C19" s="111">
        <v>1894842.45</v>
      </c>
      <c r="D19" s="111">
        <v>1638265.5</v>
      </c>
      <c r="E19" s="111">
        <v>1497267.45</v>
      </c>
      <c r="F19" s="111">
        <v>1166562</v>
      </c>
      <c r="G19" s="111">
        <v>1023358.05</v>
      </c>
    </row>
    <row r="20" spans="1:7" x14ac:dyDescent="0.75">
      <c r="A20" t="s">
        <v>145</v>
      </c>
      <c r="B20" s="111">
        <v>-8000</v>
      </c>
      <c r="C20" s="111">
        <v>-8000</v>
      </c>
      <c r="D20" s="111">
        <v>-8000</v>
      </c>
      <c r="E20" s="111">
        <v>-8000</v>
      </c>
      <c r="F20" s="111">
        <v>-8000</v>
      </c>
      <c r="G20" s="111">
        <v>-8000</v>
      </c>
    </row>
    <row r="21" spans="1:7" x14ac:dyDescent="0.75">
      <c r="A21" t="s">
        <v>162</v>
      </c>
      <c r="B21" s="111">
        <v>-237615</v>
      </c>
      <c r="C21" s="111">
        <v>-221619</v>
      </c>
      <c r="D21" s="111">
        <v>-191610</v>
      </c>
      <c r="E21" s="111">
        <v>-175119</v>
      </c>
      <c r="F21" s="111">
        <v>-136440</v>
      </c>
      <c r="G21" s="111">
        <v>-119691</v>
      </c>
    </row>
    <row r="22" spans="1:7" x14ac:dyDescent="0.75">
      <c r="A22" t="s">
        <v>419</v>
      </c>
      <c r="B22" s="111">
        <v>-12810.240000002501</v>
      </c>
      <c r="C22" s="111">
        <v>-18685.274402380401</v>
      </c>
      <c r="D22" s="111">
        <v>-3914.71925643226</v>
      </c>
      <c r="E22" s="111">
        <v>-1465.32</v>
      </c>
      <c r="F22" s="111">
        <v>-1748.47</v>
      </c>
      <c r="G22" s="111">
        <v>-1317.06</v>
      </c>
    </row>
    <row r="23" spans="1:7" x14ac:dyDescent="0.75">
      <c r="A23" t="s">
        <v>182</v>
      </c>
      <c r="B23" s="111">
        <v>0</v>
      </c>
      <c r="C23" s="111">
        <v>322.18</v>
      </c>
      <c r="D23" s="111">
        <v>232.33</v>
      </c>
      <c r="E23" s="111">
        <v>-1087.8399999999999</v>
      </c>
      <c r="F23" s="111">
        <v>-970.93</v>
      </c>
      <c r="G23" s="111">
        <v>-684.65</v>
      </c>
    </row>
    <row r="24" spans="1:7" x14ac:dyDescent="0.75">
      <c r="A24" t="s">
        <v>161</v>
      </c>
      <c r="B24" s="111">
        <v>1773182.7599999974</v>
      </c>
      <c r="C24" s="111">
        <v>1646860.3555976194</v>
      </c>
      <c r="D24" s="111">
        <v>1434973.1107435678</v>
      </c>
      <c r="E24" s="111">
        <v>1311595.2899999998</v>
      </c>
      <c r="F24" s="111">
        <v>1019402.6</v>
      </c>
      <c r="G24" s="111">
        <v>893665.34</v>
      </c>
    </row>
    <row r="25" spans="1:7" x14ac:dyDescent="0.75">
      <c r="B25" s="111"/>
      <c r="C25" s="111"/>
      <c r="D25" s="111"/>
      <c r="E25" s="111"/>
      <c r="F25" s="111"/>
      <c r="G25" s="111"/>
    </row>
    <row r="26" spans="1:7" x14ac:dyDescent="0.75">
      <c r="A26" t="s">
        <v>165</v>
      </c>
      <c r="B26" s="111"/>
      <c r="C26" s="111"/>
      <c r="D26" s="111"/>
      <c r="E26" s="111"/>
      <c r="F26" s="111"/>
      <c r="G26" s="111"/>
    </row>
    <row r="27" spans="1:7" x14ac:dyDescent="0.75">
      <c r="A27" t="s">
        <v>166</v>
      </c>
      <c r="B27" s="111">
        <v>224804.76</v>
      </c>
      <c r="C27" s="111">
        <v>-130728.65999999316</v>
      </c>
      <c r="D27" s="111">
        <v>4533.9600000041555</v>
      </c>
      <c r="E27" s="111">
        <v>-525556.41</v>
      </c>
      <c r="F27" s="111">
        <v>33181.580000000075</v>
      </c>
      <c r="G27" s="111">
        <v>125059.35</v>
      </c>
    </row>
    <row r="28" spans="1:7" x14ac:dyDescent="0.75">
      <c r="A28" t="s">
        <v>171</v>
      </c>
      <c r="B28" s="111">
        <v>1000000</v>
      </c>
      <c r="C28" s="111">
        <v>1000000</v>
      </c>
      <c r="D28" s="111">
        <v>1000000</v>
      </c>
      <c r="E28" s="111">
        <v>1000000</v>
      </c>
      <c r="F28" s="111">
        <v>1000000</v>
      </c>
      <c r="G28" s="111">
        <v>1000000</v>
      </c>
    </row>
    <row r="29" spans="1:7" x14ac:dyDescent="0.75">
      <c r="A29" t="s">
        <v>277</v>
      </c>
      <c r="B29" s="111">
        <v>10000000</v>
      </c>
      <c r="C29" s="111">
        <v>10000000</v>
      </c>
      <c r="D29" s="111">
        <v>10000000</v>
      </c>
      <c r="E29" s="111">
        <v>10000000</v>
      </c>
      <c r="F29" s="111">
        <v>10000000</v>
      </c>
      <c r="G29" s="111">
        <v>10000000</v>
      </c>
    </row>
    <row r="30" spans="1:7" x14ac:dyDescent="0.75">
      <c r="A30" t="s">
        <v>278</v>
      </c>
      <c r="B30" s="111">
        <v>10224804.76</v>
      </c>
      <c r="C30" s="111">
        <v>10094076.100000007</v>
      </c>
      <c r="D30" s="111">
        <v>10098610.060000012</v>
      </c>
      <c r="E30" s="111">
        <v>9573053.6500000115</v>
      </c>
      <c r="F30" s="111">
        <v>9606235.2300000116</v>
      </c>
      <c r="G30" s="111">
        <v>9731294.5800000113</v>
      </c>
    </row>
    <row r="31" spans="1:7" x14ac:dyDescent="0.75">
      <c r="A31" t="s">
        <v>164</v>
      </c>
      <c r="B31" s="111">
        <v>224804.76</v>
      </c>
      <c r="C31" s="111">
        <v>94076.100000006845</v>
      </c>
      <c r="D31" s="111">
        <v>98610.060000010999</v>
      </c>
      <c r="E31" s="111">
        <v>-426946.34999998903</v>
      </c>
      <c r="F31" s="111">
        <v>-393764.76999998896</v>
      </c>
      <c r="G31" s="111">
        <v>-268705.41999998898</v>
      </c>
    </row>
    <row r="32" spans="1:7" x14ac:dyDescent="0.75">
      <c r="A32" s="111"/>
      <c r="B32" s="111"/>
      <c r="C32" s="111"/>
      <c r="D32" s="111"/>
      <c r="E32" s="111"/>
      <c r="F32" s="111"/>
      <c r="G32" s="111"/>
    </row>
  </sheetData>
  <phoneticPr fontId="20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A2B9C-CE2E-4934-A01D-6F6F1BBFA6AD}">
  <dimension ref="A1:N34"/>
  <sheetViews>
    <sheetView workbookViewId="0">
      <selection activeCell="A7" sqref="A7"/>
    </sheetView>
  </sheetViews>
  <sheetFormatPr defaultRowHeight="14.75" x14ac:dyDescent="0.75"/>
  <cols>
    <col min="2" max="2" width="41.54296875" customWidth="1"/>
    <col min="3" max="3" width="0.40625" customWidth="1"/>
    <col min="4" max="4" width="11.1328125" style="24" customWidth="1"/>
    <col min="5" max="5" width="0.40625" customWidth="1"/>
    <col min="6" max="6" width="11.1328125" style="24" customWidth="1"/>
    <col min="7" max="7" width="0.40625" style="111" customWidth="1"/>
    <col min="8" max="8" width="11.1328125" style="24" customWidth="1"/>
    <col min="9" max="9" width="0.40625" style="111" customWidth="1"/>
    <col min="10" max="10" width="11.1328125" style="24" customWidth="1"/>
    <col min="11" max="11" width="0.40625" style="111" customWidth="1"/>
    <col min="12" max="12" width="11.1328125" style="24" customWidth="1"/>
    <col min="13" max="13" width="0.40625" style="111" customWidth="1"/>
    <col min="14" max="14" width="11.1328125" style="24" customWidth="1"/>
  </cols>
  <sheetData>
    <row r="1" spans="1:14" x14ac:dyDescent="0.75">
      <c r="A1" s="161" t="s">
        <v>490</v>
      </c>
    </row>
    <row r="2" spans="1:14" s="127" customFormat="1" x14ac:dyDescent="0.75">
      <c r="A2" s="61"/>
      <c r="D2" s="24"/>
      <c r="F2" s="24"/>
      <c r="H2" s="24"/>
      <c r="J2" s="24"/>
      <c r="L2" s="24"/>
      <c r="N2" s="24"/>
    </row>
    <row r="3" spans="1:14" s="127" customFormat="1" x14ac:dyDescent="0.75">
      <c r="A3" s="61"/>
      <c r="B3" s="136" t="s">
        <v>397</v>
      </c>
      <c r="C3" s="9"/>
      <c r="D3" s="137">
        <f>DATE(curr_year,month_num-3,1)</f>
        <v>44440</v>
      </c>
      <c r="E3" s="136"/>
      <c r="F3" s="137">
        <f>DATE(curr_year,month_num-2,1)</f>
        <v>44470</v>
      </c>
      <c r="G3" s="136"/>
      <c r="H3" s="137">
        <f>DATE(curr_year,month_num-1,1)</f>
        <v>44501</v>
      </c>
      <c r="I3" s="136"/>
      <c r="J3" s="137">
        <f>DATE(curr_year,month_num,1)</f>
        <v>44531</v>
      </c>
      <c r="L3" s="24"/>
      <c r="N3" s="24"/>
    </row>
    <row r="4" spans="1:14" s="127" customFormat="1" ht="22.5" x14ac:dyDescent="0.75">
      <c r="A4" s="61"/>
      <c r="B4" s="138" t="s">
        <v>398</v>
      </c>
      <c r="C4" s="136"/>
      <c r="D4" s="139">
        <f>ROUND(D3,0)</f>
        <v>44440</v>
      </c>
      <c r="E4" s="139"/>
      <c r="F4" s="139">
        <f>ROUND(F3,0)</f>
        <v>44470</v>
      </c>
      <c r="G4" s="139"/>
      <c r="H4" s="139">
        <f>ROUND(H3,0)</f>
        <v>44501</v>
      </c>
      <c r="I4" s="139"/>
      <c r="J4" s="139">
        <f>ROUND(J3,0)</f>
        <v>44531</v>
      </c>
      <c r="K4" s="133"/>
      <c r="L4" s="134"/>
      <c r="M4" s="133"/>
      <c r="N4" s="134"/>
    </row>
    <row r="5" spans="1:14" x14ac:dyDescent="0.75">
      <c r="B5" t="s">
        <v>88</v>
      </c>
      <c r="C5" t="s">
        <v>88</v>
      </c>
      <c r="D5" s="24" t="s">
        <v>88</v>
      </c>
      <c r="E5" s="24" t="s">
        <v>88</v>
      </c>
      <c r="F5" s="24" t="s">
        <v>88</v>
      </c>
      <c r="G5" s="24" t="s">
        <v>88</v>
      </c>
      <c r="H5" s="24" t="s">
        <v>88</v>
      </c>
      <c r="I5" s="24" t="s">
        <v>88</v>
      </c>
      <c r="J5" s="24" t="s">
        <v>88</v>
      </c>
      <c r="K5" s="24" t="s">
        <v>91</v>
      </c>
      <c r="L5" s="24" t="s">
        <v>91</v>
      </c>
      <c r="M5" s="24" t="s">
        <v>91</v>
      </c>
      <c r="N5" s="24" t="s">
        <v>91</v>
      </c>
    </row>
    <row r="6" spans="1:14" x14ac:dyDescent="0.75">
      <c r="B6" s="59"/>
      <c r="C6" s="46"/>
      <c r="D6" s="135" t="str">
        <f>TEXT(D3,"mmmm")</f>
        <v>September</v>
      </c>
      <c r="E6" s="135"/>
      <c r="F6" s="135" t="str">
        <f>TEXT(F3,"mmmm")</f>
        <v>October</v>
      </c>
      <c r="G6" s="135"/>
      <c r="H6" s="135" t="str">
        <f>TEXT(H3,"mmmm")</f>
        <v>November</v>
      </c>
      <c r="I6" s="135"/>
      <c r="J6" s="135" t="str">
        <f>TEXT(J3,"mmmm")</f>
        <v>December</v>
      </c>
      <c r="K6" s="46"/>
      <c r="L6" s="101"/>
      <c r="M6" s="46"/>
      <c r="N6" s="101"/>
    </row>
    <row r="7" spans="1:14" x14ac:dyDescent="0.75">
      <c r="B7" s="47" t="s">
        <v>138</v>
      </c>
      <c r="C7" s="48"/>
      <c r="D7" s="52"/>
      <c r="E7" s="48"/>
      <c r="F7" s="52"/>
      <c r="G7" s="48"/>
      <c r="H7" s="52"/>
      <c r="I7" s="48"/>
      <c r="J7" s="52"/>
      <c r="K7" s="48"/>
      <c r="L7" s="52"/>
      <c r="M7" s="48"/>
      <c r="N7" s="52"/>
    </row>
    <row r="8" spans="1:14" x14ac:dyDescent="0.75">
      <c r="B8" s="21" t="s">
        <v>139</v>
      </c>
      <c r="C8" s="48"/>
      <c r="D8" s="29" t="e">
        <f>_xlfn.XLOOKUP($D$4,'hedge raw'!$B$4:$H$4,'hedge raw'!B6:H6)</f>
        <v>#N/A</v>
      </c>
      <c r="E8" s="48"/>
      <c r="F8" s="29" t="e">
        <f>_xlfn.XLOOKUP($F$4,'hedge raw'!$B$4:$H$4,'hedge raw'!B6:H6)</f>
        <v>#N/A</v>
      </c>
      <c r="G8" s="48"/>
      <c r="H8" s="29" t="e">
        <f>_xlfn.XLOOKUP($H$4,'hedge raw'!$B$4:$H$4,'hedge raw'!B6:H6)</f>
        <v>#N/A</v>
      </c>
      <c r="I8" s="48"/>
      <c r="J8" s="29" t="e">
        <f>_xlfn.XLOOKUP($J$4,'hedge raw'!$B$4:$H$4,'hedge raw'!B6:H6)</f>
        <v>#N/A</v>
      </c>
      <c r="K8" s="48"/>
      <c r="L8" s="29">
        <f>'hedge raw'!F6</f>
        <v>45480</v>
      </c>
      <c r="M8" s="48"/>
      <c r="N8" s="29">
        <f>'hedge raw'!G6</f>
        <v>39897</v>
      </c>
    </row>
    <row r="9" spans="1:14" x14ac:dyDescent="0.75">
      <c r="B9" s="21" t="s">
        <v>140</v>
      </c>
      <c r="C9" s="48"/>
      <c r="D9" s="29" t="e">
        <f>_xlfn.XLOOKUP($D$4,'hedge raw'!$B$4:$H$4,'hedge raw'!B7:H7)</f>
        <v>#N/A</v>
      </c>
      <c r="E9" s="48"/>
      <c r="F9" s="29" t="e">
        <f>_xlfn.XLOOKUP($F$4,'hedge raw'!$B$4:$H$4,'hedge raw'!B7:H7)</f>
        <v>#N/A</v>
      </c>
      <c r="G9" s="48"/>
      <c r="H9" s="29" t="e">
        <f>_xlfn.XLOOKUP($H$4,'hedge raw'!$B$4:$H$4,'hedge raw'!B7:H7)</f>
        <v>#N/A</v>
      </c>
      <c r="I9" s="48"/>
      <c r="J9" s="29" t="e">
        <f>_xlfn.XLOOKUP($J$4,'hedge raw'!$B$4:$H$4,'hedge raw'!B7:H7)</f>
        <v>#N/A</v>
      </c>
      <c r="K9" s="48"/>
      <c r="L9" s="29">
        <f>'hedge raw'!F7</f>
        <v>47495</v>
      </c>
      <c r="M9" s="48"/>
      <c r="N9" s="29">
        <f>'hedge raw'!G7</f>
        <v>42633.82</v>
      </c>
    </row>
    <row r="10" spans="1:14" x14ac:dyDescent="0.75">
      <c r="B10" s="3"/>
      <c r="C10" s="48"/>
      <c r="D10" s="53"/>
      <c r="E10" s="48"/>
      <c r="F10" s="53"/>
      <c r="G10" s="48"/>
      <c r="H10" s="53"/>
      <c r="I10" s="48"/>
      <c r="J10" s="53"/>
      <c r="K10" s="48"/>
      <c r="L10" s="53"/>
      <c r="M10" s="48"/>
      <c r="N10" s="53"/>
    </row>
    <row r="11" spans="1:14" x14ac:dyDescent="0.75">
      <c r="B11" s="47" t="s">
        <v>141</v>
      </c>
      <c r="C11" s="48"/>
      <c r="D11" s="53"/>
      <c r="E11" s="48"/>
      <c r="F11" s="53"/>
      <c r="G11" s="48"/>
      <c r="H11" s="53"/>
      <c r="I11" s="48"/>
      <c r="J11" s="53"/>
      <c r="K11" s="48"/>
      <c r="L11" s="53"/>
      <c r="M11" s="48"/>
      <c r="N11" s="53"/>
    </row>
    <row r="12" spans="1:14" x14ac:dyDescent="0.75">
      <c r="B12" s="21" t="s">
        <v>177</v>
      </c>
      <c r="C12" s="48"/>
      <c r="D12" s="94" t="e">
        <f>_xlfn.XLOOKUP($D$4,'hedge raw'!$B$4:$H$4,'hedge raw'!B10:H10)</f>
        <v>#N/A</v>
      </c>
      <c r="E12" s="48"/>
      <c r="F12" s="94" t="e">
        <f>_xlfn.XLOOKUP($F$4,'hedge raw'!$B$4:$H$4,'hedge raw'!B10:H10)</f>
        <v>#N/A</v>
      </c>
      <c r="G12" s="48"/>
      <c r="H12" s="94" t="e">
        <f>_xlfn.XLOOKUP($H$4,'hedge raw'!$B$4:$H$4,'hedge raw'!B10:H10)</f>
        <v>#N/A</v>
      </c>
      <c r="I12" s="48"/>
      <c r="J12" s="94" t="e">
        <f>_xlfn.XLOOKUP($J$4,'hedge raw'!$B$4:$H$4,'hedge raw'!B10:H10)</f>
        <v>#N/A</v>
      </c>
      <c r="K12" s="48"/>
      <c r="L12" s="94">
        <f>'hedge raw'!F10</f>
        <v>25.31</v>
      </c>
      <c r="M12" s="48"/>
      <c r="N12" s="94">
        <f>'hedge raw'!G10</f>
        <v>20.190000000000001</v>
      </c>
    </row>
    <row r="13" spans="1:14" x14ac:dyDescent="0.75">
      <c r="B13" s="21" t="s">
        <v>142</v>
      </c>
      <c r="C13" s="48"/>
      <c r="D13" s="94" t="e">
        <f>_xlfn.XLOOKUP($D$4,'hedge raw'!$B$4:$H$4,'hedge raw'!B11:H11)</f>
        <v>#N/A</v>
      </c>
      <c r="E13" s="48"/>
      <c r="F13" s="94" t="e">
        <f>_xlfn.XLOOKUP($F$4,'hedge raw'!$B$4:$H$4,'hedge raw'!B11:H11)</f>
        <v>#N/A</v>
      </c>
      <c r="G13" s="48"/>
      <c r="H13" s="94" t="e">
        <f>_xlfn.XLOOKUP($H$4,'hedge raw'!$B$4:$H$4,'hedge raw'!B11:H11)</f>
        <v>#N/A</v>
      </c>
      <c r="I13" s="48"/>
      <c r="J13" s="94" t="e">
        <f>_xlfn.XLOOKUP($J$4,'hedge raw'!$B$4:$H$4,'hedge raw'!B11:H11)</f>
        <v>#N/A</v>
      </c>
      <c r="K13" s="48"/>
      <c r="L13" s="94">
        <f>'hedge raw'!F11</f>
        <v>22.74</v>
      </c>
      <c r="M13" s="48"/>
      <c r="N13" s="94">
        <f>'hedge raw'!G11</f>
        <v>19.96</v>
      </c>
    </row>
    <row r="14" spans="1:14" x14ac:dyDescent="0.75">
      <c r="B14" s="21" t="s">
        <v>178</v>
      </c>
      <c r="C14" s="48"/>
      <c r="D14" s="96" t="e">
        <f>_xlfn.XLOOKUP($D$4,'hedge raw'!$B$4:$H$4,'hedge raw'!B12:H12)</f>
        <v>#N/A</v>
      </c>
      <c r="E14" s="48"/>
      <c r="F14" s="96" t="e">
        <f>_xlfn.XLOOKUP($F$4,'hedge raw'!$B$4:$H$4,'hedge raw'!B12:H12)</f>
        <v>#N/A</v>
      </c>
      <c r="G14" s="48"/>
      <c r="H14" s="96" t="e">
        <f>_xlfn.XLOOKUP($H$4,'hedge raw'!$B$4:$H$4,'hedge raw'!B12:H12)</f>
        <v>#N/A</v>
      </c>
      <c r="I14" s="48"/>
      <c r="J14" s="96" t="e">
        <f>_xlfn.XLOOKUP($J$4,'hedge raw'!$B$4:$H$4,'hedge raw'!B12:H12)</f>
        <v>#N/A</v>
      </c>
      <c r="K14" s="48"/>
      <c r="L14" s="96">
        <f>'hedge raw'!F12</f>
        <v>1178132.6024999972</v>
      </c>
      <c r="M14" s="48"/>
      <c r="N14" s="96">
        <f>'hedge raw'!G12</f>
        <v>739381.9</v>
      </c>
    </row>
    <row r="15" spans="1:14" x14ac:dyDescent="0.75">
      <c r="B15" s="21" t="s">
        <v>179</v>
      </c>
      <c r="C15" s="48"/>
      <c r="D15" s="96" t="e">
        <f>_xlfn.XLOOKUP($D$4,'hedge raw'!$B$4:$H$4,'hedge raw'!B13:H13)</f>
        <v>#N/A</v>
      </c>
      <c r="E15" s="48"/>
      <c r="F15" s="96" t="e">
        <f>_xlfn.XLOOKUP($F$4,'hedge raw'!$B$4:$H$4,'hedge raw'!B13:H13)</f>
        <v>#N/A</v>
      </c>
      <c r="G15" s="48"/>
      <c r="H15" s="96" t="e">
        <f>_xlfn.XLOOKUP($H$4,'hedge raw'!$B$4:$H$4,'hedge raw'!B13:H13)</f>
        <v>#N/A</v>
      </c>
      <c r="I15" s="48"/>
      <c r="J15" s="96" t="e">
        <f>_xlfn.XLOOKUP($J$4,'hedge raw'!$B$4:$H$4,'hedge raw'!B13:H13)</f>
        <v>#N/A</v>
      </c>
      <c r="K15" s="48"/>
      <c r="L15" s="96">
        <f>'hedge raw'!F13</f>
        <v>1074874.1824999971</v>
      </c>
      <c r="M15" s="48"/>
      <c r="N15" s="96">
        <f>'hedge raw'!G13</f>
        <v>730718.35</v>
      </c>
    </row>
    <row r="16" spans="1:14" x14ac:dyDescent="0.75">
      <c r="B16" s="49" t="s">
        <v>160</v>
      </c>
      <c r="C16" s="48"/>
      <c r="D16" s="112" t="e">
        <f>_xlfn.XLOOKUP($D$4,'hedge raw'!$B$4:$H$4,'hedge raw'!B14:H14)</f>
        <v>#N/A</v>
      </c>
      <c r="E16" s="105"/>
      <c r="F16" s="112" t="e">
        <f>_xlfn.XLOOKUP($F$4,'hedge raw'!$B$4:$H$4,'hedge raw'!B14:H14)</f>
        <v>#N/A</v>
      </c>
      <c r="G16" s="105"/>
      <c r="H16" s="112" t="e">
        <f>_xlfn.XLOOKUP($H$4,'hedge raw'!$B$4:$H$4,'hedge raw'!B14:H14)</f>
        <v>#N/A</v>
      </c>
      <c r="I16" s="105"/>
      <c r="J16" s="112" t="e">
        <f>_xlfn.XLOOKUP($J$4,'hedge raw'!$B$4:$H$4,'hedge raw'!B14:H14)</f>
        <v>#N/A</v>
      </c>
      <c r="K16" s="105"/>
      <c r="L16" s="112">
        <f>'hedge raw'!F14</f>
        <v>-103258.41999999993</v>
      </c>
      <c r="M16" s="105"/>
      <c r="N16" s="112">
        <f>'hedge raw'!G14</f>
        <v>-8663.5500000000466</v>
      </c>
    </row>
    <row r="17" spans="2:14" x14ac:dyDescent="0.75">
      <c r="B17" s="3"/>
      <c r="C17" s="48"/>
      <c r="D17" s="94"/>
      <c r="E17" s="48"/>
      <c r="F17" s="94"/>
      <c r="G17" s="48"/>
      <c r="H17" s="94"/>
      <c r="I17" s="48"/>
      <c r="J17" s="94"/>
      <c r="K17" s="48"/>
      <c r="L17" s="94"/>
      <c r="M17" s="48"/>
      <c r="N17" s="94"/>
    </row>
    <row r="18" spans="2:14" x14ac:dyDescent="0.75">
      <c r="B18" s="47" t="s">
        <v>143</v>
      </c>
      <c r="C18" s="48"/>
      <c r="D18" s="94"/>
      <c r="E18" s="48"/>
      <c r="F18" s="94"/>
      <c r="G18" s="48"/>
      <c r="H18" s="94"/>
      <c r="I18" s="48"/>
      <c r="J18" s="94"/>
      <c r="K18" s="48"/>
      <c r="L18" s="94"/>
      <c r="M18" s="48"/>
      <c r="N18" s="94"/>
    </row>
    <row r="19" spans="2:14" x14ac:dyDescent="0.75">
      <c r="B19" s="21" t="s">
        <v>180</v>
      </c>
      <c r="C19" s="48"/>
      <c r="D19" s="94" t="e">
        <f>_xlfn.XLOOKUP($D$4,'hedge raw'!$B$4:$H$4,'hedge raw'!B17:H17)</f>
        <v>#N/A</v>
      </c>
      <c r="E19" s="48"/>
      <c r="F19" s="94" t="e">
        <f>_xlfn.XLOOKUP($F$4,'hedge raw'!$B$4:$H$4,'hedge raw'!B17:H17)</f>
        <v>#N/A</v>
      </c>
      <c r="G19" s="48"/>
      <c r="H19" s="94" t="e">
        <f>_xlfn.XLOOKUP($H$4,'hedge raw'!$B$4:$H$4,'hedge raw'!B17:H17)</f>
        <v>#N/A</v>
      </c>
      <c r="I19" s="48"/>
      <c r="J19" s="94" t="e">
        <f>_xlfn.XLOOKUP($J$4,'hedge raw'!$B$4:$H$4,'hedge raw'!B17:H17)</f>
        <v>#N/A</v>
      </c>
      <c r="K19" s="48"/>
      <c r="L19" s="94">
        <f>'hedge raw'!F17</f>
        <v>-2.57</v>
      </c>
      <c r="M19" s="48"/>
      <c r="N19" s="94">
        <f>'hedge raw'!G17</f>
        <v>0</v>
      </c>
    </row>
    <row r="20" spans="2:14" x14ac:dyDescent="0.75">
      <c r="B20" s="3"/>
      <c r="C20" s="48"/>
      <c r="D20" s="54"/>
      <c r="E20" s="48"/>
      <c r="F20" s="54"/>
      <c r="G20" s="48"/>
      <c r="H20" s="54"/>
      <c r="I20" s="48"/>
      <c r="J20" s="54"/>
      <c r="K20" s="48"/>
      <c r="L20" s="54"/>
      <c r="M20" s="48"/>
      <c r="N20" s="54"/>
    </row>
    <row r="21" spans="2:14" x14ac:dyDescent="0.75">
      <c r="B21" s="47" t="s">
        <v>163</v>
      </c>
      <c r="C21" s="48"/>
      <c r="D21" s="54"/>
      <c r="E21" s="48"/>
      <c r="F21" s="54"/>
      <c r="G21" s="48"/>
      <c r="H21" s="54"/>
      <c r="I21" s="48"/>
      <c r="J21" s="54"/>
      <c r="K21" s="48"/>
      <c r="L21" s="54"/>
      <c r="M21" s="48"/>
      <c r="N21" s="54"/>
    </row>
    <row r="22" spans="2:14" x14ac:dyDescent="0.75">
      <c r="B22" s="21" t="s">
        <v>144</v>
      </c>
      <c r="C22" s="48"/>
      <c r="D22" s="96" t="e">
        <f>_xlfn.XLOOKUP($D$4,'hedge raw'!$B$4:$H$4,'hedge raw'!B19:H19)</f>
        <v>#N/A</v>
      </c>
      <c r="E22" s="48"/>
      <c r="F22" s="96" t="e">
        <f>_xlfn.XLOOKUP($F$4,'hedge raw'!$B$4:$H$4,'hedge raw'!B19:H19)</f>
        <v>#N/A</v>
      </c>
      <c r="G22" s="48"/>
      <c r="H22" s="96" t="e">
        <f>_xlfn.XLOOKUP($H$4,'hedge raw'!$B$4:$H$4,'hedge raw'!B19:H19)</f>
        <v>#N/A</v>
      </c>
      <c r="I22" s="48"/>
      <c r="J22" s="96" t="e">
        <f>_xlfn.XLOOKUP($J$4,'hedge raw'!$B$4:$H$4,'hedge raw'!B19:H19)</f>
        <v>#N/A</v>
      </c>
      <c r="K22" s="48"/>
      <c r="L22" s="96">
        <f>'hedge raw'!F19</f>
        <v>1166562</v>
      </c>
      <c r="M22" s="48"/>
      <c r="N22" s="96">
        <f>'hedge raw'!G19</f>
        <v>1023358.05</v>
      </c>
    </row>
    <row r="23" spans="2:14" x14ac:dyDescent="0.75">
      <c r="B23" s="88" t="s">
        <v>145</v>
      </c>
      <c r="C23" s="48"/>
      <c r="D23" s="96" t="e">
        <f>_xlfn.XLOOKUP($D$4,'hedge raw'!$B$4:$H$4,'hedge raw'!B20:H20)</f>
        <v>#N/A</v>
      </c>
      <c r="E23" s="48"/>
      <c r="F23" s="96" t="e">
        <f>_xlfn.XLOOKUP($F$4,'hedge raw'!$B$4:$H$4,'hedge raw'!B20:H20)</f>
        <v>#N/A</v>
      </c>
      <c r="G23" s="48"/>
      <c r="H23" s="96" t="e">
        <f>_xlfn.XLOOKUP($H$4,'hedge raw'!$B$4:$H$4,'hedge raw'!B20:H20)</f>
        <v>#N/A</v>
      </c>
      <c r="I23" s="48"/>
      <c r="J23" s="96" t="e">
        <f>_xlfn.XLOOKUP($J$4,'hedge raw'!$B$4:$H$4,'hedge raw'!B20:H20)</f>
        <v>#N/A</v>
      </c>
      <c r="K23" s="48"/>
      <c r="L23" s="96">
        <f>'hedge raw'!F20</f>
        <v>-8000</v>
      </c>
      <c r="M23" s="48"/>
      <c r="N23" s="96">
        <f>'hedge raw'!G20</f>
        <v>-8000</v>
      </c>
    </row>
    <row r="24" spans="2:14" x14ac:dyDescent="0.75">
      <c r="B24" s="88" t="s">
        <v>162</v>
      </c>
      <c r="C24" s="48"/>
      <c r="D24" s="96" t="e">
        <f>_xlfn.XLOOKUP($D$4,'hedge raw'!$B$4:$H$4,'hedge raw'!B21:H21)</f>
        <v>#N/A</v>
      </c>
      <c r="E24" s="48"/>
      <c r="F24" s="96" t="e">
        <f>_xlfn.XLOOKUP($F$4,'hedge raw'!$B$4:$H$4,'hedge raw'!B21:H21)</f>
        <v>#N/A</v>
      </c>
      <c r="G24" s="48"/>
      <c r="H24" s="96" t="e">
        <f>_xlfn.XLOOKUP($H$4,'hedge raw'!$B$4:$H$4,'hedge raw'!B21:H21)</f>
        <v>#N/A</v>
      </c>
      <c r="I24" s="48"/>
      <c r="J24" s="96" t="e">
        <f>_xlfn.XLOOKUP($J$4,'hedge raw'!$B$4:$H$4,'hedge raw'!B21:H21)</f>
        <v>#N/A</v>
      </c>
      <c r="K24" s="48"/>
      <c r="L24" s="96">
        <f>'hedge raw'!F21</f>
        <v>-136440</v>
      </c>
      <c r="M24" s="48"/>
      <c r="N24" s="96">
        <f>'hedge raw'!G21</f>
        <v>-119691</v>
      </c>
    </row>
    <row r="25" spans="2:14" s="111" customFormat="1" x14ac:dyDescent="0.75">
      <c r="B25" s="88" t="s">
        <v>181</v>
      </c>
      <c r="C25" s="48"/>
      <c r="D25" s="96" t="e">
        <f>_xlfn.XLOOKUP($D$4,'hedge raw'!$B$4:$H$4,'hedge raw'!B22:H22)</f>
        <v>#N/A</v>
      </c>
      <c r="E25" s="48"/>
      <c r="F25" s="96" t="e">
        <f>_xlfn.XLOOKUP($F$4,'hedge raw'!$B$4:$H$4,'hedge raw'!B22:H22)</f>
        <v>#N/A</v>
      </c>
      <c r="G25" s="48"/>
      <c r="H25" s="96" t="e">
        <f>_xlfn.XLOOKUP($H$4,'hedge raw'!$B$4:$H$4,'hedge raw'!B22:H22)</f>
        <v>#N/A</v>
      </c>
      <c r="I25" s="48"/>
      <c r="J25" s="96" t="e">
        <f>_xlfn.XLOOKUP($J$4,'hedge raw'!$B$4:$H$4,'hedge raw'!B22:H22)</f>
        <v>#N/A</v>
      </c>
      <c r="K25" s="48"/>
      <c r="L25" s="96">
        <f>'hedge raw'!F22</f>
        <v>-1748.47</v>
      </c>
      <c r="M25" s="48"/>
      <c r="N25" s="96">
        <f>'hedge raw'!G22</f>
        <v>-1317.06</v>
      </c>
    </row>
    <row r="26" spans="2:14" x14ac:dyDescent="0.75">
      <c r="B26" s="88" t="s">
        <v>182</v>
      </c>
      <c r="C26" s="48"/>
      <c r="D26" s="96" t="e">
        <f>_xlfn.XLOOKUP($D$4,'hedge raw'!$B$4:$H$4,'hedge raw'!B23:H23)</f>
        <v>#N/A</v>
      </c>
      <c r="E26" s="96"/>
      <c r="F26" s="96" t="e">
        <f>_xlfn.XLOOKUP($F$4,'hedge raw'!$B$4:$H$4,'hedge raw'!B23:H23)</f>
        <v>#N/A</v>
      </c>
      <c r="G26" s="96"/>
      <c r="H26" s="96" t="e">
        <f>_xlfn.XLOOKUP($H$4,'hedge raw'!$B$4:$H$4,'hedge raw'!B23:H23)</f>
        <v>#N/A</v>
      </c>
      <c r="I26" s="96"/>
      <c r="J26" s="96" t="e">
        <f>_xlfn.XLOOKUP($J$4,'hedge raw'!$B$4:$H$4,'hedge raw'!B23:H23)</f>
        <v>#N/A</v>
      </c>
      <c r="K26" s="96"/>
      <c r="L26" s="96">
        <f>'hedge raw'!F23</f>
        <v>-970.93</v>
      </c>
      <c r="M26" s="96"/>
      <c r="N26" s="96">
        <f>'hedge raw'!G23</f>
        <v>-684.65</v>
      </c>
    </row>
    <row r="27" spans="2:14" x14ac:dyDescent="0.75">
      <c r="B27" s="49" t="s">
        <v>161</v>
      </c>
      <c r="C27" s="50"/>
      <c r="D27" s="112" t="e">
        <f>_xlfn.XLOOKUP($D$4,'hedge raw'!$B$4:$H$4,'hedge raw'!B24:H24)</f>
        <v>#N/A</v>
      </c>
      <c r="E27" s="50"/>
      <c r="F27" s="112" t="e">
        <f>_xlfn.XLOOKUP($F$4,'hedge raw'!$B$4:$H$4,'hedge raw'!B24:H24)</f>
        <v>#N/A</v>
      </c>
      <c r="G27" s="50"/>
      <c r="H27" s="112" t="e">
        <f>_xlfn.XLOOKUP($H$4,'hedge raw'!$B$4:$H$4,'hedge raw'!B24:H24)</f>
        <v>#N/A</v>
      </c>
      <c r="I27" s="50"/>
      <c r="J27" s="112" t="e">
        <f>_xlfn.XLOOKUP($J$4,'hedge raw'!$B$4:$H$4,'hedge raw'!B24:H24)</f>
        <v>#N/A</v>
      </c>
      <c r="K27" s="50"/>
      <c r="L27" s="112">
        <f>'hedge raw'!F24</f>
        <v>1019402.6</v>
      </c>
      <c r="M27" s="50"/>
      <c r="N27" s="112">
        <f>'hedge raw'!G24</f>
        <v>893665.34</v>
      </c>
    </row>
    <row r="28" spans="2:14" x14ac:dyDescent="0.75">
      <c r="B28" s="3"/>
      <c r="C28" s="48"/>
      <c r="D28" s="94"/>
      <c r="E28" s="48"/>
      <c r="F28" s="94"/>
      <c r="G28" s="48"/>
      <c r="H28" s="94"/>
      <c r="I28" s="48"/>
      <c r="J28" s="94"/>
      <c r="K28" s="48"/>
      <c r="L28" s="94"/>
      <c r="M28" s="48"/>
      <c r="N28" s="94"/>
    </row>
    <row r="29" spans="2:14" x14ac:dyDescent="0.75">
      <c r="B29" s="47" t="s">
        <v>165</v>
      </c>
      <c r="C29" s="48"/>
      <c r="D29" s="94"/>
      <c r="E29" s="48"/>
      <c r="F29" s="94"/>
      <c r="G29" s="48"/>
      <c r="H29" s="94"/>
      <c r="I29" s="48"/>
      <c r="J29" s="94"/>
      <c r="K29" s="48"/>
      <c r="L29" s="94"/>
      <c r="M29" s="48"/>
      <c r="N29" s="94"/>
    </row>
    <row r="30" spans="2:14" x14ac:dyDescent="0.75">
      <c r="B30" s="87" t="s">
        <v>166</v>
      </c>
      <c r="C30" s="48"/>
      <c r="D30" s="96" t="e">
        <f>_xlfn.XLOOKUP($D$4,'hedge raw'!$B$4:$H$4,'hedge raw'!B27:H27)</f>
        <v>#N/A</v>
      </c>
      <c r="E30" s="48"/>
      <c r="F30" s="96" t="e">
        <f>_xlfn.XLOOKUP($F$4,'hedge raw'!$B$4:$H$4,'hedge raw'!B27:H27)</f>
        <v>#N/A</v>
      </c>
      <c r="G30" s="48"/>
      <c r="H30" s="96" t="e">
        <f>_xlfn.XLOOKUP($H$4,'hedge raw'!$B$4:$H$4,'hedge raw'!B27:H27)</f>
        <v>#N/A</v>
      </c>
      <c r="I30" s="48"/>
      <c r="J30" s="96" t="e">
        <f>_xlfn.XLOOKUP($J$4,'hedge raw'!$B$4:$H$4,'hedge raw'!B27:H27)</f>
        <v>#N/A</v>
      </c>
      <c r="K30" s="48"/>
      <c r="L30" s="96">
        <f>'hedge raw'!F27</f>
        <v>33181.580000000075</v>
      </c>
      <c r="M30" s="48"/>
      <c r="N30" s="96">
        <f>'hedge raw'!G27</f>
        <v>125059.35</v>
      </c>
    </row>
    <row r="31" spans="2:14" x14ac:dyDescent="0.75">
      <c r="B31" s="87" t="s">
        <v>171</v>
      </c>
      <c r="C31" s="48"/>
      <c r="D31" s="96" t="e">
        <f>_xlfn.XLOOKUP($D$4,'hedge raw'!$B$4:$H$4,'hedge raw'!B28:H28)</f>
        <v>#N/A</v>
      </c>
      <c r="E31" s="48"/>
      <c r="F31" s="96" t="e">
        <f>_xlfn.XLOOKUP($F$4,'hedge raw'!$B$4:$H$4,'hedge raw'!B28:H28)</f>
        <v>#N/A</v>
      </c>
      <c r="G31" s="48"/>
      <c r="H31" s="96" t="e">
        <f>_xlfn.XLOOKUP($H$4,'hedge raw'!$B$4:$H$4,'hedge raw'!B28:H28)</f>
        <v>#N/A</v>
      </c>
      <c r="I31" s="48"/>
      <c r="J31" s="96" t="e">
        <f>_xlfn.XLOOKUP($J$4,'hedge raw'!$B$4:$H$4,'hedge raw'!B28:H28)</f>
        <v>#N/A</v>
      </c>
      <c r="K31" s="48"/>
      <c r="L31" s="96">
        <f>'hedge raw'!F28</f>
        <v>1000000</v>
      </c>
      <c r="M31" s="48"/>
      <c r="N31" s="96">
        <f>'hedge raw'!G28</f>
        <v>1000000</v>
      </c>
    </row>
    <row r="32" spans="2:14" x14ac:dyDescent="0.75">
      <c r="B32" s="87" t="s">
        <v>172</v>
      </c>
      <c r="C32" s="48"/>
      <c r="D32" s="96" t="e">
        <f>_xlfn.XLOOKUP($D$4,'hedge raw'!$B$4:$H$4,'hedge raw'!B29:H29)</f>
        <v>#N/A</v>
      </c>
      <c r="E32" s="48"/>
      <c r="F32" s="96" t="e">
        <f>_xlfn.XLOOKUP($F$4,'hedge raw'!$B$4:$H$4,'hedge raw'!B29:H29)</f>
        <v>#N/A</v>
      </c>
      <c r="G32" s="48"/>
      <c r="H32" s="96" t="e">
        <f>_xlfn.XLOOKUP($H$4,'hedge raw'!$B$4:$H$4,'hedge raw'!B29:H29)</f>
        <v>#N/A</v>
      </c>
      <c r="I32" s="48"/>
      <c r="J32" s="96" t="e">
        <f>_xlfn.XLOOKUP($J$4,'hedge raw'!$B$4:$H$4,'hedge raw'!B29:H29)</f>
        <v>#N/A</v>
      </c>
      <c r="K32" s="48"/>
      <c r="L32" s="96">
        <f>'hedge raw'!F29</f>
        <v>10000000</v>
      </c>
      <c r="M32" s="48"/>
      <c r="N32" s="96">
        <f>'hedge raw'!G29</f>
        <v>10000000</v>
      </c>
    </row>
    <row r="33" spans="2:14" x14ac:dyDescent="0.75">
      <c r="B33" s="87" t="s">
        <v>173</v>
      </c>
      <c r="C33" s="48"/>
      <c r="D33" s="96" t="e">
        <f>_xlfn.XLOOKUP($D$4,'hedge raw'!$B$4:$H$4,'hedge raw'!B30:H30)</f>
        <v>#N/A</v>
      </c>
      <c r="E33" s="48"/>
      <c r="F33" s="96" t="e">
        <f>_xlfn.XLOOKUP($F$4,'hedge raw'!$B$4:$H$4,'hedge raw'!B30:H30)</f>
        <v>#N/A</v>
      </c>
      <c r="G33" s="48"/>
      <c r="H33" s="96" t="e">
        <f>_xlfn.XLOOKUP($H$4,'hedge raw'!$B$4:$H$4,'hedge raw'!B30:H30)</f>
        <v>#N/A</v>
      </c>
      <c r="I33" s="48"/>
      <c r="J33" s="96" t="e">
        <f>_xlfn.XLOOKUP($J$4,'hedge raw'!$B$4:$H$4,'hedge raw'!B30:H30)</f>
        <v>#N/A</v>
      </c>
      <c r="K33" s="48"/>
      <c r="L33" s="96">
        <f>'hedge raw'!F30</f>
        <v>9606235.2300000116</v>
      </c>
      <c r="M33" s="48"/>
      <c r="N33" s="96">
        <f>'hedge raw'!G30</f>
        <v>9731294.5800000113</v>
      </c>
    </row>
    <row r="34" spans="2:14" x14ac:dyDescent="0.75">
      <c r="B34" s="83" t="s">
        <v>164</v>
      </c>
      <c r="C34" s="48"/>
      <c r="D34" s="113" t="e">
        <f>_xlfn.XLOOKUP($D$4,'hedge raw'!$B$4:$H$4,'hedge raw'!B31:H31)</f>
        <v>#N/A</v>
      </c>
      <c r="E34" s="48"/>
      <c r="F34" s="113" t="e">
        <f>_xlfn.XLOOKUP($F$4,'hedge raw'!$B$4:$H$4,'hedge raw'!B31:H31)</f>
        <v>#N/A</v>
      </c>
      <c r="G34" s="48"/>
      <c r="H34" s="113" t="e">
        <f>_xlfn.XLOOKUP($H$4,'hedge raw'!$B$4:$H$4,'hedge raw'!B31:H31)</f>
        <v>#N/A</v>
      </c>
      <c r="I34" s="48"/>
      <c r="J34" s="113" t="e">
        <f>_xlfn.XLOOKUP($J$4,'hedge raw'!$B$4:$H$4,'hedge raw'!B31:H31)</f>
        <v>#N/A</v>
      </c>
      <c r="K34" s="48"/>
      <c r="L34" s="113">
        <f>'hedge raw'!F31</f>
        <v>-393764.76999998896</v>
      </c>
      <c r="M34" s="48"/>
      <c r="N34" s="113">
        <f>'hedge raw'!G31</f>
        <v>-268705.41999998898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F8C4-D082-4EF1-AF30-5483157E4BC1}">
  <dimension ref="A1:J4"/>
  <sheetViews>
    <sheetView workbookViewId="0">
      <selection activeCell="E27" sqref="E27"/>
    </sheetView>
  </sheetViews>
  <sheetFormatPr defaultRowHeight="14.75" x14ac:dyDescent="0.75"/>
  <cols>
    <col min="1" max="1" width="19.54296875" bestFit="1" customWidth="1"/>
    <col min="2" max="2" width="16.1328125" bestFit="1" customWidth="1"/>
    <col min="3" max="3" width="80.86328125" bestFit="1" customWidth="1"/>
    <col min="4" max="4" width="14.26953125" bestFit="1" customWidth="1"/>
    <col min="5" max="5" width="48.40625" bestFit="1" customWidth="1"/>
    <col min="6" max="6" width="11.7265625" bestFit="1" customWidth="1"/>
    <col min="7" max="7" width="8.86328125" bestFit="1" customWidth="1"/>
    <col min="8" max="8" width="20.86328125" bestFit="1" customWidth="1"/>
    <col min="9" max="9" width="9.54296875" bestFit="1" customWidth="1"/>
    <col min="10" max="10" width="7" bestFit="1" customWidth="1"/>
    <col min="11" max="11" width="7.1328125" bestFit="1" customWidth="1"/>
  </cols>
  <sheetData>
    <row r="1" spans="1:10" x14ac:dyDescent="0.75">
      <c r="A1" t="s">
        <v>279</v>
      </c>
      <c r="B1" t="s">
        <v>280</v>
      </c>
      <c r="C1" t="s">
        <v>132</v>
      </c>
      <c r="D1" t="s">
        <v>174</v>
      </c>
      <c r="E1" t="s">
        <v>133</v>
      </c>
      <c r="F1" t="s">
        <v>281</v>
      </c>
      <c r="G1" t="s">
        <v>135</v>
      </c>
      <c r="H1" t="s">
        <v>282</v>
      </c>
      <c r="I1" t="s">
        <v>176</v>
      </c>
      <c r="J1" t="s">
        <v>283</v>
      </c>
    </row>
    <row r="2" spans="1:10" x14ac:dyDescent="0.75">
      <c r="A2" s="111" t="s">
        <v>402</v>
      </c>
      <c r="B2" s="111">
        <v>44194</v>
      </c>
      <c r="C2" s="111" t="s">
        <v>403</v>
      </c>
      <c r="D2" s="111" t="s">
        <v>380</v>
      </c>
      <c r="E2" s="111" t="s">
        <v>404</v>
      </c>
      <c r="F2" s="111" t="s">
        <v>253</v>
      </c>
      <c r="G2" s="111">
        <v>2</v>
      </c>
      <c r="H2" s="111" t="s">
        <v>284</v>
      </c>
      <c r="I2" s="111" t="s">
        <v>284</v>
      </c>
      <c r="J2" s="111" t="s">
        <v>284</v>
      </c>
    </row>
    <row r="3" spans="1:10" x14ac:dyDescent="0.75">
      <c r="A3" s="111" t="s">
        <v>405</v>
      </c>
      <c r="B3" s="111">
        <v>44191</v>
      </c>
      <c r="C3" s="111" t="s">
        <v>406</v>
      </c>
      <c r="D3" s="111" t="s">
        <v>379</v>
      </c>
      <c r="E3" s="111" t="s">
        <v>407</v>
      </c>
      <c r="F3" s="111" t="s">
        <v>253</v>
      </c>
      <c r="G3" s="111">
        <v>2</v>
      </c>
      <c r="H3" s="111" t="s">
        <v>284</v>
      </c>
      <c r="I3" s="111" t="s">
        <v>284</v>
      </c>
      <c r="J3" s="111" t="s">
        <v>284</v>
      </c>
    </row>
    <row r="4" spans="1:10" x14ac:dyDescent="0.75">
      <c r="A4" s="111" t="s">
        <v>408</v>
      </c>
      <c r="B4" s="111">
        <v>44190</v>
      </c>
      <c r="C4" s="111" t="s">
        <v>409</v>
      </c>
      <c r="D4" s="111" t="s">
        <v>379</v>
      </c>
      <c r="E4" s="111" t="s">
        <v>407</v>
      </c>
      <c r="F4" s="111" t="s">
        <v>253</v>
      </c>
      <c r="G4" s="111">
        <v>2</v>
      </c>
      <c r="H4" s="111" t="s">
        <v>284</v>
      </c>
      <c r="I4" s="111" t="s">
        <v>284</v>
      </c>
      <c r="J4" s="111" t="s">
        <v>284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8C174-EF3E-49B1-8166-584E2AEB5254}">
  <dimension ref="A1:E151"/>
  <sheetViews>
    <sheetView workbookViewId="0">
      <selection activeCell="F31" sqref="F31"/>
    </sheetView>
  </sheetViews>
  <sheetFormatPr defaultRowHeight="10.5" customHeight="1" x14ac:dyDescent="0.75"/>
  <cols>
    <col min="1" max="1" width="9.1328125" customWidth="1"/>
    <col min="2" max="2" width="9.1328125" style="110" customWidth="1"/>
    <col min="3" max="3" width="56.26953125" customWidth="1"/>
    <col min="4" max="4" width="42.26953125" customWidth="1"/>
    <col min="5" max="5" width="6.54296875" customWidth="1"/>
  </cols>
  <sheetData>
    <row r="1" spans="1:5" ht="17.149999999999999" customHeight="1" x14ac:dyDescent="0.75">
      <c r="A1" s="161" t="s">
        <v>491</v>
      </c>
      <c r="B1" s="61"/>
    </row>
    <row r="3" spans="1:5" ht="10.5" customHeight="1" x14ac:dyDescent="0.75">
      <c r="A3" s="141" t="s">
        <v>131</v>
      </c>
      <c r="B3" s="141" t="s">
        <v>175</v>
      </c>
      <c r="C3" s="142" t="s">
        <v>132</v>
      </c>
      <c r="D3" s="142" t="s">
        <v>133</v>
      </c>
      <c r="E3" s="142" t="s">
        <v>135</v>
      </c>
    </row>
    <row r="4" spans="1:5" ht="10.5" customHeight="1" x14ac:dyDescent="0.75">
      <c r="A4" s="22" cm="1">
        <f t="array" ref="A4:A6">Query_WO_Prospero[Completed Date]</f>
        <v>44194</v>
      </c>
      <c r="B4" s="22" t="str" cm="1">
        <f t="array" ref="B4:B6">Query_WO_Prospero[Work Order Number]</f>
        <v>NA03069725</v>
      </c>
      <c r="C4" s="23" t="str" cm="1">
        <f t="array" ref="C4:C6">Query_WO_Prospero[Description]</f>
        <v>Tracker actuator PRS1_B007_P009.GWY072.TRK001.ARR043 is STUCK on 2020-12-28.</v>
      </c>
      <c r="D4" s="23" t="str" cm="1">
        <f t="array" ref="D4:D6">Query_WO_Prospero[Asset Description]</f>
        <v>Nextracker Network Control Unit - NCU 01, PCS 09, Block 07</v>
      </c>
      <c r="E4" s="23" cm="1">
        <f t="array" ref="E4:E6">Query_WO_Prospero[Priority]</f>
        <v>2</v>
      </c>
    </row>
    <row r="5" spans="1:5" ht="10.5" customHeight="1" x14ac:dyDescent="0.75">
      <c r="A5" s="22">
        <v>44191</v>
      </c>
      <c r="B5" s="22" t="str">
        <v>NA03066371</v>
      </c>
      <c r="C5" s="23" t="str">
        <v>Tracker actuator PRS1_B005_P005.GWY048.TRK002.ARR077 is STUCK on 2020-12-25.</v>
      </c>
      <c r="D5" s="23" t="str">
        <v>Nextracker Network Control Unit - NCU 02, PCS 05, Block 05</v>
      </c>
      <c r="E5" s="23">
        <v>2</v>
      </c>
    </row>
    <row r="6" spans="1:5" ht="10.5" customHeight="1" x14ac:dyDescent="0.75">
      <c r="A6" s="22">
        <v>44190</v>
      </c>
      <c r="B6" s="22" t="str">
        <v>NA03065840</v>
      </c>
      <c r="C6" s="23" t="str">
        <v>Tracker actuator PRS1_B005_P005.GWY048.TRK002.ARR077 is STUCK on 2020-12-24.</v>
      </c>
      <c r="D6" s="23" t="str">
        <v>Nextracker Network Control Unit - NCU 02, PCS 05, Block 05</v>
      </c>
      <c r="E6" s="23">
        <v>2</v>
      </c>
    </row>
    <row r="7" spans="1:5" ht="10.5" customHeight="1" x14ac:dyDescent="0.75">
      <c r="A7" s="22"/>
      <c r="B7" s="22"/>
      <c r="C7" s="23"/>
      <c r="D7" s="23"/>
      <c r="E7" s="23"/>
    </row>
    <row r="8" spans="1:5" ht="10.5" customHeight="1" x14ac:dyDescent="0.75">
      <c r="A8" s="22"/>
      <c r="B8" s="22"/>
      <c r="C8" s="23"/>
      <c r="D8" s="23"/>
      <c r="E8" s="23"/>
    </row>
    <row r="9" spans="1:5" ht="10.5" customHeight="1" x14ac:dyDescent="0.75">
      <c r="A9" s="22"/>
      <c r="B9" s="22"/>
      <c r="C9" s="23"/>
      <c r="D9" s="23"/>
      <c r="E9" s="23"/>
    </row>
    <row r="10" spans="1:5" ht="10.5" customHeight="1" x14ac:dyDescent="0.75">
      <c r="A10" s="22"/>
      <c r="B10" s="22"/>
      <c r="C10" s="23"/>
      <c r="D10" s="23"/>
      <c r="E10" s="23"/>
    </row>
    <row r="11" spans="1:5" ht="10.5" customHeight="1" x14ac:dyDescent="0.75">
      <c r="A11" s="22"/>
      <c r="B11" s="22"/>
      <c r="C11" s="23"/>
      <c r="D11" s="23"/>
      <c r="E11" s="23"/>
    </row>
    <row r="12" spans="1:5" ht="10.5" customHeight="1" x14ac:dyDescent="0.75">
      <c r="A12" s="22"/>
      <c r="B12" s="22"/>
      <c r="C12" s="23"/>
      <c r="D12" s="23"/>
      <c r="E12" s="23"/>
    </row>
    <row r="13" spans="1:5" ht="10.5" customHeight="1" x14ac:dyDescent="0.75">
      <c r="A13" s="22"/>
      <c r="B13" s="22"/>
      <c r="C13" s="23"/>
      <c r="D13" s="23"/>
      <c r="E13" s="23"/>
    </row>
    <row r="14" spans="1:5" ht="10.5" customHeight="1" x14ac:dyDescent="0.75">
      <c r="A14" s="22"/>
      <c r="B14" s="22"/>
      <c r="C14" s="23"/>
      <c r="D14" s="23"/>
      <c r="E14" s="23"/>
    </row>
    <row r="15" spans="1:5" ht="10.5" customHeight="1" x14ac:dyDescent="0.75">
      <c r="A15" s="22"/>
      <c r="B15" s="22"/>
      <c r="C15" s="23"/>
      <c r="D15" s="23"/>
      <c r="E15" s="23"/>
    </row>
    <row r="16" spans="1:5" ht="10.5" customHeight="1" x14ac:dyDescent="0.75">
      <c r="A16" s="22"/>
      <c r="B16" s="22"/>
      <c r="C16" s="23"/>
      <c r="D16" s="23"/>
      <c r="E16" s="23"/>
    </row>
    <row r="17" spans="1:5" ht="10.5" customHeight="1" x14ac:dyDescent="0.75">
      <c r="A17" s="22"/>
      <c r="B17" s="22"/>
      <c r="C17" s="23"/>
      <c r="D17" s="23"/>
      <c r="E17" s="23"/>
    </row>
    <row r="18" spans="1:5" ht="10.5" customHeight="1" x14ac:dyDescent="0.75">
      <c r="A18" s="22"/>
      <c r="B18" s="22"/>
      <c r="C18" s="23"/>
      <c r="D18" s="23"/>
      <c r="E18" s="23"/>
    </row>
    <row r="19" spans="1:5" ht="10.5" customHeight="1" x14ac:dyDescent="0.75">
      <c r="A19" s="22"/>
      <c r="B19" s="22"/>
      <c r="C19" s="23"/>
      <c r="D19" s="23"/>
      <c r="E19" s="23"/>
    </row>
    <row r="20" spans="1:5" ht="10.5" customHeight="1" x14ac:dyDescent="0.75">
      <c r="A20" s="22"/>
      <c r="B20" s="22"/>
      <c r="C20" s="23"/>
      <c r="D20" s="23"/>
      <c r="E20" s="23"/>
    </row>
    <row r="21" spans="1:5" ht="10.5" customHeight="1" x14ac:dyDescent="0.75">
      <c r="A21" s="22"/>
      <c r="B21" s="22"/>
      <c r="C21" s="23"/>
      <c r="D21" s="23"/>
      <c r="E21" s="23"/>
    </row>
    <row r="22" spans="1:5" ht="10.5" customHeight="1" x14ac:dyDescent="0.75">
      <c r="A22" s="22"/>
      <c r="B22" s="22"/>
      <c r="C22" s="23"/>
      <c r="D22" s="23"/>
      <c r="E22" s="23"/>
    </row>
    <row r="23" spans="1:5" ht="10.5" customHeight="1" x14ac:dyDescent="0.75">
      <c r="A23" s="22"/>
      <c r="B23" s="22"/>
      <c r="C23" s="23"/>
      <c r="D23" s="23"/>
      <c r="E23" s="23"/>
    </row>
    <row r="24" spans="1:5" ht="10.5" customHeight="1" x14ac:dyDescent="0.75">
      <c r="A24" s="22"/>
      <c r="B24" s="22"/>
      <c r="C24" s="23"/>
      <c r="D24" s="23"/>
      <c r="E24" s="23"/>
    </row>
    <row r="25" spans="1:5" ht="10.5" customHeight="1" x14ac:dyDescent="0.75">
      <c r="A25" s="22"/>
      <c r="B25" s="22"/>
      <c r="C25" s="23"/>
      <c r="D25" s="23"/>
      <c r="E25" s="23"/>
    </row>
    <row r="26" spans="1:5" ht="10.5" customHeight="1" x14ac:dyDescent="0.75">
      <c r="A26" s="22"/>
      <c r="B26" s="22"/>
      <c r="C26" s="23"/>
      <c r="D26" s="23"/>
      <c r="E26" s="23"/>
    </row>
    <row r="27" spans="1:5" ht="10.5" customHeight="1" x14ac:dyDescent="0.75">
      <c r="A27" s="22"/>
      <c r="B27" s="22"/>
      <c r="C27" s="23"/>
      <c r="D27" s="23"/>
      <c r="E27" s="23"/>
    </row>
    <row r="28" spans="1:5" ht="10.5" customHeight="1" x14ac:dyDescent="0.75">
      <c r="A28" s="22"/>
      <c r="B28" s="22"/>
      <c r="C28" s="23"/>
      <c r="D28" s="23"/>
      <c r="E28" s="23"/>
    </row>
    <row r="29" spans="1:5" ht="10.5" customHeight="1" x14ac:dyDescent="0.75">
      <c r="A29" s="22"/>
      <c r="B29" s="22"/>
      <c r="C29" s="23"/>
      <c r="D29" s="23"/>
      <c r="E29" s="23"/>
    </row>
    <row r="30" spans="1:5" ht="10.5" customHeight="1" x14ac:dyDescent="0.75">
      <c r="A30" s="22"/>
      <c r="B30" s="22"/>
      <c r="C30" s="23"/>
      <c r="D30" s="23"/>
      <c r="E30" s="23"/>
    </row>
    <row r="31" spans="1:5" ht="10.5" customHeight="1" x14ac:dyDescent="0.75">
      <c r="A31" s="22"/>
      <c r="B31" s="22"/>
      <c r="C31" s="23"/>
      <c r="D31" s="23"/>
      <c r="E31" s="23"/>
    </row>
    <row r="32" spans="1:5" ht="10.5" customHeight="1" x14ac:dyDescent="0.75">
      <c r="A32" s="22"/>
      <c r="B32" s="22"/>
      <c r="C32" s="23"/>
      <c r="D32" s="23"/>
      <c r="E32" s="23"/>
    </row>
    <row r="33" spans="1:5" ht="10.5" customHeight="1" x14ac:dyDescent="0.75">
      <c r="A33" s="22"/>
      <c r="B33" s="22"/>
      <c r="C33" s="23"/>
      <c r="D33" s="23"/>
      <c r="E33" s="23"/>
    </row>
    <row r="34" spans="1:5" ht="10.5" customHeight="1" x14ac:dyDescent="0.75">
      <c r="A34" s="22"/>
      <c r="B34" s="22"/>
      <c r="C34" s="23"/>
      <c r="D34" s="23"/>
      <c r="E34" s="23"/>
    </row>
    <row r="35" spans="1:5" ht="10.5" customHeight="1" x14ac:dyDescent="0.75">
      <c r="A35" s="22"/>
      <c r="B35" s="22"/>
      <c r="C35" s="23"/>
      <c r="D35" s="23"/>
      <c r="E35" s="23"/>
    </row>
    <row r="36" spans="1:5" ht="10.5" customHeight="1" x14ac:dyDescent="0.75">
      <c r="A36" s="22"/>
      <c r="B36" s="22"/>
      <c r="C36" s="23"/>
      <c r="D36" s="23"/>
      <c r="E36" s="23"/>
    </row>
    <row r="37" spans="1:5" ht="10.5" customHeight="1" x14ac:dyDescent="0.75">
      <c r="A37" s="22"/>
      <c r="B37" s="22"/>
      <c r="C37" s="23"/>
      <c r="D37" s="23"/>
      <c r="E37" s="23"/>
    </row>
    <row r="38" spans="1:5" ht="10.5" customHeight="1" x14ac:dyDescent="0.75">
      <c r="A38" s="22"/>
      <c r="B38" s="22"/>
      <c r="C38" s="23"/>
      <c r="D38" s="23"/>
      <c r="E38" s="23"/>
    </row>
    <row r="39" spans="1:5" ht="10.5" customHeight="1" x14ac:dyDescent="0.75">
      <c r="A39" s="22"/>
      <c r="B39" s="22"/>
      <c r="C39" s="23"/>
      <c r="D39" s="23"/>
      <c r="E39" s="23"/>
    </row>
    <row r="40" spans="1:5" ht="10.5" customHeight="1" x14ac:dyDescent="0.75">
      <c r="A40" s="22"/>
      <c r="B40" s="22"/>
      <c r="C40" s="23"/>
      <c r="D40" s="23"/>
      <c r="E40" s="23"/>
    </row>
    <row r="41" spans="1:5" ht="10.5" customHeight="1" x14ac:dyDescent="0.75">
      <c r="A41" s="22"/>
      <c r="B41" s="22"/>
      <c r="C41" s="23"/>
      <c r="D41" s="23"/>
      <c r="E41" s="23"/>
    </row>
    <row r="42" spans="1:5" ht="10.5" customHeight="1" x14ac:dyDescent="0.75">
      <c r="A42" s="22"/>
      <c r="B42" s="22"/>
      <c r="C42" s="23"/>
      <c r="D42" s="23"/>
      <c r="E42" s="23"/>
    </row>
    <row r="43" spans="1:5" ht="10.5" customHeight="1" x14ac:dyDescent="0.75">
      <c r="A43" s="22"/>
      <c r="B43" s="22"/>
      <c r="C43" s="23"/>
      <c r="D43" s="23"/>
      <c r="E43" s="23"/>
    </row>
    <row r="44" spans="1:5" ht="10.5" customHeight="1" x14ac:dyDescent="0.75">
      <c r="A44" s="22"/>
      <c r="B44" s="22"/>
      <c r="C44" s="23"/>
      <c r="D44" s="23"/>
      <c r="E44" s="23"/>
    </row>
    <row r="45" spans="1:5" ht="10.5" customHeight="1" x14ac:dyDescent="0.75">
      <c r="A45" s="22"/>
      <c r="B45" s="22"/>
      <c r="C45" s="23"/>
      <c r="D45" s="23"/>
      <c r="E45" s="23"/>
    </row>
    <row r="46" spans="1:5" ht="10.5" customHeight="1" x14ac:dyDescent="0.75">
      <c r="A46" s="22"/>
      <c r="B46" s="22"/>
      <c r="C46" s="23"/>
      <c r="D46" s="23"/>
      <c r="E46" s="23"/>
    </row>
    <row r="47" spans="1:5" ht="10.5" customHeight="1" x14ac:dyDescent="0.75">
      <c r="A47" s="22"/>
      <c r="B47" s="22"/>
      <c r="C47" s="23"/>
      <c r="D47" s="23"/>
      <c r="E47" s="23"/>
    </row>
    <row r="48" spans="1:5" ht="10.5" customHeight="1" x14ac:dyDescent="0.75">
      <c r="A48" s="22"/>
      <c r="B48" s="22"/>
      <c r="C48" s="23"/>
      <c r="D48" s="23"/>
      <c r="E48" s="23"/>
    </row>
    <row r="49" spans="1:5" ht="10.5" customHeight="1" x14ac:dyDescent="0.75">
      <c r="A49" s="22"/>
      <c r="B49" s="22"/>
      <c r="C49" s="23"/>
      <c r="D49" s="23"/>
      <c r="E49" s="23"/>
    </row>
    <row r="50" spans="1:5" ht="10.5" customHeight="1" x14ac:dyDescent="0.75">
      <c r="A50" s="22"/>
      <c r="B50" s="22"/>
      <c r="C50" s="23"/>
      <c r="D50" s="23"/>
      <c r="E50" s="23"/>
    </row>
    <row r="51" spans="1:5" ht="10.5" customHeight="1" x14ac:dyDescent="0.75">
      <c r="A51" s="22"/>
      <c r="B51" s="22"/>
      <c r="C51" s="23"/>
      <c r="D51" s="23"/>
      <c r="E51" s="23"/>
    </row>
    <row r="52" spans="1:5" ht="10.5" customHeight="1" x14ac:dyDescent="0.75">
      <c r="A52" s="22"/>
      <c r="B52" s="22"/>
      <c r="C52" s="23"/>
      <c r="D52" s="23"/>
      <c r="E52" s="23"/>
    </row>
    <row r="53" spans="1:5" ht="10.5" customHeight="1" x14ac:dyDescent="0.75">
      <c r="A53" s="22"/>
      <c r="B53" s="22"/>
      <c r="C53" s="23"/>
      <c r="D53" s="23"/>
      <c r="E53" s="23"/>
    </row>
    <row r="54" spans="1:5" ht="10.5" customHeight="1" x14ac:dyDescent="0.75">
      <c r="A54" s="22"/>
      <c r="B54" s="22"/>
      <c r="C54" s="23"/>
      <c r="D54" s="23"/>
      <c r="E54" s="23"/>
    </row>
    <row r="55" spans="1:5" ht="10.5" customHeight="1" x14ac:dyDescent="0.75">
      <c r="A55" s="22"/>
      <c r="B55" s="22"/>
      <c r="C55" s="23"/>
      <c r="D55" s="23"/>
      <c r="E55" s="23"/>
    </row>
    <row r="56" spans="1:5" ht="10.5" customHeight="1" x14ac:dyDescent="0.75">
      <c r="A56" s="22"/>
      <c r="B56" s="22"/>
      <c r="C56" s="23"/>
      <c r="D56" s="23"/>
      <c r="E56" s="23"/>
    </row>
    <row r="57" spans="1:5" ht="10.5" customHeight="1" x14ac:dyDescent="0.75">
      <c r="A57" s="22"/>
      <c r="B57" s="22"/>
      <c r="C57" s="23"/>
      <c r="D57" s="23"/>
      <c r="E57" s="23"/>
    </row>
    <row r="58" spans="1:5" ht="10.5" customHeight="1" x14ac:dyDescent="0.75">
      <c r="A58" s="22"/>
      <c r="B58" s="22"/>
      <c r="C58" s="23"/>
      <c r="D58" s="23"/>
      <c r="E58" s="23"/>
    </row>
    <row r="59" spans="1:5" ht="10.5" customHeight="1" x14ac:dyDescent="0.75">
      <c r="A59" s="22"/>
      <c r="B59" s="22"/>
      <c r="C59" s="23"/>
      <c r="D59" s="23"/>
      <c r="E59" s="23"/>
    </row>
    <row r="60" spans="1:5" ht="10.5" customHeight="1" x14ac:dyDescent="0.75">
      <c r="A60" s="22"/>
      <c r="B60" s="22"/>
      <c r="C60" s="23"/>
      <c r="D60" s="23"/>
      <c r="E60" s="23"/>
    </row>
    <row r="61" spans="1:5" ht="10.5" customHeight="1" x14ac:dyDescent="0.75">
      <c r="A61" s="22"/>
      <c r="B61" s="22"/>
      <c r="C61" s="23"/>
      <c r="D61" s="23"/>
      <c r="E61" s="23"/>
    </row>
    <row r="62" spans="1:5" ht="10.5" customHeight="1" x14ac:dyDescent="0.75">
      <c r="A62" s="22"/>
      <c r="B62" s="22"/>
      <c r="C62" s="23"/>
      <c r="D62" s="23"/>
      <c r="E62" s="23"/>
    </row>
    <row r="63" spans="1:5" ht="10.5" customHeight="1" x14ac:dyDescent="0.75">
      <c r="A63" s="22"/>
      <c r="B63" s="22"/>
      <c r="C63" s="23"/>
      <c r="D63" s="23"/>
      <c r="E63" s="23"/>
    </row>
    <row r="64" spans="1:5" ht="10.5" customHeight="1" x14ac:dyDescent="0.75">
      <c r="A64" s="22"/>
      <c r="B64" s="22"/>
      <c r="C64" s="23"/>
      <c r="D64" s="23"/>
      <c r="E64" s="23"/>
    </row>
    <row r="65" spans="1:5" ht="10.5" customHeight="1" x14ac:dyDescent="0.75">
      <c r="A65" s="22"/>
      <c r="B65" s="22"/>
      <c r="C65" s="23"/>
      <c r="D65" s="23"/>
      <c r="E65" s="23"/>
    </row>
    <row r="66" spans="1:5" ht="10.5" customHeight="1" x14ac:dyDescent="0.75">
      <c r="A66" s="22"/>
      <c r="B66" s="22"/>
      <c r="C66" s="23"/>
      <c r="D66" s="23"/>
      <c r="E66" s="23"/>
    </row>
    <row r="67" spans="1:5" ht="10.5" customHeight="1" x14ac:dyDescent="0.75">
      <c r="A67" s="22"/>
      <c r="B67" s="22"/>
      <c r="C67" s="23"/>
      <c r="D67" s="23"/>
      <c r="E67" s="23"/>
    </row>
    <row r="68" spans="1:5" ht="10.5" customHeight="1" x14ac:dyDescent="0.75">
      <c r="A68" s="22"/>
      <c r="B68" s="22"/>
      <c r="C68" s="23"/>
      <c r="D68" s="23"/>
      <c r="E68" s="23"/>
    </row>
    <row r="69" spans="1:5" ht="10.5" customHeight="1" x14ac:dyDescent="0.75">
      <c r="A69" s="22"/>
      <c r="B69" s="22"/>
      <c r="C69" s="23"/>
      <c r="D69" s="23"/>
      <c r="E69" s="23"/>
    </row>
    <row r="70" spans="1:5" ht="10.5" customHeight="1" x14ac:dyDescent="0.75">
      <c r="A70" s="22"/>
      <c r="B70" s="22"/>
      <c r="C70" s="23"/>
      <c r="D70" s="23"/>
      <c r="E70" s="23"/>
    </row>
    <row r="71" spans="1:5" ht="10.5" customHeight="1" x14ac:dyDescent="0.75">
      <c r="A71" s="22"/>
      <c r="B71" s="22"/>
      <c r="C71" s="23"/>
      <c r="D71" s="23"/>
      <c r="E71" s="23"/>
    </row>
    <row r="72" spans="1:5" ht="10.5" customHeight="1" x14ac:dyDescent="0.75">
      <c r="A72" s="22"/>
      <c r="B72" s="22"/>
      <c r="C72" s="23"/>
      <c r="D72" s="23"/>
      <c r="E72" s="23"/>
    </row>
    <row r="73" spans="1:5" ht="10.5" customHeight="1" x14ac:dyDescent="0.75">
      <c r="A73" s="22"/>
      <c r="B73" s="22"/>
      <c r="C73" s="23"/>
      <c r="D73" s="23"/>
      <c r="E73" s="23"/>
    </row>
    <row r="74" spans="1:5" ht="10.5" customHeight="1" x14ac:dyDescent="0.75">
      <c r="A74" s="22"/>
      <c r="B74" s="22"/>
      <c r="C74" s="23"/>
      <c r="D74" s="23"/>
      <c r="E74" s="23"/>
    </row>
    <row r="75" spans="1:5" ht="10.5" customHeight="1" x14ac:dyDescent="0.75">
      <c r="A75" s="22"/>
      <c r="B75" s="22"/>
      <c r="C75" s="23"/>
      <c r="D75" s="23"/>
      <c r="E75" s="23"/>
    </row>
    <row r="76" spans="1:5" ht="10.5" customHeight="1" x14ac:dyDescent="0.75">
      <c r="A76" s="22"/>
      <c r="B76" s="22"/>
      <c r="C76" s="23"/>
      <c r="D76" s="23"/>
      <c r="E76" s="23"/>
    </row>
    <row r="77" spans="1:5" ht="10.5" customHeight="1" x14ac:dyDescent="0.75">
      <c r="A77" s="22"/>
      <c r="B77" s="22"/>
      <c r="C77" s="23"/>
      <c r="D77" s="23"/>
      <c r="E77" s="23"/>
    </row>
    <row r="78" spans="1:5" ht="10.5" customHeight="1" x14ac:dyDescent="0.75">
      <c r="A78" s="22"/>
      <c r="B78" s="22"/>
      <c r="C78" s="23"/>
      <c r="D78" s="23"/>
      <c r="E78" s="23"/>
    </row>
    <row r="79" spans="1:5" ht="10.5" customHeight="1" x14ac:dyDescent="0.75">
      <c r="A79" s="22"/>
      <c r="B79" s="22"/>
      <c r="C79" s="23"/>
      <c r="D79" s="23"/>
      <c r="E79" s="23"/>
    </row>
    <row r="80" spans="1:5" ht="10.5" customHeight="1" x14ac:dyDescent="0.75">
      <c r="A80" s="22"/>
      <c r="B80" s="22"/>
      <c r="C80" s="23"/>
      <c r="D80" s="23"/>
      <c r="E80" s="23"/>
    </row>
    <row r="81" spans="1:5" ht="10.5" customHeight="1" x14ac:dyDescent="0.75">
      <c r="A81" s="22"/>
      <c r="B81" s="22"/>
      <c r="C81" s="23"/>
      <c r="D81" s="23"/>
      <c r="E81" s="23"/>
    </row>
    <row r="82" spans="1:5" ht="10.5" customHeight="1" x14ac:dyDescent="0.75">
      <c r="A82" s="22"/>
      <c r="B82" s="22"/>
      <c r="C82" s="23"/>
      <c r="D82" s="23"/>
      <c r="E82" s="23"/>
    </row>
    <row r="83" spans="1:5" ht="10.5" customHeight="1" x14ac:dyDescent="0.75">
      <c r="A83" s="22"/>
      <c r="B83" s="22"/>
      <c r="C83" s="23"/>
      <c r="D83" s="23"/>
      <c r="E83" s="23"/>
    </row>
    <row r="84" spans="1:5" ht="10.5" customHeight="1" x14ac:dyDescent="0.75">
      <c r="A84" s="22"/>
      <c r="B84" s="22"/>
      <c r="C84" s="23"/>
      <c r="D84" s="23"/>
      <c r="E84" s="23"/>
    </row>
    <row r="85" spans="1:5" ht="10.5" customHeight="1" x14ac:dyDescent="0.75">
      <c r="A85" s="22"/>
      <c r="B85" s="22"/>
      <c r="C85" s="23"/>
      <c r="D85" s="23"/>
      <c r="E85" s="23"/>
    </row>
    <row r="86" spans="1:5" ht="10.5" customHeight="1" x14ac:dyDescent="0.75">
      <c r="A86" s="22"/>
      <c r="B86" s="22"/>
      <c r="C86" s="23"/>
      <c r="D86" s="23"/>
      <c r="E86" s="23"/>
    </row>
    <row r="87" spans="1:5" ht="10.5" customHeight="1" x14ac:dyDescent="0.75">
      <c r="A87" s="22"/>
      <c r="B87" s="22"/>
      <c r="C87" s="23"/>
      <c r="D87" s="23"/>
      <c r="E87" s="23"/>
    </row>
    <row r="88" spans="1:5" ht="10.5" customHeight="1" x14ac:dyDescent="0.75">
      <c r="A88" s="22"/>
      <c r="B88" s="22"/>
      <c r="C88" s="23"/>
      <c r="D88" s="23"/>
      <c r="E88" s="23"/>
    </row>
    <row r="89" spans="1:5" ht="10.5" customHeight="1" x14ac:dyDescent="0.75">
      <c r="A89" s="22"/>
      <c r="B89" s="22"/>
      <c r="C89" s="23"/>
      <c r="D89" s="23"/>
      <c r="E89" s="23"/>
    </row>
    <row r="90" spans="1:5" ht="10.5" customHeight="1" x14ac:dyDescent="0.75">
      <c r="A90" s="22"/>
      <c r="B90" s="22"/>
      <c r="C90" s="23"/>
      <c r="D90" s="23"/>
      <c r="E90" s="23"/>
    </row>
    <row r="91" spans="1:5" ht="10.5" customHeight="1" x14ac:dyDescent="0.75">
      <c r="A91" s="22"/>
      <c r="B91" s="22"/>
      <c r="C91" s="23"/>
      <c r="D91" s="23"/>
      <c r="E91" s="23"/>
    </row>
    <row r="92" spans="1:5" ht="10.5" customHeight="1" x14ac:dyDescent="0.75">
      <c r="A92" s="22"/>
      <c r="B92" s="22"/>
      <c r="C92" s="23"/>
      <c r="D92" s="23"/>
      <c r="E92" s="23"/>
    </row>
    <row r="93" spans="1:5" ht="10.5" customHeight="1" x14ac:dyDescent="0.75">
      <c r="A93" s="22"/>
      <c r="B93" s="22"/>
      <c r="C93" s="23"/>
      <c r="D93" s="23"/>
      <c r="E93" s="23"/>
    </row>
    <row r="94" spans="1:5" ht="10.5" customHeight="1" x14ac:dyDescent="0.75">
      <c r="A94" s="22"/>
      <c r="B94" s="22"/>
      <c r="C94" s="23"/>
      <c r="D94" s="23"/>
      <c r="E94" s="23"/>
    </row>
    <row r="95" spans="1:5" ht="10.5" customHeight="1" x14ac:dyDescent="0.75">
      <c r="A95" s="22"/>
      <c r="B95" s="22"/>
      <c r="C95" s="23"/>
      <c r="D95" s="23"/>
      <c r="E95" s="23"/>
    </row>
    <row r="96" spans="1:5" ht="10.5" customHeight="1" x14ac:dyDescent="0.75">
      <c r="A96" s="22"/>
      <c r="B96" s="22"/>
      <c r="C96" s="23"/>
      <c r="D96" s="23"/>
      <c r="E96" s="23"/>
    </row>
    <row r="97" spans="1:5" ht="10.5" customHeight="1" x14ac:dyDescent="0.75">
      <c r="A97" s="22"/>
      <c r="B97" s="22"/>
      <c r="C97" s="23"/>
      <c r="D97" s="23"/>
      <c r="E97" s="23"/>
    </row>
    <row r="98" spans="1:5" ht="10.5" customHeight="1" x14ac:dyDescent="0.75">
      <c r="A98" s="22"/>
      <c r="B98" s="22"/>
      <c r="C98" s="23"/>
      <c r="D98" s="23"/>
      <c r="E98" s="23"/>
    </row>
    <row r="99" spans="1:5" ht="10.5" customHeight="1" x14ac:dyDescent="0.75">
      <c r="A99" s="22"/>
      <c r="B99" s="22"/>
      <c r="C99" s="23"/>
      <c r="D99" s="23"/>
      <c r="E99" s="23"/>
    </row>
    <row r="100" spans="1:5" ht="10.5" customHeight="1" x14ac:dyDescent="0.75">
      <c r="A100" s="22"/>
      <c r="B100" s="22"/>
      <c r="C100" s="23"/>
      <c r="D100" s="23"/>
      <c r="E100" s="23"/>
    </row>
    <row r="101" spans="1:5" ht="10.5" customHeight="1" x14ac:dyDescent="0.75">
      <c r="A101" s="22"/>
      <c r="B101" s="22"/>
      <c r="C101" s="23"/>
      <c r="D101" s="23"/>
      <c r="E101" s="23"/>
    </row>
    <row r="102" spans="1:5" ht="10.5" customHeight="1" x14ac:dyDescent="0.75">
      <c r="A102" s="22"/>
      <c r="B102" s="22"/>
      <c r="C102" s="23"/>
      <c r="D102" s="23"/>
      <c r="E102" s="23"/>
    </row>
    <row r="103" spans="1:5" ht="10.5" customHeight="1" x14ac:dyDescent="0.75">
      <c r="A103" s="22"/>
      <c r="B103" s="22"/>
      <c r="C103" s="23"/>
      <c r="D103" s="23"/>
      <c r="E103" s="23"/>
    </row>
    <row r="104" spans="1:5" ht="10.5" customHeight="1" x14ac:dyDescent="0.75">
      <c r="A104" s="22"/>
      <c r="B104" s="22"/>
      <c r="C104" s="23"/>
      <c r="D104" s="23"/>
      <c r="E104" s="23"/>
    </row>
    <row r="105" spans="1:5" ht="10.5" customHeight="1" x14ac:dyDescent="0.75">
      <c r="A105" s="22"/>
      <c r="B105" s="22"/>
      <c r="C105" s="23"/>
      <c r="D105" s="23"/>
      <c r="E105" s="23"/>
    </row>
    <row r="106" spans="1:5" ht="10.5" customHeight="1" x14ac:dyDescent="0.75">
      <c r="A106" s="22"/>
      <c r="B106" s="22"/>
      <c r="C106" s="23"/>
      <c r="D106" s="23"/>
      <c r="E106" s="23"/>
    </row>
    <row r="107" spans="1:5" ht="10.5" customHeight="1" x14ac:dyDescent="0.75">
      <c r="A107" s="22"/>
      <c r="B107" s="22"/>
      <c r="C107" s="23"/>
      <c r="D107" s="23"/>
      <c r="E107" s="23"/>
    </row>
    <row r="108" spans="1:5" ht="10.5" customHeight="1" x14ac:dyDescent="0.75">
      <c r="A108" s="22"/>
      <c r="B108" s="22"/>
      <c r="C108" s="23"/>
      <c r="D108" s="23"/>
      <c r="E108" s="23"/>
    </row>
    <row r="109" spans="1:5" ht="10.5" customHeight="1" x14ac:dyDescent="0.75">
      <c r="A109" s="22"/>
      <c r="B109" s="22"/>
      <c r="C109" s="23"/>
      <c r="D109" s="23"/>
      <c r="E109" s="23"/>
    </row>
    <row r="110" spans="1:5" ht="10.5" customHeight="1" x14ac:dyDescent="0.75">
      <c r="A110" s="22"/>
      <c r="B110" s="22"/>
      <c r="C110" s="23"/>
      <c r="D110" s="23"/>
      <c r="E110" s="23"/>
    </row>
    <row r="111" spans="1:5" ht="10.5" customHeight="1" x14ac:dyDescent="0.75">
      <c r="A111" s="22"/>
      <c r="B111" s="22"/>
      <c r="C111" s="23"/>
      <c r="D111" s="23"/>
      <c r="E111" s="23"/>
    </row>
    <row r="112" spans="1:5" ht="10.5" customHeight="1" x14ac:dyDescent="0.75">
      <c r="A112" s="22"/>
      <c r="B112" s="22"/>
      <c r="C112" s="23"/>
      <c r="D112" s="23"/>
      <c r="E112" s="23"/>
    </row>
    <row r="113" spans="1:5" ht="10.5" customHeight="1" x14ac:dyDescent="0.75">
      <c r="A113" s="22"/>
      <c r="B113" s="22"/>
      <c r="C113" s="23"/>
      <c r="D113" s="23"/>
      <c r="E113" s="23"/>
    </row>
    <row r="114" spans="1:5" ht="10.5" customHeight="1" x14ac:dyDescent="0.75">
      <c r="A114" s="22"/>
      <c r="B114" s="22"/>
      <c r="C114" s="23"/>
      <c r="D114" s="23"/>
      <c r="E114" s="23"/>
    </row>
    <row r="115" spans="1:5" ht="10.5" customHeight="1" x14ac:dyDescent="0.75">
      <c r="A115" s="22"/>
      <c r="B115" s="22"/>
      <c r="C115" s="23"/>
      <c r="D115" s="23"/>
      <c r="E115" s="23"/>
    </row>
    <row r="116" spans="1:5" ht="10.5" customHeight="1" x14ac:dyDescent="0.75">
      <c r="A116" s="22"/>
      <c r="B116" s="22"/>
      <c r="C116" s="23"/>
      <c r="D116" s="23"/>
      <c r="E116" s="23"/>
    </row>
    <row r="117" spans="1:5" ht="10.5" customHeight="1" x14ac:dyDescent="0.75">
      <c r="A117" s="22"/>
      <c r="B117" s="22"/>
      <c r="C117" s="23"/>
      <c r="D117" s="23"/>
      <c r="E117" s="23"/>
    </row>
    <row r="118" spans="1:5" ht="10.5" customHeight="1" x14ac:dyDescent="0.75">
      <c r="A118" s="22"/>
      <c r="B118" s="22"/>
      <c r="C118" s="23"/>
      <c r="D118" s="23"/>
      <c r="E118" s="23"/>
    </row>
    <row r="119" spans="1:5" ht="10.5" customHeight="1" x14ac:dyDescent="0.75">
      <c r="A119" s="22"/>
      <c r="B119" s="22"/>
      <c r="C119" s="23"/>
      <c r="D119" s="23"/>
      <c r="E119" s="23"/>
    </row>
    <row r="120" spans="1:5" ht="10.5" customHeight="1" x14ac:dyDescent="0.75">
      <c r="A120" s="22"/>
      <c r="B120" s="22"/>
      <c r="C120" s="23"/>
      <c r="D120" s="23"/>
      <c r="E120" s="23"/>
    </row>
    <row r="121" spans="1:5" ht="10.5" customHeight="1" x14ac:dyDescent="0.75">
      <c r="A121" s="22"/>
      <c r="B121" s="22"/>
      <c r="C121" s="23"/>
      <c r="D121" s="23"/>
      <c r="E121" s="23"/>
    </row>
    <row r="122" spans="1:5" ht="10.5" customHeight="1" x14ac:dyDescent="0.75">
      <c r="A122" s="22"/>
      <c r="B122" s="22"/>
      <c r="C122" s="23"/>
      <c r="D122" s="23"/>
      <c r="E122" s="23"/>
    </row>
    <row r="123" spans="1:5" ht="10.5" customHeight="1" x14ac:dyDescent="0.75">
      <c r="A123" s="22"/>
      <c r="B123" s="22"/>
      <c r="C123" s="23"/>
      <c r="D123" s="23"/>
      <c r="E123" s="23"/>
    </row>
    <row r="124" spans="1:5" ht="10.5" customHeight="1" x14ac:dyDescent="0.75">
      <c r="A124" s="22"/>
      <c r="B124" s="22"/>
      <c r="C124" s="23"/>
      <c r="D124" s="23"/>
      <c r="E124" s="23"/>
    </row>
    <row r="125" spans="1:5" ht="10.5" customHeight="1" x14ac:dyDescent="0.75">
      <c r="A125" s="22"/>
      <c r="B125" s="22"/>
      <c r="C125" s="23"/>
      <c r="D125" s="23"/>
      <c r="E125" s="23"/>
    </row>
    <row r="126" spans="1:5" ht="10.5" customHeight="1" x14ac:dyDescent="0.75">
      <c r="A126" s="22"/>
      <c r="B126" s="22"/>
      <c r="C126" s="23"/>
      <c r="D126" s="23"/>
      <c r="E126" s="23"/>
    </row>
    <row r="127" spans="1:5" ht="10.5" customHeight="1" x14ac:dyDescent="0.75">
      <c r="A127" s="22"/>
      <c r="B127" s="22"/>
      <c r="C127" s="23"/>
      <c r="D127" s="23"/>
      <c r="E127" s="23"/>
    </row>
    <row r="128" spans="1:5" ht="10.5" customHeight="1" x14ac:dyDescent="0.75">
      <c r="A128" s="22"/>
      <c r="B128" s="22"/>
      <c r="C128" s="23"/>
      <c r="D128" s="23"/>
      <c r="E128" s="23"/>
    </row>
    <row r="129" spans="1:5" ht="10.5" customHeight="1" x14ac:dyDescent="0.75">
      <c r="A129" s="22"/>
      <c r="B129" s="22"/>
      <c r="C129" s="23"/>
      <c r="D129" s="23"/>
      <c r="E129" s="23"/>
    </row>
    <row r="130" spans="1:5" ht="10.5" customHeight="1" x14ac:dyDescent="0.75">
      <c r="A130" s="22"/>
      <c r="B130" s="22"/>
      <c r="C130" s="23"/>
      <c r="D130" s="23"/>
      <c r="E130" s="23"/>
    </row>
    <row r="131" spans="1:5" ht="10.5" customHeight="1" x14ac:dyDescent="0.75">
      <c r="A131" s="22"/>
      <c r="B131" s="22"/>
      <c r="C131" s="23"/>
      <c r="D131" s="23"/>
      <c r="E131" s="23"/>
    </row>
    <row r="132" spans="1:5" ht="10.5" customHeight="1" x14ac:dyDescent="0.75">
      <c r="A132" s="22"/>
      <c r="B132" s="22"/>
      <c r="C132" s="23"/>
      <c r="D132" s="23"/>
      <c r="E132" s="23"/>
    </row>
    <row r="133" spans="1:5" ht="10.5" customHeight="1" x14ac:dyDescent="0.75">
      <c r="A133" s="22"/>
      <c r="B133" s="22"/>
      <c r="C133" s="23"/>
      <c r="D133" s="23"/>
      <c r="E133" s="23"/>
    </row>
    <row r="134" spans="1:5" ht="10.5" customHeight="1" x14ac:dyDescent="0.75">
      <c r="A134" s="22"/>
      <c r="B134" s="22"/>
      <c r="C134" s="23"/>
      <c r="D134" s="23"/>
      <c r="E134" s="23"/>
    </row>
    <row r="135" spans="1:5" ht="10.5" customHeight="1" x14ac:dyDescent="0.75">
      <c r="A135" s="22"/>
      <c r="B135" s="22"/>
      <c r="C135" s="23"/>
      <c r="D135" s="23"/>
      <c r="E135" s="23"/>
    </row>
    <row r="136" spans="1:5" ht="10.5" customHeight="1" x14ac:dyDescent="0.75">
      <c r="A136" s="22"/>
      <c r="B136" s="22"/>
      <c r="C136" s="23"/>
      <c r="D136" s="23"/>
      <c r="E136" s="23"/>
    </row>
    <row r="137" spans="1:5" ht="10.5" customHeight="1" x14ac:dyDescent="0.75">
      <c r="A137" s="22"/>
      <c r="B137" s="22"/>
      <c r="C137" s="23"/>
      <c r="D137" s="23"/>
      <c r="E137" s="23"/>
    </row>
    <row r="138" spans="1:5" ht="10.5" customHeight="1" x14ac:dyDescent="0.75">
      <c r="A138" s="22"/>
      <c r="B138" s="22"/>
      <c r="C138" s="23"/>
      <c r="D138" s="23"/>
      <c r="E138" s="23"/>
    </row>
    <row r="139" spans="1:5" ht="10.5" customHeight="1" x14ac:dyDescent="0.75">
      <c r="A139" s="22"/>
      <c r="B139" s="22"/>
      <c r="C139" s="23"/>
      <c r="D139" s="23"/>
      <c r="E139" s="23"/>
    </row>
    <row r="140" spans="1:5" ht="10.5" customHeight="1" x14ac:dyDescent="0.75">
      <c r="A140" s="22"/>
      <c r="B140" s="22"/>
      <c r="C140" s="23"/>
      <c r="D140" s="23"/>
      <c r="E140" s="23"/>
    </row>
    <row r="141" spans="1:5" ht="10.5" customHeight="1" x14ac:dyDescent="0.75">
      <c r="A141" s="22"/>
      <c r="B141" s="22"/>
      <c r="C141" s="23"/>
      <c r="D141" s="23"/>
      <c r="E141" s="23"/>
    </row>
    <row r="142" spans="1:5" ht="10.5" customHeight="1" x14ac:dyDescent="0.75">
      <c r="A142" s="22"/>
      <c r="B142" s="22"/>
      <c r="C142" s="23"/>
      <c r="D142" s="23"/>
      <c r="E142" s="23"/>
    </row>
    <row r="143" spans="1:5" ht="10.5" customHeight="1" x14ac:dyDescent="0.75">
      <c r="A143" s="22"/>
      <c r="B143" s="22"/>
      <c r="C143" s="23"/>
      <c r="D143" s="23"/>
      <c r="E143" s="23"/>
    </row>
    <row r="144" spans="1:5" ht="10.5" customHeight="1" x14ac:dyDescent="0.75">
      <c r="A144" s="22"/>
      <c r="B144" s="22"/>
      <c r="C144" s="23"/>
      <c r="D144" s="23"/>
      <c r="E144" s="23"/>
    </row>
    <row r="145" spans="1:5" ht="10.5" customHeight="1" x14ac:dyDescent="0.75">
      <c r="A145" s="22"/>
      <c r="B145" s="22"/>
      <c r="C145" s="23"/>
      <c r="D145" s="23"/>
      <c r="E145" s="23"/>
    </row>
    <row r="146" spans="1:5" ht="10.5" customHeight="1" x14ac:dyDescent="0.75">
      <c r="A146" s="22"/>
      <c r="B146" s="22"/>
      <c r="C146" s="23"/>
      <c r="D146" s="23"/>
      <c r="E146" s="23"/>
    </row>
    <row r="147" spans="1:5" ht="10.5" customHeight="1" x14ac:dyDescent="0.75">
      <c r="A147" s="22"/>
      <c r="B147" s="22"/>
      <c r="C147" s="23"/>
      <c r="D147" s="23"/>
      <c r="E147" s="23"/>
    </row>
    <row r="148" spans="1:5" ht="10.5" customHeight="1" x14ac:dyDescent="0.75">
      <c r="A148" s="22"/>
      <c r="B148" s="22"/>
      <c r="C148" s="23"/>
      <c r="D148" s="23"/>
      <c r="E148" s="23"/>
    </row>
    <row r="149" spans="1:5" ht="10.5" customHeight="1" x14ac:dyDescent="0.75">
      <c r="A149" s="22"/>
      <c r="B149" s="22"/>
      <c r="C149" s="23"/>
      <c r="D149" s="23"/>
      <c r="E149" s="23"/>
    </row>
    <row r="150" spans="1:5" ht="10.5" customHeight="1" x14ac:dyDescent="0.75">
      <c r="A150" s="22"/>
      <c r="B150" s="22"/>
      <c r="C150" s="23"/>
      <c r="D150" s="23"/>
      <c r="E150" s="23"/>
    </row>
    <row r="151" spans="1:5" ht="10.5" customHeight="1" x14ac:dyDescent="0.75">
      <c r="A151" s="22"/>
      <c r="B151" s="22"/>
      <c r="C151" s="23"/>
      <c r="D151" s="23"/>
      <c r="E151" s="23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D492-8B73-4FE8-BCAB-F0B5697AD3BA}">
  <dimension ref="A1:F73"/>
  <sheetViews>
    <sheetView zoomScaleNormal="100" workbookViewId="0">
      <selection activeCell="J12" sqref="J12"/>
    </sheetView>
  </sheetViews>
  <sheetFormatPr defaultRowHeight="14.75" x14ac:dyDescent="0.75"/>
  <cols>
    <col min="1" max="2" width="9" customWidth="1"/>
    <col min="3" max="3" width="8.1328125" customWidth="1"/>
    <col min="4" max="4" width="38.26953125" customWidth="1"/>
    <col min="5" max="5" width="12.86328125" customWidth="1"/>
  </cols>
  <sheetData>
    <row r="1" spans="1:6" x14ac:dyDescent="0.75">
      <c r="A1" s="161" t="s">
        <v>492</v>
      </c>
    </row>
    <row r="3" spans="1:6" x14ac:dyDescent="0.75">
      <c r="A3" s="143" t="s">
        <v>136</v>
      </c>
      <c r="B3" s="143" t="s">
        <v>137</v>
      </c>
      <c r="C3" s="143" t="s">
        <v>9</v>
      </c>
      <c r="D3" s="143" t="s">
        <v>132</v>
      </c>
      <c r="E3" s="143" t="s">
        <v>560</v>
      </c>
      <c r="F3" s="201" t="s">
        <v>88</v>
      </c>
    </row>
    <row r="4" spans="1:6" s="127" customFormat="1" x14ac:dyDescent="0.75">
      <c r="A4" s="130">
        <v>44188</v>
      </c>
      <c r="B4" s="130">
        <v>44208</v>
      </c>
      <c r="C4" s="129" t="s">
        <v>561</v>
      </c>
      <c r="D4" s="132" t="s">
        <v>563</v>
      </c>
      <c r="E4" s="132">
        <v>1</v>
      </c>
      <c r="F4" s="132" t="str">
        <f>IF(Table11[[#This Row],[Description]]="","-","+")</f>
        <v>+</v>
      </c>
    </row>
    <row r="5" spans="1:6" s="127" customFormat="1" x14ac:dyDescent="0.75">
      <c r="A5" s="130">
        <v>44194</v>
      </c>
      <c r="B5" s="130">
        <v>44236</v>
      </c>
      <c r="C5" s="129" t="s">
        <v>561</v>
      </c>
      <c r="D5" s="132" t="s">
        <v>564</v>
      </c>
      <c r="E5" s="132">
        <v>2</v>
      </c>
      <c r="F5" s="132" t="str">
        <f>IF(Table11[[#This Row],[Description]]="","-","+")</f>
        <v>+</v>
      </c>
    </row>
    <row r="6" spans="1:6" s="127" customFormat="1" x14ac:dyDescent="0.75">
      <c r="A6" s="130">
        <v>44194</v>
      </c>
      <c r="B6" s="130"/>
      <c r="C6" s="129" t="s">
        <v>562</v>
      </c>
      <c r="D6" s="132" t="s">
        <v>568</v>
      </c>
      <c r="E6" s="132">
        <v>3</v>
      </c>
      <c r="F6" s="132" t="str">
        <f>IF(Table11[[#This Row],[Description]]="","-","+")</f>
        <v>+</v>
      </c>
    </row>
    <row r="7" spans="1:6" x14ac:dyDescent="0.75">
      <c r="A7" s="130">
        <v>44194</v>
      </c>
      <c r="B7" s="130">
        <v>44235</v>
      </c>
      <c r="C7" s="129" t="s">
        <v>561</v>
      </c>
      <c r="D7" s="132" t="s">
        <v>565</v>
      </c>
      <c r="E7" s="132">
        <v>4</v>
      </c>
      <c r="F7" s="132" t="str">
        <f>IF(Table11[[#This Row],[Description]]="","-","+")</f>
        <v>+</v>
      </c>
    </row>
    <row r="8" spans="1:6" ht="21.5" x14ac:dyDescent="0.75">
      <c r="A8" s="130">
        <v>44208</v>
      </c>
      <c r="B8" s="130"/>
      <c r="C8" s="129" t="s">
        <v>562</v>
      </c>
      <c r="D8" s="132" t="s">
        <v>566</v>
      </c>
      <c r="E8" s="132">
        <v>5</v>
      </c>
      <c r="F8" s="132" t="str">
        <f>IF(Table11[[#This Row],[Description]]="","-","+")</f>
        <v>+</v>
      </c>
    </row>
    <row r="9" spans="1:6" x14ac:dyDescent="0.75">
      <c r="A9" s="130">
        <v>44259</v>
      </c>
      <c r="B9" s="130"/>
      <c r="C9" s="129" t="s">
        <v>562</v>
      </c>
      <c r="D9" s="132" t="s">
        <v>567</v>
      </c>
      <c r="E9" s="132">
        <v>6</v>
      </c>
      <c r="F9" s="132" t="str">
        <f>IF(Table11[[#This Row],[Description]]="","-","+")</f>
        <v>+</v>
      </c>
    </row>
    <row r="10" spans="1:6" x14ac:dyDescent="0.75">
      <c r="A10" s="130"/>
      <c r="B10" s="130"/>
      <c r="C10" s="129"/>
      <c r="D10" s="132"/>
      <c r="E10" s="132"/>
      <c r="F10" s="132" t="str">
        <f>IF(Table11[[#This Row],[Description]]="","-","+")</f>
        <v>-</v>
      </c>
    </row>
    <row r="11" spans="1:6" x14ac:dyDescent="0.75">
      <c r="A11" s="130"/>
      <c r="B11" s="130"/>
      <c r="C11" s="129"/>
      <c r="D11" s="132"/>
      <c r="E11" s="132"/>
      <c r="F11" s="132" t="str">
        <f>IF(Table11[[#This Row],[Description]]="","-","+")</f>
        <v>-</v>
      </c>
    </row>
    <row r="12" spans="1:6" x14ac:dyDescent="0.75">
      <c r="A12" s="130"/>
      <c r="B12" s="130"/>
      <c r="C12" s="129"/>
      <c r="D12" s="132"/>
      <c r="E12" s="132"/>
      <c r="F12" s="132" t="str">
        <f>IF(Table11[[#This Row],[Description]]="","-","+")</f>
        <v>-</v>
      </c>
    </row>
    <row r="13" spans="1:6" x14ac:dyDescent="0.75">
      <c r="A13" s="130"/>
      <c r="B13" s="130"/>
      <c r="C13" s="129"/>
      <c r="D13" s="132"/>
      <c r="E13" s="132"/>
      <c r="F13" s="132" t="str">
        <f>IF(Table11[[#This Row],[Description]]="","-","+")</f>
        <v>-</v>
      </c>
    </row>
    <row r="14" spans="1:6" x14ac:dyDescent="0.75">
      <c r="A14" s="130"/>
      <c r="B14" s="130"/>
      <c r="C14" s="129"/>
      <c r="D14" s="132"/>
      <c r="E14" s="132"/>
      <c r="F14" s="132" t="str">
        <f>IF(Table11[[#This Row],[Description]]="","-","+")</f>
        <v>-</v>
      </c>
    </row>
    <row r="15" spans="1:6" x14ac:dyDescent="0.75">
      <c r="A15" s="130"/>
      <c r="B15" s="130"/>
      <c r="C15" s="129"/>
      <c r="D15" s="132"/>
      <c r="E15" s="132"/>
      <c r="F15" s="132" t="str">
        <f>IF(Table11[[#This Row],[Description]]="","-","+")</f>
        <v>-</v>
      </c>
    </row>
    <row r="16" spans="1:6" x14ac:dyDescent="0.75">
      <c r="A16" s="130"/>
      <c r="B16" s="130"/>
      <c r="C16" s="129"/>
      <c r="D16" s="132"/>
      <c r="E16" s="132"/>
      <c r="F16" s="132" t="str">
        <f>IF(Table11[[#This Row],[Description]]="","-","+")</f>
        <v>-</v>
      </c>
    </row>
    <row r="17" spans="1:6" x14ac:dyDescent="0.75">
      <c r="A17" s="130"/>
      <c r="B17" s="130"/>
      <c r="C17" s="129"/>
      <c r="D17" s="132"/>
      <c r="E17" s="132"/>
      <c r="F17" s="132" t="str">
        <f>IF(Table11[[#This Row],[Description]]="","-","+")</f>
        <v>-</v>
      </c>
    </row>
    <row r="18" spans="1:6" x14ac:dyDescent="0.75">
      <c r="A18" s="131"/>
      <c r="B18" s="131"/>
      <c r="C18" s="132"/>
      <c r="D18" s="132"/>
      <c r="E18" s="132"/>
      <c r="F18" s="132" t="str">
        <f>IF(Table11[[#This Row],[Description]]="","-","+")</f>
        <v>-</v>
      </c>
    </row>
    <row r="19" spans="1:6" x14ac:dyDescent="0.75">
      <c r="A19" s="131"/>
      <c r="B19" s="131"/>
      <c r="C19" s="132"/>
      <c r="D19" s="132"/>
      <c r="E19" s="132"/>
      <c r="F19" s="132" t="str">
        <f>IF(Table11[[#This Row],[Description]]="","-","+")</f>
        <v>-</v>
      </c>
    </row>
    <row r="20" spans="1:6" x14ac:dyDescent="0.75">
      <c r="A20" s="131"/>
      <c r="B20" s="131"/>
      <c r="C20" s="132"/>
      <c r="D20" s="132"/>
      <c r="E20" s="132"/>
      <c r="F20" s="132" t="str">
        <f>IF(Table11[[#This Row],[Description]]="","-","+")</f>
        <v>-</v>
      </c>
    </row>
    <row r="21" spans="1:6" x14ac:dyDescent="0.75">
      <c r="A21" s="131"/>
      <c r="B21" s="131"/>
      <c r="C21" s="132"/>
      <c r="D21" s="132"/>
      <c r="E21" s="132"/>
      <c r="F21" s="132" t="str">
        <f>IF(Table11[[#This Row],[Description]]="","-","+")</f>
        <v>-</v>
      </c>
    </row>
    <row r="22" spans="1:6" x14ac:dyDescent="0.75">
      <c r="A22" s="131"/>
      <c r="B22" s="131"/>
      <c r="C22" s="132"/>
      <c r="D22" s="132"/>
      <c r="E22" s="132"/>
      <c r="F22" s="132" t="str">
        <f>IF(Table11[[#This Row],[Description]]="","-","+")</f>
        <v>-</v>
      </c>
    </row>
    <row r="23" spans="1:6" x14ac:dyDescent="0.75">
      <c r="A23" s="131"/>
      <c r="B23" s="131"/>
      <c r="C23" s="132"/>
      <c r="D23" s="132"/>
      <c r="E23" s="132"/>
      <c r="F23" s="132" t="str">
        <f>IF(Table11[[#This Row],[Description]]="","-","+")</f>
        <v>-</v>
      </c>
    </row>
    <row r="24" spans="1:6" x14ac:dyDescent="0.75">
      <c r="A24" s="131"/>
      <c r="B24" s="131"/>
      <c r="C24" s="132"/>
      <c r="D24" s="132"/>
      <c r="E24" s="132"/>
      <c r="F24" s="132" t="str">
        <f>IF(Table11[[#This Row],[Description]]="","-","+")</f>
        <v>-</v>
      </c>
    </row>
    <row r="25" spans="1:6" x14ac:dyDescent="0.75">
      <c r="A25" s="131"/>
      <c r="B25" s="131"/>
      <c r="C25" s="132"/>
      <c r="D25" s="132"/>
      <c r="E25" s="132"/>
      <c r="F25" s="132" t="str">
        <f>IF(Table11[[#This Row],[Description]]="","-","+")</f>
        <v>-</v>
      </c>
    </row>
    <row r="26" spans="1:6" x14ac:dyDescent="0.75">
      <c r="A26" s="131"/>
      <c r="B26" s="131"/>
      <c r="C26" s="132"/>
      <c r="D26" s="132"/>
      <c r="E26" s="132"/>
      <c r="F26" s="132" t="str">
        <f>IF(Table11[[#This Row],[Description]]="","-","+")</f>
        <v>-</v>
      </c>
    </row>
    <row r="27" spans="1:6" x14ac:dyDescent="0.75">
      <c r="A27" s="131"/>
      <c r="B27" s="131"/>
      <c r="C27" s="132"/>
      <c r="D27" s="132"/>
      <c r="E27" s="132"/>
      <c r="F27" s="132" t="str">
        <f>IF(Table11[[#This Row],[Description]]="","-","+")</f>
        <v>-</v>
      </c>
    </row>
    <row r="28" spans="1:6" x14ac:dyDescent="0.75">
      <c r="A28" s="131"/>
      <c r="B28" s="131"/>
      <c r="C28" s="132"/>
      <c r="D28" s="132"/>
      <c r="E28" s="132"/>
      <c r="F28" s="132" t="str">
        <f>IF(Table11[[#This Row],[Description]]="","-","+")</f>
        <v>-</v>
      </c>
    </row>
    <row r="29" spans="1:6" x14ac:dyDescent="0.75">
      <c r="A29" s="131"/>
      <c r="B29" s="131"/>
      <c r="C29" s="132"/>
      <c r="D29" s="132"/>
      <c r="E29" s="132"/>
      <c r="F29" s="132" t="str">
        <f>IF(Table11[[#This Row],[Description]]="","-","+")</f>
        <v>-</v>
      </c>
    </row>
    <row r="30" spans="1:6" x14ac:dyDescent="0.75">
      <c r="A30" s="131"/>
      <c r="B30" s="131"/>
      <c r="C30" s="132"/>
      <c r="D30" s="132"/>
      <c r="E30" s="132"/>
      <c r="F30" s="132" t="str">
        <f>IF(Table11[[#This Row],[Description]]="","-","+")</f>
        <v>-</v>
      </c>
    </row>
    <row r="31" spans="1:6" x14ac:dyDescent="0.75">
      <c r="A31" s="131"/>
      <c r="B31" s="131"/>
      <c r="C31" s="132"/>
      <c r="D31" s="132"/>
      <c r="E31" s="132"/>
      <c r="F31" s="132" t="str">
        <f>IF(Table11[[#This Row],[Description]]="","-","+")</f>
        <v>-</v>
      </c>
    </row>
    <row r="32" spans="1:6" x14ac:dyDescent="0.75">
      <c r="A32" s="131"/>
      <c r="B32" s="131"/>
      <c r="C32" s="132"/>
      <c r="D32" s="132"/>
      <c r="E32" s="132"/>
      <c r="F32" s="132" t="str">
        <f>IF(Table11[[#This Row],[Description]]="","-","+")</f>
        <v>-</v>
      </c>
    </row>
    <row r="33" spans="1:6" x14ac:dyDescent="0.75">
      <c r="A33" s="131"/>
      <c r="B33" s="131"/>
      <c r="C33" s="132"/>
      <c r="D33" s="132"/>
      <c r="E33" s="132"/>
      <c r="F33" s="132" t="str">
        <f>IF(Table11[[#This Row],[Description]]="","-","+")</f>
        <v>-</v>
      </c>
    </row>
    <row r="34" spans="1:6" x14ac:dyDescent="0.75">
      <c r="A34" s="131"/>
      <c r="B34" s="131"/>
      <c r="C34" s="132"/>
      <c r="D34" s="132"/>
      <c r="E34" s="132"/>
      <c r="F34" s="132" t="str">
        <f>IF(Table11[[#This Row],[Description]]="","-","+")</f>
        <v>-</v>
      </c>
    </row>
    <row r="35" spans="1:6" x14ac:dyDescent="0.75">
      <c r="A35" s="131"/>
      <c r="B35" s="131"/>
      <c r="C35" s="132"/>
      <c r="D35" s="132"/>
      <c r="E35" s="132"/>
      <c r="F35" s="132" t="str">
        <f>IF(Table11[[#This Row],[Description]]="","-","+")</f>
        <v>-</v>
      </c>
    </row>
    <row r="36" spans="1:6" x14ac:dyDescent="0.75">
      <c r="A36" s="131"/>
      <c r="B36" s="131"/>
      <c r="C36" s="132"/>
      <c r="D36" s="132"/>
      <c r="E36" s="132"/>
      <c r="F36" s="132" t="str">
        <f>IF(Table11[[#This Row],[Description]]="","-","+")</f>
        <v>-</v>
      </c>
    </row>
    <row r="37" spans="1:6" x14ac:dyDescent="0.75">
      <c r="A37" s="131"/>
      <c r="B37" s="131"/>
      <c r="C37" s="132"/>
      <c r="D37" s="132"/>
      <c r="E37" s="132"/>
      <c r="F37" s="132" t="str">
        <f>IF(Table11[[#This Row],[Description]]="","-","+")</f>
        <v>-</v>
      </c>
    </row>
    <row r="38" spans="1:6" x14ac:dyDescent="0.75">
      <c r="A38" s="131"/>
      <c r="B38" s="131"/>
      <c r="C38" s="132"/>
      <c r="D38" s="132"/>
      <c r="E38" s="132"/>
      <c r="F38" s="132" t="str">
        <f>IF(Table11[[#This Row],[Description]]="","-","+")</f>
        <v>-</v>
      </c>
    </row>
    <row r="39" spans="1:6" x14ac:dyDescent="0.75">
      <c r="A39" s="131"/>
      <c r="B39" s="131"/>
      <c r="C39" s="132"/>
      <c r="D39" s="132"/>
      <c r="E39" s="132"/>
      <c r="F39" s="132" t="str">
        <f>IF(Table11[[#This Row],[Description]]="","-","+")</f>
        <v>-</v>
      </c>
    </row>
    <row r="40" spans="1:6" x14ac:dyDescent="0.75">
      <c r="A40" s="131"/>
      <c r="B40" s="131"/>
      <c r="C40" s="132"/>
      <c r="D40" s="132"/>
      <c r="E40" s="132"/>
      <c r="F40" s="132" t="str">
        <f>IF(Table11[[#This Row],[Description]]="","-","+")</f>
        <v>-</v>
      </c>
    </row>
    <row r="41" spans="1:6" x14ac:dyDescent="0.75">
      <c r="A41" s="131"/>
      <c r="B41" s="131"/>
      <c r="C41" s="132"/>
      <c r="D41" s="132"/>
      <c r="E41" s="132"/>
      <c r="F41" s="132" t="str">
        <f>IF(Table11[[#This Row],[Description]]="","-","+")</f>
        <v>-</v>
      </c>
    </row>
    <row r="42" spans="1:6" x14ac:dyDescent="0.75">
      <c r="A42" s="131"/>
      <c r="B42" s="131"/>
      <c r="C42" s="132"/>
      <c r="D42" s="132"/>
      <c r="E42" s="132"/>
      <c r="F42" s="132" t="str">
        <f>IF(Table11[[#This Row],[Description]]="","-","+")</f>
        <v>-</v>
      </c>
    </row>
    <row r="43" spans="1:6" x14ac:dyDescent="0.75">
      <c r="A43" s="131"/>
      <c r="B43" s="131"/>
      <c r="C43" s="132"/>
      <c r="D43" s="132"/>
      <c r="E43" s="132"/>
      <c r="F43" s="132" t="str">
        <f>IF(Table11[[#This Row],[Description]]="","-","+")</f>
        <v>-</v>
      </c>
    </row>
    <row r="44" spans="1:6" x14ac:dyDescent="0.75">
      <c r="A44" s="131"/>
      <c r="B44" s="131"/>
      <c r="C44" s="132"/>
      <c r="D44" s="132"/>
      <c r="E44" s="132"/>
      <c r="F44" s="132" t="str">
        <f>IF(Table11[[#This Row],[Description]]="","-","+")</f>
        <v>-</v>
      </c>
    </row>
    <row r="45" spans="1:6" x14ac:dyDescent="0.75">
      <c r="A45" s="131"/>
      <c r="B45" s="131"/>
      <c r="C45" s="132"/>
      <c r="D45" s="132"/>
      <c r="E45" s="132"/>
      <c r="F45" s="132" t="str">
        <f>IF(Table11[[#This Row],[Description]]="","-","+")</f>
        <v>-</v>
      </c>
    </row>
    <row r="46" spans="1:6" x14ac:dyDescent="0.75">
      <c r="A46" s="131"/>
      <c r="B46" s="131"/>
      <c r="C46" s="132"/>
      <c r="D46" s="132"/>
      <c r="E46" s="132"/>
      <c r="F46" s="132" t="str">
        <f>IF(Table11[[#This Row],[Description]]="","-","+")</f>
        <v>-</v>
      </c>
    </row>
    <row r="47" spans="1:6" x14ac:dyDescent="0.75">
      <c r="A47" s="131"/>
      <c r="B47" s="131"/>
      <c r="C47" s="132"/>
      <c r="D47" s="132"/>
      <c r="E47" s="132"/>
      <c r="F47" s="132" t="str">
        <f>IF(Table11[[#This Row],[Description]]="","-","+")</f>
        <v>-</v>
      </c>
    </row>
    <row r="48" spans="1:6" x14ac:dyDescent="0.75">
      <c r="A48" s="131"/>
      <c r="B48" s="131"/>
      <c r="C48" s="132"/>
      <c r="D48" s="132"/>
      <c r="E48" s="132"/>
      <c r="F48" s="132" t="str">
        <f>IF(Table11[[#This Row],[Description]]="","-","+")</f>
        <v>-</v>
      </c>
    </row>
    <row r="49" spans="1:6" x14ac:dyDescent="0.75">
      <c r="A49" s="131"/>
      <c r="B49" s="131"/>
      <c r="C49" s="132"/>
      <c r="D49" s="132"/>
      <c r="E49" s="132"/>
      <c r="F49" s="132" t="str">
        <f>IF(Table11[[#This Row],[Description]]="","-","+")</f>
        <v>-</v>
      </c>
    </row>
    <row r="50" spans="1:6" x14ac:dyDescent="0.75">
      <c r="A50" s="131"/>
      <c r="B50" s="131"/>
      <c r="C50" s="132"/>
      <c r="D50" s="132"/>
      <c r="E50" s="132"/>
      <c r="F50" s="132" t="str">
        <f>IF(Table11[[#This Row],[Description]]="","-","+")</f>
        <v>-</v>
      </c>
    </row>
    <row r="51" spans="1:6" x14ac:dyDescent="0.75">
      <c r="A51" s="131"/>
      <c r="B51" s="131"/>
      <c r="C51" s="132"/>
      <c r="D51" s="132"/>
      <c r="E51" s="132"/>
      <c r="F51" s="132" t="str">
        <f>IF(Table11[[#This Row],[Description]]="","-","+")</f>
        <v>-</v>
      </c>
    </row>
    <row r="52" spans="1:6" x14ac:dyDescent="0.75">
      <c r="A52" s="131"/>
      <c r="B52" s="131"/>
      <c r="C52" s="132"/>
      <c r="D52" s="132"/>
      <c r="E52" s="132"/>
      <c r="F52" s="132" t="str">
        <f>IF(Table11[[#This Row],[Description]]="","-","+")</f>
        <v>-</v>
      </c>
    </row>
    <row r="53" spans="1:6" x14ac:dyDescent="0.75">
      <c r="A53" s="131"/>
      <c r="B53" s="131"/>
      <c r="C53" s="132"/>
      <c r="D53" s="132"/>
      <c r="E53" s="132"/>
      <c r="F53" s="132" t="str">
        <f>IF(Table11[[#This Row],[Description]]="","-","+")</f>
        <v>-</v>
      </c>
    </row>
    <row r="54" spans="1:6" x14ac:dyDescent="0.75">
      <c r="A54" s="131"/>
      <c r="B54" s="131"/>
      <c r="C54" s="132"/>
      <c r="D54" s="132"/>
      <c r="E54" s="132"/>
      <c r="F54" s="132" t="str">
        <f>IF(Table11[[#This Row],[Description]]="","-","+")</f>
        <v>-</v>
      </c>
    </row>
    <row r="55" spans="1:6" x14ac:dyDescent="0.75">
      <c r="A55" s="131"/>
      <c r="B55" s="131"/>
      <c r="C55" s="132"/>
      <c r="D55" s="132"/>
      <c r="E55" s="132"/>
      <c r="F55" s="132" t="str">
        <f>IF(Table11[[#This Row],[Description]]="","-","+")</f>
        <v>-</v>
      </c>
    </row>
    <row r="56" spans="1:6" x14ac:dyDescent="0.75">
      <c r="A56" s="131"/>
      <c r="B56" s="131"/>
      <c r="C56" s="132"/>
      <c r="D56" s="132"/>
      <c r="E56" s="132"/>
      <c r="F56" s="132" t="str">
        <f>IF(Table11[[#This Row],[Description]]="","-","+")</f>
        <v>-</v>
      </c>
    </row>
    <row r="57" spans="1:6" x14ac:dyDescent="0.75">
      <c r="A57" s="131"/>
      <c r="B57" s="131"/>
      <c r="C57" s="132"/>
      <c r="D57" s="132"/>
      <c r="E57" s="132"/>
      <c r="F57" s="132" t="str">
        <f>IF(Table11[[#This Row],[Description]]="","-","+")</f>
        <v>-</v>
      </c>
    </row>
    <row r="58" spans="1:6" x14ac:dyDescent="0.75">
      <c r="A58" s="131"/>
      <c r="B58" s="131"/>
      <c r="C58" s="132"/>
      <c r="D58" s="132"/>
      <c r="E58" s="132"/>
      <c r="F58" s="132" t="str">
        <f>IF(Table11[[#This Row],[Description]]="","-","+")</f>
        <v>-</v>
      </c>
    </row>
    <row r="59" spans="1:6" x14ac:dyDescent="0.75">
      <c r="A59" s="131"/>
      <c r="B59" s="131"/>
      <c r="C59" s="132"/>
      <c r="D59" s="132"/>
      <c r="E59" s="132"/>
      <c r="F59" s="132" t="str">
        <f>IF(Table11[[#This Row],[Description]]="","-","+")</f>
        <v>-</v>
      </c>
    </row>
    <row r="60" spans="1:6" x14ac:dyDescent="0.75">
      <c r="A60" s="131"/>
      <c r="B60" s="131"/>
      <c r="C60" s="132"/>
      <c r="D60" s="132"/>
      <c r="E60" s="132"/>
      <c r="F60" s="132" t="str">
        <f>IF(Table11[[#This Row],[Description]]="","-","+")</f>
        <v>-</v>
      </c>
    </row>
    <row r="61" spans="1:6" x14ac:dyDescent="0.75">
      <c r="A61" s="131"/>
      <c r="B61" s="131"/>
      <c r="C61" s="132"/>
      <c r="D61" s="132"/>
      <c r="E61" s="132"/>
      <c r="F61" s="132" t="str">
        <f>IF(Table11[[#This Row],[Description]]="","-","+")</f>
        <v>-</v>
      </c>
    </row>
    <row r="62" spans="1:6" x14ac:dyDescent="0.75">
      <c r="A62" s="131"/>
      <c r="B62" s="131"/>
      <c r="C62" s="132"/>
      <c r="D62" s="132"/>
      <c r="E62" s="132"/>
      <c r="F62" s="132" t="str">
        <f>IF(Table11[[#This Row],[Description]]="","-","+")</f>
        <v>-</v>
      </c>
    </row>
    <row r="63" spans="1:6" x14ac:dyDescent="0.75">
      <c r="A63" s="131"/>
      <c r="B63" s="131"/>
      <c r="C63" s="132"/>
      <c r="D63" s="132"/>
      <c r="E63" s="132"/>
      <c r="F63" s="132" t="str">
        <f>IF(Table11[[#This Row],[Description]]="","-","+")</f>
        <v>-</v>
      </c>
    </row>
    <row r="64" spans="1:6" x14ac:dyDescent="0.75">
      <c r="A64" s="131"/>
      <c r="B64" s="131"/>
      <c r="C64" s="132"/>
      <c r="D64" s="132"/>
      <c r="E64" s="132"/>
      <c r="F64" s="132" t="str">
        <f>IF(Table11[[#This Row],[Description]]="","-","+")</f>
        <v>-</v>
      </c>
    </row>
    <row r="65" spans="1:6" x14ac:dyDescent="0.75">
      <c r="A65" s="131"/>
      <c r="B65" s="131"/>
      <c r="C65" s="132"/>
      <c r="D65" s="132"/>
      <c r="E65" s="132"/>
      <c r="F65" s="132" t="str">
        <f>IF(Table11[[#This Row],[Description]]="","-","+")</f>
        <v>-</v>
      </c>
    </row>
    <row r="66" spans="1:6" x14ac:dyDescent="0.75">
      <c r="A66" s="131"/>
      <c r="B66" s="131"/>
      <c r="C66" s="132"/>
      <c r="D66" s="132"/>
      <c r="E66" s="132"/>
      <c r="F66" s="132" t="str">
        <f>IF(Table11[[#This Row],[Description]]="","-","+")</f>
        <v>-</v>
      </c>
    </row>
    <row r="67" spans="1:6" x14ac:dyDescent="0.75">
      <c r="A67" s="131"/>
      <c r="B67" s="131"/>
      <c r="C67" s="132"/>
      <c r="D67" s="132"/>
      <c r="E67" s="132"/>
      <c r="F67" s="132" t="str">
        <f>IF(Table11[[#This Row],[Description]]="","-","+")</f>
        <v>-</v>
      </c>
    </row>
    <row r="68" spans="1:6" x14ac:dyDescent="0.75">
      <c r="A68" s="131"/>
      <c r="B68" s="131"/>
      <c r="C68" s="132"/>
      <c r="D68" s="132"/>
      <c r="E68" s="132"/>
      <c r="F68" s="132" t="str">
        <f>IF(Table11[[#This Row],[Description]]="","-","+")</f>
        <v>-</v>
      </c>
    </row>
    <row r="69" spans="1:6" x14ac:dyDescent="0.75">
      <c r="A69" s="131"/>
      <c r="B69" s="131"/>
      <c r="C69" s="132"/>
      <c r="D69" s="132"/>
      <c r="E69" s="132"/>
      <c r="F69" s="132" t="str">
        <f>IF(Table11[[#This Row],[Description]]="","-","+")</f>
        <v>-</v>
      </c>
    </row>
    <row r="70" spans="1:6" x14ac:dyDescent="0.75">
      <c r="A70" s="131"/>
      <c r="B70" s="131"/>
      <c r="C70" s="132"/>
      <c r="D70" s="132"/>
      <c r="E70" s="132"/>
      <c r="F70" s="132" t="str">
        <f>IF(Table11[[#This Row],[Description]]="","-","+")</f>
        <v>-</v>
      </c>
    </row>
    <row r="71" spans="1:6" x14ac:dyDescent="0.75">
      <c r="A71" s="131"/>
      <c r="B71" s="131"/>
      <c r="C71" s="132"/>
      <c r="D71" s="132"/>
      <c r="E71" s="132"/>
      <c r="F71" s="132" t="str">
        <f>IF(Table11[[#This Row],[Description]]="","-","+")</f>
        <v>-</v>
      </c>
    </row>
    <row r="72" spans="1:6" x14ac:dyDescent="0.75">
      <c r="A72" s="131"/>
      <c r="B72" s="131"/>
      <c r="C72" s="132"/>
      <c r="D72" s="132"/>
      <c r="E72" s="132"/>
      <c r="F72" s="132" t="str">
        <f>IF(Table11[[#This Row],[Description]]="","-","+")</f>
        <v>-</v>
      </c>
    </row>
    <row r="73" spans="1:6" x14ac:dyDescent="0.75">
      <c r="A73" s="131"/>
      <c r="B73" s="131"/>
      <c r="C73" s="132"/>
      <c r="D73" s="132"/>
      <c r="E73" s="132"/>
      <c r="F73" s="132" t="str">
        <f>IF(Table11[[#This Row],[Description]]="","-","+")</f>
        <v>-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7E49-6B52-4573-B090-8A7C3BC4C45C}">
  <dimension ref="A1:G22"/>
  <sheetViews>
    <sheetView workbookViewId="0">
      <selection activeCell="C24" sqref="C24"/>
    </sheetView>
  </sheetViews>
  <sheetFormatPr defaultRowHeight="14.75" x14ac:dyDescent="0.75"/>
  <cols>
    <col min="1" max="1" width="50" bestFit="1" customWidth="1"/>
    <col min="2" max="2" width="7.86328125" bestFit="1" customWidth="1"/>
    <col min="3" max="3" width="9.1328125" bestFit="1" customWidth="1"/>
    <col min="4" max="4" width="8.26953125" bestFit="1" customWidth="1"/>
    <col min="5" max="5" width="7.86328125" bestFit="1" customWidth="1"/>
    <col min="6" max="6" width="15.7265625" bestFit="1" customWidth="1"/>
    <col min="7" max="7" width="48.40625" bestFit="1" customWidth="1"/>
  </cols>
  <sheetData>
    <row r="1" spans="1:7" x14ac:dyDescent="0.75">
      <c r="A1" s="123" t="s">
        <v>0</v>
      </c>
      <c r="B1" s="123" t="s">
        <v>184</v>
      </c>
      <c r="C1" s="123" t="s">
        <v>185</v>
      </c>
      <c r="D1" s="123" t="s">
        <v>186</v>
      </c>
      <c r="E1" s="123" t="s">
        <v>187</v>
      </c>
      <c r="F1" s="123" t="s">
        <v>188</v>
      </c>
      <c r="G1" s="123" t="s">
        <v>189</v>
      </c>
    </row>
    <row r="2" spans="1:7" x14ac:dyDescent="0.75">
      <c r="A2" s="111" t="s">
        <v>1</v>
      </c>
      <c r="B2" s="111"/>
      <c r="C2" s="111"/>
      <c r="D2" s="111"/>
      <c r="E2" s="111"/>
      <c r="F2" s="111" t="s">
        <v>296</v>
      </c>
      <c r="G2" s="111"/>
    </row>
    <row r="3" spans="1:7" x14ac:dyDescent="0.75">
      <c r="A3" s="111" t="s">
        <v>2</v>
      </c>
      <c r="B3" s="111"/>
      <c r="C3" s="111"/>
      <c r="D3" s="111"/>
      <c r="E3" s="111"/>
      <c r="F3" s="111"/>
      <c r="G3" s="111"/>
    </row>
    <row r="4" spans="1:7" x14ac:dyDescent="0.75">
      <c r="A4" s="111" t="s">
        <v>7</v>
      </c>
      <c r="B4" s="111" t="s">
        <v>4</v>
      </c>
      <c r="C4" s="111" t="s">
        <v>8</v>
      </c>
      <c r="D4" s="111" t="s">
        <v>9</v>
      </c>
      <c r="E4" s="111"/>
      <c r="F4" s="111"/>
      <c r="G4" s="111"/>
    </row>
    <row r="5" spans="1:7" x14ac:dyDescent="0.75">
      <c r="A5" s="111">
        <v>2019</v>
      </c>
      <c r="B5" s="111">
        <v>43899</v>
      </c>
      <c r="C5" s="111">
        <v>43897</v>
      </c>
      <c r="D5" s="111" t="s">
        <v>13</v>
      </c>
      <c r="E5" s="111"/>
      <c r="F5" s="111"/>
      <c r="G5" s="111" t="s">
        <v>377</v>
      </c>
    </row>
    <row r="6" spans="1:7" x14ac:dyDescent="0.75">
      <c r="A6" s="111" t="s">
        <v>18</v>
      </c>
      <c r="B6" s="111"/>
      <c r="C6" s="111"/>
      <c r="D6" s="111"/>
      <c r="E6" s="111"/>
      <c r="F6" s="111"/>
      <c r="G6" s="111"/>
    </row>
    <row r="7" spans="1:7" x14ac:dyDescent="0.75">
      <c r="A7" s="111" t="s">
        <v>7</v>
      </c>
      <c r="B7" s="111" t="s">
        <v>4</v>
      </c>
      <c r="C7" s="111" t="s">
        <v>8</v>
      </c>
      <c r="D7" s="111" t="s">
        <v>9</v>
      </c>
      <c r="E7" s="111"/>
      <c r="F7" s="111"/>
      <c r="G7" s="111"/>
    </row>
    <row r="8" spans="1:7" x14ac:dyDescent="0.75">
      <c r="A8" s="111">
        <v>2019</v>
      </c>
      <c r="B8" s="111">
        <v>43913</v>
      </c>
      <c r="C8" s="111">
        <v>43910</v>
      </c>
      <c r="D8" s="111" t="s">
        <v>13</v>
      </c>
      <c r="E8" s="111"/>
      <c r="F8" s="111"/>
      <c r="G8" s="111" t="s">
        <v>377</v>
      </c>
    </row>
    <row r="9" spans="1:7" x14ac:dyDescent="0.75">
      <c r="A9" s="111" t="s">
        <v>378</v>
      </c>
      <c r="B9" s="111"/>
      <c r="C9" s="111"/>
      <c r="D9" s="111"/>
      <c r="E9" s="111"/>
      <c r="F9" s="111"/>
      <c r="G9" s="111"/>
    </row>
    <row r="10" spans="1:7" x14ac:dyDescent="0.75">
      <c r="A10" s="111" t="s">
        <v>30</v>
      </c>
      <c r="B10" s="111" t="s">
        <v>4</v>
      </c>
      <c r="C10" s="111" t="s">
        <v>8</v>
      </c>
      <c r="D10" s="111" t="s">
        <v>9</v>
      </c>
      <c r="E10" s="111"/>
      <c r="F10" s="111"/>
      <c r="G10" s="111"/>
    </row>
    <row r="11" spans="1:7" x14ac:dyDescent="0.75">
      <c r="A11" s="111" t="s">
        <v>34</v>
      </c>
      <c r="B11" s="111">
        <v>43890</v>
      </c>
      <c r="C11" s="111">
        <v>43871</v>
      </c>
      <c r="D11" s="111" t="s">
        <v>17</v>
      </c>
      <c r="E11" s="111"/>
      <c r="F11" s="111" t="s">
        <v>297</v>
      </c>
      <c r="G11" s="111"/>
    </row>
    <row r="12" spans="1:7" x14ac:dyDescent="0.75">
      <c r="A12" s="111" t="s">
        <v>38</v>
      </c>
      <c r="B12" s="111">
        <v>43921</v>
      </c>
      <c r="C12" s="111">
        <v>43901</v>
      </c>
      <c r="D12" s="111" t="s">
        <v>17</v>
      </c>
      <c r="E12" s="111"/>
      <c r="F12" s="111" t="s">
        <v>297</v>
      </c>
      <c r="G12" s="111"/>
    </row>
    <row r="13" spans="1:7" x14ac:dyDescent="0.75">
      <c r="A13" s="111" t="s">
        <v>42</v>
      </c>
      <c r="B13" s="111">
        <v>43951</v>
      </c>
      <c r="C13" s="111">
        <v>43931</v>
      </c>
      <c r="D13" s="111" t="s">
        <v>17</v>
      </c>
      <c r="E13" s="111"/>
      <c r="F13" s="111" t="s">
        <v>297</v>
      </c>
      <c r="G13" s="111"/>
    </row>
    <row r="14" spans="1:7" x14ac:dyDescent="0.75">
      <c r="A14" s="111" t="s">
        <v>46</v>
      </c>
      <c r="B14" s="111">
        <v>43982</v>
      </c>
      <c r="C14" s="111">
        <v>43965</v>
      </c>
      <c r="D14" s="111" t="s">
        <v>17</v>
      </c>
      <c r="E14" s="111"/>
      <c r="F14" s="111" t="s">
        <v>297</v>
      </c>
      <c r="G14" s="111"/>
    </row>
    <row r="15" spans="1:7" x14ac:dyDescent="0.75">
      <c r="A15" s="111" t="s">
        <v>49</v>
      </c>
      <c r="B15" s="111">
        <v>44012</v>
      </c>
      <c r="C15" s="111">
        <v>43994</v>
      </c>
      <c r="D15" s="111" t="s">
        <v>17</v>
      </c>
      <c r="E15" s="111"/>
      <c r="F15" s="111" t="s">
        <v>297</v>
      </c>
      <c r="G15" s="111"/>
    </row>
    <row r="16" spans="1:7" x14ac:dyDescent="0.75">
      <c r="A16" s="111" t="s">
        <v>52</v>
      </c>
      <c r="B16" s="111">
        <v>44043</v>
      </c>
      <c r="C16" s="111">
        <v>44026</v>
      </c>
      <c r="D16" s="111" t="s">
        <v>17</v>
      </c>
      <c r="E16" s="111"/>
      <c r="F16" s="111" t="s">
        <v>297</v>
      </c>
      <c r="G16" s="111"/>
    </row>
    <row r="17" spans="1:7" x14ac:dyDescent="0.75">
      <c r="A17" s="111" t="s">
        <v>55</v>
      </c>
      <c r="B17" s="111">
        <v>44074</v>
      </c>
      <c r="C17" s="111">
        <v>44068</v>
      </c>
      <c r="D17" s="111" t="s">
        <v>17</v>
      </c>
      <c r="E17" s="111"/>
      <c r="F17" s="111" t="s">
        <v>297</v>
      </c>
      <c r="G17" s="111"/>
    </row>
    <row r="18" spans="1:7" x14ac:dyDescent="0.75">
      <c r="A18" s="111" t="s">
        <v>58</v>
      </c>
      <c r="B18" s="111">
        <v>44104</v>
      </c>
      <c r="C18" s="111">
        <v>44102</v>
      </c>
      <c r="D18" s="111" t="s">
        <v>17</v>
      </c>
      <c r="E18" s="111"/>
      <c r="F18" s="111" t="s">
        <v>297</v>
      </c>
      <c r="G18" s="111"/>
    </row>
    <row r="19" spans="1:7" x14ac:dyDescent="0.75">
      <c r="A19" s="111" t="s">
        <v>62</v>
      </c>
      <c r="B19" s="111">
        <v>44135</v>
      </c>
      <c r="C19" s="111">
        <v>44132</v>
      </c>
      <c r="D19" s="111" t="s">
        <v>17</v>
      </c>
      <c r="E19" s="111"/>
      <c r="F19" s="111" t="s">
        <v>297</v>
      </c>
      <c r="G19" s="111"/>
    </row>
    <row r="20" spans="1:7" x14ac:dyDescent="0.75">
      <c r="A20" s="111" t="s">
        <v>66</v>
      </c>
      <c r="B20" s="111">
        <v>44165</v>
      </c>
      <c r="C20" s="111">
        <v>44162</v>
      </c>
      <c r="D20" s="111" t="s">
        <v>17</v>
      </c>
      <c r="E20" s="111"/>
      <c r="F20" s="111" t="s">
        <v>297</v>
      </c>
      <c r="G20" s="111"/>
    </row>
    <row r="21" spans="1:7" x14ac:dyDescent="0.75">
      <c r="A21" s="111" t="s">
        <v>70</v>
      </c>
      <c r="B21" s="111">
        <v>44196</v>
      </c>
      <c r="C21" s="111">
        <v>44193</v>
      </c>
      <c r="D21" s="111" t="s">
        <v>17</v>
      </c>
      <c r="E21" s="111"/>
      <c r="F21" s="111" t="s">
        <v>297</v>
      </c>
      <c r="G21" s="111"/>
    </row>
    <row r="22" spans="1:7" x14ac:dyDescent="0.75">
      <c r="A22" s="111" t="s">
        <v>75</v>
      </c>
      <c r="B22" s="111">
        <v>44227</v>
      </c>
      <c r="C22" s="111"/>
      <c r="D22" s="111"/>
      <c r="E22" s="111"/>
      <c r="F22" s="111" t="s">
        <v>297</v>
      </c>
      <c r="G22" s="1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9FCA-E19F-4D89-BB91-7DCCE705AA01}">
  <dimension ref="B2:H26"/>
  <sheetViews>
    <sheetView workbookViewId="0">
      <selection activeCell="P32" sqref="P32"/>
    </sheetView>
  </sheetViews>
  <sheetFormatPr defaultRowHeight="14.75" x14ac:dyDescent="0.75"/>
  <cols>
    <col min="2" max="2" width="14.54296875" customWidth="1"/>
    <col min="3" max="3" width="0.40625" customWidth="1"/>
    <col min="4" max="4" width="14.86328125" customWidth="1"/>
    <col min="5" max="5" width="0.40625" customWidth="1"/>
    <col min="6" max="6" width="15.1328125" customWidth="1"/>
    <col min="7" max="7" width="0.40625" customWidth="1"/>
    <col min="8" max="8" width="15.1328125" customWidth="1"/>
  </cols>
  <sheetData>
    <row r="2" spans="2:8" x14ac:dyDescent="0.75">
      <c r="B2" s="161" t="s">
        <v>83</v>
      </c>
    </row>
    <row r="4" spans="2:8" x14ac:dyDescent="0.75">
      <c r="B4" s="1"/>
      <c r="D4" s="1"/>
      <c r="F4" s="1"/>
      <c r="H4" s="1"/>
    </row>
    <row r="5" spans="2:8" x14ac:dyDescent="0.75">
      <c r="B5" s="214" t="s">
        <v>2</v>
      </c>
      <c r="C5" s="214"/>
      <c r="D5" s="214"/>
      <c r="E5" s="214"/>
      <c r="F5" s="214"/>
      <c r="G5" s="214"/>
      <c r="H5" s="214"/>
    </row>
    <row r="6" spans="2:8" x14ac:dyDescent="0.75">
      <c r="B6" s="145" t="s">
        <v>7</v>
      </c>
      <c r="D6" s="2" t="s">
        <v>4</v>
      </c>
      <c r="F6" s="2" t="s">
        <v>8</v>
      </c>
      <c r="H6" s="2" t="s">
        <v>9</v>
      </c>
    </row>
    <row r="7" spans="2:8" x14ac:dyDescent="0.75">
      <c r="B7" s="21">
        <f>'compliance eia raw'!A5</f>
        <v>2019</v>
      </c>
      <c r="D7" s="4">
        <f>'compliance eia raw'!B5</f>
        <v>43899</v>
      </c>
      <c r="F7" s="4">
        <f>'compliance eia raw'!C5</f>
        <v>43897</v>
      </c>
      <c r="H7" s="3" t="str">
        <f>'compliance eia raw'!D5</f>
        <v>N/A</v>
      </c>
    </row>
    <row r="8" spans="2:8" x14ac:dyDescent="0.75">
      <c r="B8" s="1"/>
      <c r="D8" s="5"/>
      <c r="F8" s="5"/>
      <c r="H8" s="1"/>
    </row>
    <row r="9" spans="2:8" x14ac:dyDescent="0.75">
      <c r="B9" s="214" t="s">
        <v>18</v>
      </c>
      <c r="C9" s="214"/>
      <c r="D9" s="214"/>
      <c r="E9" s="214"/>
      <c r="F9" s="214"/>
      <c r="G9" s="214"/>
      <c r="H9" s="214"/>
    </row>
    <row r="10" spans="2:8" x14ac:dyDescent="0.75">
      <c r="B10" s="145" t="s">
        <v>7</v>
      </c>
      <c r="D10" s="2" t="s">
        <v>4</v>
      </c>
      <c r="F10" s="2" t="s">
        <v>8</v>
      </c>
      <c r="H10" s="2" t="s">
        <v>9</v>
      </c>
    </row>
    <row r="11" spans="2:8" x14ac:dyDescent="0.75">
      <c r="B11" s="21">
        <f>'compliance eia raw'!A8</f>
        <v>2019</v>
      </c>
      <c r="D11" s="4">
        <f>'compliance eia raw'!B8</f>
        <v>43913</v>
      </c>
      <c r="F11" s="4">
        <f>'compliance eia raw'!C8</f>
        <v>43910</v>
      </c>
      <c r="H11" s="3" t="str">
        <f>'compliance eia raw'!D8</f>
        <v>N/A</v>
      </c>
    </row>
    <row r="12" spans="2:8" x14ac:dyDescent="0.75">
      <c r="B12" s="1"/>
      <c r="D12" s="5"/>
      <c r="F12" s="5"/>
      <c r="H12" s="1"/>
    </row>
    <row r="13" spans="2:8" x14ac:dyDescent="0.75">
      <c r="B13" s="214" t="s">
        <v>84</v>
      </c>
      <c r="C13" s="214"/>
      <c r="D13" s="214"/>
      <c r="E13" s="214"/>
      <c r="F13" s="214"/>
      <c r="G13" s="214"/>
      <c r="H13" s="214"/>
    </row>
    <row r="14" spans="2:8" x14ac:dyDescent="0.75">
      <c r="B14" s="145" t="s">
        <v>30</v>
      </c>
      <c r="D14" s="2" t="s">
        <v>4</v>
      </c>
      <c r="F14" s="2" t="s">
        <v>8</v>
      </c>
      <c r="H14" s="2" t="s">
        <v>9</v>
      </c>
    </row>
    <row r="15" spans="2:8" x14ac:dyDescent="0.75">
      <c r="B15" s="21" t="s">
        <v>34</v>
      </c>
      <c r="D15" s="4">
        <f>'compliance eia raw'!B11</f>
        <v>43890</v>
      </c>
      <c r="F15" s="4">
        <f>IF('compliance eia raw'!C11="","",'compliance eia raw'!C11)</f>
        <v>43871</v>
      </c>
      <c r="H15" s="3" t="str">
        <f>IF('compliance eia raw'!D11="","",'compliance eia raw'!D11)</f>
        <v>Complete</v>
      </c>
    </row>
    <row r="16" spans="2:8" x14ac:dyDescent="0.75">
      <c r="B16" s="21" t="s">
        <v>38</v>
      </c>
      <c r="D16" s="4">
        <f>'compliance eia raw'!B12</f>
        <v>43921</v>
      </c>
      <c r="F16" s="4">
        <f>IF('compliance eia raw'!C12="","",'compliance eia raw'!C12)</f>
        <v>43901</v>
      </c>
      <c r="H16" s="3" t="str">
        <f>IF('compliance eia raw'!D12="","",'compliance eia raw'!D12)</f>
        <v>Complete</v>
      </c>
    </row>
    <row r="17" spans="2:8" x14ac:dyDescent="0.75">
      <c r="B17" s="21" t="s">
        <v>42</v>
      </c>
      <c r="D17" s="4">
        <f>'compliance eia raw'!B13</f>
        <v>43951</v>
      </c>
      <c r="F17" s="4">
        <f>IF('compliance eia raw'!C13="","",'compliance eia raw'!C13)</f>
        <v>43931</v>
      </c>
      <c r="H17" s="3" t="str">
        <f>IF('compliance eia raw'!D13="","",'compliance eia raw'!D13)</f>
        <v>Complete</v>
      </c>
    </row>
    <row r="18" spans="2:8" x14ac:dyDescent="0.75">
      <c r="B18" s="21" t="s">
        <v>46</v>
      </c>
      <c r="D18" s="4">
        <f>'compliance eia raw'!B14</f>
        <v>43982</v>
      </c>
      <c r="F18" s="4">
        <f>IF('compliance eia raw'!C14="","",'compliance eia raw'!C14)</f>
        <v>43965</v>
      </c>
      <c r="H18" s="3" t="str">
        <f>IF('compliance eia raw'!D14="","",'compliance eia raw'!D14)</f>
        <v>Complete</v>
      </c>
    </row>
    <row r="19" spans="2:8" x14ac:dyDescent="0.75">
      <c r="B19" s="21" t="s">
        <v>49</v>
      </c>
      <c r="D19" s="4">
        <f>'compliance eia raw'!B15</f>
        <v>44012</v>
      </c>
      <c r="F19" s="4">
        <f>IF('compliance eia raw'!C15="","",'compliance eia raw'!C15)</f>
        <v>43994</v>
      </c>
      <c r="H19" s="3" t="str">
        <f>IF('compliance eia raw'!D15="","",'compliance eia raw'!D15)</f>
        <v>Complete</v>
      </c>
    </row>
    <row r="20" spans="2:8" x14ac:dyDescent="0.75">
      <c r="B20" s="21" t="s">
        <v>52</v>
      </c>
      <c r="D20" s="4">
        <f>'compliance eia raw'!B16</f>
        <v>44043</v>
      </c>
      <c r="F20" s="4">
        <f>IF('compliance eia raw'!C16="","",'compliance eia raw'!C16)</f>
        <v>44026</v>
      </c>
      <c r="H20" s="3" t="str">
        <f>IF('compliance eia raw'!D16="","",'compliance eia raw'!D16)</f>
        <v>Complete</v>
      </c>
    </row>
    <row r="21" spans="2:8" x14ac:dyDescent="0.75">
      <c r="B21" s="21" t="s">
        <v>55</v>
      </c>
      <c r="D21" s="4">
        <f>'compliance eia raw'!B17</f>
        <v>44074</v>
      </c>
      <c r="F21" s="4">
        <f>IF('compliance eia raw'!C17="","",'compliance eia raw'!C17)</f>
        <v>44068</v>
      </c>
      <c r="H21" s="3" t="str">
        <f>IF('compliance eia raw'!D17="","",'compliance eia raw'!D17)</f>
        <v>Complete</v>
      </c>
    </row>
    <row r="22" spans="2:8" x14ac:dyDescent="0.75">
      <c r="B22" s="21" t="s">
        <v>58</v>
      </c>
      <c r="D22" s="4">
        <f>'compliance eia raw'!B18</f>
        <v>44104</v>
      </c>
      <c r="F22" s="4">
        <f>IF('compliance eia raw'!C18="","",'compliance eia raw'!C18)</f>
        <v>44102</v>
      </c>
      <c r="H22" s="3" t="str">
        <f>IF('compliance eia raw'!D18="","",'compliance eia raw'!D18)</f>
        <v>Complete</v>
      </c>
    </row>
    <row r="23" spans="2:8" x14ac:dyDescent="0.75">
      <c r="B23" s="21" t="s">
        <v>62</v>
      </c>
      <c r="D23" s="4">
        <f>'compliance eia raw'!B19</f>
        <v>44135</v>
      </c>
      <c r="F23" s="4">
        <f>IF('compliance eia raw'!C19="","",'compliance eia raw'!C19)</f>
        <v>44132</v>
      </c>
      <c r="H23" s="3" t="str">
        <f>IF('compliance eia raw'!D19="","",'compliance eia raw'!D19)</f>
        <v>Complete</v>
      </c>
    </row>
    <row r="24" spans="2:8" x14ac:dyDescent="0.75">
      <c r="B24" s="21" t="s">
        <v>66</v>
      </c>
      <c r="D24" s="4">
        <f>'compliance eia raw'!B20</f>
        <v>44165</v>
      </c>
      <c r="F24" s="4">
        <f>IF('compliance eia raw'!C20="","",'compliance eia raw'!C20)</f>
        <v>44162</v>
      </c>
      <c r="H24" s="3" t="str">
        <f>IF('compliance eia raw'!D20="","",'compliance eia raw'!D20)</f>
        <v>Complete</v>
      </c>
    </row>
    <row r="25" spans="2:8" x14ac:dyDescent="0.75">
      <c r="B25" s="21" t="s">
        <v>70</v>
      </c>
      <c r="D25" s="4">
        <f>'compliance eia raw'!B21</f>
        <v>44196</v>
      </c>
      <c r="F25" s="4">
        <f>IF('compliance eia raw'!C21="","",'compliance eia raw'!C21)</f>
        <v>44193</v>
      </c>
      <c r="H25" s="3" t="str">
        <f>IF('compliance eia raw'!D21="","",'compliance eia raw'!D21)</f>
        <v>Complete</v>
      </c>
    </row>
    <row r="26" spans="2:8" x14ac:dyDescent="0.75">
      <c r="B26" s="21" t="s">
        <v>75</v>
      </c>
      <c r="D26" s="4">
        <f>'compliance eia raw'!B22</f>
        <v>44227</v>
      </c>
      <c r="F26" s="4" t="str">
        <f>IF('compliance eia raw'!C22="","",'compliance eia raw'!C22)</f>
        <v/>
      </c>
      <c r="H26" s="3" t="str">
        <f>IF('compliance eia raw'!D22="","",'compliance eia raw'!D22)</f>
        <v/>
      </c>
    </row>
  </sheetData>
  <mergeCells count="3">
    <mergeCell ref="B5:H5"/>
    <mergeCell ref="B9:H9"/>
    <mergeCell ref="B13:H13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9AFA7-6416-400D-AD3E-A4BC0A65F605}">
  <dimension ref="A1:H33"/>
  <sheetViews>
    <sheetView workbookViewId="0">
      <selection activeCell="C41" sqref="C41"/>
    </sheetView>
  </sheetViews>
  <sheetFormatPr defaultRowHeight="14.75" x14ac:dyDescent="0.75"/>
  <cols>
    <col min="1" max="1" width="10.1328125" bestFit="1" customWidth="1"/>
    <col min="2" max="2" width="55.40625" bestFit="1" customWidth="1"/>
    <col min="3" max="3" width="9.54296875" bestFit="1" customWidth="1"/>
    <col min="4" max="4" width="17.1328125" bestFit="1" customWidth="1"/>
    <col min="5" max="8" width="10.1328125" bestFit="1" customWidth="1"/>
  </cols>
  <sheetData>
    <row r="1" spans="1:8" x14ac:dyDescent="0.75">
      <c r="A1" t="s">
        <v>183</v>
      </c>
      <c r="B1" t="s">
        <v>3</v>
      </c>
      <c r="C1" t="s">
        <v>4</v>
      </c>
      <c r="D1" t="s">
        <v>5</v>
      </c>
      <c r="E1" t="s">
        <v>187</v>
      </c>
      <c r="F1" t="s">
        <v>188</v>
      </c>
      <c r="G1" t="s">
        <v>189</v>
      </c>
      <c r="H1" t="s">
        <v>190</v>
      </c>
    </row>
    <row r="2" spans="1:8" x14ac:dyDescent="0.75">
      <c r="A2" s="111"/>
      <c r="B2" s="111" t="s">
        <v>10</v>
      </c>
      <c r="C2" s="111">
        <v>43874</v>
      </c>
      <c r="D2" s="111" t="s">
        <v>11</v>
      </c>
      <c r="E2" s="111"/>
      <c r="F2" s="111"/>
      <c r="G2" s="111"/>
      <c r="H2" s="111" t="s">
        <v>297</v>
      </c>
    </row>
    <row r="3" spans="1:8" x14ac:dyDescent="0.75">
      <c r="A3" s="111"/>
      <c r="B3" s="111" t="s">
        <v>14</v>
      </c>
      <c r="C3" s="111">
        <v>43890</v>
      </c>
      <c r="D3" s="111" t="s">
        <v>11</v>
      </c>
      <c r="E3" s="111"/>
      <c r="F3" s="111"/>
      <c r="G3" s="111"/>
      <c r="H3" s="111" t="s">
        <v>297</v>
      </c>
    </row>
    <row r="4" spans="1:8" x14ac:dyDescent="0.75">
      <c r="A4" s="111"/>
      <c r="B4" s="111" t="s">
        <v>19</v>
      </c>
      <c r="C4" s="111">
        <v>43891</v>
      </c>
      <c r="D4" s="111" t="s">
        <v>11</v>
      </c>
      <c r="E4" s="111"/>
      <c r="F4" s="111"/>
      <c r="G4" s="111"/>
      <c r="H4" s="111" t="s">
        <v>297</v>
      </c>
    </row>
    <row r="5" spans="1:8" x14ac:dyDescent="0.75">
      <c r="A5" s="111"/>
      <c r="B5" s="111" t="s">
        <v>22</v>
      </c>
      <c r="C5" s="111">
        <v>43891</v>
      </c>
      <c r="D5" s="111" t="s">
        <v>11</v>
      </c>
      <c r="E5" s="111"/>
      <c r="F5" s="111"/>
      <c r="G5" s="111"/>
      <c r="H5" s="111" t="s">
        <v>297</v>
      </c>
    </row>
    <row r="6" spans="1:8" x14ac:dyDescent="0.75">
      <c r="A6" s="111"/>
      <c r="B6" s="111" t="s">
        <v>24</v>
      </c>
      <c r="C6" s="111">
        <v>43891</v>
      </c>
      <c r="D6" s="111" t="s">
        <v>11</v>
      </c>
      <c r="E6" s="111"/>
      <c r="F6" s="111"/>
      <c r="G6" s="111"/>
      <c r="H6" s="111" t="s">
        <v>297</v>
      </c>
    </row>
    <row r="7" spans="1:8" x14ac:dyDescent="0.75">
      <c r="A7" s="111"/>
      <c r="B7" s="111" t="s">
        <v>27</v>
      </c>
      <c r="C7" s="111">
        <v>43905</v>
      </c>
      <c r="D7" s="111" t="s">
        <v>11</v>
      </c>
      <c r="E7" s="111"/>
      <c r="F7" s="111"/>
      <c r="G7" s="111"/>
      <c r="H7" s="111" t="s">
        <v>297</v>
      </c>
    </row>
    <row r="8" spans="1:8" x14ac:dyDescent="0.75">
      <c r="A8" s="111"/>
      <c r="B8" s="111" t="s">
        <v>31</v>
      </c>
      <c r="C8" s="111">
        <v>43924</v>
      </c>
      <c r="D8" s="111" t="s">
        <v>11</v>
      </c>
      <c r="E8" s="111"/>
      <c r="F8" s="111"/>
      <c r="G8" s="111"/>
      <c r="H8" s="111" t="s">
        <v>297</v>
      </c>
    </row>
    <row r="9" spans="1:8" x14ac:dyDescent="0.75">
      <c r="A9" s="111"/>
      <c r="B9" s="111" t="s">
        <v>35</v>
      </c>
      <c r="C9" s="111">
        <v>43951</v>
      </c>
      <c r="D9" s="111" t="s">
        <v>11</v>
      </c>
      <c r="E9" s="111"/>
      <c r="F9" s="111"/>
      <c r="G9" s="111"/>
      <c r="H9" s="111" t="s">
        <v>297</v>
      </c>
    </row>
    <row r="10" spans="1:8" x14ac:dyDescent="0.75">
      <c r="A10" s="111"/>
      <c r="B10" s="111" t="s">
        <v>39</v>
      </c>
      <c r="C10" s="111">
        <v>43952</v>
      </c>
      <c r="D10" s="111">
        <v>43949</v>
      </c>
      <c r="E10" s="111"/>
      <c r="F10" s="111"/>
      <c r="G10" s="111"/>
      <c r="H10" s="111" t="s">
        <v>297</v>
      </c>
    </row>
    <row r="11" spans="1:8" x14ac:dyDescent="0.75">
      <c r="A11" s="111"/>
      <c r="B11" s="111" t="s">
        <v>43</v>
      </c>
      <c r="C11" s="111">
        <v>43983</v>
      </c>
      <c r="D11" s="111" t="s">
        <v>11</v>
      </c>
      <c r="E11" s="111"/>
      <c r="F11" s="111"/>
      <c r="G11" s="111"/>
      <c r="H11" s="111" t="s">
        <v>297</v>
      </c>
    </row>
    <row r="12" spans="1:8" x14ac:dyDescent="0.75">
      <c r="A12" s="111"/>
      <c r="B12" s="111" t="s">
        <v>47</v>
      </c>
      <c r="C12" s="111">
        <v>43997</v>
      </c>
      <c r="D12" s="111" t="s">
        <v>11</v>
      </c>
      <c r="E12" s="111"/>
      <c r="F12" s="111"/>
      <c r="G12" s="111"/>
      <c r="H12" s="111" t="s">
        <v>297</v>
      </c>
    </row>
    <row r="13" spans="1:8" x14ac:dyDescent="0.75">
      <c r="A13" s="111"/>
      <c r="B13" s="111" t="s">
        <v>50</v>
      </c>
      <c r="C13" s="111">
        <v>44012</v>
      </c>
      <c r="D13" s="111">
        <v>44012</v>
      </c>
      <c r="E13" s="111"/>
      <c r="F13" s="111"/>
      <c r="G13" s="111"/>
      <c r="H13" s="111" t="s">
        <v>297</v>
      </c>
    </row>
    <row r="14" spans="1:8" x14ac:dyDescent="0.75">
      <c r="A14" s="111"/>
      <c r="B14" s="111" t="s">
        <v>53</v>
      </c>
      <c r="C14" s="111">
        <v>44044</v>
      </c>
      <c r="D14" s="111" t="s">
        <v>170</v>
      </c>
      <c r="E14" s="111"/>
      <c r="F14" s="111"/>
      <c r="G14" s="111"/>
      <c r="H14" s="111" t="s">
        <v>297</v>
      </c>
    </row>
    <row r="15" spans="1:8" x14ac:dyDescent="0.75">
      <c r="A15" s="111"/>
      <c r="B15" s="111" t="s">
        <v>56</v>
      </c>
      <c r="C15" s="111">
        <v>44089</v>
      </c>
      <c r="D15" s="111">
        <v>44089</v>
      </c>
      <c r="E15" s="111"/>
      <c r="F15" s="111"/>
      <c r="G15" s="111"/>
      <c r="H15" s="111" t="s">
        <v>297</v>
      </c>
    </row>
    <row r="16" spans="1:8" x14ac:dyDescent="0.75">
      <c r="A16" s="111"/>
      <c r="B16" s="111" t="s">
        <v>167</v>
      </c>
      <c r="C16" s="111">
        <v>44089</v>
      </c>
      <c r="D16" s="111">
        <v>44089</v>
      </c>
      <c r="E16" s="111"/>
      <c r="F16" s="111"/>
      <c r="G16" s="111"/>
      <c r="H16" s="111" t="s">
        <v>297</v>
      </c>
    </row>
    <row r="17" spans="1:8" x14ac:dyDescent="0.75">
      <c r="A17" s="111"/>
      <c r="B17" s="111" t="s">
        <v>168</v>
      </c>
      <c r="C17" s="111">
        <v>44089</v>
      </c>
      <c r="D17" s="111">
        <v>44089</v>
      </c>
      <c r="E17" s="111"/>
      <c r="F17" s="111"/>
      <c r="G17" s="111"/>
      <c r="H17" s="111" t="s">
        <v>297</v>
      </c>
    </row>
    <row r="18" spans="1:8" x14ac:dyDescent="0.75">
      <c r="A18" s="111"/>
      <c r="B18" s="111" t="s">
        <v>169</v>
      </c>
      <c r="C18" s="111">
        <v>44089</v>
      </c>
      <c r="D18" s="111">
        <v>44089</v>
      </c>
      <c r="E18" s="111"/>
      <c r="F18" s="111"/>
      <c r="G18" s="111"/>
      <c r="H18" s="111" t="s">
        <v>297</v>
      </c>
    </row>
    <row r="19" spans="1:8" x14ac:dyDescent="0.75">
      <c r="A19" s="111"/>
      <c r="B19" s="111" t="s">
        <v>59</v>
      </c>
      <c r="C19" s="111">
        <v>44105</v>
      </c>
      <c r="D19" s="111">
        <v>44078</v>
      </c>
      <c r="E19" s="111"/>
      <c r="F19" s="111"/>
      <c r="G19" s="111"/>
      <c r="H19" s="111" t="s">
        <v>297</v>
      </c>
    </row>
    <row r="20" spans="1:8" x14ac:dyDescent="0.75">
      <c r="A20" s="111"/>
      <c r="B20" s="111" t="s">
        <v>167</v>
      </c>
      <c r="C20" s="111">
        <v>44134</v>
      </c>
      <c r="D20" s="111">
        <v>44132</v>
      </c>
      <c r="E20" s="111"/>
      <c r="F20" s="111"/>
      <c r="G20" s="111"/>
      <c r="H20" s="111" t="s">
        <v>297</v>
      </c>
    </row>
    <row r="21" spans="1:8" x14ac:dyDescent="0.75">
      <c r="A21" s="111"/>
      <c r="B21" s="111" t="s">
        <v>168</v>
      </c>
      <c r="C21" s="111">
        <v>44134</v>
      </c>
      <c r="D21" s="111">
        <v>44132</v>
      </c>
      <c r="E21" s="111"/>
      <c r="F21" s="111"/>
      <c r="G21" s="111"/>
      <c r="H21" s="111" t="s">
        <v>297</v>
      </c>
    </row>
    <row r="22" spans="1:8" x14ac:dyDescent="0.75">
      <c r="A22" s="111"/>
      <c r="B22" s="111" t="s">
        <v>169</v>
      </c>
      <c r="C22" s="111">
        <v>44134</v>
      </c>
      <c r="D22" s="111">
        <v>44132</v>
      </c>
      <c r="E22" s="111"/>
      <c r="F22" s="111"/>
      <c r="G22" s="111"/>
      <c r="H22" s="111" t="s">
        <v>297</v>
      </c>
    </row>
    <row r="23" spans="1:8" x14ac:dyDescent="0.75">
      <c r="A23" s="111"/>
      <c r="B23" s="111" t="s">
        <v>365</v>
      </c>
      <c r="C23" s="111">
        <v>44150</v>
      </c>
      <c r="D23" s="111">
        <v>44145</v>
      </c>
      <c r="E23" s="111"/>
      <c r="F23" s="111"/>
      <c r="G23" s="111"/>
      <c r="H23" s="111"/>
    </row>
    <row r="24" spans="1:8" x14ac:dyDescent="0.75">
      <c r="A24" s="111"/>
      <c r="B24" s="111" t="s">
        <v>167</v>
      </c>
      <c r="C24" s="111">
        <v>44165</v>
      </c>
      <c r="D24" s="111">
        <v>44165</v>
      </c>
      <c r="E24" s="111"/>
      <c r="F24" s="111"/>
      <c r="G24" s="111"/>
      <c r="H24" s="111" t="s">
        <v>297</v>
      </c>
    </row>
    <row r="25" spans="1:8" x14ac:dyDescent="0.75">
      <c r="A25" s="111"/>
      <c r="B25" s="111" t="s">
        <v>168</v>
      </c>
      <c r="C25" s="111">
        <v>44165</v>
      </c>
      <c r="D25" s="111">
        <v>44165</v>
      </c>
      <c r="E25" s="111"/>
      <c r="F25" s="111"/>
      <c r="G25" s="111"/>
      <c r="H25" s="111" t="s">
        <v>297</v>
      </c>
    </row>
    <row r="26" spans="1:8" x14ac:dyDescent="0.75">
      <c r="A26" s="111"/>
      <c r="B26" s="111" t="s">
        <v>169</v>
      </c>
      <c r="C26" s="111">
        <v>44165</v>
      </c>
      <c r="D26" s="111">
        <v>44165</v>
      </c>
      <c r="E26" s="111"/>
      <c r="F26" s="111"/>
      <c r="G26" s="111"/>
      <c r="H26" s="111" t="s">
        <v>297</v>
      </c>
    </row>
    <row r="27" spans="1:8" x14ac:dyDescent="0.75">
      <c r="A27" s="111"/>
      <c r="B27" s="111" t="s">
        <v>63</v>
      </c>
      <c r="C27" s="111">
        <v>44166</v>
      </c>
      <c r="D27" s="111">
        <v>44165</v>
      </c>
      <c r="E27" s="111"/>
      <c r="F27" s="111"/>
      <c r="G27" s="111"/>
      <c r="H27" s="111" t="s">
        <v>297</v>
      </c>
    </row>
    <row r="28" spans="1:8" x14ac:dyDescent="0.75">
      <c r="A28" s="111"/>
      <c r="B28" s="111" t="s">
        <v>67</v>
      </c>
      <c r="C28" s="111">
        <v>44180</v>
      </c>
      <c r="D28" s="111">
        <v>44166</v>
      </c>
      <c r="E28" s="111"/>
      <c r="F28" s="111"/>
      <c r="G28" s="111"/>
      <c r="H28" s="111" t="s">
        <v>297</v>
      </c>
    </row>
    <row r="29" spans="1:8" x14ac:dyDescent="0.75">
      <c r="A29" s="111"/>
      <c r="B29" s="111" t="s">
        <v>395</v>
      </c>
      <c r="C29" s="111">
        <v>44182</v>
      </c>
      <c r="D29" s="111">
        <v>44181</v>
      </c>
      <c r="E29" s="111"/>
      <c r="F29" s="111"/>
      <c r="G29" s="111"/>
      <c r="H29" s="111"/>
    </row>
    <row r="30" spans="1:8" x14ac:dyDescent="0.75">
      <c r="A30" s="111"/>
      <c r="B30" s="111" t="s">
        <v>167</v>
      </c>
      <c r="C30" s="111">
        <v>44196</v>
      </c>
      <c r="D30" s="111">
        <v>44193</v>
      </c>
      <c r="E30" s="111"/>
      <c r="F30" s="111"/>
      <c r="G30" s="111"/>
      <c r="H30" s="111" t="s">
        <v>297</v>
      </c>
    </row>
    <row r="31" spans="1:8" x14ac:dyDescent="0.75">
      <c r="A31" s="111"/>
      <c r="B31" s="111" t="s">
        <v>168</v>
      </c>
      <c r="C31" s="111">
        <v>44196</v>
      </c>
      <c r="D31" s="111">
        <v>44193</v>
      </c>
      <c r="E31" s="111"/>
      <c r="F31" s="111"/>
      <c r="G31" s="111"/>
      <c r="H31" s="111" t="s">
        <v>297</v>
      </c>
    </row>
    <row r="32" spans="1:8" x14ac:dyDescent="0.75">
      <c r="A32" s="127"/>
      <c r="B32" s="127" t="s">
        <v>169</v>
      </c>
      <c r="C32" s="127">
        <v>44196</v>
      </c>
      <c r="D32" s="127">
        <v>44193</v>
      </c>
      <c r="E32" s="127"/>
      <c r="F32" s="127"/>
      <c r="G32" s="127"/>
      <c r="H32" s="127" t="s">
        <v>297</v>
      </c>
    </row>
    <row r="33" spans="1:8" x14ac:dyDescent="0.75">
      <c r="A33" s="127"/>
      <c r="B33" s="127" t="s">
        <v>71</v>
      </c>
      <c r="C33" s="127" t="s">
        <v>72</v>
      </c>
      <c r="D33" s="127" t="s">
        <v>79</v>
      </c>
      <c r="E33" s="127"/>
      <c r="F33" s="127"/>
      <c r="G33" s="127"/>
      <c r="H33" s="127" t="s">
        <v>297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94BC-09C0-40AF-9D90-AD8C2A28A40B}">
  <dimension ref="B2:F57"/>
  <sheetViews>
    <sheetView workbookViewId="0">
      <selection activeCell="B2" sqref="B2"/>
    </sheetView>
  </sheetViews>
  <sheetFormatPr defaultRowHeight="14.75" x14ac:dyDescent="0.75"/>
  <cols>
    <col min="2" max="2" width="50.26953125" customWidth="1"/>
    <col min="3" max="3" width="0.40625" customWidth="1"/>
    <col min="4" max="4" width="10.54296875" customWidth="1"/>
    <col min="5" max="5" width="0.40625" customWidth="1"/>
    <col min="6" max="6" width="14.54296875" customWidth="1"/>
  </cols>
  <sheetData>
    <row r="2" spans="2:6" x14ac:dyDescent="0.75">
      <c r="B2" s="161" t="s">
        <v>85</v>
      </c>
    </row>
    <row r="4" spans="2:6" x14ac:dyDescent="0.75">
      <c r="B4" s="1"/>
      <c r="C4" s="9"/>
      <c r="D4" s="1"/>
      <c r="E4" s="9"/>
      <c r="F4" s="1"/>
    </row>
    <row r="5" spans="2:6" x14ac:dyDescent="0.75">
      <c r="B5" s="25" t="s">
        <v>3</v>
      </c>
      <c r="C5" s="9"/>
      <c r="D5" s="25" t="s">
        <v>4</v>
      </c>
      <c r="E5" s="9"/>
      <c r="F5" s="25" t="s">
        <v>5</v>
      </c>
    </row>
    <row r="6" spans="2:6" x14ac:dyDescent="0.75">
      <c r="B6" s="3" t="str" cm="1">
        <f t="array" ref="B6:B37">Query_ISO_PUCT_Compliance_Prospero[[Requirement ]]</f>
        <v>Generation information for Renewable and Green Energy Verification</v>
      </c>
      <c r="D6" s="4" cm="1">
        <f t="array" ref="D6:D37">Query_ISO_PUCT_Compliance_Prospero[Due]</f>
        <v>43874</v>
      </c>
      <c r="F6" s="4" t="str" cm="1">
        <f t="array" ref="F6:F37">IF(Query_ISO_PUCT_Compliance_Prospero[[Completion Date ]]="","",Query_ISO_PUCT_Compliance_Prospero[[Completion Date ]])</f>
        <v>NA for 2020</v>
      </c>
    </row>
    <row r="7" spans="2:6" x14ac:dyDescent="0.75">
      <c r="B7" s="3" t="str">
        <v>Generating Capacity Reports</v>
      </c>
      <c r="D7" s="4">
        <v>43890</v>
      </c>
      <c r="F7" s="4" t="str">
        <v>NA for 2020</v>
      </c>
    </row>
    <row r="8" spans="2:6" x14ac:dyDescent="0.75">
      <c r="B8" s="3" t="str">
        <v>ERCOT Polled Settlement (EPS) metered generation units</v>
      </c>
      <c r="D8" s="4">
        <v>43891</v>
      </c>
      <c r="F8" s="4" t="str">
        <v>NA for 2020</v>
      </c>
    </row>
    <row r="9" spans="2:6" x14ac:dyDescent="0.75">
      <c r="B9" s="3" t="str">
        <v>Emissions Reporting</v>
      </c>
      <c r="D9" s="4">
        <v>43891</v>
      </c>
      <c r="F9" s="4" t="str">
        <v>NA for 2020</v>
      </c>
    </row>
    <row r="10" spans="2:6" x14ac:dyDescent="0.75">
      <c r="B10" s="3" t="str">
        <v>Generation Fuel Mix Report</v>
      </c>
      <c r="D10" s="4">
        <v>43891</v>
      </c>
      <c r="F10" s="4" t="str">
        <v>NA for 2020</v>
      </c>
    </row>
    <row r="11" spans="2:6" x14ac:dyDescent="0.75">
      <c r="B11" s="3" t="str">
        <v>Seasonal Voltage Profile Settings-Spring</v>
      </c>
      <c r="D11" s="4">
        <v>43905</v>
      </c>
      <c r="F11" s="4" t="str">
        <v>NA for 2020</v>
      </c>
    </row>
    <row r="12" spans="2:6" x14ac:dyDescent="0.75">
      <c r="B12" s="3" t="str">
        <v>NPRR928- Cyber Security Appointment -Market Participants</v>
      </c>
      <c r="D12" s="4">
        <v>43924</v>
      </c>
      <c r="F12" s="4" t="str">
        <v>NA for 2020</v>
      </c>
    </row>
    <row r="13" spans="2:6" x14ac:dyDescent="0.75">
      <c r="B13" s="3" t="str">
        <v>Quarterly MWh production data</v>
      </c>
      <c r="D13" s="4">
        <v>43951</v>
      </c>
      <c r="F13" s="4" t="str">
        <v>NA for 2020</v>
      </c>
    </row>
    <row r="14" spans="2:6" x14ac:dyDescent="0.75">
      <c r="B14" s="3" t="str">
        <v>PUCT Contact and Emergency Information Annual Report</v>
      </c>
      <c r="D14" s="4">
        <v>43952</v>
      </c>
      <c r="F14" s="4">
        <v>43949</v>
      </c>
    </row>
    <row r="15" spans="2:6" x14ac:dyDescent="0.75">
      <c r="B15" s="3" t="str">
        <v>Weatherization Plan Attestation- Summer</v>
      </c>
      <c r="D15" s="4">
        <v>43983</v>
      </c>
      <c r="F15" s="4" t="str">
        <v>NA for 2020</v>
      </c>
    </row>
    <row r="16" spans="2:6" x14ac:dyDescent="0.75">
      <c r="B16" s="3" t="str">
        <v>Seasonal Voltage Profile Settings-Summer</v>
      </c>
      <c r="D16" s="4">
        <v>43997</v>
      </c>
      <c r="F16" s="4" t="str">
        <v>NA for 2020</v>
      </c>
    </row>
    <row r="17" spans="2:6" x14ac:dyDescent="0.75">
      <c r="B17" s="3" t="str">
        <v>Survey for Frequenccy Response Capability Limitation for IRR's</v>
      </c>
      <c r="D17" s="4">
        <v>44012</v>
      </c>
      <c r="F17" s="4">
        <v>44012</v>
      </c>
    </row>
    <row r="18" spans="2:6" x14ac:dyDescent="0.75">
      <c r="B18" s="3" t="str">
        <v>Implementation of TSAT</v>
      </c>
      <c r="D18" s="4">
        <v>44044</v>
      </c>
      <c r="F18" s="4" t="str">
        <v>pending</v>
      </c>
    </row>
    <row r="19" spans="2:6" x14ac:dyDescent="0.75">
      <c r="B19" s="3" t="str">
        <v>Seasonal Voltage Profile Settings-Fall</v>
      </c>
      <c r="D19" s="4">
        <v>44089</v>
      </c>
      <c r="F19" s="4">
        <v>44089</v>
      </c>
    </row>
    <row r="20" spans="2:6" x14ac:dyDescent="0.75">
      <c r="B20" s="3" t="str">
        <v>ERCOT NPRR Check</v>
      </c>
      <c r="D20" s="4">
        <v>44089</v>
      </c>
      <c r="F20" s="4">
        <v>44089</v>
      </c>
    </row>
    <row r="21" spans="2:6" x14ac:dyDescent="0.75">
      <c r="B21" s="3" t="str">
        <v>ERCOT NRRGRR Check</v>
      </c>
      <c r="D21" s="4">
        <v>44089</v>
      </c>
      <c r="F21" s="4">
        <v>44089</v>
      </c>
    </row>
    <row r="22" spans="2:6" x14ac:dyDescent="0.75">
      <c r="B22" s="3" t="str">
        <v>ERCOT Survey Chack</v>
      </c>
      <c r="D22" s="4">
        <v>44089</v>
      </c>
      <c r="F22" s="4">
        <v>44089</v>
      </c>
    </row>
    <row r="23" spans="2:6" x14ac:dyDescent="0.75">
      <c r="B23" s="3" t="str">
        <v>Digital Certificate Audit Attestation</v>
      </c>
      <c r="D23" s="4">
        <v>44105</v>
      </c>
      <c r="F23" s="4">
        <v>44078</v>
      </c>
    </row>
    <row r="24" spans="2:6" x14ac:dyDescent="0.75">
      <c r="B24" s="3" t="str">
        <v>ERCOT NPRR Check</v>
      </c>
      <c r="D24" s="4">
        <v>44134</v>
      </c>
      <c r="F24" s="4">
        <v>44132</v>
      </c>
    </row>
    <row r="25" spans="2:6" x14ac:dyDescent="0.75">
      <c r="B25" s="3" t="str">
        <v>ERCOT NRRGRR Check</v>
      </c>
      <c r="D25" s="4">
        <v>44134</v>
      </c>
      <c r="F25" s="4">
        <v>44132</v>
      </c>
    </row>
    <row r="26" spans="2:6" x14ac:dyDescent="0.75">
      <c r="B26" s="3" t="str">
        <v>ERCOT Survey Chack</v>
      </c>
      <c r="D26" s="4">
        <v>44134</v>
      </c>
      <c r="F26" s="4">
        <v>44132</v>
      </c>
    </row>
    <row r="27" spans="2:6" x14ac:dyDescent="0.75">
      <c r="B27" s="3" t="str">
        <v>Section 1600 Reporting Confirmation</v>
      </c>
      <c r="D27" s="4">
        <v>44150</v>
      </c>
      <c r="F27" s="4">
        <v>44145</v>
      </c>
    </row>
    <row r="28" spans="2:6" x14ac:dyDescent="0.75">
      <c r="B28" s="3" t="str">
        <v>ERCOT NPRR Check</v>
      </c>
      <c r="D28" s="4">
        <v>44165</v>
      </c>
      <c r="F28" s="4">
        <v>44165</v>
      </c>
    </row>
    <row r="29" spans="2:6" x14ac:dyDescent="0.75">
      <c r="B29" s="3" t="str">
        <v>ERCOT NRRGRR Check</v>
      </c>
      <c r="D29" s="4">
        <v>44165</v>
      </c>
      <c r="F29" s="4">
        <v>44165</v>
      </c>
    </row>
    <row r="30" spans="2:6" x14ac:dyDescent="0.75">
      <c r="B30" s="3" t="str">
        <v>ERCOT Survey Chack</v>
      </c>
      <c r="D30" s="4">
        <v>44165</v>
      </c>
      <c r="F30" s="4">
        <v>44165</v>
      </c>
    </row>
    <row r="31" spans="2:6" x14ac:dyDescent="0.75">
      <c r="B31" s="3" t="str">
        <v>Weatherization Plan Attestation-Winter</v>
      </c>
      <c r="D31" s="4">
        <v>44166</v>
      </c>
      <c r="F31" s="4">
        <v>44165</v>
      </c>
    </row>
    <row r="32" spans="2:6" x14ac:dyDescent="0.75">
      <c r="B32" s="3" t="str">
        <v>Seasonal Voltage Profile Settings-Winter</v>
      </c>
      <c r="D32" s="4">
        <v>44180</v>
      </c>
      <c r="F32" s="4">
        <v>44166</v>
      </c>
    </row>
    <row r="33" spans="2:6" x14ac:dyDescent="0.75">
      <c r="B33" s="3" t="str">
        <v>TPL-001-4</v>
      </c>
      <c r="D33" s="4">
        <v>44182</v>
      </c>
      <c r="F33" s="4">
        <v>44181</v>
      </c>
    </row>
    <row r="34" spans="2:6" x14ac:dyDescent="0.75">
      <c r="B34" s="3" t="str">
        <v>ERCOT NPRR Check</v>
      </c>
      <c r="D34" s="4">
        <v>44196</v>
      </c>
      <c r="F34" s="4">
        <v>44193</v>
      </c>
    </row>
    <row r="35" spans="2:6" x14ac:dyDescent="0.75">
      <c r="B35" s="3" t="str">
        <v>ERCOT NRRGRR Check</v>
      </c>
      <c r="D35" s="4">
        <v>44196</v>
      </c>
      <c r="F35" s="4">
        <v>44193</v>
      </c>
    </row>
    <row r="36" spans="2:6" x14ac:dyDescent="0.75">
      <c r="B36" s="3" t="str">
        <v>ERCOT Survey Chack</v>
      </c>
      <c r="D36" s="4">
        <v>44196</v>
      </c>
      <c r="F36" s="4">
        <v>44193</v>
      </c>
    </row>
    <row r="37" spans="2:6" x14ac:dyDescent="0.75">
      <c r="B37" s="129" t="str">
        <v>PUC EOP Drill</v>
      </c>
      <c r="C37" s="127"/>
      <c r="D37" s="130" t="str">
        <v>As required</v>
      </c>
      <c r="E37" s="127"/>
      <c r="F37" s="130" t="str">
        <v xml:space="preserve"> </v>
      </c>
    </row>
    <row r="38" spans="2:6" x14ac:dyDescent="0.75">
      <c r="B38" s="129"/>
      <c r="C38" s="127"/>
      <c r="D38" s="130"/>
      <c r="E38" s="127"/>
      <c r="F38" s="130"/>
    </row>
    <row r="39" spans="2:6" x14ac:dyDescent="0.75">
      <c r="B39" s="129"/>
      <c r="C39" s="127"/>
      <c r="D39" s="130"/>
      <c r="E39" s="127"/>
      <c r="F39" s="130"/>
    </row>
    <row r="40" spans="2:6" x14ac:dyDescent="0.75">
      <c r="B40" s="129"/>
      <c r="C40" s="127"/>
      <c r="D40" s="130"/>
      <c r="E40" s="127"/>
      <c r="F40" s="130"/>
    </row>
    <row r="41" spans="2:6" x14ac:dyDescent="0.75">
      <c r="B41" s="129"/>
      <c r="C41" s="127"/>
      <c r="D41" s="130"/>
      <c r="E41" s="127"/>
      <c r="F41" s="130"/>
    </row>
    <row r="42" spans="2:6" x14ac:dyDescent="0.75">
      <c r="B42" s="129"/>
      <c r="C42" s="127"/>
      <c r="D42" s="130"/>
      <c r="E42" s="127"/>
      <c r="F42" s="130"/>
    </row>
    <row r="43" spans="2:6" x14ac:dyDescent="0.75">
      <c r="B43" s="129"/>
      <c r="C43" s="127"/>
      <c r="D43" s="130"/>
      <c r="E43" s="127"/>
      <c r="F43" s="130"/>
    </row>
    <row r="44" spans="2:6" x14ac:dyDescent="0.75">
      <c r="B44" s="129"/>
      <c r="C44" s="127"/>
      <c r="D44" s="130"/>
      <c r="E44" s="127"/>
      <c r="F44" s="130"/>
    </row>
    <row r="45" spans="2:6" x14ac:dyDescent="0.75">
      <c r="B45" s="129"/>
      <c r="C45" s="127"/>
      <c r="D45" s="130"/>
      <c r="E45" s="127"/>
      <c r="F45" s="130"/>
    </row>
    <row r="46" spans="2:6" x14ac:dyDescent="0.75">
      <c r="B46" s="129"/>
      <c r="C46" s="127"/>
      <c r="D46" s="130"/>
      <c r="E46" s="127"/>
      <c r="F46" s="130"/>
    </row>
    <row r="47" spans="2:6" x14ac:dyDescent="0.75">
      <c r="B47" s="129"/>
      <c r="C47" s="127"/>
      <c r="D47" s="130"/>
      <c r="E47" s="127"/>
      <c r="F47" s="130"/>
    </row>
    <row r="48" spans="2:6" x14ac:dyDescent="0.75">
      <c r="B48" s="129"/>
      <c r="C48" s="127"/>
      <c r="D48" s="130"/>
      <c r="E48" s="127"/>
      <c r="F48" s="130"/>
    </row>
    <row r="49" spans="2:6" x14ac:dyDescent="0.75">
      <c r="B49" s="129"/>
      <c r="C49" s="127"/>
      <c r="D49" s="130"/>
      <c r="E49" s="127"/>
      <c r="F49" s="130"/>
    </row>
    <row r="50" spans="2:6" x14ac:dyDescent="0.75">
      <c r="B50" s="129"/>
      <c r="C50" s="127"/>
      <c r="D50" s="130"/>
      <c r="E50" s="127"/>
      <c r="F50" s="130"/>
    </row>
    <row r="51" spans="2:6" x14ac:dyDescent="0.75">
      <c r="B51" s="129"/>
      <c r="C51" s="127"/>
      <c r="D51" s="130"/>
      <c r="E51" s="127"/>
      <c r="F51" s="130"/>
    </row>
    <row r="52" spans="2:6" x14ac:dyDescent="0.75">
      <c r="B52" s="129"/>
      <c r="C52" s="127"/>
      <c r="D52" s="130"/>
      <c r="E52" s="127"/>
      <c r="F52" s="130"/>
    </row>
    <row r="53" spans="2:6" x14ac:dyDescent="0.75">
      <c r="B53" s="129"/>
      <c r="C53" s="127"/>
      <c r="D53" s="130"/>
      <c r="E53" s="127"/>
      <c r="F53" s="130"/>
    </row>
    <row r="54" spans="2:6" x14ac:dyDescent="0.75">
      <c r="B54" s="129"/>
      <c r="C54" s="127"/>
      <c r="D54" s="130"/>
      <c r="E54" s="127"/>
      <c r="F54" s="130"/>
    </row>
    <row r="55" spans="2:6" x14ac:dyDescent="0.75">
      <c r="B55" s="129"/>
      <c r="C55" s="127"/>
      <c r="D55" s="130"/>
      <c r="E55" s="127"/>
      <c r="F55" s="130"/>
    </row>
    <row r="56" spans="2:6" x14ac:dyDescent="0.75">
      <c r="B56" s="129"/>
      <c r="C56" s="127"/>
      <c r="D56" s="130"/>
      <c r="E56" s="127"/>
      <c r="F56" s="130"/>
    </row>
    <row r="57" spans="2:6" x14ac:dyDescent="0.75">
      <c r="B57" s="129"/>
      <c r="C57" s="127"/>
      <c r="D57" s="130"/>
      <c r="E57" s="127"/>
      <c r="F57" s="13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7FCD-FED1-48FA-A078-DDD52B5E9C6C}">
  <dimension ref="A1:E95"/>
  <sheetViews>
    <sheetView topLeftCell="A65" workbookViewId="0">
      <selection activeCell="A96" sqref="A96"/>
    </sheetView>
  </sheetViews>
  <sheetFormatPr defaultRowHeight="14.75" x14ac:dyDescent="0.75"/>
  <cols>
    <col min="1" max="1" width="42.40625" bestFit="1" customWidth="1"/>
    <col min="2" max="2" width="6.1328125" bestFit="1" customWidth="1"/>
    <col min="3" max="3" width="17.1328125" style="111" bestFit="1" customWidth="1"/>
    <col min="4" max="5" width="10.1328125" style="111" bestFit="1" customWidth="1"/>
    <col min="6" max="6" width="14.86328125" bestFit="1" customWidth="1"/>
    <col min="7" max="7" width="10.1328125" bestFit="1" customWidth="1"/>
    <col min="8" max="8" width="16.1328125" bestFit="1" customWidth="1"/>
  </cols>
  <sheetData>
    <row r="1" spans="1:5" x14ac:dyDescent="0.75">
      <c r="A1" t="s">
        <v>3</v>
      </c>
      <c r="B1" t="s">
        <v>4</v>
      </c>
      <c r="C1" t="s">
        <v>5</v>
      </c>
      <c r="D1" t="s">
        <v>186</v>
      </c>
      <c r="E1" t="s">
        <v>187</v>
      </c>
    </row>
    <row r="2" spans="1:5" x14ac:dyDescent="0.75">
      <c r="A2" t="s">
        <v>12</v>
      </c>
      <c r="B2">
        <v>43831</v>
      </c>
      <c r="C2">
        <v>43917</v>
      </c>
      <c r="E2" s="111" t="s">
        <v>297</v>
      </c>
    </row>
    <row r="3" spans="1:5" x14ac:dyDescent="0.75">
      <c r="A3" t="s">
        <v>15</v>
      </c>
      <c r="B3">
        <v>43831</v>
      </c>
      <c r="C3">
        <v>43921</v>
      </c>
      <c r="E3" s="111" t="s">
        <v>297</v>
      </c>
    </row>
    <row r="4" spans="1:5" x14ac:dyDescent="0.75">
      <c r="A4" t="s">
        <v>20</v>
      </c>
      <c r="B4">
        <v>43831</v>
      </c>
      <c r="C4">
        <v>43909</v>
      </c>
      <c r="E4" s="111" t="s">
        <v>297</v>
      </c>
    </row>
    <row r="5" spans="1:5" x14ac:dyDescent="0.75">
      <c r="A5" t="s">
        <v>23</v>
      </c>
      <c r="B5">
        <v>43831</v>
      </c>
      <c r="C5">
        <v>43909</v>
      </c>
      <c r="E5" s="111" t="s">
        <v>297</v>
      </c>
    </row>
    <row r="6" spans="1:5" x14ac:dyDescent="0.75">
      <c r="A6" t="s">
        <v>25</v>
      </c>
      <c r="B6">
        <v>43831</v>
      </c>
      <c r="C6">
        <v>43909</v>
      </c>
      <c r="E6" s="111" t="s">
        <v>297</v>
      </c>
    </row>
    <row r="7" spans="1:5" x14ac:dyDescent="0.75">
      <c r="A7" t="s">
        <v>28</v>
      </c>
      <c r="B7">
        <v>43831</v>
      </c>
      <c r="C7">
        <v>43909</v>
      </c>
      <c r="E7" s="111" t="s">
        <v>297</v>
      </c>
    </row>
    <row r="8" spans="1:5" x14ac:dyDescent="0.75">
      <c r="A8" t="s">
        <v>32</v>
      </c>
      <c r="B8">
        <v>43831</v>
      </c>
      <c r="C8">
        <v>43917</v>
      </c>
      <c r="E8" s="111" t="s">
        <v>297</v>
      </c>
    </row>
    <row r="9" spans="1:5" x14ac:dyDescent="0.75">
      <c r="A9" t="s">
        <v>36</v>
      </c>
      <c r="B9">
        <v>43917</v>
      </c>
      <c r="C9">
        <v>43928.747832291665</v>
      </c>
      <c r="E9" s="111" t="s">
        <v>297</v>
      </c>
    </row>
    <row r="10" spans="1:5" x14ac:dyDescent="0.75">
      <c r="A10" t="s">
        <v>40</v>
      </c>
      <c r="B10">
        <v>43922</v>
      </c>
      <c r="C10">
        <v>43922</v>
      </c>
      <c r="E10" s="111" t="s">
        <v>297</v>
      </c>
    </row>
    <row r="11" spans="1:5" x14ac:dyDescent="0.75">
      <c r="A11" t="s">
        <v>44</v>
      </c>
      <c r="B11">
        <v>43922</v>
      </c>
      <c r="C11">
        <v>43922</v>
      </c>
      <c r="E11" s="111" t="s">
        <v>297</v>
      </c>
    </row>
    <row r="12" spans="1:5" x14ac:dyDescent="0.75">
      <c r="A12" t="s">
        <v>48</v>
      </c>
      <c r="B12">
        <v>43922</v>
      </c>
      <c r="C12">
        <v>43921</v>
      </c>
      <c r="E12" s="111" t="s">
        <v>297</v>
      </c>
    </row>
    <row r="13" spans="1:5" x14ac:dyDescent="0.75">
      <c r="A13" t="s">
        <v>51</v>
      </c>
      <c r="B13">
        <v>43922</v>
      </c>
      <c r="C13">
        <v>43920</v>
      </c>
      <c r="E13" s="111" t="s">
        <v>297</v>
      </c>
    </row>
    <row r="14" spans="1:5" x14ac:dyDescent="0.75">
      <c r="A14" t="s">
        <v>54</v>
      </c>
      <c r="B14">
        <v>43922</v>
      </c>
      <c r="C14">
        <v>43921</v>
      </c>
      <c r="E14" s="111" t="s">
        <v>297</v>
      </c>
    </row>
    <row r="15" spans="1:5" x14ac:dyDescent="0.75">
      <c r="A15" t="s">
        <v>57</v>
      </c>
      <c r="B15">
        <v>43922</v>
      </c>
      <c r="C15">
        <v>43921</v>
      </c>
      <c r="E15" s="111" t="s">
        <v>297</v>
      </c>
    </row>
    <row r="16" spans="1:5" x14ac:dyDescent="0.75">
      <c r="A16" t="s">
        <v>60</v>
      </c>
      <c r="B16">
        <v>43922</v>
      </c>
      <c r="C16">
        <v>43921</v>
      </c>
      <c r="E16" s="111" t="s">
        <v>297</v>
      </c>
    </row>
    <row r="17" spans="1:5" x14ac:dyDescent="0.75">
      <c r="A17" t="s">
        <v>64</v>
      </c>
      <c r="B17">
        <v>43922</v>
      </c>
      <c r="C17">
        <v>43957</v>
      </c>
      <c r="E17" s="111" t="s">
        <v>297</v>
      </c>
    </row>
    <row r="18" spans="1:5" x14ac:dyDescent="0.75">
      <c r="A18" t="s">
        <v>68</v>
      </c>
      <c r="B18">
        <v>43951</v>
      </c>
      <c r="C18">
        <v>43951</v>
      </c>
      <c r="E18" s="111" t="s">
        <v>297</v>
      </c>
    </row>
    <row r="19" spans="1:5" x14ac:dyDescent="0.75">
      <c r="A19" t="s">
        <v>73</v>
      </c>
      <c r="B19">
        <v>43951</v>
      </c>
      <c r="C19">
        <v>43951</v>
      </c>
      <c r="E19" s="111" t="s">
        <v>297</v>
      </c>
    </row>
    <row r="20" spans="1:5" x14ac:dyDescent="0.75">
      <c r="A20" t="s">
        <v>76</v>
      </c>
      <c r="B20">
        <v>44015</v>
      </c>
      <c r="C20">
        <v>44021</v>
      </c>
      <c r="E20" s="111" t="s">
        <v>297</v>
      </c>
    </row>
    <row r="21" spans="1:5" x14ac:dyDescent="0.75">
      <c r="A21" t="s">
        <v>78</v>
      </c>
      <c r="B21">
        <v>44015</v>
      </c>
      <c r="C21">
        <v>44021</v>
      </c>
      <c r="E21" s="111" t="s">
        <v>297</v>
      </c>
    </row>
    <row r="22" spans="1:5" x14ac:dyDescent="0.75">
      <c r="A22" t="s">
        <v>68</v>
      </c>
      <c r="B22">
        <v>44042</v>
      </c>
      <c r="C22">
        <v>44042</v>
      </c>
      <c r="E22" s="111" t="s">
        <v>297</v>
      </c>
    </row>
    <row r="23" spans="1:5" x14ac:dyDescent="0.75">
      <c r="A23" t="s">
        <v>73</v>
      </c>
      <c r="B23">
        <v>44042</v>
      </c>
      <c r="C23">
        <v>44042</v>
      </c>
      <c r="E23" s="111" t="s">
        <v>297</v>
      </c>
    </row>
    <row r="24" spans="1:5" x14ac:dyDescent="0.75">
      <c r="A24" t="s">
        <v>80</v>
      </c>
      <c r="B24">
        <v>44046</v>
      </c>
      <c r="C24">
        <v>44021</v>
      </c>
      <c r="E24" s="111" t="s">
        <v>297</v>
      </c>
    </row>
    <row r="25" spans="1:5" x14ac:dyDescent="0.75">
      <c r="A25" t="s">
        <v>298</v>
      </c>
      <c r="B25">
        <v>44106</v>
      </c>
      <c r="C25">
        <v>44106</v>
      </c>
    </row>
    <row r="26" spans="1:5" x14ac:dyDescent="0.75">
      <c r="A26" t="s">
        <v>73</v>
      </c>
      <c r="B26">
        <v>44134</v>
      </c>
      <c r="C26">
        <v>44123</v>
      </c>
      <c r="E26" s="111" t="s">
        <v>297</v>
      </c>
    </row>
    <row r="27" spans="1:5" x14ac:dyDescent="0.75">
      <c r="A27" t="s">
        <v>68</v>
      </c>
      <c r="B27">
        <v>44134</v>
      </c>
      <c r="C27">
        <v>44119</v>
      </c>
      <c r="E27" s="111" t="s">
        <v>297</v>
      </c>
    </row>
    <row r="28" spans="1:5" x14ac:dyDescent="0.75">
      <c r="A28" t="s">
        <v>298</v>
      </c>
      <c r="B28">
        <v>44134</v>
      </c>
      <c r="C28">
        <v>44126</v>
      </c>
      <c r="E28" s="111" t="s">
        <v>297</v>
      </c>
    </row>
    <row r="29" spans="1:5" x14ac:dyDescent="0.75">
      <c r="A29" t="s">
        <v>299</v>
      </c>
      <c r="B29">
        <v>44134</v>
      </c>
      <c r="C29">
        <v>44134</v>
      </c>
      <c r="E29" s="111" t="s">
        <v>297</v>
      </c>
    </row>
    <row r="30" spans="1:5" x14ac:dyDescent="0.75">
      <c r="A30" t="s">
        <v>300</v>
      </c>
      <c r="B30">
        <v>44141</v>
      </c>
      <c r="C30">
        <v>44130</v>
      </c>
      <c r="E30" s="111" t="s">
        <v>301</v>
      </c>
    </row>
    <row r="31" spans="1:5" x14ac:dyDescent="0.75">
      <c r="A31" t="s">
        <v>396</v>
      </c>
      <c r="B31">
        <v>44225</v>
      </c>
      <c r="C31"/>
      <c r="E31" s="111" t="s">
        <v>297</v>
      </c>
    </row>
    <row r="32" spans="1:5" x14ac:dyDescent="0.75">
      <c r="A32" t="s">
        <v>302</v>
      </c>
      <c r="B32">
        <v>44242</v>
      </c>
      <c r="C32"/>
      <c r="E32" s="111" t="s">
        <v>301</v>
      </c>
    </row>
    <row r="33" spans="1:5" x14ac:dyDescent="0.75">
      <c r="A33" t="s">
        <v>315</v>
      </c>
      <c r="B33">
        <v>44242</v>
      </c>
      <c r="C33"/>
      <c r="E33" s="111" t="s">
        <v>301</v>
      </c>
    </row>
    <row r="34" spans="1:5" x14ac:dyDescent="0.75">
      <c r="A34" t="s">
        <v>327</v>
      </c>
      <c r="B34">
        <v>44242</v>
      </c>
      <c r="C34"/>
      <c r="E34" s="111" t="s">
        <v>301</v>
      </c>
    </row>
    <row r="35" spans="1:5" x14ac:dyDescent="0.75">
      <c r="A35" t="s">
        <v>344</v>
      </c>
      <c r="B35">
        <v>44242</v>
      </c>
      <c r="C35"/>
      <c r="E35" s="111" t="s">
        <v>301</v>
      </c>
    </row>
    <row r="36" spans="1:5" x14ac:dyDescent="0.75">
      <c r="A36" t="s">
        <v>353</v>
      </c>
      <c r="B36">
        <v>44255</v>
      </c>
      <c r="C36"/>
      <c r="E36" s="111" t="s">
        <v>301</v>
      </c>
    </row>
    <row r="37" spans="1:5" x14ac:dyDescent="0.75">
      <c r="A37" t="s">
        <v>340</v>
      </c>
      <c r="B37">
        <v>44256</v>
      </c>
      <c r="C37"/>
      <c r="E37" s="111" t="s">
        <v>301</v>
      </c>
    </row>
    <row r="38" spans="1:5" x14ac:dyDescent="0.75">
      <c r="A38" t="s">
        <v>303</v>
      </c>
      <c r="B38">
        <v>44270</v>
      </c>
      <c r="C38"/>
      <c r="E38" s="111" t="s">
        <v>301</v>
      </c>
    </row>
    <row r="39" spans="1:5" x14ac:dyDescent="0.75">
      <c r="A39" t="s">
        <v>316</v>
      </c>
      <c r="B39">
        <v>44270</v>
      </c>
      <c r="C39"/>
      <c r="E39" s="111" t="s">
        <v>301</v>
      </c>
    </row>
    <row r="40" spans="1:5" x14ac:dyDescent="0.75">
      <c r="A40" t="s">
        <v>328</v>
      </c>
      <c r="B40">
        <v>44270</v>
      </c>
      <c r="C40"/>
      <c r="E40" s="111" t="s">
        <v>301</v>
      </c>
    </row>
    <row r="41" spans="1:5" x14ac:dyDescent="0.75">
      <c r="A41" t="s">
        <v>354</v>
      </c>
      <c r="B41">
        <v>44286</v>
      </c>
      <c r="C41"/>
      <c r="E41" s="111" t="s">
        <v>301</v>
      </c>
    </row>
    <row r="42" spans="1:5" x14ac:dyDescent="0.75">
      <c r="A42" t="s">
        <v>304</v>
      </c>
      <c r="B42">
        <v>44301</v>
      </c>
      <c r="C42"/>
      <c r="E42" s="111" t="s">
        <v>301</v>
      </c>
    </row>
    <row r="43" spans="1:5" x14ac:dyDescent="0.75">
      <c r="A43" t="s">
        <v>317</v>
      </c>
      <c r="B43">
        <v>44301</v>
      </c>
      <c r="C43"/>
      <c r="E43" s="111" t="s">
        <v>301</v>
      </c>
    </row>
    <row r="44" spans="1:5" x14ac:dyDescent="0.75">
      <c r="A44" t="s">
        <v>329</v>
      </c>
      <c r="B44">
        <v>44301</v>
      </c>
      <c r="C44"/>
      <c r="E44" s="111" t="s">
        <v>301</v>
      </c>
    </row>
    <row r="45" spans="1:5" x14ac:dyDescent="0.75">
      <c r="A45" t="s">
        <v>349</v>
      </c>
      <c r="B45">
        <v>44306</v>
      </c>
      <c r="C45"/>
      <c r="E45" s="111" t="s">
        <v>301</v>
      </c>
    </row>
    <row r="46" spans="1:5" x14ac:dyDescent="0.75">
      <c r="A46" t="s">
        <v>355</v>
      </c>
      <c r="B46">
        <v>44316</v>
      </c>
      <c r="C46"/>
      <c r="E46" s="111" t="s">
        <v>301</v>
      </c>
    </row>
    <row r="47" spans="1:5" x14ac:dyDescent="0.75">
      <c r="A47" t="s">
        <v>305</v>
      </c>
      <c r="B47">
        <v>44331</v>
      </c>
      <c r="C47"/>
      <c r="E47" s="111" t="s">
        <v>301</v>
      </c>
    </row>
    <row r="48" spans="1:5" x14ac:dyDescent="0.75">
      <c r="A48" t="s">
        <v>318</v>
      </c>
      <c r="B48">
        <v>44331</v>
      </c>
      <c r="C48"/>
      <c r="E48" s="111" t="s">
        <v>301</v>
      </c>
    </row>
    <row r="49" spans="1:5" x14ac:dyDescent="0.75">
      <c r="A49" t="s">
        <v>330</v>
      </c>
      <c r="B49">
        <v>44331</v>
      </c>
      <c r="C49"/>
      <c r="E49" s="111" t="s">
        <v>301</v>
      </c>
    </row>
    <row r="50" spans="1:5" x14ac:dyDescent="0.75">
      <c r="A50" t="s">
        <v>345</v>
      </c>
      <c r="B50">
        <v>44331</v>
      </c>
      <c r="C50"/>
      <c r="E50" s="111" t="s">
        <v>301</v>
      </c>
    </row>
    <row r="51" spans="1:5" x14ac:dyDescent="0.75">
      <c r="A51" t="s">
        <v>341</v>
      </c>
      <c r="B51">
        <v>44346</v>
      </c>
      <c r="C51"/>
      <c r="E51" s="111" t="s">
        <v>301</v>
      </c>
    </row>
    <row r="52" spans="1:5" x14ac:dyDescent="0.75">
      <c r="A52" t="s">
        <v>356</v>
      </c>
      <c r="B52">
        <v>44347</v>
      </c>
      <c r="C52"/>
      <c r="E52" s="111" t="s">
        <v>301</v>
      </c>
    </row>
    <row r="53" spans="1:5" x14ac:dyDescent="0.75">
      <c r="A53" t="s">
        <v>306</v>
      </c>
      <c r="B53">
        <v>44362</v>
      </c>
      <c r="C53"/>
      <c r="E53" s="111" t="s">
        <v>301</v>
      </c>
    </row>
    <row r="54" spans="1:5" x14ac:dyDescent="0.75">
      <c r="A54" t="s">
        <v>319</v>
      </c>
      <c r="B54">
        <v>44362</v>
      </c>
      <c r="C54"/>
      <c r="E54" s="111" t="s">
        <v>301</v>
      </c>
    </row>
    <row r="55" spans="1:5" x14ac:dyDescent="0.75">
      <c r="A55" t="s">
        <v>331</v>
      </c>
      <c r="B55">
        <v>44362</v>
      </c>
      <c r="C55"/>
      <c r="E55" s="111" t="s">
        <v>301</v>
      </c>
    </row>
    <row r="56" spans="1:5" x14ac:dyDescent="0.75">
      <c r="A56" t="s">
        <v>348</v>
      </c>
      <c r="B56">
        <v>44377</v>
      </c>
      <c r="C56"/>
      <c r="E56" s="111" t="s">
        <v>301</v>
      </c>
    </row>
    <row r="57" spans="1:5" x14ac:dyDescent="0.75">
      <c r="A57" t="s">
        <v>357</v>
      </c>
      <c r="B57">
        <v>44377</v>
      </c>
      <c r="C57"/>
      <c r="E57" s="111" t="s">
        <v>301</v>
      </c>
    </row>
    <row r="58" spans="1:5" x14ac:dyDescent="0.75">
      <c r="A58" t="s">
        <v>339</v>
      </c>
      <c r="B58">
        <v>44378</v>
      </c>
      <c r="C58"/>
      <c r="E58" s="111" t="s">
        <v>301</v>
      </c>
    </row>
    <row r="59" spans="1:5" x14ac:dyDescent="0.75">
      <c r="A59" t="s">
        <v>307</v>
      </c>
      <c r="B59">
        <v>44392</v>
      </c>
      <c r="C59"/>
      <c r="E59" s="111" t="s">
        <v>301</v>
      </c>
    </row>
    <row r="60" spans="1:5" x14ac:dyDescent="0.75">
      <c r="A60" t="s">
        <v>320</v>
      </c>
      <c r="B60">
        <v>44392</v>
      </c>
      <c r="C60"/>
      <c r="E60" s="111" t="s">
        <v>301</v>
      </c>
    </row>
    <row r="61" spans="1:5" x14ac:dyDescent="0.75">
      <c r="A61" t="s">
        <v>332</v>
      </c>
      <c r="B61">
        <v>44392</v>
      </c>
      <c r="C61"/>
      <c r="E61" s="111" t="s">
        <v>301</v>
      </c>
    </row>
    <row r="62" spans="1:5" x14ac:dyDescent="0.75">
      <c r="A62" t="s">
        <v>350</v>
      </c>
      <c r="B62">
        <v>44397</v>
      </c>
      <c r="C62"/>
      <c r="E62" s="111" t="s">
        <v>301</v>
      </c>
    </row>
    <row r="63" spans="1:5" x14ac:dyDescent="0.75">
      <c r="A63" t="s">
        <v>358</v>
      </c>
      <c r="B63">
        <v>44408</v>
      </c>
      <c r="C63"/>
      <c r="E63" s="111" t="s">
        <v>301</v>
      </c>
    </row>
    <row r="64" spans="1:5" x14ac:dyDescent="0.75">
      <c r="A64" t="s">
        <v>308</v>
      </c>
      <c r="B64">
        <v>44423</v>
      </c>
      <c r="C64"/>
      <c r="E64" s="111" t="s">
        <v>301</v>
      </c>
    </row>
    <row r="65" spans="1:5" x14ac:dyDescent="0.75">
      <c r="A65" t="s">
        <v>321</v>
      </c>
      <c r="B65">
        <v>44423</v>
      </c>
      <c r="C65"/>
      <c r="E65" s="111" t="s">
        <v>301</v>
      </c>
    </row>
    <row r="66" spans="1:5" x14ac:dyDescent="0.75">
      <c r="A66" t="s">
        <v>333</v>
      </c>
      <c r="B66">
        <v>44423</v>
      </c>
      <c r="C66"/>
      <c r="E66" s="111" t="s">
        <v>301</v>
      </c>
    </row>
    <row r="67" spans="1:5" x14ac:dyDescent="0.75">
      <c r="A67" t="s">
        <v>346</v>
      </c>
      <c r="B67">
        <v>44423</v>
      </c>
      <c r="C67"/>
      <c r="E67" s="111" t="s">
        <v>301</v>
      </c>
    </row>
    <row r="68" spans="1:5" x14ac:dyDescent="0.75">
      <c r="A68" t="s">
        <v>342</v>
      </c>
      <c r="B68">
        <v>44437</v>
      </c>
      <c r="C68"/>
      <c r="E68" s="111" t="s">
        <v>301</v>
      </c>
    </row>
    <row r="69" spans="1:5" x14ac:dyDescent="0.75">
      <c r="A69" t="s">
        <v>359</v>
      </c>
      <c r="B69">
        <v>44439</v>
      </c>
      <c r="C69"/>
      <c r="E69" s="111" t="s">
        <v>301</v>
      </c>
    </row>
    <row r="70" spans="1:5" x14ac:dyDescent="0.75">
      <c r="A70" t="s">
        <v>309</v>
      </c>
      <c r="B70">
        <v>44454</v>
      </c>
      <c r="C70"/>
      <c r="E70" s="111" t="s">
        <v>301</v>
      </c>
    </row>
    <row r="71" spans="1:5" x14ac:dyDescent="0.75">
      <c r="A71" t="s">
        <v>322</v>
      </c>
      <c r="B71">
        <v>44454</v>
      </c>
      <c r="C71"/>
      <c r="E71" s="111" t="s">
        <v>301</v>
      </c>
    </row>
    <row r="72" spans="1:5" x14ac:dyDescent="0.75">
      <c r="A72" t="s">
        <v>334</v>
      </c>
      <c r="B72">
        <v>44454</v>
      </c>
      <c r="C72"/>
      <c r="E72" s="111" t="s">
        <v>301</v>
      </c>
    </row>
    <row r="73" spans="1:5" x14ac:dyDescent="0.75">
      <c r="A73" t="s">
        <v>360</v>
      </c>
      <c r="B73">
        <v>44469</v>
      </c>
      <c r="C73"/>
      <c r="E73" s="111" t="s">
        <v>301</v>
      </c>
    </row>
    <row r="74" spans="1:5" x14ac:dyDescent="0.75">
      <c r="A74" t="s">
        <v>310</v>
      </c>
      <c r="B74">
        <v>44484</v>
      </c>
      <c r="C74"/>
      <c r="E74" s="111" t="s">
        <v>301</v>
      </c>
    </row>
    <row r="75" spans="1:5" x14ac:dyDescent="0.75">
      <c r="A75" t="s">
        <v>323</v>
      </c>
      <c r="B75">
        <v>44484</v>
      </c>
      <c r="C75"/>
      <c r="E75" s="111" t="s">
        <v>301</v>
      </c>
    </row>
    <row r="76" spans="1:5" x14ac:dyDescent="0.75">
      <c r="A76" t="s">
        <v>335</v>
      </c>
      <c r="B76">
        <v>44484</v>
      </c>
      <c r="C76"/>
      <c r="E76" s="111" t="s">
        <v>301</v>
      </c>
    </row>
    <row r="77" spans="1:5" x14ac:dyDescent="0.75">
      <c r="A77" t="s">
        <v>351</v>
      </c>
      <c r="B77">
        <v>44489</v>
      </c>
      <c r="C77"/>
      <c r="E77" s="111" t="s">
        <v>301</v>
      </c>
    </row>
    <row r="78" spans="1:5" x14ac:dyDescent="0.75">
      <c r="A78" t="s">
        <v>361</v>
      </c>
      <c r="B78">
        <v>44500</v>
      </c>
      <c r="C78"/>
      <c r="E78" s="111" t="s">
        <v>301</v>
      </c>
    </row>
    <row r="79" spans="1:5" x14ac:dyDescent="0.75">
      <c r="A79" t="s">
        <v>311</v>
      </c>
      <c r="B79">
        <v>44515</v>
      </c>
      <c r="C79"/>
      <c r="E79" s="111" t="s">
        <v>301</v>
      </c>
    </row>
    <row r="80" spans="1:5" x14ac:dyDescent="0.75">
      <c r="A80" t="s">
        <v>324</v>
      </c>
      <c r="B80">
        <v>44515</v>
      </c>
      <c r="C80"/>
      <c r="E80" s="111" t="s">
        <v>301</v>
      </c>
    </row>
    <row r="81" spans="1:5" x14ac:dyDescent="0.75">
      <c r="A81" t="s">
        <v>336</v>
      </c>
      <c r="B81">
        <v>44515</v>
      </c>
      <c r="C81"/>
      <c r="E81" s="111" t="s">
        <v>301</v>
      </c>
    </row>
    <row r="82" spans="1:5" x14ac:dyDescent="0.75">
      <c r="A82" t="s">
        <v>347</v>
      </c>
      <c r="B82">
        <v>44515</v>
      </c>
      <c r="C82"/>
      <c r="E82" s="111" t="s">
        <v>301</v>
      </c>
    </row>
    <row r="83" spans="1:5" x14ac:dyDescent="0.75">
      <c r="A83" t="s">
        <v>343</v>
      </c>
      <c r="B83">
        <v>44529</v>
      </c>
      <c r="C83"/>
      <c r="E83" s="111" t="s">
        <v>301</v>
      </c>
    </row>
    <row r="84" spans="1:5" x14ac:dyDescent="0.75">
      <c r="A84" t="s">
        <v>314</v>
      </c>
      <c r="B84">
        <v>44530</v>
      </c>
      <c r="C84"/>
      <c r="E84" s="111" t="s">
        <v>301</v>
      </c>
    </row>
    <row r="85" spans="1:5" x14ac:dyDescent="0.75">
      <c r="A85" t="s">
        <v>362</v>
      </c>
      <c r="B85">
        <v>44530</v>
      </c>
      <c r="C85"/>
      <c r="E85" s="111" t="s">
        <v>301</v>
      </c>
    </row>
    <row r="86" spans="1:5" x14ac:dyDescent="0.75">
      <c r="A86" t="s">
        <v>312</v>
      </c>
      <c r="B86">
        <v>44545</v>
      </c>
      <c r="C86"/>
      <c r="E86" s="111" t="s">
        <v>301</v>
      </c>
    </row>
    <row r="87" spans="1:5" x14ac:dyDescent="0.75">
      <c r="A87" t="s">
        <v>325</v>
      </c>
      <c r="B87">
        <v>44545</v>
      </c>
      <c r="C87"/>
      <c r="E87" s="111" t="s">
        <v>301</v>
      </c>
    </row>
    <row r="88" spans="1:5" x14ac:dyDescent="0.75">
      <c r="A88" t="s">
        <v>337</v>
      </c>
      <c r="B88">
        <v>44545</v>
      </c>
      <c r="C88"/>
      <c r="E88" s="111" t="s">
        <v>301</v>
      </c>
    </row>
    <row r="89" spans="1:5" x14ac:dyDescent="0.75">
      <c r="A89" t="s">
        <v>363</v>
      </c>
      <c r="B89">
        <v>44561</v>
      </c>
      <c r="C89"/>
      <c r="E89" s="111" t="s">
        <v>301</v>
      </c>
    </row>
    <row r="90" spans="1:5" x14ac:dyDescent="0.75">
      <c r="A90" t="s">
        <v>313</v>
      </c>
      <c r="B90">
        <v>44576</v>
      </c>
      <c r="C90"/>
      <c r="E90" s="111" t="s">
        <v>301</v>
      </c>
    </row>
    <row r="91" spans="1:5" x14ac:dyDescent="0.75">
      <c r="A91" t="s">
        <v>326</v>
      </c>
      <c r="B91">
        <v>44576</v>
      </c>
      <c r="C91"/>
      <c r="E91" s="111" t="s">
        <v>301</v>
      </c>
    </row>
    <row r="92" spans="1:5" x14ac:dyDescent="0.75">
      <c r="A92" t="s">
        <v>338</v>
      </c>
      <c r="B92">
        <v>44576</v>
      </c>
      <c r="C92"/>
      <c r="E92" s="111" t="s">
        <v>301</v>
      </c>
    </row>
    <row r="93" spans="1:5" x14ac:dyDescent="0.75">
      <c r="A93" s="127" t="s">
        <v>352</v>
      </c>
      <c r="B93" s="127">
        <v>44581</v>
      </c>
      <c r="C93" s="127"/>
      <c r="D93" s="127"/>
      <c r="E93" s="127" t="s">
        <v>301</v>
      </c>
    </row>
    <row r="94" spans="1:5" x14ac:dyDescent="0.75">
      <c r="A94" s="127" t="s">
        <v>364</v>
      </c>
      <c r="B94" s="127">
        <v>44592</v>
      </c>
      <c r="C94" s="127"/>
      <c r="D94" s="127"/>
      <c r="E94" s="127" t="s">
        <v>301</v>
      </c>
    </row>
    <row r="95" spans="1:5" x14ac:dyDescent="0.75">
      <c r="A95" s="127"/>
      <c r="B95" s="127"/>
      <c r="C95" s="127"/>
      <c r="D95" s="127"/>
      <c r="E95" s="127"/>
    </row>
  </sheetData>
  <phoneticPr fontId="20" type="noConversion"/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B4FDD-33E6-4DF5-81F3-B1EB44353DFB}">
  <dimension ref="B2:F113"/>
  <sheetViews>
    <sheetView workbookViewId="0">
      <selection activeCell="I25" sqref="I25"/>
    </sheetView>
  </sheetViews>
  <sheetFormatPr defaultRowHeight="14.75" x14ac:dyDescent="0.75"/>
  <cols>
    <col min="2" max="2" width="42.40625" customWidth="1"/>
    <col min="3" max="3" width="0.40625" customWidth="1"/>
    <col min="4" max="4" width="13.40625" customWidth="1"/>
    <col min="5" max="5" width="0.40625" customWidth="1"/>
    <col min="6" max="6" width="14.54296875" customWidth="1"/>
  </cols>
  <sheetData>
    <row r="2" spans="2:6" x14ac:dyDescent="0.75">
      <c r="B2" s="161" t="s">
        <v>86</v>
      </c>
    </row>
    <row r="3" spans="2:6" x14ac:dyDescent="0.75">
      <c r="B3" s="9"/>
      <c r="C3" s="9"/>
      <c r="D3" s="9"/>
      <c r="E3" s="9"/>
      <c r="F3" s="9"/>
    </row>
    <row r="4" spans="2:6" x14ac:dyDescent="0.75">
      <c r="B4" s="1"/>
      <c r="C4" s="9"/>
      <c r="D4" s="1"/>
      <c r="E4" s="9"/>
      <c r="F4" s="1"/>
    </row>
    <row r="5" spans="2:6" x14ac:dyDescent="0.75">
      <c r="B5" s="26" t="s">
        <v>3</v>
      </c>
      <c r="C5" s="9"/>
      <c r="D5" s="26" t="s">
        <v>4</v>
      </c>
      <c r="E5" s="9"/>
      <c r="F5" s="26" t="s">
        <v>5</v>
      </c>
    </row>
    <row r="6" spans="2:6" x14ac:dyDescent="0.75">
      <c r="B6" s="3" t="str" cm="1">
        <f t="array" ref="B6:B99">Query_NERC_Compliance_Prospero[[Requirement ]]</f>
        <v>PRC-002-2</v>
      </c>
      <c r="D6" s="4" cm="1">
        <f t="array" ref="D6:D99">Query_NERC_Compliance_Prospero[Due]</f>
        <v>43831</v>
      </c>
      <c r="F6" s="4" cm="1">
        <f t="array" ref="F6:F99">IF(Query_NERC_Compliance_Prospero[[Completion Date ]]="","",Query_NERC_Compliance_Prospero[[Completion Date ]])</f>
        <v>43917</v>
      </c>
    </row>
    <row r="7" spans="2:6" x14ac:dyDescent="0.75">
      <c r="B7" s="3" t="str">
        <v>PRC-005-6</v>
      </c>
      <c r="D7" s="4">
        <v>43831</v>
      </c>
      <c r="F7" s="4">
        <v>43921</v>
      </c>
    </row>
    <row r="8" spans="2:6" x14ac:dyDescent="0.75">
      <c r="B8" s="3" t="str">
        <v>PRC-019-2</v>
      </c>
      <c r="D8" s="4">
        <v>43831</v>
      </c>
      <c r="F8" s="4">
        <v>43909</v>
      </c>
    </row>
    <row r="9" spans="2:6" x14ac:dyDescent="0.75">
      <c r="B9" s="3" t="str">
        <v>PRC-024-2</v>
      </c>
      <c r="D9" s="4">
        <v>43831</v>
      </c>
      <c r="F9" s="4">
        <v>43909</v>
      </c>
    </row>
    <row r="10" spans="2:6" x14ac:dyDescent="0.75">
      <c r="B10" s="3" t="str">
        <v>PRC-025-2</v>
      </c>
      <c r="D10" s="4">
        <v>43831</v>
      </c>
      <c r="F10" s="4">
        <v>43909</v>
      </c>
    </row>
    <row r="11" spans="2:6" x14ac:dyDescent="0.75">
      <c r="B11" s="3" t="str">
        <v>PRC-027-1</v>
      </c>
      <c r="D11" s="4">
        <v>43831</v>
      </c>
      <c r="F11" s="4">
        <v>43909</v>
      </c>
    </row>
    <row r="12" spans="2:6" x14ac:dyDescent="0.75">
      <c r="B12" s="3" t="str">
        <v>TPL-007-3</v>
      </c>
      <c r="D12" s="4">
        <v>43831</v>
      </c>
      <c r="F12" s="4">
        <v>43917</v>
      </c>
    </row>
    <row r="13" spans="2:6" x14ac:dyDescent="0.75">
      <c r="B13" s="3" t="str">
        <v>TexasRE Registration</v>
      </c>
      <c r="D13" s="4">
        <v>43917</v>
      </c>
      <c r="F13" s="4">
        <v>43928.747832291665</v>
      </c>
    </row>
    <row r="14" spans="2:6" x14ac:dyDescent="0.75">
      <c r="B14" s="3" t="str">
        <v>CIP-002-5.1a</v>
      </c>
      <c r="D14" s="4">
        <v>43922</v>
      </c>
      <c r="F14" s="4">
        <v>43922</v>
      </c>
    </row>
    <row r="15" spans="2:6" x14ac:dyDescent="0.75">
      <c r="B15" s="3" t="str">
        <v>CIP-003-8</v>
      </c>
      <c r="D15" s="4">
        <v>43922</v>
      </c>
      <c r="F15" s="4">
        <v>43922</v>
      </c>
    </row>
    <row r="16" spans="2:6" x14ac:dyDescent="0.75">
      <c r="B16" s="3" t="str">
        <v>COM-001-3/IRO-010-2/TOP-003-3</v>
      </c>
      <c r="D16" s="4">
        <v>43922</v>
      </c>
      <c r="F16" s="4">
        <v>43921</v>
      </c>
    </row>
    <row r="17" spans="2:6" x14ac:dyDescent="0.75">
      <c r="B17" s="3" t="str">
        <v>COM-002-4/IRO-001-4/TOP-001-4</v>
      </c>
      <c r="D17" s="4">
        <v>43922</v>
      </c>
      <c r="F17" s="4">
        <v>43920</v>
      </c>
    </row>
    <row r="18" spans="2:6" x14ac:dyDescent="0.75">
      <c r="B18" s="3" t="str">
        <v>EOP-004-4</v>
      </c>
      <c r="D18" s="4">
        <v>43922</v>
      </c>
      <c r="F18" s="4">
        <v>43921</v>
      </c>
    </row>
    <row r="19" spans="2:6" x14ac:dyDescent="0.75">
      <c r="B19" s="3" t="str">
        <v>FAC-003-4</v>
      </c>
      <c r="D19" s="4">
        <v>43922</v>
      </c>
      <c r="F19" s="4">
        <v>43921</v>
      </c>
    </row>
    <row r="20" spans="2:6" x14ac:dyDescent="0.75">
      <c r="B20" s="3" t="str">
        <v>FAC-008-3</v>
      </c>
      <c r="D20" s="4">
        <v>43922</v>
      </c>
      <c r="F20" s="4">
        <v>43921</v>
      </c>
    </row>
    <row r="21" spans="2:6" x14ac:dyDescent="0.75">
      <c r="B21" s="3" t="str">
        <v>PRC-027-1 Procedure and Option Choice</v>
      </c>
      <c r="D21" s="4">
        <v>43922</v>
      </c>
      <c r="F21" s="4">
        <v>43957</v>
      </c>
    </row>
    <row r="22" spans="2:6" x14ac:dyDescent="0.75">
      <c r="B22" s="3" t="str">
        <v>FAC-003 Quarterly Vegetation Outage Report</v>
      </c>
      <c r="D22" s="4">
        <v>43951</v>
      </c>
      <c r="F22" s="4">
        <v>43951</v>
      </c>
    </row>
    <row r="23" spans="2:6" x14ac:dyDescent="0.75">
      <c r="B23" s="3" t="str">
        <v>MIDAS Reporting</v>
      </c>
      <c r="D23" s="4">
        <v>43951</v>
      </c>
      <c r="F23" s="4">
        <v>43951</v>
      </c>
    </row>
    <row r="24" spans="2:6" x14ac:dyDescent="0.75">
      <c r="B24" s="3" t="str">
        <v>CIP-002 Assessment</v>
      </c>
      <c r="D24" s="4">
        <v>44015</v>
      </c>
      <c r="F24" s="4">
        <v>44021</v>
      </c>
    </row>
    <row r="25" spans="2:6" x14ac:dyDescent="0.75">
      <c r="B25" s="3" t="str">
        <v>CIP-003 Senior Manager</v>
      </c>
      <c r="D25" s="4">
        <v>44015</v>
      </c>
      <c r="F25" s="4">
        <v>44021</v>
      </c>
    </row>
    <row r="26" spans="2:6" x14ac:dyDescent="0.75">
      <c r="B26" s="3" t="str">
        <v>FAC-003 Quarterly Vegetation Outage Report</v>
      </c>
      <c r="D26" s="4">
        <v>44042</v>
      </c>
      <c r="F26" s="4">
        <v>44042</v>
      </c>
    </row>
    <row r="27" spans="2:6" x14ac:dyDescent="0.75">
      <c r="B27" s="3" t="str">
        <v>MIDAS Reporting</v>
      </c>
      <c r="D27" s="4">
        <v>44042</v>
      </c>
      <c r="F27" s="4">
        <v>44042</v>
      </c>
    </row>
    <row r="28" spans="2:6" x14ac:dyDescent="0.75">
      <c r="B28" s="3" t="str">
        <v>NERC Alert - Supply Chain Risk</v>
      </c>
      <c r="D28" s="4">
        <v>44046</v>
      </c>
      <c r="F28" s="4">
        <v>44021</v>
      </c>
    </row>
    <row r="29" spans="2:6" x14ac:dyDescent="0.75">
      <c r="B29" s="3" t="str">
        <v>NERC GOP Compliance Review</v>
      </c>
      <c r="D29" s="4">
        <v>44106</v>
      </c>
      <c r="F29" s="4">
        <v>44106</v>
      </c>
    </row>
    <row r="30" spans="2:6" x14ac:dyDescent="0.75">
      <c r="B30" s="3" t="str">
        <v>MIDAS Reporting</v>
      </c>
      <c r="D30" s="4">
        <v>44134</v>
      </c>
      <c r="F30" s="4">
        <v>44123</v>
      </c>
    </row>
    <row r="31" spans="2:6" x14ac:dyDescent="0.75">
      <c r="B31" s="3" t="str">
        <v>FAC-003 Quarterly Vegetation Outage Report</v>
      </c>
      <c r="D31" s="4">
        <v>44134</v>
      </c>
      <c r="F31" s="4">
        <v>44119</v>
      </c>
    </row>
    <row r="32" spans="2:6" x14ac:dyDescent="0.75">
      <c r="B32" s="3" t="str">
        <v>NERC GOP Compliance Review</v>
      </c>
      <c r="D32" s="4">
        <v>44134</v>
      </c>
      <c r="F32" s="4">
        <v>44126</v>
      </c>
    </row>
    <row r="33" spans="2:6" x14ac:dyDescent="0.75">
      <c r="B33" s="3" t="str">
        <v>Texas RE Inherent Risk Assessment</v>
      </c>
      <c r="D33" s="4">
        <v>44134</v>
      </c>
      <c r="F33" s="4">
        <v>44134</v>
      </c>
    </row>
    <row r="34" spans="2:6" x14ac:dyDescent="0.75">
      <c r="B34" s="3" t="str">
        <v>CIP-003-8 Incident Rsponse Plan Testing - Appendix C</v>
      </c>
      <c r="D34" s="4">
        <v>44141</v>
      </c>
      <c r="F34" s="4">
        <v>44130</v>
      </c>
    </row>
    <row r="35" spans="2:6" x14ac:dyDescent="0.75">
      <c r="B35" s="3" t="str">
        <v>PER-006-1 Program Manual and Appendix</v>
      </c>
      <c r="D35" s="4">
        <v>44225</v>
      </c>
      <c r="F35" s="4" t="str">
        <v/>
      </c>
    </row>
    <row r="36" spans="2:6" x14ac:dyDescent="0.75">
      <c r="B36" s="3" t="str">
        <v>PRC-005-6 4-CM Battery Check - January</v>
      </c>
      <c r="D36" s="4">
        <v>44242</v>
      </c>
      <c r="F36" s="4" t="str">
        <v/>
      </c>
    </row>
    <row r="37" spans="2:6" x14ac:dyDescent="0.75">
      <c r="B37" s="3" t="str">
        <v>CIP-003-8 Physical Security Check - January</v>
      </c>
      <c r="D37" s="4">
        <v>44242</v>
      </c>
      <c r="F37" s="4" t="str">
        <v/>
      </c>
    </row>
    <row r="38" spans="2:6" x14ac:dyDescent="0.75">
      <c r="B38" s="3" t="str">
        <v>CIP-003-8 TCARM Check - January</v>
      </c>
      <c r="D38" s="4">
        <v>44242</v>
      </c>
      <c r="F38" s="4" t="str">
        <v/>
      </c>
    </row>
    <row r="39" spans="2:6" x14ac:dyDescent="0.75">
      <c r="B39" s="3" t="str">
        <v>GADS - Any updates for the prior year; Q4</v>
      </c>
      <c r="D39" s="4">
        <v>44242</v>
      </c>
      <c r="F39" s="4" t="str">
        <v/>
      </c>
    </row>
    <row r="40" spans="2:6" x14ac:dyDescent="0.75">
      <c r="B40" s="3" t="str">
        <v>NERC GOP Compliance Review - January</v>
      </c>
      <c r="D40" s="4">
        <v>44255</v>
      </c>
      <c r="F40" s="4" t="str">
        <v/>
      </c>
    </row>
    <row r="41" spans="2:6" x14ac:dyDescent="0.75">
      <c r="B41" s="3" t="str">
        <v>MIDAS - Any updates for the prior year; Q4</v>
      </c>
      <c r="D41" s="4">
        <v>44256</v>
      </c>
      <c r="F41" s="4" t="str">
        <v/>
      </c>
    </row>
    <row r="42" spans="2:6" x14ac:dyDescent="0.75">
      <c r="B42" s="3" t="str">
        <v>PRC-005-6 4-CM Battery Check - February</v>
      </c>
      <c r="D42" s="4">
        <v>44270</v>
      </c>
      <c r="F42" s="4" t="str">
        <v/>
      </c>
    </row>
    <row r="43" spans="2:6" x14ac:dyDescent="0.75">
      <c r="B43" s="3" t="str">
        <v>CIP-003-8 Physical Security Check - February</v>
      </c>
      <c r="D43" s="4">
        <v>44270</v>
      </c>
      <c r="F43" s="4" t="str">
        <v/>
      </c>
    </row>
    <row r="44" spans="2:6" x14ac:dyDescent="0.75">
      <c r="B44" s="3" t="str">
        <v>CIP-003-8 TCARM Check - February</v>
      </c>
      <c r="D44" s="4">
        <v>44270</v>
      </c>
      <c r="F44" s="4" t="str">
        <v/>
      </c>
    </row>
    <row r="45" spans="2:6" x14ac:dyDescent="0.75">
      <c r="B45" s="3" t="str">
        <v>NERC GOP Compliance Review - February</v>
      </c>
      <c r="D45" s="4">
        <v>44286</v>
      </c>
      <c r="F45" s="4" t="str">
        <v/>
      </c>
    </row>
    <row r="46" spans="2:6" x14ac:dyDescent="0.75">
      <c r="B46" s="3" t="str">
        <v>PRC-005-6 4-CM Battery Check - March</v>
      </c>
      <c r="D46" s="4">
        <v>44301</v>
      </c>
      <c r="F46" s="4" t="str">
        <v/>
      </c>
    </row>
    <row r="47" spans="2:6" x14ac:dyDescent="0.75">
      <c r="B47" s="3" t="str">
        <v>CIP-003-8 Physical Security Check - March</v>
      </c>
      <c r="D47" s="4">
        <v>44301</v>
      </c>
      <c r="F47" s="4" t="str">
        <v/>
      </c>
    </row>
    <row r="48" spans="2:6" x14ac:dyDescent="0.75">
      <c r="B48" s="3" t="str">
        <v>CIP-003-8 TCARM Check - March</v>
      </c>
      <c r="D48" s="4">
        <v>44301</v>
      </c>
      <c r="F48" s="4" t="str">
        <v/>
      </c>
    </row>
    <row r="49" spans="2:6" x14ac:dyDescent="0.75">
      <c r="B49" s="3" t="str">
        <v>FAC-003-4 TRE Report Q1</v>
      </c>
      <c r="D49" s="4">
        <v>44306</v>
      </c>
      <c r="F49" s="4" t="str">
        <v/>
      </c>
    </row>
    <row r="50" spans="2:6" x14ac:dyDescent="0.75">
      <c r="B50" s="3" t="str">
        <v>NERC GOP Compliance Review - March</v>
      </c>
      <c r="D50" s="4">
        <v>44316</v>
      </c>
      <c r="F50" s="4" t="str">
        <v/>
      </c>
    </row>
    <row r="51" spans="2:6" x14ac:dyDescent="0.75">
      <c r="B51" s="3" t="str">
        <v>PRC-005-6 4-CM Battery Check - April</v>
      </c>
      <c r="D51" s="4">
        <v>44331</v>
      </c>
      <c r="F51" s="4" t="str">
        <v/>
      </c>
    </row>
    <row r="52" spans="2:6" x14ac:dyDescent="0.75">
      <c r="B52" s="3" t="str">
        <v>CIP-003-8 Physical Security Check - April</v>
      </c>
      <c r="D52" s="4">
        <v>44331</v>
      </c>
      <c r="F52" s="4" t="str">
        <v/>
      </c>
    </row>
    <row r="53" spans="2:6" x14ac:dyDescent="0.75">
      <c r="B53" s="3" t="str">
        <v>CIP-003-8 TCARM Check - April</v>
      </c>
      <c r="D53" s="4">
        <v>44331</v>
      </c>
      <c r="F53" s="4" t="str">
        <v/>
      </c>
    </row>
    <row r="54" spans="2:6" x14ac:dyDescent="0.75">
      <c r="B54" s="3" t="str">
        <v>GADS - Q1</v>
      </c>
      <c r="D54" s="4">
        <v>44331</v>
      </c>
      <c r="F54" s="4" t="str">
        <v/>
      </c>
    </row>
    <row r="55" spans="2:6" x14ac:dyDescent="0.75">
      <c r="B55" s="3" t="str">
        <v>MIDAS - Q1</v>
      </c>
      <c r="D55" s="4">
        <v>44346</v>
      </c>
      <c r="F55" s="4" t="str">
        <v/>
      </c>
    </row>
    <row r="56" spans="2:6" x14ac:dyDescent="0.75">
      <c r="B56" s="3" t="str">
        <v>NERC GOP Compliance Review - April</v>
      </c>
      <c r="D56" s="4">
        <v>44347</v>
      </c>
      <c r="F56" s="4" t="str">
        <v/>
      </c>
    </row>
    <row r="57" spans="2:6" x14ac:dyDescent="0.75">
      <c r="B57" s="3" t="str">
        <v>PRC-005-6 4-CM Battery Check - May</v>
      </c>
      <c r="D57" s="4">
        <v>44362</v>
      </c>
      <c r="F57" s="4" t="str">
        <v/>
      </c>
    </row>
    <row r="58" spans="2:6" x14ac:dyDescent="0.75">
      <c r="B58" s="3" t="str">
        <v>CIP-003-8 Physical Security Check - May</v>
      </c>
      <c r="D58" s="4">
        <v>44362</v>
      </c>
      <c r="F58" s="4" t="str">
        <v/>
      </c>
    </row>
    <row r="59" spans="2:6" x14ac:dyDescent="0.75">
      <c r="B59" s="3" t="str">
        <v>CIP-003-8 TCARM Check - May</v>
      </c>
      <c r="D59" s="4">
        <v>44362</v>
      </c>
      <c r="F59" s="4" t="str">
        <v/>
      </c>
    </row>
    <row r="60" spans="2:6" x14ac:dyDescent="0.75">
      <c r="B60" s="3" t="str">
        <v>NERC Geomagnetic Disturbance Data Report</v>
      </c>
      <c r="D60" s="4">
        <v>44377</v>
      </c>
      <c r="F60" s="4" t="str">
        <v/>
      </c>
    </row>
    <row r="61" spans="2:6" x14ac:dyDescent="0.75">
      <c r="B61" s="3" t="str">
        <v>NERC GOP Compliance Review - May</v>
      </c>
      <c r="D61" s="4">
        <v>44377</v>
      </c>
      <c r="F61" s="4" t="str">
        <v/>
      </c>
    </row>
    <row r="62" spans="2:6" x14ac:dyDescent="0.75">
      <c r="B62" s="3" t="str">
        <v>CIP-002-5.1a Assessment</v>
      </c>
      <c r="D62" s="4">
        <v>44378</v>
      </c>
      <c r="F62" s="4" t="str">
        <v/>
      </c>
    </row>
    <row r="63" spans="2:6" x14ac:dyDescent="0.75">
      <c r="B63" s="3" t="str">
        <v>PRC-005-6 4-CM Battery Check - June</v>
      </c>
      <c r="D63" s="4">
        <v>44392</v>
      </c>
      <c r="F63" s="4" t="str">
        <v/>
      </c>
    </row>
    <row r="64" spans="2:6" x14ac:dyDescent="0.75">
      <c r="B64" s="3" t="str">
        <v>CIP-003-8 Physical Security Check - June</v>
      </c>
      <c r="D64" s="4">
        <v>44392</v>
      </c>
      <c r="F64" s="4" t="str">
        <v/>
      </c>
    </row>
    <row r="65" spans="2:6" x14ac:dyDescent="0.75">
      <c r="B65" s="3" t="str">
        <v>CIP-003-8 TCARM Check - June</v>
      </c>
      <c r="D65" s="4">
        <v>44392</v>
      </c>
      <c r="F65" s="4" t="str">
        <v/>
      </c>
    </row>
    <row r="66" spans="2:6" x14ac:dyDescent="0.75">
      <c r="B66" s="3" t="str">
        <v>FAC-003-4 TRE Report Q2</v>
      </c>
      <c r="D66" s="4">
        <v>44397</v>
      </c>
      <c r="F66" s="4" t="str">
        <v/>
      </c>
    </row>
    <row r="67" spans="2:6" x14ac:dyDescent="0.75">
      <c r="B67" s="3" t="str">
        <v>NERC GOP Compliance Review - June</v>
      </c>
      <c r="D67" s="4">
        <v>44408</v>
      </c>
      <c r="F67" s="4" t="str">
        <v/>
      </c>
    </row>
    <row r="68" spans="2:6" x14ac:dyDescent="0.75">
      <c r="B68" s="3" t="str">
        <v>PRC-005-6 4-CM Battery Check - July</v>
      </c>
      <c r="D68" s="4">
        <v>44423</v>
      </c>
      <c r="F68" s="4" t="str">
        <v/>
      </c>
    </row>
    <row r="69" spans="2:6" x14ac:dyDescent="0.75">
      <c r="B69" s="3" t="str">
        <v>CIP-003-8 Physical Security Check - July</v>
      </c>
      <c r="D69" s="4">
        <v>44423</v>
      </c>
      <c r="F69" s="4" t="str">
        <v/>
      </c>
    </row>
    <row r="70" spans="2:6" x14ac:dyDescent="0.75">
      <c r="B70" s="3" t="str">
        <v>CIP-003-8 TCARM Check - July</v>
      </c>
      <c r="D70" s="4">
        <v>44423</v>
      </c>
      <c r="F70" s="4" t="str">
        <v/>
      </c>
    </row>
    <row r="71" spans="2:6" x14ac:dyDescent="0.75">
      <c r="B71" s="3" t="str">
        <v>GADS - Q2</v>
      </c>
      <c r="D71" s="4">
        <v>44423</v>
      </c>
      <c r="F71" s="4" t="str">
        <v/>
      </c>
    </row>
    <row r="72" spans="2:6" x14ac:dyDescent="0.75">
      <c r="B72" s="3" t="str">
        <v>MIDAS - Q2</v>
      </c>
      <c r="D72" s="4">
        <v>44437</v>
      </c>
      <c r="F72" s="4" t="str">
        <v/>
      </c>
    </row>
    <row r="73" spans="2:6" x14ac:dyDescent="0.75">
      <c r="B73" s="3" t="str">
        <v>NERC GOP Compliance Review - July</v>
      </c>
      <c r="D73" s="4">
        <v>44439</v>
      </c>
      <c r="F73" s="4" t="str">
        <v/>
      </c>
    </row>
    <row r="74" spans="2:6" x14ac:dyDescent="0.75">
      <c r="B74" s="3" t="str">
        <v>PRC-005-6 4-CM Battery Check - August</v>
      </c>
      <c r="D74" s="4">
        <v>44454</v>
      </c>
      <c r="F74" s="4" t="str">
        <v/>
      </c>
    </row>
    <row r="75" spans="2:6" x14ac:dyDescent="0.75">
      <c r="B75" s="3" t="str">
        <v>CIP-003-8 Physical Security Check - August</v>
      </c>
      <c r="D75" s="4">
        <v>44454</v>
      </c>
      <c r="F75" s="4" t="str">
        <v/>
      </c>
    </row>
    <row r="76" spans="2:6" x14ac:dyDescent="0.75">
      <c r="B76" s="3" t="str">
        <v>CIP-003-8 TCARM Check - August</v>
      </c>
      <c r="D76" s="4">
        <v>44454</v>
      </c>
      <c r="F76" s="4" t="str">
        <v/>
      </c>
    </row>
    <row r="77" spans="2:6" x14ac:dyDescent="0.75">
      <c r="B77" s="3" t="str">
        <v>NERC GOP Compliance Review - August</v>
      </c>
      <c r="D77" s="4">
        <v>44469</v>
      </c>
      <c r="F77" s="4" t="str">
        <v/>
      </c>
    </row>
    <row r="78" spans="2:6" x14ac:dyDescent="0.75">
      <c r="B78" s="3" t="str">
        <v>PRC-005-6 4-CM Battery Check - September</v>
      </c>
      <c r="D78" s="4">
        <v>44484</v>
      </c>
      <c r="F78" s="4" t="str">
        <v/>
      </c>
    </row>
    <row r="79" spans="2:6" x14ac:dyDescent="0.75">
      <c r="B79" s="3" t="str">
        <v>CIP-003-8 Physical Security Check - September</v>
      </c>
      <c r="D79" s="4">
        <v>44484</v>
      </c>
      <c r="F79" s="4" t="str">
        <v/>
      </c>
    </row>
    <row r="80" spans="2:6" x14ac:dyDescent="0.75">
      <c r="B80" s="3" t="str">
        <v>CIP-003-8 TCARM Check - September</v>
      </c>
      <c r="D80" s="4">
        <v>44484</v>
      </c>
      <c r="F80" s="4" t="str">
        <v/>
      </c>
    </row>
    <row r="81" spans="2:6" x14ac:dyDescent="0.75">
      <c r="B81" s="3" t="str">
        <v>FAC-003-4 TRE Report Q3</v>
      </c>
      <c r="D81" s="4">
        <v>44489</v>
      </c>
      <c r="F81" s="4" t="str">
        <v/>
      </c>
    </row>
    <row r="82" spans="2:6" x14ac:dyDescent="0.75">
      <c r="B82" s="3" t="str">
        <v>NERC GOP Compliance Review - September</v>
      </c>
      <c r="D82" s="4">
        <v>44500</v>
      </c>
      <c r="F82" s="4" t="str">
        <v/>
      </c>
    </row>
    <row r="83" spans="2:6" x14ac:dyDescent="0.75">
      <c r="B83" s="3" t="str">
        <v>PRC-005-6 4-CM Battery Check - October</v>
      </c>
      <c r="D83" s="4">
        <v>44515</v>
      </c>
      <c r="F83" s="4" t="str">
        <v/>
      </c>
    </row>
    <row r="84" spans="2:6" x14ac:dyDescent="0.75">
      <c r="B84" s="3" t="str">
        <v>CIP-003-8 Physical Security Check - October</v>
      </c>
      <c r="D84" s="4">
        <v>44515</v>
      </c>
      <c r="F84" s="4" t="str">
        <v/>
      </c>
    </row>
    <row r="85" spans="2:6" x14ac:dyDescent="0.75">
      <c r="B85" s="3" t="str">
        <v>CIP-003-8 TCARM Check - October</v>
      </c>
      <c r="D85" s="4">
        <v>44515</v>
      </c>
      <c r="F85" s="4" t="str">
        <v/>
      </c>
    </row>
    <row r="86" spans="2:6" x14ac:dyDescent="0.75">
      <c r="B86" s="3" t="str">
        <v>GADS - Q3</v>
      </c>
      <c r="D86" s="4">
        <v>44515</v>
      </c>
      <c r="F86" s="4" t="str">
        <v/>
      </c>
    </row>
    <row r="87" spans="2:6" x14ac:dyDescent="0.75">
      <c r="B87" s="3" t="str">
        <v>MIDAS - Q3</v>
      </c>
      <c r="D87" s="4">
        <v>44529</v>
      </c>
      <c r="F87" s="4" t="str">
        <v/>
      </c>
    </row>
    <row r="88" spans="2:6" x14ac:dyDescent="0.75">
      <c r="B88" s="3" t="str">
        <v>PRC-005-6 18-CM Battery Check</v>
      </c>
      <c r="D88" s="4">
        <v>44530</v>
      </c>
      <c r="F88" s="4" t="str">
        <v/>
      </c>
    </row>
    <row r="89" spans="2:6" x14ac:dyDescent="0.75">
      <c r="B89" s="3" t="str">
        <v>NERC GOP Compliance Review - October</v>
      </c>
      <c r="D89" s="4">
        <v>44530</v>
      </c>
      <c r="F89" s="4" t="str">
        <v/>
      </c>
    </row>
    <row r="90" spans="2:6" x14ac:dyDescent="0.75">
      <c r="B90" s="3" t="str">
        <v>PRC-005-6 4-CM Battery Check - November</v>
      </c>
      <c r="D90" s="4">
        <v>44545</v>
      </c>
      <c r="F90" s="4" t="str">
        <v/>
      </c>
    </row>
    <row r="91" spans="2:6" x14ac:dyDescent="0.75">
      <c r="B91" s="3" t="str">
        <v>CIP-003-8 Physical Security Check - November</v>
      </c>
      <c r="D91" s="4">
        <v>44545</v>
      </c>
      <c r="F91" s="4" t="str">
        <v/>
      </c>
    </row>
    <row r="92" spans="2:6" x14ac:dyDescent="0.75">
      <c r="B92" s="3" t="str">
        <v>CIP-003-8 TCARM Check - November</v>
      </c>
      <c r="D92" s="4">
        <v>44545</v>
      </c>
      <c r="F92" s="4" t="str">
        <v/>
      </c>
    </row>
    <row r="93" spans="2:6" x14ac:dyDescent="0.75">
      <c r="B93" s="3" t="str">
        <v>NERC GOP Compliance Review - November</v>
      </c>
      <c r="D93" s="4">
        <v>44561</v>
      </c>
      <c r="F93" s="4" t="str">
        <v/>
      </c>
    </row>
    <row r="94" spans="2:6" x14ac:dyDescent="0.75">
      <c r="B94" s="3" t="str">
        <v>PRC-005-6 4-CM Battery Check - December</v>
      </c>
      <c r="D94" s="4">
        <v>44576</v>
      </c>
      <c r="F94" s="4" t="str">
        <v/>
      </c>
    </row>
    <row r="95" spans="2:6" x14ac:dyDescent="0.75">
      <c r="B95" s="3" t="str">
        <v>CIP-003-8 Physical Security Check - December</v>
      </c>
      <c r="D95" s="4">
        <v>44576</v>
      </c>
      <c r="F95" s="4" t="str">
        <v/>
      </c>
    </row>
    <row r="96" spans="2:6" x14ac:dyDescent="0.75">
      <c r="B96" s="3" t="str">
        <v>CIP-003-8 TCARM Check - December</v>
      </c>
      <c r="D96" s="4">
        <v>44576</v>
      </c>
      <c r="F96" s="4" t="str">
        <v/>
      </c>
    </row>
    <row r="97" spans="2:6" x14ac:dyDescent="0.75">
      <c r="B97" s="3" t="str">
        <v>FAC-003-4 TRE Report Q4</v>
      </c>
      <c r="D97" s="4">
        <v>44581</v>
      </c>
      <c r="F97" s="4" t="str">
        <v/>
      </c>
    </row>
    <row r="98" spans="2:6" x14ac:dyDescent="0.75">
      <c r="B98" s="129" t="str">
        <v>NERC GOP Compliance Review - December</v>
      </c>
      <c r="C98" s="127"/>
      <c r="D98" s="130">
        <v>44592</v>
      </c>
      <c r="F98" t="str">
        <v/>
      </c>
    </row>
    <row r="99" spans="2:6" x14ac:dyDescent="0.75">
      <c r="B99" s="129">
        <v>0</v>
      </c>
      <c r="C99" s="127"/>
      <c r="D99" s="130">
        <v>0</v>
      </c>
      <c r="F99" t="str">
        <v/>
      </c>
    </row>
    <row r="100" spans="2:6" x14ac:dyDescent="0.75">
      <c r="B100" s="129"/>
      <c r="C100" s="127"/>
      <c r="D100" s="130"/>
    </row>
    <row r="101" spans="2:6" x14ac:dyDescent="0.75">
      <c r="B101" s="129"/>
      <c r="C101" s="127"/>
      <c r="D101" s="130"/>
    </row>
    <row r="102" spans="2:6" x14ac:dyDescent="0.75">
      <c r="B102" s="129"/>
      <c r="C102" s="127"/>
      <c r="D102" s="130"/>
    </row>
    <row r="103" spans="2:6" x14ac:dyDescent="0.75">
      <c r="B103" s="129"/>
      <c r="C103" s="127"/>
      <c r="D103" s="130"/>
    </row>
    <row r="104" spans="2:6" x14ac:dyDescent="0.75">
      <c r="B104" s="129"/>
      <c r="C104" s="127"/>
      <c r="D104" s="130"/>
    </row>
    <row r="105" spans="2:6" x14ac:dyDescent="0.75">
      <c r="B105" s="129"/>
      <c r="C105" s="127"/>
      <c r="D105" s="130"/>
    </row>
    <row r="106" spans="2:6" x14ac:dyDescent="0.75">
      <c r="B106" s="129"/>
      <c r="C106" s="127"/>
      <c r="D106" s="130"/>
    </row>
    <row r="107" spans="2:6" x14ac:dyDescent="0.75">
      <c r="B107" s="129"/>
      <c r="C107" s="127"/>
      <c r="D107" s="130"/>
    </row>
    <row r="108" spans="2:6" x14ac:dyDescent="0.75">
      <c r="B108" s="129"/>
      <c r="C108" s="127"/>
      <c r="D108" s="130"/>
    </row>
    <row r="109" spans="2:6" x14ac:dyDescent="0.75">
      <c r="B109" s="129"/>
      <c r="C109" s="127"/>
      <c r="D109" s="130"/>
    </row>
    <row r="110" spans="2:6" x14ac:dyDescent="0.75">
      <c r="B110" s="129"/>
      <c r="C110" s="127"/>
      <c r="D110" s="130"/>
    </row>
    <row r="111" spans="2:6" x14ac:dyDescent="0.75">
      <c r="B111" s="129"/>
      <c r="C111" s="127"/>
      <c r="D111" s="130"/>
    </row>
    <row r="112" spans="2:6" x14ac:dyDescent="0.75">
      <c r="B112" s="129"/>
      <c r="C112" s="127"/>
      <c r="D112" s="130"/>
    </row>
    <row r="113" spans="2:4" x14ac:dyDescent="0.75">
      <c r="B113" s="129"/>
      <c r="C113" s="127"/>
      <c r="D113" s="130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B42C7-B977-4F9F-B0A9-4E9ECD83BC47}">
  <dimension ref="A1:H44"/>
  <sheetViews>
    <sheetView workbookViewId="0">
      <selection activeCell="A42" sqref="A42:H43"/>
    </sheetView>
  </sheetViews>
  <sheetFormatPr defaultRowHeight="14.75" x14ac:dyDescent="0.75"/>
  <cols>
    <col min="1" max="1" width="80.86328125" bestFit="1" customWidth="1"/>
    <col min="2" max="2" width="7.86328125" bestFit="1" customWidth="1"/>
    <col min="3" max="3" width="9.1328125" bestFit="1" customWidth="1"/>
    <col min="4" max="4" width="8.26953125" bestFit="1" customWidth="1"/>
    <col min="5" max="5" width="13.86328125" bestFit="1" customWidth="1"/>
    <col min="6" max="6" width="25.1328125" bestFit="1" customWidth="1"/>
    <col min="7" max="7" width="15.7265625" bestFit="1" customWidth="1"/>
    <col min="8" max="8" width="21" bestFit="1" customWidth="1"/>
  </cols>
  <sheetData>
    <row r="1" spans="1:8" x14ac:dyDescent="0.75">
      <c r="A1" s="123" t="s">
        <v>366</v>
      </c>
      <c r="B1" s="123" t="s">
        <v>184</v>
      </c>
      <c r="C1" s="123" t="s">
        <v>185</v>
      </c>
      <c r="D1" s="123" t="s">
        <v>186</v>
      </c>
      <c r="E1" s="123" t="s">
        <v>187</v>
      </c>
      <c r="F1" s="123" t="s">
        <v>188</v>
      </c>
      <c r="G1" s="123" t="s">
        <v>189</v>
      </c>
      <c r="H1" s="123" t="s">
        <v>190</v>
      </c>
    </row>
    <row r="2" spans="1:8" x14ac:dyDescent="0.75">
      <c r="A2" s="111"/>
      <c r="B2" s="111"/>
      <c r="C2" s="111"/>
      <c r="D2" s="111"/>
      <c r="E2" s="111"/>
      <c r="F2" s="111"/>
      <c r="G2" s="111"/>
      <c r="H2" s="111"/>
    </row>
    <row r="3" spans="1:8" x14ac:dyDescent="0.75">
      <c r="A3" s="111" t="s">
        <v>6</v>
      </c>
      <c r="B3" s="111"/>
      <c r="C3" s="111"/>
      <c r="D3" s="111"/>
      <c r="E3" s="111"/>
      <c r="F3" s="111"/>
      <c r="G3" s="111" t="s">
        <v>296</v>
      </c>
      <c r="H3" s="111"/>
    </row>
    <row r="4" spans="1:8" x14ac:dyDescent="0.75">
      <c r="A4" s="111" t="s">
        <v>7</v>
      </c>
      <c r="B4" s="111" t="s">
        <v>4</v>
      </c>
      <c r="C4" s="111" t="s">
        <v>8</v>
      </c>
      <c r="D4" s="111" t="s">
        <v>9</v>
      </c>
      <c r="E4" s="111" t="s">
        <v>367</v>
      </c>
      <c r="F4" s="111"/>
      <c r="G4" s="111"/>
      <c r="H4" s="111"/>
    </row>
    <row r="5" spans="1:8" x14ac:dyDescent="0.75">
      <c r="A5" s="111" t="s">
        <v>16</v>
      </c>
      <c r="B5" s="111">
        <v>44196</v>
      </c>
      <c r="C5" s="111">
        <v>44053</v>
      </c>
      <c r="D5" s="111" t="s">
        <v>17</v>
      </c>
      <c r="E5" s="111"/>
      <c r="F5" s="111"/>
      <c r="G5" s="111" t="s">
        <v>297</v>
      </c>
      <c r="H5" s="111"/>
    </row>
    <row r="6" spans="1:8" x14ac:dyDescent="0.75">
      <c r="A6" s="111" t="s">
        <v>21</v>
      </c>
      <c r="B6" s="111">
        <v>44196</v>
      </c>
      <c r="C6" s="111">
        <v>44053</v>
      </c>
      <c r="D6" s="111" t="s">
        <v>17</v>
      </c>
      <c r="E6" s="111"/>
      <c r="F6" s="111"/>
      <c r="G6" s="111" t="s">
        <v>297</v>
      </c>
      <c r="H6" s="111"/>
    </row>
    <row r="7" spans="1:8" x14ac:dyDescent="0.75">
      <c r="A7" s="111" t="s">
        <v>368</v>
      </c>
      <c r="B7" s="111"/>
      <c r="C7" s="111"/>
      <c r="D7" s="111"/>
      <c r="E7" s="111"/>
      <c r="F7" s="111"/>
      <c r="G7" s="111"/>
      <c r="H7" s="111"/>
    </row>
    <row r="8" spans="1:8" x14ac:dyDescent="0.75">
      <c r="A8" s="111" t="s">
        <v>26</v>
      </c>
      <c r="B8" s="111" t="s">
        <v>4</v>
      </c>
      <c r="C8" s="111" t="s">
        <v>8</v>
      </c>
      <c r="D8" s="111" t="s">
        <v>9</v>
      </c>
      <c r="E8" s="111" t="s">
        <v>367</v>
      </c>
      <c r="F8" s="111"/>
      <c r="G8" s="111"/>
      <c r="H8" s="111"/>
    </row>
    <row r="9" spans="1:8" x14ac:dyDescent="0.75">
      <c r="A9" s="111" t="s">
        <v>29</v>
      </c>
      <c r="B9" s="111">
        <v>44227</v>
      </c>
      <c r="C9" s="111"/>
      <c r="D9" s="111"/>
      <c r="E9" s="111">
        <v>44126</v>
      </c>
      <c r="F9" s="111">
        <v>382425</v>
      </c>
      <c r="G9" s="111" t="s">
        <v>297</v>
      </c>
      <c r="H9" s="111"/>
    </row>
    <row r="10" spans="1:8" x14ac:dyDescent="0.75">
      <c r="A10" s="111" t="s">
        <v>33</v>
      </c>
      <c r="B10" s="111">
        <v>44227</v>
      </c>
      <c r="C10" s="111"/>
      <c r="D10" s="111"/>
      <c r="E10" s="111">
        <v>44126</v>
      </c>
      <c r="F10" s="111" t="s">
        <v>369</v>
      </c>
      <c r="G10" s="111" t="s">
        <v>297</v>
      </c>
      <c r="H10" s="111"/>
    </row>
    <row r="11" spans="1:8" x14ac:dyDescent="0.75">
      <c r="A11" s="111" t="s">
        <v>37</v>
      </c>
      <c r="B11" s="111">
        <v>44227</v>
      </c>
      <c r="C11" s="111"/>
      <c r="D11" s="111"/>
      <c r="E11" s="111">
        <v>44126</v>
      </c>
      <c r="F11" s="111">
        <v>1227429.75</v>
      </c>
      <c r="G11" s="111" t="s">
        <v>297</v>
      </c>
      <c r="H11" s="111"/>
    </row>
    <row r="12" spans="1:8" x14ac:dyDescent="0.75">
      <c r="A12" s="111" t="s">
        <v>41</v>
      </c>
      <c r="B12" s="111"/>
      <c r="C12" s="111"/>
      <c r="D12" s="111"/>
      <c r="E12" s="111"/>
      <c r="F12" s="111">
        <v>1609854.75</v>
      </c>
      <c r="G12" s="111"/>
      <c r="H12" s="111"/>
    </row>
    <row r="13" spans="1:8" x14ac:dyDescent="0.75">
      <c r="A13" s="111" t="s">
        <v>45</v>
      </c>
      <c r="B13" s="111" t="s">
        <v>4</v>
      </c>
      <c r="C13" s="111" t="s">
        <v>8</v>
      </c>
      <c r="D13" s="111" t="s">
        <v>9</v>
      </c>
      <c r="E13" s="111" t="s">
        <v>367</v>
      </c>
      <c r="F13" s="111"/>
      <c r="G13" s="111"/>
      <c r="H13" s="111"/>
    </row>
    <row r="14" spans="1:8" x14ac:dyDescent="0.75">
      <c r="A14" s="111" t="s">
        <v>29</v>
      </c>
      <c r="B14" s="111">
        <v>44271</v>
      </c>
      <c r="C14" s="111"/>
      <c r="D14" s="111"/>
      <c r="E14" s="111"/>
      <c r="F14" s="111"/>
      <c r="G14" s="111" t="s">
        <v>297</v>
      </c>
      <c r="H14" s="111"/>
    </row>
    <row r="15" spans="1:8" x14ac:dyDescent="0.75">
      <c r="A15" s="111" t="s">
        <v>33</v>
      </c>
      <c r="B15" s="111">
        <v>44271</v>
      </c>
      <c r="C15" s="111"/>
      <c r="D15" s="111"/>
      <c r="E15" s="111"/>
      <c r="F15" s="111"/>
      <c r="G15" s="111" t="s">
        <v>297</v>
      </c>
      <c r="H15" s="111"/>
    </row>
    <row r="16" spans="1:8" x14ac:dyDescent="0.75">
      <c r="A16" s="111" t="s">
        <v>399</v>
      </c>
      <c r="B16" s="111"/>
      <c r="C16" s="111"/>
      <c r="D16" s="111"/>
      <c r="E16" s="111"/>
      <c r="F16" s="111"/>
      <c r="G16" s="111"/>
      <c r="H16" s="111"/>
    </row>
    <row r="17" spans="1:8" x14ac:dyDescent="0.75">
      <c r="A17" s="111" t="s">
        <v>45</v>
      </c>
      <c r="B17" s="111" t="s">
        <v>4</v>
      </c>
      <c r="C17" s="111" t="s">
        <v>8</v>
      </c>
      <c r="D17" s="111" t="s">
        <v>9</v>
      </c>
      <c r="E17" s="111" t="s">
        <v>367</v>
      </c>
      <c r="F17" s="111"/>
      <c r="G17" s="111"/>
      <c r="H17" s="111"/>
    </row>
    <row r="18" spans="1:8" x14ac:dyDescent="0.75">
      <c r="A18" s="111" t="s">
        <v>61</v>
      </c>
      <c r="B18" s="111">
        <v>44227</v>
      </c>
      <c r="C18" s="111"/>
      <c r="D18" s="111"/>
      <c r="E18" s="111"/>
      <c r="F18" s="111" t="s">
        <v>370</v>
      </c>
      <c r="G18" s="111" t="s">
        <v>297</v>
      </c>
      <c r="H18" s="111"/>
    </row>
    <row r="19" spans="1:8" x14ac:dyDescent="0.75">
      <c r="A19" s="111" t="s">
        <v>65</v>
      </c>
      <c r="B19" s="111">
        <v>44227</v>
      </c>
      <c r="C19" s="111"/>
      <c r="D19" s="111"/>
      <c r="E19" s="111"/>
      <c r="F19" s="111" t="s">
        <v>370</v>
      </c>
      <c r="G19" s="111" t="s">
        <v>297</v>
      </c>
      <c r="H19" s="111"/>
    </row>
    <row r="20" spans="1:8" x14ac:dyDescent="0.75">
      <c r="A20" s="111" t="s">
        <v>69</v>
      </c>
      <c r="B20" s="111">
        <v>44227</v>
      </c>
      <c r="C20" s="111"/>
      <c r="D20" s="111"/>
      <c r="E20" s="111"/>
      <c r="F20" s="111" t="s">
        <v>370</v>
      </c>
      <c r="G20" s="111" t="s">
        <v>297</v>
      </c>
      <c r="H20" s="111"/>
    </row>
    <row r="21" spans="1:8" x14ac:dyDescent="0.75">
      <c r="A21" s="111" t="s">
        <v>74</v>
      </c>
      <c r="B21" s="111">
        <v>44227</v>
      </c>
      <c r="C21" s="111"/>
      <c r="D21" s="111"/>
      <c r="E21" s="111"/>
      <c r="F21" s="111" t="s">
        <v>370</v>
      </c>
      <c r="G21" s="111" t="s">
        <v>297</v>
      </c>
      <c r="H21" s="111"/>
    </row>
    <row r="22" spans="1:8" x14ac:dyDescent="0.75">
      <c r="A22" s="111" t="s">
        <v>371</v>
      </c>
      <c r="B22" s="111"/>
      <c r="C22" s="111"/>
      <c r="D22" s="111"/>
      <c r="E22" s="111"/>
      <c r="F22" s="111"/>
      <c r="G22" s="111"/>
      <c r="H22" s="111"/>
    </row>
    <row r="23" spans="1:8" x14ac:dyDescent="0.75">
      <c r="A23" s="111" t="s">
        <v>45</v>
      </c>
      <c r="B23" s="111" t="s">
        <v>4</v>
      </c>
      <c r="C23" s="111" t="s">
        <v>8</v>
      </c>
      <c r="D23" s="111" t="s">
        <v>9</v>
      </c>
      <c r="E23" s="111" t="s">
        <v>367</v>
      </c>
      <c r="F23" s="111"/>
      <c r="G23" s="111"/>
      <c r="H23" s="111"/>
    </row>
    <row r="24" spans="1:8" x14ac:dyDescent="0.75">
      <c r="A24" s="111" t="s">
        <v>400</v>
      </c>
      <c r="B24" s="111">
        <v>43861</v>
      </c>
      <c r="C24" s="111">
        <v>44196</v>
      </c>
      <c r="D24" s="111" t="s">
        <v>401</v>
      </c>
      <c r="E24" s="111">
        <v>44150</v>
      </c>
      <c r="F24" s="111"/>
      <c r="G24" s="111" t="s">
        <v>297</v>
      </c>
      <c r="H24" s="111"/>
    </row>
    <row r="25" spans="1:8" x14ac:dyDescent="0.75">
      <c r="A25" s="111" t="s">
        <v>29</v>
      </c>
      <c r="B25" s="111">
        <v>43861</v>
      </c>
      <c r="C25" s="111">
        <v>44196</v>
      </c>
      <c r="D25" s="111" t="s">
        <v>401</v>
      </c>
      <c r="E25" s="111">
        <v>44150</v>
      </c>
      <c r="F25" s="111"/>
      <c r="G25" s="111" t="s">
        <v>297</v>
      </c>
      <c r="H25" s="111"/>
    </row>
    <row r="26" spans="1:8" x14ac:dyDescent="0.75">
      <c r="A26" s="111" t="s">
        <v>77</v>
      </c>
      <c r="B26" s="111"/>
      <c r="C26" s="111"/>
      <c r="D26" s="111"/>
      <c r="E26" s="111"/>
      <c r="F26" s="111"/>
      <c r="G26" s="111"/>
      <c r="H26" s="111"/>
    </row>
    <row r="27" spans="1:8" x14ac:dyDescent="0.75">
      <c r="A27" s="111" t="s">
        <v>7</v>
      </c>
      <c r="B27" s="111" t="s">
        <v>4</v>
      </c>
      <c r="C27" s="111" t="s">
        <v>8</v>
      </c>
      <c r="D27" s="111" t="s">
        <v>9</v>
      </c>
      <c r="E27" s="111" t="s">
        <v>367</v>
      </c>
      <c r="F27" s="111"/>
      <c r="G27" s="111"/>
      <c r="H27" s="111"/>
    </row>
    <row r="28" spans="1:8" x14ac:dyDescent="0.75">
      <c r="A28" s="111">
        <v>2020</v>
      </c>
      <c r="B28" s="111">
        <v>44136</v>
      </c>
      <c r="C28" s="111">
        <v>44126</v>
      </c>
      <c r="D28" s="111" t="s">
        <v>79</v>
      </c>
      <c r="E28" s="111"/>
      <c r="F28" s="111"/>
      <c r="G28" s="111" t="s">
        <v>297</v>
      </c>
      <c r="H28" s="111" t="s">
        <v>372</v>
      </c>
    </row>
    <row r="29" spans="1:8" x14ac:dyDescent="0.75">
      <c r="A29" s="111" t="s">
        <v>373</v>
      </c>
      <c r="B29" s="111"/>
      <c r="C29" s="111"/>
      <c r="D29" s="111"/>
      <c r="E29" s="111"/>
      <c r="F29" s="111"/>
      <c r="G29" s="111"/>
      <c r="H29" s="111"/>
    </row>
    <row r="30" spans="1:8" x14ac:dyDescent="0.75">
      <c r="A30" s="111" t="s">
        <v>45</v>
      </c>
      <c r="B30" s="111" t="s">
        <v>4</v>
      </c>
      <c r="C30" s="111" t="s">
        <v>8</v>
      </c>
      <c r="D30" s="111" t="s">
        <v>9</v>
      </c>
      <c r="E30" s="111" t="s">
        <v>367</v>
      </c>
      <c r="F30" s="111"/>
      <c r="G30" s="111"/>
      <c r="H30" s="111"/>
    </row>
    <row r="31" spans="1:8" x14ac:dyDescent="0.75">
      <c r="A31" s="111" t="s">
        <v>374</v>
      </c>
      <c r="B31" s="111">
        <v>44788</v>
      </c>
      <c r="C31" s="111"/>
      <c r="D31" s="111"/>
      <c r="E31" s="111"/>
      <c r="F31" s="111"/>
      <c r="G31" s="111" t="s">
        <v>297</v>
      </c>
      <c r="H31" s="111"/>
    </row>
    <row r="32" spans="1:8" x14ac:dyDescent="0.75">
      <c r="A32" s="111" t="s">
        <v>375</v>
      </c>
      <c r="B32" s="111">
        <v>43997</v>
      </c>
      <c r="C32" s="111">
        <v>43991</v>
      </c>
      <c r="D32" s="111" t="s">
        <v>17</v>
      </c>
      <c r="E32" s="111"/>
      <c r="F32" s="111"/>
      <c r="G32" s="111" t="s">
        <v>297</v>
      </c>
      <c r="H32" s="111"/>
    </row>
    <row r="33" spans="1:8" x14ac:dyDescent="0.75">
      <c r="A33" s="111" t="s">
        <v>376</v>
      </c>
      <c r="B33" s="111">
        <v>43997</v>
      </c>
      <c r="C33" s="111">
        <v>43991</v>
      </c>
      <c r="D33" s="111" t="s">
        <v>17</v>
      </c>
      <c r="E33" s="111"/>
      <c r="F33" s="111"/>
      <c r="G33" s="111" t="s">
        <v>297</v>
      </c>
      <c r="H33" s="111"/>
    </row>
    <row r="34" spans="1:8" x14ac:dyDescent="0.75">
      <c r="A34" s="111" t="s">
        <v>81</v>
      </c>
      <c r="B34" s="111"/>
      <c r="C34" s="111"/>
      <c r="D34" s="111"/>
      <c r="E34" s="111"/>
      <c r="F34" s="111"/>
      <c r="G34" s="111"/>
      <c r="H34" s="111"/>
    </row>
    <row r="35" spans="1:8" x14ac:dyDescent="0.75">
      <c r="A35" s="111" t="s">
        <v>45</v>
      </c>
      <c r="B35" s="111" t="s">
        <v>4</v>
      </c>
      <c r="C35" s="111" t="s">
        <v>8</v>
      </c>
      <c r="D35" s="111" t="s">
        <v>9</v>
      </c>
      <c r="E35" s="111"/>
      <c r="F35" s="111"/>
      <c r="G35" s="111"/>
      <c r="H35" s="111"/>
    </row>
    <row r="36" spans="1:8" x14ac:dyDescent="0.75">
      <c r="A36" s="111" t="s">
        <v>82</v>
      </c>
      <c r="B36" s="111">
        <v>43941</v>
      </c>
      <c r="C36" s="111" t="s">
        <v>13</v>
      </c>
      <c r="D36" s="111" t="s">
        <v>13</v>
      </c>
      <c r="E36" s="111"/>
      <c r="F36" s="111"/>
      <c r="G36" s="111"/>
      <c r="H36" s="111"/>
    </row>
    <row r="37" spans="1:8" x14ac:dyDescent="0.75">
      <c r="A37" s="111" t="s">
        <v>82</v>
      </c>
      <c r="B37" s="111">
        <v>44032</v>
      </c>
      <c r="C37" s="111">
        <v>44032</v>
      </c>
      <c r="D37" s="111" t="s">
        <v>17</v>
      </c>
      <c r="E37" s="111"/>
      <c r="F37" s="111"/>
      <c r="G37" s="111" t="s">
        <v>297</v>
      </c>
      <c r="H37" s="111"/>
    </row>
    <row r="38" spans="1:8" x14ac:dyDescent="0.75">
      <c r="A38" s="111" t="s">
        <v>82</v>
      </c>
      <c r="B38" s="111">
        <v>44124</v>
      </c>
      <c r="C38" s="111">
        <v>44124</v>
      </c>
      <c r="D38" s="111" t="s">
        <v>17</v>
      </c>
      <c r="E38" s="111"/>
      <c r="F38" s="111"/>
      <c r="G38" s="111" t="s">
        <v>297</v>
      </c>
      <c r="H38" s="111"/>
    </row>
    <row r="39" spans="1:8" x14ac:dyDescent="0.75">
      <c r="A39" s="111" t="s">
        <v>82</v>
      </c>
      <c r="B39" s="111">
        <v>44216</v>
      </c>
      <c r="C39" s="111"/>
      <c r="D39" s="111"/>
      <c r="E39" s="111"/>
      <c r="F39" s="111"/>
      <c r="G39" s="111" t="s">
        <v>297</v>
      </c>
      <c r="H39" s="111"/>
    </row>
    <row r="40" spans="1:8" x14ac:dyDescent="0.75">
      <c r="A40" s="111"/>
      <c r="B40" s="111"/>
      <c r="C40" s="111"/>
      <c r="D40" s="111"/>
      <c r="E40" s="111"/>
      <c r="F40" s="111"/>
      <c r="G40" s="111"/>
      <c r="H40" s="111"/>
    </row>
    <row r="41" spans="1:8" x14ac:dyDescent="0.75">
      <c r="A41" s="111"/>
      <c r="B41" s="111"/>
      <c r="C41" s="111"/>
      <c r="D41" s="111"/>
      <c r="E41" s="111"/>
      <c r="F41" s="111"/>
      <c r="G41" s="111"/>
      <c r="H41" s="111"/>
    </row>
    <row r="42" spans="1:8" x14ac:dyDescent="0.75">
      <c r="A42" s="127"/>
      <c r="B42" s="127"/>
      <c r="C42" s="127"/>
      <c r="D42" s="127"/>
      <c r="E42" s="127"/>
      <c r="F42" s="127"/>
      <c r="G42" s="127"/>
      <c r="H42" s="127"/>
    </row>
    <row r="43" spans="1:8" x14ac:dyDescent="0.75">
      <c r="A43" s="127"/>
      <c r="B43" s="127"/>
      <c r="C43" s="127"/>
      <c r="D43" s="127"/>
      <c r="E43" s="127"/>
      <c r="F43" s="127"/>
      <c r="G43" s="127"/>
      <c r="H43" s="127"/>
    </row>
    <row r="44" spans="1:8" x14ac:dyDescent="0.75">
      <c r="A44" s="127"/>
      <c r="B44" s="111"/>
      <c r="C44" s="111"/>
      <c r="D44" s="111"/>
      <c r="E44" s="111"/>
      <c r="F44" s="111"/>
      <c r="G44" s="111"/>
      <c r="H44" s="1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C9BB-23A4-4FB9-BF20-7D8A46C3E2B4}">
  <dimension ref="B2:I48"/>
  <sheetViews>
    <sheetView workbookViewId="0">
      <selection activeCell="J9" sqref="J9"/>
    </sheetView>
  </sheetViews>
  <sheetFormatPr defaultColWidth="8.86328125" defaultRowHeight="12" x14ac:dyDescent="0.6"/>
  <cols>
    <col min="1" max="1" width="8.86328125" style="12"/>
    <col min="2" max="2" width="49.40625" style="12" customWidth="1"/>
    <col min="3" max="3" width="0.40625" style="12" customWidth="1"/>
    <col min="4" max="4" width="10.1328125" style="12" customWidth="1"/>
    <col min="5" max="5" width="0.40625" style="12" customWidth="1"/>
    <col min="6" max="6" width="9.40625" style="12" customWidth="1"/>
    <col min="7" max="7" width="0.40625" style="12" customWidth="1"/>
    <col min="8" max="8" width="8.86328125" style="12" customWidth="1"/>
    <col min="9" max="9" width="0.40625" style="12" customWidth="1"/>
    <col min="10" max="16384" width="8.86328125" style="12"/>
  </cols>
  <sheetData>
    <row r="2" spans="2:9" ht="14.75" x14ac:dyDescent="0.75">
      <c r="B2" s="161" t="s">
        <v>87</v>
      </c>
    </row>
    <row r="4" spans="2:9" ht="8.15" customHeight="1" x14ac:dyDescent="0.6">
      <c r="B4" s="6"/>
      <c r="C4" s="1"/>
      <c r="D4" s="6"/>
      <c r="E4" s="1"/>
      <c r="F4" s="6"/>
      <c r="G4" s="1"/>
      <c r="H4" s="6"/>
      <c r="I4" s="1"/>
    </row>
    <row r="5" spans="2:9" x14ac:dyDescent="0.6">
      <c r="B5" s="214" t="s">
        <v>6</v>
      </c>
      <c r="C5" s="214"/>
      <c r="D5" s="214"/>
      <c r="E5" s="214"/>
      <c r="F5" s="214"/>
      <c r="G5" s="214"/>
      <c r="H5" s="214"/>
      <c r="I5" s="214"/>
    </row>
    <row r="6" spans="2:9" x14ac:dyDescent="0.6">
      <c r="B6" s="145" t="s">
        <v>45</v>
      </c>
      <c r="C6" s="1"/>
      <c r="D6" s="7" t="s">
        <v>4</v>
      </c>
      <c r="E6" s="1"/>
      <c r="F6" s="7" t="s">
        <v>8</v>
      </c>
      <c r="G6" s="1"/>
      <c r="H6" s="7" t="s">
        <v>9</v>
      </c>
      <c r="I6" s="1"/>
    </row>
    <row r="7" spans="2:9" x14ac:dyDescent="0.6">
      <c r="B7" s="21" t="s">
        <v>16</v>
      </c>
      <c r="C7" s="1"/>
      <c r="D7" s="4">
        <v>44196</v>
      </c>
      <c r="E7" s="1"/>
      <c r="F7" s="4">
        <v>44053</v>
      </c>
      <c r="G7" s="1"/>
      <c r="H7" s="3" t="s">
        <v>17</v>
      </c>
      <c r="I7" s="1"/>
    </row>
    <row r="8" spans="2:9" x14ac:dyDescent="0.6">
      <c r="B8" s="21" t="s">
        <v>21</v>
      </c>
      <c r="C8" s="1"/>
      <c r="D8" s="4">
        <v>44196</v>
      </c>
      <c r="E8" s="1"/>
      <c r="F8" s="4">
        <v>44053</v>
      </c>
      <c r="G8" s="1"/>
      <c r="H8" s="3" t="s">
        <v>17</v>
      </c>
      <c r="I8" s="1"/>
    </row>
    <row r="9" spans="2:9" ht="8.15" customHeight="1" x14ac:dyDescent="0.6">
      <c r="B9" s="6"/>
      <c r="C9" s="1"/>
      <c r="D9" s="8"/>
      <c r="E9" s="1"/>
      <c r="F9" s="8"/>
      <c r="G9" s="1"/>
      <c r="H9" s="6"/>
      <c r="I9" s="1"/>
    </row>
    <row r="10" spans="2:9" x14ac:dyDescent="0.6">
      <c r="B10" s="214" t="s">
        <v>384</v>
      </c>
      <c r="C10" s="214"/>
      <c r="D10" s="214"/>
      <c r="E10" s="214"/>
      <c r="F10" s="214"/>
      <c r="G10" s="214"/>
      <c r="H10" s="214"/>
      <c r="I10" s="214"/>
    </row>
    <row r="11" spans="2:9" x14ac:dyDescent="0.6">
      <c r="B11" s="145" t="s">
        <v>26</v>
      </c>
      <c r="C11" s="1"/>
      <c r="D11" s="7" t="s">
        <v>4</v>
      </c>
      <c r="E11" s="1"/>
      <c r="F11" s="7" t="s">
        <v>8</v>
      </c>
      <c r="G11" s="1"/>
      <c r="H11" s="7" t="s">
        <v>9</v>
      </c>
      <c r="I11" s="1"/>
    </row>
    <row r="12" spans="2:9" x14ac:dyDescent="0.6">
      <c r="B12" s="21" t="s">
        <v>29</v>
      </c>
      <c r="C12" s="1"/>
      <c r="D12" s="4">
        <v>44227</v>
      </c>
      <c r="E12" s="1"/>
      <c r="F12" s="3"/>
      <c r="G12" s="1"/>
      <c r="H12" s="3"/>
      <c r="I12" s="1"/>
    </row>
    <row r="13" spans="2:9" x14ac:dyDescent="0.6">
      <c r="B13" s="21" t="s">
        <v>33</v>
      </c>
      <c r="C13" s="1"/>
      <c r="D13" s="4">
        <v>44227</v>
      </c>
      <c r="E13" s="1"/>
      <c r="F13" s="3"/>
      <c r="G13" s="1"/>
      <c r="H13" s="3"/>
      <c r="I13" s="1"/>
    </row>
    <row r="14" spans="2:9" x14ac:dyDescent="0.6">
      <c r="B14" s="21" t="s">
        <v>37</v>
      </c>
      <c r="C14" s="1"/>
      <c r="D14" s="4">
        <v>44227</v>
      </c>
      <c r="E14" s="1"/>
      <c r="F14" s="3"/>
      <c r="G14" s="1"/>
      <c r="H14" s="3"/>
      <c r="I14" s="1"/>
    </row>
    <row r="15" spans="2:9" ht="8.15" customHeight="1" x14ac:dyDescent="0.6">
      <c r="B15" s="6"/>
      <c r="C15" s="1"/>
      <c r="D15" s="8"/>
      <c r="E15" s="1"/>
      <c r="F15" s="6"/>
      <c r="G15" s="1"/>
      <c r="H15" s="6"/>
      <c r="I15" s="1"/>
    </row>
    <row r="16" spans="2:9" x14ac:dyDescent="0.6">
      <c r="B16" s="214" t="s">
        <v>41</v>
      </c>
      <c r="C16" s="214"/>
      <c r="D16" s="214"/>
      <c r="E16" s="214"/>
      <c r="F16" s="214"/>
      <c r="G16" s="214"/>
      <c r="H16" s="214"/>
      <c r="I16" s="214"/>
    </row>
    <row r="17" spans="2:9" x14ac:dyDescent="0.6">
      <c r="B17" s="145" t="s">
        <v>45</v>
      </c>
      <c r="C17" s="1"/>
      <c r="D17" s="7" t="s">
        <v>4</v>
      </c>
      <c r="E17" s="1"/>
      <c r="F17" s="7" t="s">
        <v>8</v>
      </c>
      <c r="G17" s="1"/>
      <c r="H17" s="7" t="s">
        <v>9</v>
      </c>
      <c r="I17" s="1"/>
    </row>
    <row r="18" spans="2:9" x14ac:dyDescent="0.6">
      <c r="B18" s="21" t="s">
        <v>29</v>
      </c>
      <c r="C18" s="1"/>
      <c r="D18" s="4">
        <v>44271</v>
      </c>
      <c r="E18" s="1"/>
      <c r="F18" s="3"/>
      <c r="G18" s="1"/>
      <c r="H18" s="3"/>
      <c r="I18" s="1"/>
    </row>
    <row r="19" spans="2:9" x14ac:dyDescent="0.6">
      <c r="B19" s="21" t="s">
        <v>33</v>
      </c>
      <c r="C19" s="1"/>
      <c r="D19" s="4">
        <v>44271</v>
      </c>
      <c r="E19" s="1"/>
      <c r="F19" s="3"/>
      <c r="G19" s="1"/>
      <c r="H19" s="3"/>
      <c r="I19" s="1"/>
    </row>
    <row r="20" spans="2:9" ht="8.15" customHeight="1" x14ac:dyDescent="0.6">
      <c r="B20" s="6"/>
      <c r="C20" s="1"/>
      <c r="D20" s="8"/>
      <c r="E20" s="1"/>
      <c r="F20" s="6"/>
      <c r="G20" s="1"/>
      <c r="H20" s="6"/>
      <c r="I20" s="1"/>
    </row>
    <row r="21" spans="2:9" x14ac:dyDescent="0.6">
      <c r="B21" s="214" t="s">
        <v>381</v>
      </c>
      <c r="C21" s="214"/>
      <c r="D21" s="214"/>
      <c r="E21" s="214"/>
      <c r="F21" s="214"/>
      <c r="G21" s="214"/>
      <c r="H21" s="214"/>
      <c r="I21" s="214"/>
    </row>
    <row r="22" spans="2:9" x14ac:dyDescent="0.6">
      <c r="B22" s="145" t="s">
        <v>45</v>
      </c>
      <c r="C22" s="1"/>
      <c r="D22" s="7" t="s">
        <v>4</v>
      </c>
      <c r="E22" s="1"/>
      <c r="F22" s="7" t="s">
        <v>8</v>
      </c>
      <c r="G22" s="1"/>
      <c r="H22" s="7" t="s">
        <v>9</v>
      </c>
      <c r="I22" s="1"/>
    </row>
    <row r="23" spans="2:9" x14ac:dyDescent="0.6">
      <c r="B23" s="21" t="s">
        <v>61</v>
      </c>
      <c r="C23" s="1"/>
      <c r="D23" s="4">
        <v>44227</v>
      </c>
      <c r="E23" s="1"/>
      <c r="F23" s="3"/>
      <c r="G23" s="1"/>
      <c r="H23" s="3"/>
      <c r="I23" s="1"/>
    </row>
    <row r="24" spans="2:9" x14ac:dyDescent="0.6">
      <c r="B24" s="21" t="s">
        <v>65</v>
      </c>
      <c r="C24" s="1"/>
      <c r="D24" s="4">
        <v>44227</v>
      </c>
      <c r="E24" s="1"/>
      <c r="F24" s="3"/>
      <c r="G24" s="1"/>
      <c r="H24" s="3"/>
      <c r="I24" s="1"/>
    </row>
    <row r="25" spans="2:9" x14ac:dyDescent="0.6">
      <c r="B25" s="21" t="s">
        <v>69</v>
      </c>
      <c r="C25" s="1"/>
      <c r="D25" s="4">
        <v>44227</v>
      </c>
      <c r="E25" s="1"/>
      <c r="F25" s="3"/>
      <c r="G25" s="1"/>
      <c r="H25" s="3"/>
      <c r="I25" s="1"/>
    </row>
    <row r="26" spans="2:9" x14ac:dyDescent="0.6">
      <c r="B26" s="21" t="s">
        <v>74</v>
      </c>
      <c r="C26" s="1"/>
      <c r="D26" s="4">
        <v>44227</v>
      </c>
      <c r="E26" s="1"/>
      <c r="F26" s="3"/>
      <c r="G26" s="1"/>
      <c r="H26" s="3"/>
      <c r="I26" s="1"/>
    </row>
    <row r="27" spans="2:9" ht="8.15" customHeight="1" x14ac:dyDescent="0.6">
      <c r="B27" s="6"/>
      <c r="C27" s="1"/>
      <c r="D27" s="8"/>
      <c r="E27" s="1"/>
      <c r="F27" s="6"/>
      <c r="G27" s="1"/>
      <c r="H27" s="6"/>
      <c r="I27" s="1"/>
    </row>
    <row r="28" spans="2:9" x14ac:dyDescent="0.6">
      <c r="B28" s="214" t="s">
        <v>383</v>
      </c>
      <c r="C28" s="214"/>
      <c r="D28" s="214"/>
      <c r="E28" s="214"/>
      <c r="F28" s="214"/>
      <c r="G28" s="214"/>
      <c r="H28" s="214"/>
      <c r="I28" s="214"/>
    </row>
    <row r="29" spans="2:9" x14ac:dyDescent="0.6">
      <c r="B29" s="145" t="s">
        <v>45</v>
      </c>
      <c r="C29" s="1"/>
      <c r="D29" s="7" t="s">
        <v>4</v>
      </c>
      <c r="E29" s="1"/>
      <c r="F29" s="7" t="s">
        <v>8</v>
      </c>
      <c r="G29" s="1"/>
      <c r="H29" s="7" t="s">
        <v>9</v>
      </c>
      <c r="I29" s="1"/>
    </row>
    <row r="30" spans="2:9" x14ac:dyDescent="0.6">
      <c r="B30" s="148" t="s">
        <v>400</v>
      </c>
      <c r="C30" s="128"/>
      <c r="D30" s="130">
        <v>43861</v>
      </c>
      <c r="E30" s="128"/>
      <c r="F30" s="150">
        <v>44196</v>
      </c>
      <c r="G30" s="128"/>
      <c r="H30" s="149" t="s">
        <v>420</v>
      </c>
      <c r="I30" s="128"/>
    </row>
    <row r="31" spans="2:9" x14ac:dyDescent="0.6">
      <c r="B31" s="21" t="s">
        <v>29</v>
      </c>
      <c r="C31" s="1"/>
      <c r="D31" s="4">
        <v>43861</v>
      </c>
      <c r="E31" s="1"/>
      <c r="F31" s="150">
        <v>44196</v>
      </c>
      <c r="G31" s="1"/>
      <c r="H31" s="3" t="s">
        <v>420</v>
      </c>
      <c r="I31" s="1"/>
    </row>
    <row r="32" spans="2:9" ht="8.15" customHeight="1" x14ac:dyDescent="0.6">
      <c r="B32" s="6"/>
      <c r="C32" s="1"/>
      <c r="D32" s="8"/>
      <c r="E32" s="1"/>
      <c r="F32" s="6"/>
      <c r="G32" s="1"/>
      <c r="H32" s="6"/>
      <c r="I32" s="1"/>
    </row>
    <row r="33" spans="2:9" x14ac:dyDescent="0.6">
      <c r="B33" s="214" t="s">
        <v>77</v>
      </c>
      <c r="C33" s="214"/>
      <c r="D33" s="214"/>
      <c r="E33" s="214"/>
      <c r="F33" s="214"/>
      <c r="G33" s="214"/>
      <c r="H33" s="214"/>
      <c r="I33" s="214"/>
    </row>
    <row r="34" spans="2:9" x14ac:dyDescent="0.6">
      <c r="B34" s="145" t="s">
        <v>7</v>
      </c>
      <c r="C34" s="1"/>
      <c r="D34" s="7" t="s">
        <v>4</v>
      </c>
      <c r="E34" s="1"/>
      <c r="F34" s="7" t="s">
        <v>8</v>
      </c>
      <c r="G34" s="1"/>
      <c r="H34" s="7" t="s">
        <v>9</v>
      </c>
      <c r="I34" s="1"/>
    </row>
    <row r="35" spans="2:9" x14ac:dyDescent="0.6">
      <c r="B35" s="21">
        <v>2020</v>
      </c>
      <c r="C35" s="1"/>
      <c r="D35" s="4">
        <v>44136</v>
      </c>
      <c r="E35" s="1"/>
      <c r="F35" s="4">
        <v>44126</v>
      </c>
      <c r="G35" s="1"/>
      <c r="H35" s="3" t="s">
        <v>79</v>
      </c>
      <c r="I35" s="1"/>
    </row>
    <row r="36" spans="2:9" ht="8.15" customHeight="1" x14ac:dyDescent="0.6">
      <c r="B36" s="6"/>
      <c r="C36" s="1"/>
      <c r="D36" s="8"/>
      <c r="E36" s="1"/>
      <c r="F36" s="6"/>
      <c r="G36" s="1"/>
      <c r="H36" s="6"/>
      <c r="I36" s="1"/>
    </row>
    <row r="37" spans="2:9" x14ac:dyDescent="0.6">
      <c r="B37" s="214" t="s">
        <v>382</v>
      </c>
      <c r="C37" s="214"/>
      <c r="D37" s="214"/>
      <c r="E37" s="214"/>
      <c r="F37" s="214"/>
      <c r="G37" s="214"/>
      <c r="H37" s="214"/>
      <c r="I37" s="214"/>
    </row>
    <row r="38" spans="2:9" x14ac:dyDescent="0.6">
      <c r="B38" s="145" t="s">
        <v>45</v>
      </c>
      <c r="C38" s="1"/>
      <c r="D38" s="7" t="s">
        <v>4</v>
      </c>
      <c r="E38" s="1"/>
      <c r="F38" s="7" t="s">
        <v>8</v>
      </c>
      <c r="G38" s="1"/>
      <c r="H38" s="7" t="s">
        <v>9</v>
      </c>
      <c r="I38" s="1"/>
    </row>
    <row r="39" spans="2:9" x14ac:dyDescent="0.6">
      <c r="B39" s="21" t="s">
        <v>385</v>
      </c>
      <c r="C39" s="1"/>
      <c r="D39" s="4">
        <v>44788</v>
      </c>
      <c r="E39" s="1"/>
      <c r="F39" s="3"/>
      <c r="G39" s="1"/>
      <c r="H39" s="3"/>
      <c r="I39" s="1"/>
    </row>
    <row r="40" spans="2:9" x14ac:dyDescent="0.6">
      <c r="B40" s="21" t="s">
        <v>386</v>
      </c>
      <c r="C40" s="1"/>
      <c r="D40" s="4">
        <v>43997</v>
      </c>
      <c r="E40" s="1"/>
      <c r="F40" s="4">
        <v>43991</v>
      </c>
      <c r="G40" s="1"/>
      <c r="H40" s="3" t="s">
        <v>17</v>
      </c>
      <c r="I40" s="1"/>
    </row>
    <row r="41" spans="2:9" x14ac:dyDescent="0.6">
      <c r="B41" s="21" t="s">
        <v>387</v>
      </c>
      <c r="C41" s="1"/>
      <c r="D41" s="4">
        <v>43997</v>
      </c>
      <c r="E41" s="1"/>
      <c r="F41" s="4">
        <v>43991</v>
      </c>
      <c r="G41" s="1"/>
      <c r="H41" s="3" t="s">
        <v>17</v>
      </c>
      <c r="I41" s="1"/>
    </row>
    <row r="42" spans="2:9" ht="8.15" customHeight="1" x14ac:dyDescent="0.6">
      <c r="B42" s="6"/>
      <c r="C42" s="1"/>
      <c r="D42" s="8"/>
      <c r="E42" s="1"/>
      <c r="F42" s="8"/>
      <c r="G42" s="1"/>
      <c r="H42" s="6"/>
      <c r="I42" s="1"/>
    </row>
    <row r="43" spans="2:9" x14ac:dyDescent="0.6">
      <c r="B43" s="124" t="s">
        <v>81</v>
      </c>
      <c r="C43" s="124"/>
      <c r="D43" s="124"/>
      <c r="E43" s="124"/>
      <c r="F43" s="124"/>
      <c r="G43" s="124"/>
      <c r="H43" s="124"/>
      <c r="I43" s="124"/>
    </row>
    <row r="44" spans="2:9" x14ac:dyDescent="0.6">
      <c r="B44" s="145" t="s">
        <v>45</v>
      </c>
      <c r="C44" s="1"/>
      <c r="D44" s="7" t="s">
        <v>4</v>
      </c>
      <c r="E44" s="1"/>
      <c r="F44" s="7" t="s">
        <v>8</v>
      </c>
      <c r="G44" s="1"/>
      <c r="H44" s="7" t="s">
        <v>9</v>
      </c>
      <c r="I44" s="1"/>
    </row>
    <row r="45" spans="2:9" x14ac:dyDescent="0.6">
      <c r="B45" s="21" t="s">
        <v>82</v>
      </c>
      <c r="C45" s="1"/>
      <c r="D45" s="4">
        <v>43941</v>
      </c>
      <c r="E45" s="1"/>
      <c r="F45" s="3" t="s">
        <v>13</v>
      </c>
      <c r="G45" s="1"/>
      <c r="H45" s="3" t="s">
        <v>13</v>
      </c>
      <c r="I45" s="1"/>
    </row>
    <row r="46" spans="2:9" x14ac:dyDescent="0.6">
      <c r="B46" s="21" t="s">
        <v>82</v>
      </c>
      <c r="C46" s="1"/>
      <c r="D46" s="4">
        <v>44032</v>
      </c>
      <c r="E46" s="1"/>
      <c r="F46" s="4">
        <v>44032</v>
      </c>
      <c r="G46" s="1"/>
      <c r="H46" s="3" t="s">
        <v>17</v>
      </c>
      <c r="I46" s="1"/>
    </row>
    <row r="47" spans="2:9" x14ac:dyDescent="0.6">
      <c r="B47" s="21" t="s">
        <v>82</v>
      </c>
      <c r="C47" s="1"/>
      <c r="D47" s="4">
        <v>44124</v>
      </c>
      <c r="E47" s="1"/>
      <c r="F47" s="4">
        <v>44124</v>
      </c>
      <c r="G47" s="1"/>
      <c r="H47" s="3" t="s">
        <v>17</v>
      </c>
      <c r="I47" s="1"/>
    </row>
    <row r="48" spans="2:9" x14ac:dyDescent="0.6">
      <c r="B48" s="21" t="s">
        <v>82</v>
      </c>
      <c r="C48" s="1"/>
      <c r="D48" s="4">
        <v>44216</v>
      </c>
      <c r="E48" s="1"/>
      <c r="F48" s="3"/>
      <c r="G48" s="1"/>
      <c r="H48" s="3"/>
      <c r="I48" s="1"/>
    </row>
  </sheetData>
  <mergeCells count="7">
    <mergeCell ref="B33:I33"/>
    <mergeCell ref="B37:I37"/>
    <mergeCell ref="B28:I28"/>
    <mergeCell ref="B5:I5"/>
    <mergeCell ref="B10:I10"/>
    <mergeCell ref="B16:I16"/>
    <mergeCell ref="B21:I2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2EDE6A-1D7F-4F2C-869E-28B4256428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46</vt:i4>
      </vt:variant>
    </vt:vector>
  </HeadingPairs>
  <TitlesOfParts>
    <vt:vector size="74" baseType="lpstr">
      <vt:lpstr>setup</vt:lpstr>
      <vt:lpstr>certent summary data</vt:lpstr>
      <vt:lpstr>kpi summary</vt:lpstr>
      <vt:lpstr>key initiatives</vt:lpstr>
      <vt:lpstr>safety</vt:lpstr>
      <vt:lpstr>BOP outages</vt:lpstr>
      <vt:lpstr>Turbine outages</vt:lpstr>
      <vt:lpstr>planned maint.</vt:lpstr>
      <vt:lpstr>rev walk raw</vt:lpstr>
      <vt:lpstr>revenue walk</vt:lpstr>
      <vt:lpstr>ebitda raw</vt:lpstr>
      <vt:lpstr>month financial</vt:lpstr>
      <vt:lpstr>ytd financial</vt:lpstr>
      <vt:lpstr>rec raw</vt:lpstr>
      <vt:lpstr>REC financial</vt:lpstr>
      <vt:lpstr>hedge raw</vt:lpstr>
      <vt:lpstr>hedge financial</vt:lpstr>
      <vt:lpstr>wo raw</vt:lpstr>
      <vt:lpstr>work order log</vt:lpstr>
      <vt:lpstr>warranty claims</vt:lpstr>
      <vt:lpstr>compliance eia raw</vt:lpstr>
      <vt:lpstr>compliance EIA</vt:lpstr>
      <vt:lpstr>compliance iso raw</vt:lpstr>
      <vt:lpstr>compliance ISO</vt:lpstr>
      <vt:lpstr>compliance nerc raw</vt:lpstr>
      <vt:lpstr>compliance NERC</vt:lpstr>
      <vt:lpstr>compliance tax raw</vt:lpstr>
      <vt:lpstr>compliance - tax</vt:lpstr>
      <vt:lpstr>compliance_full_path</vt:lpstr>
      <vt:lpstr>curr_year</vt:lpstr>
      <vt:lpstr>db_base64_key_secret</vt:lpstr>
      <vt:lpstr>db_key</vt:lpstr>
      <vt:lpstr>db_secret</vt:lpstr>
      <vt:lpstr>dropbox_token</vt:lpstr>
      <vt:lpstr>ebitda_full_path</vt:lpstr>
      <vt:lpstr>ebitda_sheet</vt:lpstr>
      <vt:lpstr>eia_sheet</vt:lpstr>
      <vt:lpstr>'compliance eia raw'!ExternalData_1</vt:lpstr>
      <vt:lpstr>'compliance tax raw'!ExternalData_1</vt:lpstr>
      <vt:lpstr>hedge_full_path</vt:lpstr>
      <vt:lpstr>hedge_sheet</vt:lpstr>
      <vt:lpstr>iso_puct_sheet</vt:lpstr>
      <vt:lpstr>month_num</vt:lpstr>
      <vt:lpstr>month_str</vt:lpstr>
      <vt:lpstr>nerc_sheet</vt:lpstr>
      <vt:lpstr>nonincome_tax_sheet</vt:lpstr>
      <vt:lpstr>'BOP outages'!Print_Area</vt:lpstr>
      <vt:lpstr>'compliance - tax'!Print_Area</vt:lpstr>
      <vt:lpstr>'compliance EIA'!Print_Area</vt:lpstr>
      <vt:lpstr>'compliance ISO'!Print_Area</vt:lpstr>
      <vt:lpstr>'compliance NERC'!Print_Area</vt:lpstr>
      <vt:lpstr>'hedge financial'!Print_Area</vt:lpstr>
      <vt:lpstr>'key initiatives'!Print_Area</vt:lpstr>
      <vt:lpstr>'kpi summary'!Print_Area</vt:lpstr>
      <vt:lpstr>'month financial'!Print_Area</vt:lpstr>
      <vt:lpstr>'planned maint.'!Print_Area</vt:lpstr>
      <vt:lpstr>'REC financial'!Print_Area</vt:lpstr>
      <vt:lpstr>'revenue walk'!Print_Area</vt:lpstr>
      <vt:lpstr>safety!Print_Area</vt:lpstr>
      <vt:lpstr>'Turbine outages'!Print_Area</vt:lpstr>
      <vt:lpstr>'warranty claims'!Print_Area</vt:lpstr>
      <vt:lpstr>'work order log'!Print_Area</vt:lpstr>
      <vt:lpstr>'ytd financial'!Print_Area</vt:lpstr>
      <vt:lpstr>'compliance NERC'!Print_Titles</vt:lpstr>
      <vt:lpstr>'planned maint.'!Print_Titles</vt:lpstr>
      <vt:lpstr>'warranty claims'!Print_Titles</vt:lpstr>
      <vt:lpstr>'work order log'!Print_Titles</vt:lpstr>
      <vt:lpstr>rec_full_path</vt:lpstr>
      <vt:lpstr>rec_sheet</vt:lpstr>
      <vt:lpstr>revwalk_sheet</vt:lpstr>
      <vt:lpstr>safety_full_path</vt:lpstr>
      <vt:lpstr>safety_sheet</vt:lpstr>
      <vt:lpstr>wo_full_path</vt:lpstr>
      <vt:lpstr>wo_sheet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 Zimet</dc:creator>
  <cp:keywords/>
  <dc:description/>
  <cp:lastModifiedBy>Tim Zimet</cp:lastModifiedBy>
  <dcterms:created xsi:type="dcterms:W3CDTF">2020-09-14T16:44:52Z</dcterms:created>
  <dcterms:modified xsi:type="dcterms:W3CDTF">2022-01-21T18:23:54Z</dcterms:modified>
  <cp:category/>
</cp:coreProperties>
</file>