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utowskyS\Documents\Petrel_Puffin_Trend\Petrel_Puffin_Trend\data\"/>
    </mc:Choice>
  </mc:AlternateContent>
  <xr:revisionPtr revIDLastSave="0" documentId="13_ncr:1_{D3E1FF0B-7765-4F40-A3C6-599FDE2619A9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2" l="1"/>
  <c r="D59" i="2"/>
  <c r="E60" i="2"/>
  <c r="D60" i="2"/>
  <c r="E62" i="2"/>
  <c r="D62" i="2"/>
  <c r="E61" i="2"/>
  <c r="D61" i="2"/>
  <c r="I58" i="2"/>
  <c r="H58" i="2"/>
  <c r="D58" i="2"/>
  <c r="E57" i="2"/>
  <c r="D57" i="2"/>
  <c r="D56" i="2"/>
  <c r="E55" i="2"/>
  <c r="D55" i="2"/>
  <c r="H54" i="2"/>
  <c r="D54" i="2"/>
  <c r="E53" i="2" l="1"/>
  <c r="D53" i="2"/>
  <c r="E52" i="2"/>
  <c r="D52" i="2"/>
  <c r="E51" i="2"/>
  <c r="D51" i="2"/>
  <c r="E50" i="2"/>
  <c r="D50" i="2"/>
  <c r="E49" i="2"/>
  <c r="D49" i="2"/>
  <c r="D48" i="2"/>
  <c r="I47" i="2"/>
  <c r="H47" i="2"/>
  <c r="D47" i="2"/>
  <c r="I46" i="2"/>
  <c r="H46" i="2"/>
  <c r="D46" i="2"/>
  <c r="I45" i="2"/>
  <c r="H45" i="2"/>
  <c r="D45" i="2"/>
  <c r="I44" i="2"/>
  <c r="H44" i="2"/>
  <c r="D44" i="2"/>
  <c r="I43" i="2"/>
  <c r="H43" i="2"/>
  <c r="D43" i="2"/>
  <c r="E42" i="2"/>
  <c r="D42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D32" i="2" l="1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I16" i="2" l="1"/>
  <c r="H16" i="2"/>
  <c r="E16" i="2"/>
  <c r="D16" i="2"/>
  <c r="I15" i="2"/>
  <c r="H15" i="2"/>
  <c r="E15" i="2"/>
  <c r="D15" i="2"/>
  <c r="I14" i="2"/>
  <c r="H14" i="2"/>
  <c r="E14" i="2"/>
  <c r="D14" i="2"/>
  <c r="I13" i="2"/>
  <c r="H13" i="2"/>
  <c r="E13" i="2"/>
  <c r="D13" i="2"/>
  <c r="I12" i="2"/>
  <c r="H12" i="2"/>
  <c r="D12" i="2"/>
  <c r="I11" i="2"/>
  <c r="H11" i="2"/>
  <c r="E11" i="2"/>
  <c r="D11" i="2"/>
  <c r="I10" i="2"/>
  <c r="H10" i="2"/>
  <c r="E10" i="2"/>
  <c r="D10" i="2"/>
  <c r="I9" i="2"/>
  <c r="H9" i="2"/>
  <c r="E9" i="2"/>
  <c r="D9" i="2"/>
  <c r="I8" i="2"/>
  <c r="H8" i="2"/>
  <c r="E8" i="2"/>
  <c r="D8" i="2"/>
  <c r="I6" i="2"/>
  <c r="I2" i="2"/>
</calcChain>
</file>

<file path=xl/sharedStrings.xml><?xml version="1.0" encoding="utf-8"?>
<sst xmlns="http://schemas.openxmlformats.org/spreadsheetml/2006/main" count="359" uniqueCount="46">
  <si>
    <t>Country</t>
  </si>
  <si>
    <t>Colony</t>
  </si>
  <si>
    <t>Year</t>
  </si>
  <si>
    <t>Mature individuals</t>
  </si>
  <si>
    <t>SE</t>
  </si>
  <si>
    <t>CV</t>
  </si>
  <si>
    <t>95% CI</t>
  </si>
  <si>
    <t>Lower CI</t>
  </si>
  <si>
    <t>Upper CI</t>
  </si>
  <si>
    <t>Reference</t>
  </si>
  <si>
    <t>Notes</t>
  </si>
  <si>
    <t>Canada</t>
  </si>
  <si>
    <t>Bacalhao, LAB</t>
  </si>
  <si>
    <t>Robertson et al. 2002</t>
  </si>
  <si>
    <t>S. Wilhelm, unpubl. Data</t>
  </si>
  <si>
    <t>Tinker, LAB</t>
  </si>
  <si>
    <t>Herring Island 1, LAB</t>
  </si>
  <si>
    <t>R. Elliot, unpubl. Report</t>
  </si>
  <si>
    <t>Herring Island 2, LAB</t>
  </si>
  <si>
    <t>Herring Island 3, LAB</t>
  </si>
  <si>
    <t>North Green, LAB</t>
  </si>
  <si>
    <t>Gannet Clusters 2, LAB</t>
  </si>
  <si>
    <t>Gannet Clusters 3, LAB</t>
  </si>
  <si>
    <t>Gannet Clusters 4, LAB</t>
  </si>
  <si>
    <t>Gannet Clusters 5, LAB</t>
  </si>
  <si>
    <t>No SE or other variance provided</t>
  </si>
  <si>
    <t>Gannet Clusters 6, LAB</t>
  </si>
  <si>
    <t>Wilhelm et al. 2015</t>
  </si>
  <si>
    <t>Cairns and Verspoor 1980</t>
  </si>
  <si>
    <t>Robertson et al. 2004</t>
  </si>
  <si>
    <t>Jenkins et al. 2018</t>
  </si>
  <si>
    <t>Robertson and Elliot 2002b</t>
  </si>
  <si>
    <t>Robertson and Elliot 2002a</t>
  </si>
  <si>
    <t>Jean-François Rail</t>
  </si>
  <si>
    <t>Pee Pee Island, Witless Bay, NF</t>
  </si>
  <si>
    <t>Great Island, Witless Bay, NF</t>
  </si>
  <si>
    <t>Gull Island, Witless Bay,NF</t>
  </si>
  <si>
    <t>Coleman Island, Wadham Islands,NF</t>
  </si>
  <si>
    <t>South Penguin Island, Wadham Islands, NF</t>
  </si>
  <si>
    <t>Small Island, Wadham Islands, NF</t>
  </si>
  <si>
    <t>NorthShore MB Sanctuaries , QC</t>
  </si>
  <si>
    <t>Machias Seal Island, NB</t>
  </si>
  <si>
    <t>Baccalieu Island, NF</t>
  </si>
  <si>
    <t>North Bird Island, NF</t>
  </si>
  <si>
    <t>Puffin Islands (Lab), LB</t>
  </si>
  <si>
    <t>S. Wilhelm,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</si>
</sst>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3"/>
  <sheetViews>
    <sheetView tabSelected="1" zoomScaleNormal="100" workbookViewId="0">
      <pane ySplit="1" topLeftCell="A86" activePane="bottomLeft" state="frozen"/>
      <selection pane="bottomLeft" activeCell="I109" sqref="I109"/>
    </sheetView>
  </sheetViews>
  <sheetFormatPr defaultRowHeight="14.4" x14ac:dyDescent="0.55000000000000004"/>
  <cols>
    <col min="2" max="2" width="33.1015625" customWidth="1"/>
    <col min="4" max="6" width="13.734375" customWidth="1"/>
    <col min="7" max="9" width="16.5234375" customWidth="1"/>
    <col min="10" max="10" width="25.47265625" customWidth="1"/>
  </cols>
  <sheetData>
    <row r="1" spans="1:11" s="3" customFormat="1" ht="28.8" x14ac:dyDescent="0.55000000000000004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55000000000000004">
      <c r="A2" t="s">
        <v>11</v>
      </c>
      <c r="B2" t="s">
        <v>12</v>
      </c>
      <c r="C2">
        <v>1978</v>
      </c>
      <c r="D2" s="1">
        <v>112</v>
      </c>
      <c r="E2" s="1">
        <v>36</v>
      </c>
      <c r="G2" s="1"/>
      <c r="H2" s="1">
        <v>60</v>
      </c>
      <c r="I2" s="1">
        <f>83*2</f>
        <v>166</v>
      </c>
      <c r="J2" t="s">
        <v>13</v>
      </c>
    </row>
    <row r="3" spans="1:11" x14ac:dyDescent="0.55000000000000004">
      <c r="A3" t="s">
        <v>11</v>
      </c>
      <c r="B3" t="s">
        <v>12</v>
      </c>
      <c r="C3">
        <v>2002</v>
      </c>
      <c r="D3" s="1">
        <v>90</v>
      </c>
      <c r="E3" s="1">
        <v>24</v>
      </c>
      <c r="G3" s="1"/>
      <c r="H3" s="1">
        <v>50</v>
      </c>
      <c r="I3" s="1">
        <v>130</v>
      </c>
      <c r="J3" t="s">
        <v>13</v>
      </c>
    </row>
    <row r="4" spans="1:11" x14ac:dyDescent="0.55000000000000004">
      <c r="A4" t="s">
        <v>11</v>
      </c>
      <c r="B4" t="s">
        <v>12</v>
      </c>
      <c r="C4">
        <v>2010</v>
      </c>
      <c r="D4" s="1">
        <v>66</v>
      </c>
      <c r="E4" s="1">
        <v>12</v>
      </c>
      <c r="G4" s="1"/>
      <c r="H4" s="1">
        <v>44</v>
      </c>
      <c r="I4" s="1">
        <v>88</v>
      </c>
      <c r="J4" t="s">
        <v>14</v>
      </c>
    </row>
    <row r="5" spans="1:11" x14ac:dyDescent="0.55000000000000004">
      <c r="A5" t="s">
        <v>11</v>
      </c>
      <c r="B5" t="s">
        <v>15</v>
      </c>
      <c r="C5">
        <v>1978</v>
      </c>
      <c r="D5" s="1">
        <v>62</v>
      </c>
      <c r="E5" s="1">
        <v>8</v>
      </c>
      <c r="G5" s="1"/>
      <c r="H5" s="1">
        <v>44</v>
      </c>
      <c r="I5" s="1">
        <v>80</v>
      </c>
      <c r="J5" t="s">
        <v>13</v>
      </c>
    </row>
    <row r="6" spans="1:11" x14ac:dyDescent="0.55000000000000004">
      <c r="A6" t="s">
        <v>11</v>
      </c>
      <c r="B6" t="s">
        <v>15</v>
      </c>
      <c r="C6">
        <v>2002</v>
      </c>
      <c r="D6" s="1">
        <v>58</v>
      </c>
      <c r="E6" s="1">
        <v>8</v>
      </c>
      <c r="G6" s="1"/>
      <c r="H6" s="1">
        <v>44</v>
      </c>
      <c r="I6" s="1">
        <f>36*2</f>
        <v>72</v>
      </c>
      <c r="J6" t="s">
        <v>13</v>
      </c>
    </row>
    <row r="7" spans="1:11" x14ac:dyDescent="0.55000000000000004">
      <c r="A7" t="s">
        <v>11</v>
      </c>
      <c r="B7" t="s">
        <v>15</v>
      </c>
      <c r="C7">
        <v>2010</v>
      </c>
      <c r="D7" s="1">
        <v>10</v>
      </c>
      <c r="E7" s="1">
        <v>4</v>
      </c>
      <c r="G7" s="1"/>
      <c r="H7" s="1">
        <v>4</v>
      </c>
      <c r="I7" s="1">
        <v>18</v>
      </c>
      <c r="J7" t="s">
        <v>14</v>
      </c>
    </row>
    <row r="8" spans="1:11" x14ac:dyDescent="0.55000000000000004">
      <c r="A8" t="s">
        <v>11</v>
      </c>
      <c r="B8" t="s">
        <v>16</v>
      </c>
      <c r="C8">
        <v>1978</v>
      </c>
      <c r="D8" s="1">
        <f>4482*2</f>
        <v>8964</v>
      </c>
      <c r="E8" s="1">
        <f>248*2</f>
        <v>496</v>
      </c>
      <c r="G8" s="1"/>
      <c r="H8" s="1">
        <f>3936*2</f>
        <v>7872</v>
      </c>
      <c r="I8" s="1">
        <f>4907*2</f>
        <v>9814</v>
      </c>
      <c r="J8" t="s">
        <v>17</v>
      </c>
    </row>
    <row r="9" spans="1:11" x14ac:dyDescent="0.55000000000000004">
      <c r="A9" t="s">
        <v>11</v>
      </c>
      <c r="B9" t="s">
        <v>16</v>
      </c>
      <c r="C9">
        <v>2010</v>
      </c>
      <c r="D9" s="1">
        <f>1972*2</f>
        <v>3944</v>
      </c>
      <c r="E9" s="1">
        <f>246*2</f>
        <v>492</v>
      </c>
      <c r="G9" s="1"/>
      <c r="H9" s="1">
        <f>1489*2</f>
        <v>2978</v>
      </c>
      <c r="I9" s="1">
        <f>2455*2</f>
        <v>4910</v>
      </c>
      <c r="J9" t="s">
        <v>14</v>
      </c>
    </row>
    <row r="10" spans="1:11" x14ac:dyDescent="0.55000000000000004">
      <c r="A10" t="s">
        <v>11</v>
      </c>
      <c r="B10" t="s">
        <v>18</v>
      </c>
      <c r="C10">
        <v>1978</v>
      </c>
      <c r="D10" s="1">
        <f>8426*2</f>
        <v>16852</v>
      </c>
      <c r="E10" s="1">
        <f>462*2</f>
        <v>924</v>
      </c>
      <c r="G10" s="1"/>
      <c r="H10" s="1">
        <f>7514*2</f>
        <v>15028</v>
      </c>
      <c r="I10" s="1">
        <f>9326*2</f>
        <v>18652</v>
      </c>
      <c r="J10" t="s">
        <v>17</v>
      </c>
    </row>
    <row r="11" spans="1:11" x14ac:dyDescent="0.55000000000000004">
      <c r="A11" t="s">
        <v>11</v>
      </c>
      <c r="B11" t="s">
        <v>18</v>
      </c>
      <c r="C11">
        <v>2010</v>
      </c>
      <c r="D11" s="1">
        <f>8983*2</f>
        <v>17966</v>
      </c>
      <c r="E11" s="1">
        <f>506*2</f>
        <v>1012</v>
      </c>
      <c r="G11" s="1"/>
      <c r="H11" s="1">
        <f>7990*2</f>
        <v>15980</v>
      </c>
      <c r="I11" s="1">
        <f>9976*2</f>
        <v>19952</v>
      </c>
      <c r="J11" t="s">
        <v>14</v>
      </c>
    </row>
    <row r="12" spans="1:11" x14ac:dyDescent="0.55000000000000004">
      <c r="A12" t="s">
        <v>11</v>
      </c>
      <c r="B12" t="s">
        <v>19</v>
      </c>
      <c r="C12">
        <v>1978</v>
      </c>
      <c r="D12" s="1">
        <f>4007*2</f>
        <v>8014</v>
      </c>
      <c r="E12" s="1">
        <v>614</v>
      </c>
      <c r="H12" s="1">
        <f>3407*2</f>
        <v>6814</v>
      </c>
      <c r="I12" s="1">
        <f>4609*2</f>
        <v>9218</v>
      </c>
      <c r="J12" t="s">
        <v>17</v>
      </c>
    </row>
    <row r="13" spans="1:11" x14ac:dyDescent="0.55000000000000004">
      <c r="A13" t="s">
        <v>11</v>
      </c>
      <c r="B13" t="s">
        <v>19</v>
      </c>
      <c r="C13">
        <v>2010</v>
      </c>
      <c r="D13" s="1">
        <f>2245*2</f>
        <v>4490</v>
      </c>
      <c r="E13" s="1">
        <f>263*2</f>
        <v>526</v>
      </c>
      <c r="H13" s="1">
        <f>1730*2</f>
        <v>3460</v>
      </c>
      <c r="I13" s="1">
        <f>2760*2</f>
        <v>5520</v>
      </c>
      <c r="J13" t="s">
        <v>14</v>
      </c>
    </row>
    <row r="14" spans="1:11" x14ac:dyDescent="0.55000000000000004">
      <c r="A14" t="s">
        <v>11</v>
      </c>
      <c r="B14" t="s">
        <v>20</v>
      </c>
      <c r="C14">
        <v>1978</v>
      </c>
      <c r="D14" s="1">
        <f>2184*2</f>
        <v>4368</v>
      </c>
      <c r="E14" s="1">
        <f>358*2</f>
        <v>716</v>
      </c>
      <c r="G14" s="1"/>
      <c r="H14" s="1">
        <f>1041*2</f>
        <v>2082</v>
      </c>
      <c r="I14" s="1">
        <f>3326*2</f>
        <v>6652</v>
      </c>
      <c r="J14" t="s">
        <v>13</v>
      </c>
    </row>
    <row r="15" spans="1:11" x14ac:dyDescent="0.55000000000000004">
      <c r="A15" t="s">
        <v>11</v>
      </c>
      <c r="B15" t="s">
        <v>20</v>
      </c>
      <c r="C15" s="4">
        <v>2002</v>
      </c>
      <c r="D15" s="5">
        <f>2581*2</f>
        <v>5162</v>
      </c>
      <c r="E15" s="1">
        <f>383*2</f>
        <v>766</v>
      </c>
      <c r="G15" s="1"/>
      <c r="H15" s="1">
        <f>1601*2</f>
        <v>3202</v>
      </c>
      <c r="I15" s="1">
        <f>3560*2</f>
        <v>7120</v>
      </c>
      <c r="J15" t="s">
        <v>13</v>
      </c>
    </row>
    <row r="16" spans="1:11" x14ac:dyDescent="0.55000000000000004">
      <c r="A16" t="s">
        <v>11</v>
      </c>
      <c r="B16" t="s">
        <v>20</v>
      </c>
      <c r="C16">
        <v>2010</v>
      </c>
      <c r="D16" s="1">
        <f>4169*2</f>
        <v>8338</v>
      </c>
      <c r="E16" s="1">
        <f>350*2</f>
        <v>700</v>
      </c>
      <c r="G16" s="1"/>
      <c r="H16" s="1">
        <f>3483*2</f>
        <v>6966</v>
      </c>
      <c r="I16" s="1">
        <f>4855*2</f>
        <v>9710</v>
      </c>
      <c r="J16" t="s">
        <v>14</v>
      </c>
    </row>
    <row r="17" spans="1:11" x14ac:dyDescent="0.55000000000000004">
      <c r="A17" t="s">
        <v>11</v>
      </c>
      <c r="B17" t="s">
        <v>21</v>
      </c>
      <c r="C17">
        <v>1978</v>
      </c>
      <c r="D17" s="1">
        <f>6466*2</f>
        <v>12932</v>
      </c>
      <c r="E17" s="1">
        <f>840*2</f>
        <v>1680</v>
      </c>
      <c r="G17" s="1"/>
      <c r="H17" s="1"/>
      <c r="I17" s="1"/>
      <c r="J17" t="s">
        <v>32</v>
      </c>
    </row>
    <row r="18" spans="1:11" x14ac:dyDescent="0.55000000000000004">
      <c r="A18" t="s">
        <v>11</v>
      </c>
      <c r="B18" t="s">
        <v>21</v>
      </c>
      <c r="C18">
        <v>1983</v>
      </c>
      <c r="D18" s="1">
        <f>6318*2</f>
        <v>12636</v>
      </c>
      <c r="E18" s="1">
        <f>408*2</f>
        <v>816</v>
      </c>
      <c r="H18" s="1"/>
      <c r="I18" s="1"/>
      <c r="J18" t="s">
        <v>32</v>
      </c>
    </row>
    <row r="19" spans="1:11" x14ac:dyDescent="0.55000000000000004">
      <c r="A19" t="s">
        <v>11</v>
      </c>
      <c r="B19" t="s">
        <v>21</v>
      </c>
      <c r="C19">
        <v>1984</v>
      </c>
      <c r="D19" s="1">
        <f>6909*2</f>
        <v>13818</v>
      </c>
      <c r="E19" s="1">
        <f>380*2</f>
        <v>760</v>
      </c>
      <c r="G19" s="1"/>
      <c r="H19" s="1"/>
      <c r="I19" s="1"/>
      <c r="J19" t="s">
        <v>32</v>
      </c>
    </row>
    <row r="20" spans="1:11" x14ac:dyDescent="0.55000000000000004">
      <c r="A20" t="s">
        <v>11</v>
      </c>
      <c r="B20" t="s">
        <v>21</v>
      </c>
      <c r="C20">
        <v>1999</v>
      </c>
      <c r="D20" s="1">
        <f>4888*2</f>
        <v>9776</v>
      </c>
      <c r="E20" s="1">
        <f>399*2</f>
        <v>798</v>
      </c>
      <c r="G20" s="1"/>
      <c r="H20" s="1"/>
      <c r="I20" s="1"/>
      <c r="J20" t="s">
        <v>32</v>
      </c>
    </row>
    <row r="21" spans="1:11" x14ac:dyDescent="0.55000000000000004">
      <c r="A21" t="s">
        <v>11</v>
      </c>
      <c r="B21" t="s">
        <v>21</v>
      </c>
      <c r="C21">
        <v>2015</v>
      </c>
      <c r="D21" s="1">
        <f>7066*2</f>
        <v>14132</v>
      </c>
      <c r="E21" s="1">
        <f>979*2</f>
        <v>1958</v>
      </c>
      <c r="G21" s="1"/>
      <c r="H21" s="1"/>
      <c r="I21" s="1"/>
      <c r="J21" t="s">
        <v>14</v>
      </c>
    </row>
    <row r="22" spans="1:11" x14ac:dyDescent="0.55000000000000004">
      <c r="A22" t="s">
        <v>11</v>
      </c>
      <c r="B22" t="s">
        <v>22</v>
      </c>
      <c r="C22">
        <v>1978</v>
      </c>
      <c r="D22" s="1">
        <f>5873*2</f>
        <v>11746</v>
      </c>
      <c r="E22" s="1">
        <f>345*2</f>
        <v>690</v>
      </c>
      <c r="G22" s="1"/>
      <c r="H22" s="1"/>
      <c r="I22" s="1"/>
      <c r="J22" t="s">
        <v>32</v>
      </c>
    </row>
    <row r="23" spans="1:11" x14ac:dyDescent="0.55000000000000004">
      <c r="A23" t="s">
        <v>11</v>
      </c>
      <c r="B23" t="s">
        <v>22</v>
      </c>
      <c r="C23">
        <v>1983</v>
      </c>
      <c r="D23" s="1">
        <f>5694*2</f>
        <v>11388</v>
      </c>
      <c r="E23" s="1">
        <f>465*2</f>
        <v>930</v>
      </c>
      <c r="H23" s="1"/>
      <c r="I23" s="1"/>
      <c r="J23" t="s">
        <v>32</v>
      </c>
    </row>
    <row r="24" spans="1:11" x14ac:dyDescent="0.55000000000000004">
      <c r="A24" t="s">
        <v>11</v>
      </c>
      <c r="B24" t="s">
        <v>22</v>
      </c>
      <c r="C24">
        <v>1984</v>
      </c>
      <c r="D24" s="1">
        <f>5640*2</f>
        <v>11280</v>
      </c>
      <c r="E24" s="1">
        <f>802</f>
        <v>802</v>
      </c>
      <c r="G24" s="1"/>
      <c r="H24" s="1"/>
      <c r="I24" s="1"/>
      <c r="J24" t="s">
        <v>32</v>
      </c>
    </row>
    <row r="25" spans="1:11" x14ac:dyDescent="0.55000000000000004">
      <c r="A25" t="s">
        <v>11</v>
      </c>
      <c r="B25" t="s">
        <v>22</v>
      </c>
      <c r="C25">
        <v>1999</v>
      </c>
      <c r="D25" s="1">
        <f>6522*2</f>
        <v>13044</v>
      </c>
      <c r="E25" s="1">
        <f>492*2</f>
        <v>984</v>
      </c>
      <c r="G25" s="1"/>
      <c r="H25" s="1"/>
      <c r="I25" s="1"/>
      <c r="J25" t="s">
        <v>32</v>
      </c>
    </row>
    <row r="26" spans="1:11" x14ac:dyDescent="0.55000000000000004">
      <c r="A26" t="s">
        <v>11</v>
      </c>
      <c r="B26" t="s">
        <v>22</v>
      </c>
      <c r="C26">
        <v>2018</v>
      </c>
      <c r="D26" s="1">
        <f>422*2</f>
        <v>844</v>
      </c>
      <c r="E26" s="1">
        <f>211*2</f>
        <v>422</v>
      </c>
      <c r="G26" s="1"/>
      <c r="H26" s="1"/>
      <c r="I26" s="1"/>
      <c r="J26" t="s">
        <v>14</v>
      </c>
    </row>
    <row r="27" spans="1:11" x14ac:dyDescent="0.55000000000000004">
      <c r="A27" t="s">
        <v>11</v>
      </c>
      <c r="B27" t="s">
        <v>23</v>
      </c>
      <c r="C27">
        <v>1978</v>
      </c>
      <c r="D27" s="1">
        <f>10251*2</f>
        <v>20502</v>
      </c>
      <c r="E27" s="1">
        <f>1061*2</f>
        <v>2122</v>
      </c>
      <c r="G27" s="1"/>
      <c r="H27" s="1"/>
      <c r="I27" s="1"/>
      <c r="J27" t="s">
        <v>32</v>
      </c>
    </row>
    <row r="28" spans="1:11" x14ac:dyDescent="0.55000000000000004">
      <c r="A28" t="s">
        <v>11</v>
      </c>
      <c r="B28" t="s">
        <v>23</v>
      </c>
      <c r="C28">
        <v>1983</v>
      </c>
      <c r="D28" s="1">
        <f>9398*2</f>
        <v>18796</v>
      </c>
      <c r="E28" s="1">
        <f>546*2</f>
        <v>1092</v>
      </c>
      <c r="H28" s="1"/>
      <c r="I28" s="1"/>
      <c r="J28" t="s">
        <v>32</v>
      </c>
    </row>
    <row r="29" spans="1:11" x14ac:dyDescent="0.55000000000000004">
      <c r="A29" t="s">
        <v>11</v>
      </c>
      <c r="B29" t="s">
        <v>23</v>
      </c>
      <c r="C29">
        <v>1984</v>
      </c>
      <c r="D29" s="1">
        <f>9367*2</f>
        <v>18734</v>
      </c>
      <c r="E29" s="1">
        <f>500*2</f>
        <v>1000</v>
      </c>
      <c r="G29" s="1"/>
      <c r="H29" s="1"/>
      <c r="I29" s="1"/>
      <c r="J29" t="s">
        <v>32</v>
      </c>
    </row>
    <row r="30" spans="1:11" x14ac:dyDescent="0.55000000000000004">
      <c r="A30" t="s">
        <v>11</v>
      </c>
      <c r="B30" t="s">
        <v>23</v>
      </c>
      <c r="C30">
        <v>1999</v>
      </c>
      <c r="D30" s="1">
        <f>7381*2</f>
        <v>14762</v>
      </c>
      <c r="E30" s="1">
        <f>519*2</f>
        <v>1038</v>
      </c>
      <c r="G30" s="1"/>
      <c r="H30" s="1"/>
      <c r="I30" s="1"/>
      <c r="J30" t="s">
        <v>32</v>
      </c>
    </row>
    <row r="31" spans="1:11" x14ac:dyDescent="0.55000000000000004">
      <c r="A31" t="s">
        <v>11</v>
      </c>
      <c r="B31" t="s">
        <v>23</v>
      </c>
      <c r="C31">
        <v>2015</v>
      </c>
      <c r="D31" s="1">
        <f>6280*2</f>
        <v>12560</v>
      </c>
      <c r="E31" s="1">
        <f>946*2</f>
        <v>1892</v>
      </c>
      <c r="G31" s="1"/>
      <c r="H31" s="1"/>
      <c r="I31" s="1"/>
      <c r="J31" t="s">
        <v>14</v>
      </c>
    </row>
    <row r="32" spans="1:11" x14ac:dyDescent="0.55000000000000004">
      <c r="A32" t="s">
        <v>11</v>
      </c>
      <c r="B32" t="s">
        <v>24</v>
      </c>
      <c r="C32">
        <v>1978</v>
      </c>
      <c r="D32" s="1">
        <f>4702*2</f>
        <v>9404</v>
      </c>
      <c r="E32" s="1"/>
      <c r="G32" s="1"/>
      <c r="H32" s="1"/>
      <c r="I32" s="1"/>
      <c r="J32" t="s">
        <v>32</v>
      </c>
      <c r="K32" t="s">
        <v>25</v>
      </c>
    </row>
    <row r="33" spans="1:10" x14ac:dyDescent="0.55000000000000004">
      <c r="A33" t="s">
        <v>11</v>
      </c>
      <c r="B33" t="s">
        <v>24</v>
      </c>
      <c r="C33">
        <v>1983</v>
      </c>
      <c r="D33" s="1">
        <f>8575*2</f>
        <v>17150</v>
      </c>
      <c r="E33" s="1">
        <f>497*2</f>
        <v>994</v>
      </c>
      <c r="G33" s="1"/>
      <c r="H33" s="1"/>
      <c r="I33" s="1"/>
      <c r="J33" t="s">
        <v>32</v>
      </c>
    </row>
    <row r="34" spans="1:10" x14ac:dyDescent="0.55000000000000004">
      <c r="A34" t="s">
        <v>11</v>
      </c>
      <c r="B34" t="s">
        <v>24</v>
      </c>
      <c r="C34">
        <v>1984</v>
      </c>
      <c r="D34" s="1">
        <f>6561*2</f>
        <v>13122</v>
      </c>
      <c r="E34" s="1">
        <f>596*2</f>
        <v>1192</v>
      </c>
      <c r="G34" s="1"/>
      <c r="H34" s="1"/>
      <c r="I34" s="1"/>
      <c r="J34" t="s">
        <v>32</v>
      </c>
    </row>
    <row r="35" spans="1:10" x14ac:dyDescent="0.55000000000000004">
      <c r="A35" t="s">
        <v>11</v>
      </c>
      <c r="B35" t="s">
        <v>24</v>
      </c>
      <c r="C35">
        <v>1999</v>
      </c>
      <c r="D35" s="1">
        <f>6963*2</f>
        <v>13926</v>
      </c>
      <c r="E35" s="1">
        <f>690*2</f>
        <v>1380</v>
      </c>
      <c r="H35" s="1"/>
      <c r="I35" s="1"/>
      <c r="J35" t="s">
        <v>32</v>
      </c>
    </row>
    <row r="36" spans="1:10" x14ac:dyDescent="0.55000000000000004">
      <c r="A36" t="s">
        <v>11</v>
      </c>
      <c r="B36" t="s">
        <v>24</v>
      </c>
      <c r="C36">
        <v>2018</v>
      </c>
      <c r="D36" s="1">
        <f>4582*2</f>
        <v>9164</v>
      </c>
      <c r="E36" s="1">
        <f>897*2</f>
        <v>1794</v>
      </c>
      <c r="G36" s="1"/>
      <c r="H36" s="1"/>
      <c r="I36" s="1"/>
      <c r="J36" t="s">
        <v>14</v>
      </c>
    </row>
    <row r="37" spans="1:10" x14ac:dyDescent="0.55000000000000004">
      <c r="A37" t="s">
        <v>11</v>
      </c>
      <c r="B37" t="s">
        <v>26</v>
      </c>
      <c r="C37">
        <v>1983</v>
      </c>
      <c r="D37" s="1">
        <f>797*2</f>
        <v>1594</v>
      </c>
      <c r="E37" s="1">
        <f>46*2</f>
        <v>92</v>
      </c>
      <c r="G37" s="1"/>
      <c r="H37" s="1"/>
      <c r="I37" s="1"/>
      <c r="J37" t="s">
        <v>32</v>
      </c>
    </row>
    <row r="38" spans="1:10" x14ac:dyDescent="0.55000000000000004">
      <c r="A38" t="s">
        <v>11</v>
      </c>
      <c r="B38" t="s">
        <v>26</v>
      </c>
      <c r="C38" s="4">
        <v>1984</v>
      </c>
      <c r="D38" s="5">
        <f>610*2</f>
        <v>1220</v>
      </c>
      <c r="E38">
        <f>55*2</f>
        <v>110</v>
      </c>
      <c r="H38" s="1"/>
      <c r="I38" s="1"/>
      <c r="J38" t="s">
        <v>32</v>
      </c>
    </row>
    <row r="39" spans="1:10" x14ac:dyDescent="0.55000000000000004">
      <c r="A39" t="s">
        <v>11</v>
      </c>
      <c r="B39" t="s">
        <v>26</v>
      </c>
      <c r="C39" s="4">
        <v>1999</v>
      </c>
      <c r="D39" s="5">
        <f>1043*2</f>
        <v>2086</v>
      </c>
      <c r="E39">
        <f>206</f>
        <v>206</v>
      </c>
      <c r="H39" s="1"/>
      <c r="I39" s="1"/>
      <c r="J39" t="s">
        <v>32</v>
      </c>
    </row>
    <row r="40" spans="1:10" x14ac:dyDescent="0.55000000000000004">
      <c r="A40" t="s">
        <v>11</v>
      </c>
      <c r="B40" t="s">
        <v>26</v>
      </c>
      <c r="C40">
        <v>2018</v>
      </c>
      <c r="D40" s="1">
        <f>199*2</f>
        <v>398</v>
      </c>
      <c r="E40" s="1">
        <f>304*2</f>
        <v>608</v>
      </c>
      <c r="H40" s="1"/>
      <c r="I40" s="1"/>
      <c r="J40" t="s">
        <v>14</v>
      </c>
    </row>
    <row r="41" spans="1:10" x14ac:dyDescent="0.55000000000000004">
      <c r="A41" t="s">
        <v>11</v>
      </c>
      <c r="B41" t="s">
        <v>34</v>
      </c>
      <c r="C41">
        <v>1979</v>
      </c>
      <c r="D41" s="1">
        <v>2600</v>
      </c>
      <c r="E41" s="1"/>
      <c r="G41" s="1"/>
      <c r="H41" s="1">
        <v>1200</v>
      </c>
      <c r="I41" s="1">
        <v>5000</v>
      </c>
      <c r="J41" t="s">
        <v>28</v>
      </c>
    </row>
    <row r="42" spans="1:10" x14ac:dyDescent="0.55000000000000004">
      <c r="A42" t="s">
        <v>11</v>
      </c>
      <c r="B42" t="s">
        <v>34</v>
      </c>
      <c r="C42">
        <v>2010</v>
      </c>
      <c r="D42" s="1">
        <f>1850*2</f>
        <v>3700</v>
      </c>
      <c r="E42" s="1">
        <f>175*2</f>
        <v>350</v>
      </c>
      <c r="G42" s="1"/>
      <c r="H42" s="1"/>
      <c r="I42" s="1"/>
      <c r="J42" t="s">
        <v>14</v>
      </c>
    </row>
    <row r="43" spans="1:10" x14ac:dyDescent="0.55000000000000004">
      <c r="A43" t="s">
        <v>11</v>
      </c>
      <c r="B43" t="s">
        <v>35</v>
      </c>
      <c r="C43">
        <v>1979</v>
      </c>
      <c r="D43" s="1">
        <f>117104*2</f>
        <v>234208</v>
      </c>
      <c r="E43" s="1"/>
      <c r="G43" s="1"/>
      <c r="H43" s="1">
        <f>108096*2</f>
        <v>216192</v>
      </c>
      <c r="I43" s="1">
        <f>126112*2</f>
        <v>252224</v>
      </c>
      <c r="J43" t="s">
        <v>27</v>
      </c>
    </row>
    <row r="44" spans="1:10" x14ac:dyDescent="0.55000000000000004">
      <c r="A44" t="s">
        <v>11</v>
      </c>
      <c r="B44" t="s">
        <v>35</v>
      </c>
      <c r="C44">
        <v>1984</v>
      </c>
      <c r="D44" s="1">
        <f>159427*2</f>
        <v>318854</v>
      </c>
      <c r="E44" s="1"/>
      <c r="H44" s="1">
        <f>159427*2</f>
        <v>318854</v>
      </c>
      <c r="I44" s="1">
        <f>188977*2</f>
        <v>377954</v>
      </c>
      <c r="J44" t="s">
        <v>27</v>
      </c>
    </row>
    <row r="45" spans="1:10" x14ac:dyDescent="0.55000000000000004">
      <c r="A45" t="s">
        <v>11</v>
      </c>
      <c r="B45" t="s">
        <v>35</v>
      </c>
      <c r="C45">
        <v>1985</v>
      </c>
      <c r="D45" s="1">
        <f>151086*2</f>
        <v>302172</v>
      </c>
      <c r="E45" s="1"/>
      <c r="H45" s="1">
        <f>127017*2</f>
        <v>254034</v>
      </c>
      <c r="I45" s="1">
        <f>174917*2</f>
        <v>349834</v>
      </c>
      <c r="J45" t="s">
        <v>27</v>
      </c>
    </row>
    <row r="46" spans="1:10" x14ac:dyDescent="0.55000000000000004">
      <c r="A46" t="s">
        <v>11</v>
      </c>
      <c r="B46" t="s">
        <v>35</v>
      </c>
      <c r="C46">
        <v>1993</v>
      </c>
      <c r="D46" s="1">
        <f>206604*2</f>
        <v>413208</v>
      </c>
      <c r="E46" s="1"/>
      <c r="G46" s="1"/>
      <c r="H46" s="1">
        <f>182687*2</f>
        <v>365374</v>
      </c>
      <c r="I46" s="1">
        <f>230520*2</f>
        <v>461040</v>
      </c>
      <c r="J46" t="s">
        <v>27</v>
      </c>
    </row>
    <row r="47" spans="1:10" x14ac:dyDescent="0.55000000000000004">
      <c r="A47" t="s">
        <v>11</v>
      </c>
      <c r="B47" t="s">
        <v>35</v>
      </c>
      <c r="C47">
        <v>2011</v>
      </c>
      <c r="D47" s="1">
        <f>174491*2</f>
        <v>348982</v>
      </c>
      <c r="E47" s="1"/>
      <c r="G47" s="1"/>
      <c r="H47" s="1">
        <f>147559*2</f>
        <v>295118</v>
      </c>
      <c r="I47" s="1">
        <f>201423*2</f>
        <v>402846</v>
      </c>
      <c r="J47" t="s">
        <v>27</v>
      </c>
    </row>
    <row r="48" spans="1:10" x14ac:dyDescent="0.55000000000000004">
      <c r="A48" t="s">
        <v>11</v>
      </c>
      <c r="B48" t="s">
        <v>36</v>
      </c>
      <c r="C48">
        <v>1979</v>
      </c>
      <c r="D48" s="1">
        <f>29726*2</f>
        <v>59452</v>
      </c>
      <c r="E48" s="1"/>
      <c r="G48" s="1"/>
      <c r="H48" s="1">
        <v>30000</v>
      </c>
      <c r="I48" s="1">
        <v>90000</v>
      </c>
      <c r="J48" t="s">
        <v>28</v>
      </c>
    </row>
    <row r="49" spans="1:11" x14ac:dyDescent="0.55000000000000004">
      <c r="A49" t="s">
        <v>11</v>
      </c>
      <c r="B49" t="s">
        <v>36</v>
      </c>
      <c r="C49">
        <v>1984</v>
      </c>
      <c r="D49" s="1">
        <f>31454*2</f>
        <v>62908</v>
      </c>
      <c r="E49" s="1">
        <f>2799*2</f>
        <v>5598</v>
      </c>
      <c r="H49" s="1"/>
      <c r="I49" s="1"/>
      <c r="J49" t="s">
        <v>29</v>
      </c>
    </row>
    <row r="50" spans="1:11" x14ac:dyDescent="0.55000000000000004">
      <c r="A50" t="s">
        <v>11</v>
      </c>
      <c r="B50" t="s">
        <v>36</v>
      </c>
      <c r="C50">
        <v>1985</v>
      </c>
      <c r="D50" s="1">
        <f>30832*2</f>
        <v>61664</v>
      </c>
      <c r="E50" s="1">
        <f>3417*2</f>
        <v>6834</v>
      </c>
      <c r="H50" s="1"/>
      <c r="I50" s="1"/>
      <c r="J50" t="s">
        <v>29</v>
      </c>
    </row>
    <row r="51" spans="1:11" x14ac:dyDescent="0.55000000000000004">
      <c r="A51" t="s">
        <v>11</v>
      </c>
      <c r="B51" t="s">
        <v>36</v>
      </c>
      <c r="C51">
        <v>2003</v>
      </c>
      <c r="D51" s="1">
        <f>140429*2</f>
        <v>280858</v>
      </c>
      <c r="E51" s="1">
        <f>5088*2</f>
        <v>10176</v>
      </c>
      <c r="G51" s="1"/>
      <c r="H51" s="1"/>
      <c r="I51" s="1"/>
      <c r="J51" t="s">
        <v>29</v>
      </c>
    </row>
    <row r="52" spans="1:11" x14ac:dyDescent="0.55000000000000004">
      <c r="A52" t="s">
        <v>11</v>
      </c>
      <c r="B52" t="s">
        <v>36</v>
      </c>
      <c r="C52">
        <v>2012</v>
      </c>
      <c r="D52" s="1">
        <f>118401*2</f>
        <v>236802</v>
      </c>
      <c r="E52" s="1">
        <f>8987*2</f>
        <v>17974</v>
      </c>
      <c r="H52" s="1"/>
      <c r="J52" t="s">
        <v>14</v>
      </c>
    </row>
    <row r="53" spans="1:11" x14ac:dyDescent="0.55000000000000004">
      <c r="A53" t="s">
        <v>11</v>
      </c>
      <c r="B53" t="s">
        <v>36</v>
      </c>
      <c r="C53">
        <v>2023</v>
      </c>
      <c r="D53" s="1">
        <f>168095*2</f>
        <v>336190</v>
      </c>
      <c r="E53" s="1">
        <f>10226*2</f>
        <v>20452</v>
      </c>
      <c r="H53" s="1"/>
      <c r="J53" t="s">
        <v>14</v>
      </c>
    </row>
    <row r="54" spans="1:11" x14ac:dyDescent="0.55000000000000004">
      <c r="A54" t="s">
        <v>11</v>
      </c>
      <c r="B54" t="s">
        <v>37</v>
      </c>
      <c r="C54" s="4">
        <v>1979</v>
      </c>
      <c r="D54" s="5">
        <f>265*2</f>
        <v>530</v>
      </c>
      <c r="E54" s="1"/>
      <c r="H54" s="1">
        <f>1287*0.08*2</f>
        <v>205.92000000000002</v>
      </c>
      <c r="I54">
        <v>978</v>
      </c>
      <c r="J54" t="s">
        <v>28</v>
      </c>
    </row>
    <row r="55" spans="1:11" x14ac:dyDescent="0.55000000000000004">
      <c r="A55" t="s">
        <v>11</v>
      </c>
      <c r="B55" t="s">
        <v>37</v>
      </c>
      <c r="C55" s="4">
        <v>2018</v>
      </c>
      <c r="D55" s="5">
        <f>12649*2</f>
        <v>25298</v>
      </c>
      <c r="E55" s="1">
        <f>4520*2</f>
        <v>9040</v>
      </c>
      <c r="H55" s="1"/>
      <c r="J55" t="s">
        <v>30</v>
      </c>
    </row>
    <row r="56" spans="1:11" x14ac:dyDescent="0.55000000000000004">
      <c r="A56" t="s">
        <v>11</v>
      </c>
      <c r="B56" t="s">
        <v>38</v>
      </c>
      <c r="C56" s="4">
        <v>1979</v>
      </c>
      <c r="D56" s="5">
        <f>1505*2</f>
        <v>3010</v>
      </c>
      <c r="E56" s="1"/>
      <c r="H56" s="1"/>
      <c r="J56" t="s">
        <v>28</v>
      </c>
    </row>
    <row r="57" spans="1:11" x14ac:dyDescent="0.55000000000000004">
      <c r="A57" t="s">
        <v>11</v>
      </c>
      <c r="B57" t="s">
        <v>38</v>
      </c>
      <c r="C57" s="4">
        <v>2018</v>
      </c>
      <c r="D57" s="5">
        <f>8881*2</f>
        <v>17762</v>
      </c>
      <c r="E57" s="1">
        <f>1539*2</f>
        <v>3078</v>
      </c>
      <c r="H57" s="1"/>
      <c r="J57" t="s">
        <v>30</v>
      </c>
    </row>
    <row r="58" spans="1:11" x14ac:dyDescent="0.55000000000000004">
      <c r="A58" t="s">
        <v>11</v>
      </c>
      <c r="B58" t="s">
        <v>39</v>
      </c>
      <c r="C58" s="4">
        <v>1979</v>
      </c>
      <c r="D58" s="5">
        <f>31520*0.797*2</f>
        <v>50242.880000000005</v>
      </c>
      <c r="E58" s="1"/>
      <c r="H58" s="1">
        <f>31520*0.72*2</f>
        <v>45388.799999999996</v>
      </c>
      <c r="I58" s="1">
        <f>31520*0.87*2</f>
        <v>54844.800000000003</v>
      </c>
      <c r="J58" t="s">
        <v>28</v>
      </c>
    </row>
    <row r="59" spans="1:11" x14ac:dyDescent="0.55000000000000004">
      <c r="A59" t="s">
        <v>11</v>
      </c>
      <c r="B59" t="s">
        <v>39</v>
      </c>
      <c r="C59" s="4">
        <v>1980</v>
      </c>
      <c r="D59" s="5">
        <f>34158*0.594*2</f>
        <v>40579.703999999998</v>
      </c>
      <c r="E59" s="1">
        <f>34158*0.073*2</f>
        <v>4987.0679999999993</v>
      </c>
      <c r="H59" s="1"/>
      <c r="I59" s="1"/>
      <c r="J59" t="s">
        <v>31</v>
      </c>
    </row>
    <row r="60" spans="1:11" x14ac:dyDescent="0.55000000000000004">
      <c r="A60" t="s">
        <v>11</v>
      </c>
      <c r="B60" t="s">
        <v>39</v>
      </c>
      <c r="C60" s="4">
        <v>1984</v>
      </c>
      <c r="D60" s="5">
        <f>0.693*21600*2</f>
        <v>29937.599999999999</v>
      </c>
      <c r="E60" s="1">
        <f>0.031*21600*2</f>
        <v>1339.2</v>
      </c>
      <c r="H60" s="1"/>
      <c r="I60" s="1"/>
      <c r="J60" t="s">
        <v>31</v>
      </c>
    </row>
    <row r="61" spans="1:11" x14ac:dyDescent="0.55000000000000004">
      <c r="A61" t="s">
        <v>11</v>
      </c>
      <c r="B61" t="s">
        <v>39</v>
      </c>
      <c r="C61" s="4">
        <v>2001</v>
      </c>
      <c r="D61" s="5">
        <f>6190*2</f>
        <v>12380</v>
      </c>
      <c r="E61" s="1">
        <f>355*2</f>
        <v>710</v>
      </c>
      <c r="H61" s="1"/>
      <c r="I61" s="1"/>
      <c r="J61" t="s">
        <v>31</v>
      </c>
    </row>
    <row r="62" spans="1:11" x14ac:dyDescent="0.55000000000000004">
      <c r="A62" t="s">
        <v>11</v>
      </c>
      <c r="B62" t="s">
        <v>39</v>
      </c>
      <c r="C62" s="4">
        <v>2018</v>
      </c>
      <c r="D62" s="5">
        <f>16859*2</f>
        <v>33718</v>
      </c>
      <c r="E62" s="1">
        <f>3506*2</f>
        <v>7012</v>
      </c>
      <c r="H62" s="1"/>
      <c r="I62" s="1"/>
      <c r="J62" t="s">
        <v>30</v>
      </c>
    </row>
    <row r="63" spans="1:11" x14ac:dyDescent="0.55000000000000004">
      <c r="A63" t="s">
        <v>11</v>
      </c>
      <c r="B63" t="s">
        <v>40</v>
      </c>
      <c r="C63">
        <v>1965</v>
      </c>
      <c r="D63">
        <v>35273</v>
      </c>
      <c r="E63" s="1"/>
      <c r="H63" s="1"/>
      <c r="I63" s="1"/>
      <c r="J63" t="s">
        <v>33</v>
      </c>
      <c r="K63" t="s">
        <v>25</v>
      </c>
    </row>
    <row r="64" spans="1:11" x14ac:dyDescent="0.55000000000000004">
      <c r="A64" t="s">
        <v>11</v>
      </c>
      <c r="B64" t="s">
        <v>40</v>
      </c>
      <c r="C64">
        <v>1972</v>
      </c>
      <c r="D64">
        <v>24842</v>
      </c>
      <c r="E64" s="1"/>
      <c r="H64" s="1"/>
      <c r="I64" s="1"/>
      <c r="J64" t="s">
        <v>33</v>
      </c>
      <c r="K64" t="s">
        <v>25</v>
      </c>
    </row>
    <row r="65" spans="1:11" x14ac:dyDescent="0.55000000000000004">
      <c r="A65" t="s">
        <v>11</v>
      </c>
      <c r="B65" t="s">
        <v>40</v>
      </c>
      <c r="C65">
        <v>1977</v>
      </c>
      <c r="D65">
        <v>14716</v>
      </c>
      <c r="E65" s="1"/>
      <c r="H65" s="1"/>
      <c r="J65" t="s">
        <v>33</v>
      </c>
      <c r="K65" t="s">
        <v>25</v>
      </c>
    </row>
    <row r="66" spans="1:11" x14ac:dyDescent="0.55000000000000004">
      <c r="A66" t="s">
        <v>11</v>
      </c>
      <c r="B66" t="s">
        <v>40</v>
      </c>
      <c r="C66">
        <v>1982</v>
      </c>
      <c r="D66">
        <v>30466</v>
      </c>
      <c r="E66" s="1"/>
      <c r="H66" s="1"/>
      <c r="J66" t="s">
        <v>33</v>
      </c>
      <c r="K66" t="s">
        <v>25</v>
      </c>
    </row>
    <row r="67" spans="1:11" x14ac:dyDescent="0.55000000000000004">
      <c r="A67" t="s">
        <v>11</v>
      </c>
      <c r="B67" t="s">
        <v>40</v>
      </c>
      <c r="C67">
        <v>1988</v>
      </c>
      <c r="D67">
        <v>35142</v>
      </c>
      <c r="H67" s="1"/>
      <c r="J67" t="s">
        <v>33</v>
      </c>
      <c r="K67" t="s">
        <v>25</v>
      </c>
    </row>
    <row r="68" spans="1:11" x14ac:dyDescent="0.55000000000000004">
      <c r="A68" t="s">
        <v>11</v>
      </c>
      <c r="B68" t="s">
        <v>40</v>
      </c>
      <c r="C68">
        <v>1993</v>
      </c>
      <c r="D68">
        <v>46684</v>
      </c>
      <c r="H68" s="1"/>
      <c r="J68" t="s">
        <v>33</v>
      </c>
      <c r="K68" t="s">
        <v>25</v>
      </c>
    </row>
    <row r="69" spans="1:11" x14ac:dyDescent="0.55000000000000004">
      <c r="A69" t="s">
        <v>11</v>
      </c>
      <c r="B69" t="s">
        <v>40</v>
      </c>
      <c r="C69">
        <v>1998</v>
      </c>
      <c r="D69">
        <v>29133</v>
      </c>
      <c r="H69" s="1"/>
      <c r="J69" t="s">
        <v>33</v>
      </c>
      <c r="K69" t="s">
        <v>25</v>
      </c>
    </row>
    <row r="70" spans="1:11" x14ac:dyDescent="0.55000000000000004">
      <c r="A70" t="s">
        <v>11</v>
      </c>
      <c r="B70" t="s">
        <v>40</v>
      </c>
      <c r="C70">
        <v>2005</v>
      </c>
      <c r="D70">
        <v>25335</v>
      </c>
      <c r="H70" s="1"/>
      <c r="J70" t="s">
        <v>33</v>
      </c>
      <c r="K70" t="s">
        <v>25</v>
      </c>
    </row>
    <row r="71" spans="1:11" x14ac:dyDescent="0.55000000000000004">
      <c r="A71" t="s">
        <v>11</v>
      </c>
      <c r="B71" t="s">
        <v>40</v>
      </c>
      <c r="C71">
        <v>2010</v>
      </c>
      <c r="D71">
        <v>21585</v>
      </c>
      <c r="H71" s="1"/>
      <c r="J71" t="s">
        <v>33</v>
      </c>
      <c r="K71" t="s">
        <v>25</v>
      </c>
    </row>
    <row r="72" spans="1:11" x14ac:dyDescent="0.55000000000000004">
      <c r="A72" t="s">
        <v>11</v>
      </c>
      <c r="B72" t="s">
        <v>40</v>
      </c>
      <c r="C72">
        <v>2015</v>
      </c>
      <c r="D72">
        <v>24547</v>
      </c>
      <c r="H72" s="1"/>
      <c r="J72" t="s">
        <v>33</v>
      </c>
      <c r="K72" t="s">
        <v>25</v>
      </c>
    </row>
    <row r="73" spans="1:11" x14ac:dyDescent="0.55000000000000004">
      <c r="A73" t="s">
        <v>11</v>
      </c>
      <c r="B73" t="s">
        <v>40</v>
      </c>
      <c r="C73">
        <v>2022</v>
      </c>
      <c r="D73">
        <v>34441</v>
      </c>
      <c r="H73" s="1"/>
      <c r="J73" t="s">
        <v>33</v>
      </c>
      <c r="K73" t="s">
        <v>25</v>
      </c>
    </row>
    <row r="74" spans="1:11" x14ac:dyDescent="0.55000000000000004">
      <c r="A74" t="s">
        <v>11</v>
      </c>
      <c r="B74" t="s">
        <v>41</v>
      </c>
      <c r="C74">
        <v>1965</v>
      </c>
      <c r="D74">
        <v>3000</v>
      </c>
      <c r="H74" s="1"/>
      <c r="J74" t="s">
        <v>45</v>
      </c>
      <c r="K74" t="s">
        <v>25</v>
      </c>
    </row>
    <row r="75" spans="1:11" x14ac:dyDescent="0.55000000000000004">
      <c r="A75" t="s">
        <v>11</v>
      </c>
      <c r="B75" t="s">
        <v>41</v>
      </c>
      <c r="C75">
        <v>1971</v>
      </c>
      <c r="D75">
        <v>3000</v>
      </c>
      <c r="H75" s="1"/>
      <c r="J75" t="s">
        <v>45</v>
      </c>
      <c r="K75" t="s">
        <v>25</v>
      </c>
    </row>
    <row r="76" spans="1:11" x14ac:dyDescent="0.55000000000000004">
      <c r="A76" t="s">
        <v>11</v>
      </c>
      <c r="B76" t="s">
        <v>41</v>
      </c>
      <c r="C76">
        <v>1974</v>
      </c>
      <c r="D76">
        <v>1780</v>
      </c>
      <c r="H76" s="1"/>
      <c r="J76" t="s">
        <v>45</v>
      </c>
      <c r="K76" t="s">
        <v>25</v>
      </c>
    </row>
    <row r="77" spans="1:11" x14ac:dyDescent="0.55000000000000004">
      <c r="A77" t="s">
        <v>11</v>
      </c>
      <c r="B77" t="s">
        <v>41</v>
      </c>
      <c r="C77">
        <v>1975</v>
      </c>
      <c r="D77">
        <v>1500</v>
      </c>
      <c r="H77" s="1"/>
      <c r="I77" s="1"/>
      <c r="J77" t="s">
        <v>45</v>
      </c>
      <c r="K77" t="s">
        <v>25</v>
      </c>
    </row>
    <row r="78" spans="1:11" x14ac:dyDescent="0.55000000000000004">
      <c r="A78" t="s">
        <v>11</v>
      </c>
      <c r="B78" t="s">
        <v>41</v>
      </c>
      <c r="C78">
        <v>1976</v>
      </c>
      <c r="D78">
        <v>4600</v>
      </c>
      <c r="H78" s="1"/>
      <c r="I78" s="1"/>
      <c r="J78" t="s">
        <v>45</v>
      </c>
      <c r="K78" t="s">
        <v>25</v>
      </c>
    </row>
    <row r="79" spans="1:11" x14ac:dyDescent="0.55000000000000004">
      <c r="A79" t="s">
        <v>11</v>
      </c>
      <c r="B79" t="s">
        <v>41</v>
      </c>
      <c r="C79">
        <v>1977</v>
      </c>
      <c r="D79">
        <v>1200</v>
      </c>
      <c r="J79" t="s">
        <v>45</v>
      </c>
      <c r="K79" t="s">
        <v>25</v>
      </c>
    </row>
    <row r="80" spans="1:11" x14ac:dyDescent="0.55000000000000004">
      <c r="A80" t="s">
        <v>11</v>
      </c>
      <c r="B80" t="s">
        <v>41</v>
      </c>
      <c r="C80">
        <v>1978</v>
      </c>
      <c r="D80">
        <v>1100</v>
      </c>
      <c r="J80" t="s">
        <v>45</v>
      </c>
      <c r="K80" t="s">
        <v>25</v>
      </c>
    </row>
    <row r="81" spans="1:11" x14ac:dyDescent="0.55000000000000004">
      <c r="A81" t="s">
        <v>11</v>
      </c>
      <c r="B81" t="s">
        <v>41</v>
      </c>
      <c r="C81">
        <v>1978</v>
      </c>
      <c r="D81">
        <v>3000</v>
      </c>
      <c r="J81" t="s">
        <v>45</v>
      </c>
      <c r="K81" t="s">
        <v>25</v>
      </c>
    </row>
    <row r="82" spans="1:11" x14ac:dyDescent="0.55000000000000004">
      <c r="A82" t="s">
        <v>11</v>
      </c>
      <c r="B82" t="s">
        <v>41</v>
      </c>
      <c r="C82">
        <v>1979</v>
      </c>
      <c r="D82">
        <v>1300</v>
      </c>
      <c r="J82" t="s">
        <v>45</v>
      </c>
      <c r="K82" t="s">
        <v>25</v>
      </c>
    </row>
    <row r="83" spans="1:11" x14ac:dyDescent="0.55000000000000004">
      <c r="A83" t="s">
        <v>11</v>
      </c>
      <c r="B83" t="s">
        <v>41</v>
      </c>
      <c r="C83">
        <v>1979</v>
      </c>
      <c r="D83">
        <v>1626</v>
      </c>
      <c r="J83" t="s">
        <v>45</v>
      </c>
      <c r="K83" t="s">
        <v>25</v>
      </c>
    </row>
    <row r="84" spans="1:11" x14ac:dyDescent="0.55000000000000004">
      <c r="A84" t="s">
        <v>11</v>
      </c>
      <c r="B84" t="s">
        <v>41</v>
      </c>
      <c r="C84">
        <v>1980</v>
      </c>
      <c r="D84">
        <v>1500</v>
      </c>
      <c r="J84" t="s">
        <v>45</v>
      </c>
      <c r="K84" t="s">
        <v>25</v>
      </c>
    </row>
    <row r="85" spans="1:11" x14ac:dyDescent="0.55000000000000004">
      <c r="A85" t="s">
        <v>11</v>
      </c>
      <c r="B85" t="s">
        <v>41</v>
      </c>
      <c r="C85">
        <v>1981</v>
      </c>
      <c r="D85">
        <v>1600</v>
      </c>
      <c r="J85" t="s">
        <v>45</v>
      </c>
      <c r="K85" t="s">
        <v>25</v>
      </c>
    </row>
    <row r="86" spans="1:11" x14ac:dyDescent="0.55000000000000004">
      <c r="A86" t="s">
        <v>11</v>
      </c>
      <c r="B86" t="s">
        <v>41</v>
      </c>
      <c r="C86">
        <v>1982</v>
      </c>
      <c r="D86">
        <v>1600</v>
      </c>
      <c r="J86" t="s">
        <v>45</v>
      </c>
      <c r="K86" t="s">
        <v>25</v>
      </c>
    </row>
    <row r="87" spans="1:11" x14ac:dyDescent="0.55000000000000004">
      <c r="A87" t="s">
        <v>11</v>
      </c>
      <c r="B87" t="s">
        <v>41</v>
      </c>
      <c r="C87">
        <v>1983</v>
      </c>
      <c r="D87">
        <v>1500</v>
      </c>
      <c r="J87" t="s">
        <v>45</v>
      </c>
      <c r="K87" t="s">
        <v>25</v>
      </c>
    </row>
    <row r="88" spans="1:11" x14ac:dyDescent="0.55000000000000004">
      <c r="A88" t="s">
        <v>11</v>
      </c>
      <c r="B88" t="s">
        <v>41</v>
      </c>
      <c r="C88">
        <v>1987</v>
      </c>
      <c r="D88">
        <v>1700</v>
      </c>
      <c r="J88" t="s">
        <v>45</v>
      </c>
      <c r="K88" t="s">
        <v>25</v>
      </c>
    </row>
    <row r="89" spans="1:11" x14ac:dyDescent="0.55000000000000004">
      <c r="A89" t="s">
        <v>11</v>
      </c>
      <c r="B89" t="s">
        <v>41</v>
      </c>
      <c r="C89">
        <v>1998</v>
      </c>
      <c r="D89">
        <v>2000</v>
      </c>
      <c r="J89" t="s">
        <v>45</v>
      </c>
      <c r="K89" t="s">
        <v>25</v>
      </c>
    </row>
    <row r="90" spans="1:11" x14ac:dyDescent="0.55000000000000004">
      <c r="A90" t="s">
        <v>11</v>
      </c>
      <c r="B90" t="s">
        <v>41</v>
      </c>
      <c r="C90">
        <v>2000</v>
      </c>
      <c r="D90">
        <v>16048</v>
      </c>
      <c r="J90" t="s">
        <v>45</v>
      </c>
      <c r="K90" t="s">
        <v>25</v>
      </c>
    </row>
    <row r="91" spans="1:11" x14ac:dyDescent="0.55000000000000004">
      <c r="A91" t="s">
        <v>11</v>
      </c>
      <c r="B91" t="s">
        <v>41</v>
      </c>
      <c r="C91">
        <v>2003</v>
      </c>
      <c r="D91">
        <v>14668</v>
      </c>
      <c r="J91" t="s">
        <v>45</v>
      </c>
      <c r="K91" t="s">
        <v>25</v>
      </c>
    </row>
    <row r="92" spans="1:11" x14ac:dyDescent="0.55000000000000004">
      <c r="A92" t="s">
        <v>11</v>
      </c>
      <c r="B92" t="s">
        <v>41</v>
      </c>
      <c r="C92">
        <v>2011</v>
      </c>
      <c r="D92">
        <v>15676</v>
      </c>
      <c r="J92" t="s">
        <v>45</v>
      </c>
      <c r="K92" t="s">
        <v>25</v>
      </c>
    </row>
    <row r="93" spans="1:11" x14ac:dyDescent="0.55000000000000004">
      <c r="A93" t="s">
        <v>11</v>
      </c>
      <c r="B93" t="s">
        <v>41</v>
      </c>
      <c r="C93">
        <v>2015</v>
      </c>
      <c r="D93">
        <v>10350</v>
      </c>
      <c r="J93" t="s">
        <v>45</v>
      </c>
      <c r="K93" t="s">
        <v>25</v>
      </c>
    </row>
    <row r="94" spans="1:11" x14ac:dyDescent="0.55000000000000004">
      <c r="A94" t="s">
        <v>11</v>
      </c>
      <c r="B94" t="s">
        <v>41</v>
      </c>
      <c r="C94">
        <v>2016</v>
      </c>
      <c r="D94">
        <v>9592</v>
      </c>
      <c r="J94" t="s">
        <v>45</v>
      </c>
      <c r="K94" t="s">
        <v>25</v>
      </c>
    </row>
    <row r="95" spans="1:11" x14ac:dyDescent="0.55000000000000004">
      <c r="A95" t="s">
        <v>11</v>
      </c>
      <c r="B95" t="s">
        <v>41</v>
      </c>
      <c r="C95">
        <v>2019</v>
      </c>
      <c r="D95">
        <v>17270</v>
      </c>
      <c r="J95" t="s">
        <v>45</v>
      </c>
      <c r="K95" t="s">
        <v>25</v>
      </c>
    </row>
    <row r="96" spans="1:11" x14ac:dyDescent="0.55000000000000004">
      <c r="A96" t="s">
        <v>11</v>
      </c>
      <c r="B96" t="s">
        <v>42</v>
      </c>
      <c r="C96">
        <v>1979</v>
      </c>
      <c r="D96">
        <v>58748</v>
      </c>
      <c r="J96" t="s">
        <v>45</v>
      </c>
      <c r="K96" t="s">
        <v>25</v>
      </c>
    </row>
    <row r="97" spans="1:11" x14ac:dyDescent="0.55000000000000004">
      <c r="A97" t="s">
        <v>11</v>
      </c>
      <c r="B97" t="s">
        <v>42</v>
      </c>
      <c r="C97">
        <v>1984</v>
      </c>
      <c r="D97">
        <v>60000</v>
      </c>
      <c r="J97" t="s">
        <v>45</v>
      </c>
      <c r="K97" t="s">
        <v>25</v>
      </c>
    </row>
    <row r="98" spans="1:11" x14ac:dyDescent="0.55000000000000004">
      <c r="A98" t="s">
        <v>11</v>
      </c>
      <c r="B98" t="s">
        <v>42</v>
      </c>
      <c r="C98">
        <v>1996</v>
      </c>
      <c r="D98">
        <v>90600</v>
      </c>
      <c r="J98" t="s">
        <v>45</v>
      </c>
      <c r="K98" t="s">
        <v>25</v>
      </c>
    </row>
    <row r="99" spans="1:11" x14ac:dyDescent="0.55000000000000004">
      <c r="A99" t="s">
        <v>11</v>
      </c>
      <c r="B99" t="s">
        <v>42</v>
      </c>
      <c r="C99">
        <v>2005</v>
      </c>
      <c r="D99">
        <v>150000</v>
      </c>
      <c r="J99" t="s">
        <v>45</v>
      </c>
      <c r="K99" t="s">
        <v>25</v>
      </c>
    </row>
    <row r="100" spans="1:11" x14ac:dyDescent="0.55000000000000004">
      <c r="A100" t="s">
        <v>11</v>
      </c>
      <c r="B100" s="4" t="s">
        <v>43</v>
      </c>
      <c r="C100" s="4">
        <v>1985</v>
      </c>
      <c r="D100" s="4">
        <v>2000</v>
      </c>
      <c r="J100" t="s">
        <v>45</v>
      </c>
      <c r="K100" t="s">
        <v>25</v>
      </c>
    </row>
    <row r="101" spans="1:11" x14ac:dyDescent="0.55000000000000004">
      <c r="A101" t="s">
        <v>11</v>
      </c>
      <c r="B101" s="4" t="s">
        <v>43</v>
      </c>
      <c r="C101" s="4">
        <v>2019</v>
      </c>
      <c r="D101" s="4">
        <v>18782</v>
      </c>
      <c r="J101" t="s">
        <v>45</v>
      </c>
      <c r="K101" t="s">
        <v>25</v>
      </c>
    </row>
    <row r="102" spans="1:11" x14ac:dyDescent="0.55000000000000004">
      <c r="A102" t="s">
        <v>11</v>
      </c>
      <c r="B102" s="4" t="s">
        <v>44</v>
      </c>
      <c r="C102" s="4">
        <v>1978</v>
      </c>
      <c r="D102">
        <v>3894</v>
      </c>
      <c r="J102" t="s">
        <v>45</v>
      </c>
      <c r="K102" t="s">
        <v>25</v>
      </c>
    </row>
    <row r="103" spans="1:11" x14ac:dyDescent="0.55000000000000004">
      <c r="A103" t="s">
        <v>11</v>
      </c>
      <c r="B103" s="4" t="s">
        <v>44</v>
      </c>
      <c r="C103" s="4">
        <v>2002</v>
      </c>
      <c r="D103">
        <v>1238</v>
      </c>
      <c r="J103" t="s">
        <v>45</v>
      </c>
      <c r="K103" t="s">
        <v>25</v>
      </c>
    </row>
  </sheetData>
  <sortState xmlns:xlrd2="http://schemas.microsoft.com/office/spreadsheetml/2017/richdata2" ref="A2:K78">
    <sortCondition ref="B2:B78"/>
    <sortCondition ref="C2:C7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Environment Climate Change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Hedd,April (ECCC)</dc:creator>
  <cp:keywords/>
  <dc:description/>
  <cp:lastModifiedBy>Gutowsky,Sarah (ECCC)</cp:lastModifiedBy>
  <cp:revision/>
  <dcterms:created xsi:type="dcterms:W3CDTF">2022-12-07T17:59:49Z</dcterms:created>
  <dcterms:modified xsi:type="dcterms:W3CDTF">2024-04-25T13:40:59Z</dcterms:modified>
  <cp:category/>
  <cp:contentStatus/>
</cp:coreProperties>
</file>