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codeName="ThisWorkbook" defaultThemeVersion="124226"/>
  <mc:AlternateContent xmlns:mc="http://schemas.openxmlformats.org/markup-compatibility/2006">
    <mc:Choice Requires="x15">
      <x15ac:absPath xmlns:x15ac="http://schemas.microsoft.com/office/spreadsheetml/2010/11/ac" url="P:\Administration\APP\GCF\Factures_Excel\"/>
    </mc:Choice>
  </mc:AlternateContent>
  <xr:revisionPtr revIDLastSave="0" documentId="13_ncr:1_{3A932F56-3037-486C-9A44-2E0DE5C25E0C}" xr6:coauthVersionLast="47" xr6:coauthVersionMax="47" xr10:uidLastSave="{00000000-0000-0000-0000-000000000000}"/>
  <bookViews>
    <workbookView xWindow="-120" yWindow="-120" windowWidth="38640" windowHeight="15840" firstSheet="83" activeTab="103" xr2:uid="{00000000-000D-0000-FFFF-FFFF00000000}"/>
  </bookViews>
  <sheets>
    <sheet name="28-02-12" sheetId="4" r:id="rId1"/>
    <sheet name="17-04-12" sheetId="6" r:id="rId2"/>
    <sheet name="03-05-12" sheetId="7" r:id="rId3"/>
    <sheet name="17-09-12" sheetId="8" r:id="rId4"/>
    <sheet name="23-10-12" sheetId="9" r:id="rId5"/>
    <sheet name="17-12-12" sheetId="10" r:id="rId6"/>
    <sheet name="28-01-13" sheetId="11" r:id="rId7"/>
    <sheet name="25-02-13" sheetId="12" r:id="rId8"/>
    <sheet name="25-03-13" sheetId="13" r:id="rId9"/>
    <sheet name="06-04-13" sheetId="14" r:id="rId10"/>
    <sheet name="29-04-13" sheetId="15" r:id="rId11"/>
    <sheet name="28-06-13" sheetId="16" r:id="rId12"/>
    <sheet name="26-08-13" sheetId="17" r:id="rId13"/>
    <sheet name="27-09-13" sheetId="18" r:id="rId14"/>
    <sheet name="23-10-13" sheetId="19" r:id="rId15"/>
    <sheet name="Remorquage" sheetId="21" r:id="rId16"/>
    <sheet name="10-12-13" sheetId="20" r:id="rId17"/>
    <sheet name="20-02-14" sheetId="22" r:id="rId18"/>
    <sheet name="22-05-14" sheetId="23" r:id="rId19"/>
    <sheet name="10-07-14" sheetId="24" r:id="rId20"/>
    <sheet name="22-07-14" sheetId="25" r:id="rId21"/>
    <sheet name="03-09-14" sheetId="26" r:id="rId22"/>
    <sheet name="26-09-14" sheetId="27" r:id="rId23"/>
    <sheet name="30-10-14" sheetId="28" r:id="rId24"/>
    <sheet name="11-12-14" sheetId="29" r:id="rId25"/>
    <sheet name="20-02-15" sheetId="30" r:id="rId26"/>
    <sheet name="05-05-15" sheetId="31" r:id="rId27"/>
    <sheet name="09-06-15" sheetId="32" r:id="rId28"/>
    <sheet name="09-06-15 (2)" sheetId="33" r:id="rId29"/>
    <sheet name="01-07-15" sheetId="34" r:id="rId30"/>
    <sheet name="06-10-15" sheetId="35" r:id="rId31"/>
    <sheet name="05-12-15" sheetId="36" r:id="rId32"/>
    <sheet name="29-01-16" sheetId="37" r:id="rId33"/>
    <sheet name="31-03-16" sheetId="38" r:id="rId34"/>
    <sheet name="31-05-16" sheetId="39" r:id="rId35"/>
    <sheet name="08-09-16" sheetId="40" r:id="rId36"/>
    <sheet name="05-10-16" sheetId="41" r:id="rId37"/>
    <sheet name="24-11-16" sheetId="42" r:id="rId38"/>
    <sheet name="13-12-16" sheetId="43" r:id="rId39"/>
    <sheet name="22-12-16" sheetId="44" r:id="rId40"/>
    <sheet name="06-02-17" sheetId="45" r:id="rId41"/>
    <sheet name="17-03-17" sheetId="46" r:id="rId42"/>
    <sheet name="30-03-17" sheetId="47" r:id="rId43"/>
    <sheet name="27-04-17" sheetId="48" r:id="rId44"/>
    <sheet name="16-05-17" sheetId="49" r:id="rId45"/>
    <sheet name="01-07-17" sheetId="50" r:id="rId46"/>
    <sheet name="25-08-17" sheetId="51" r:id="rId47"/>
    <sheet name="13-11-17" sheetId="52" r:id="rId48"/>
    <sheet name="27-11-17" sheetId="53" r:id="rId49"/>
    <sheet name="18-12-2017" sheetId="54" r:id="rId50"/>
    <sheet name="01-02-2018" sheetId="55" r:id="rId51"/>
    <sheet name="23-02-18" sheetId="56" r:id="rId52"/>
    <sheet name="25-03-18" sheetId="57" r:id="rId53"/>
    <sheet name="27-04-18" sheetId="58" r:id="rId54"/>
    <sheet name="14-06-18" sheetId="59" r:id="rId55"/>
    <sheet name="17-07-18" sheetId="60" r:id="rId56"/>
    <sheet name="31-08-18" sheetId="61" r:id="rId57"/>
    <sheet name="22-10-18" sheetId="62" r:id="rId58"/>
    <sheet name="14-11-18" sheetId="63" r:id="rId59"/>
    <sheet name="14-12-18" sheetId="64" r:id="rId60"/>
    <sheet name="05-03-19" sheetId="65" r:id="rId61"/>
    <sheet name="19-04-19" sheetId="66" r:id="rId62"/>
    <sheet name="19-04-19 (2)" sheetId="67" r:id="rId63"/>
    <sheet name="06-06-19" sheetId="68" r:id="rId64"/>
    <sheet name="28-06-19" sheetId="69" r:id="rId65"/>
    <sheet name="25-07-19" sheetId="70" r:id="rId66"/>
    <sheet name="30-09-19" sheetId="71" r:id="rId67"/>
    <sheet name="16-12-19" sheetId="72" r:id="rId68"/>
    <sheet name="06-03-20" sheetId="73" r:id="rId69"/>
    <sheet name="29-04-20" sheetId="74" r:id="rId70"/>
    <sheet name="24-07-20" sheetId="75" r:id="rId71"/>
    <sheet name="01-10-20" sheetId="76" r:id="rId72"/>
    <sheet name="27-10-20" sheetId="77" r:id="rId73"/>
    <sheet name="19-11-20" sheetId="78" r:id="rId74"/>
    <sheet name="02-12-20" sheetId="79" r:id="rId75"/>
    <sheet name="02-12-20(2)" sheetId="80" r:id="rId76"/>
    <sheet name="14-12-20" sheetId="81" r:id="rId77"/>
    <sheet name="14-12-20(2)" sheetId="82" r:id="rId78"/>
    <sheet name="01-02-21" sheetId="83" r:id="rId79"/>
    <sheet name="04-03-21" sheetId="84" r:id="rId80"/>
    <sheet name="16-04-21" sheetId="85" r:id="rId81"/>
    <sheet name="21-07-21" sheetId="86" r:id="rId82"/>
    <sheet name="07-09-21" sheetId="87" r:id="rId83"/>
    <sheet name="05-10-21" sheetId="88" r:id="rId84"/>
    <sheet name="11-12-21" sheetId="89" r:id="rId85"/>
    <sheet name="04-02-22" sheetId="90" r:id="rId86"/>
    <sheet name="28-03-22" sheetId="91" r:id="rId87"/>
    <sheet name="13-05-22" sheetId="92" r:id="rId88"/>
    <sheet name="29-06-22" sheetId="93" r:id="rId89"/>
    <sheet name="09-09-22" sheetId="94" r:id="rId90"/>
    <sheet name="05-03-23" sheetId="95" r:id="rId91"/>
    <sheet name="21-03-23" sheetId="96" r:id="rId92"/>
    <sheet name="28-04-23" sheetId="97" r:id="rId93"/>
    <sheet name="31-05-23" sheetId="98" r:id="rId94"/>
    <sheet name="03-10-23" sheetId="99" r:id="rId95"/>
    <sheet name="18-02-24" sheetId="100" r:id="rId96"/>
    <sheet name="24-03-24" sheetId="101" r:id="rId97"/>
    <sheet name="10-05-24" sheetId="102" r:id="rId98"/>
    <sheet name="01-06-24" sheetId="103" r:id="rId99"/>
    <sheet name="Activités" sheetId="5" r:id="rId100"/>
    <sheet name="2024-11-16 - 24-24636" sheetId="104" r:id="rId101"/>
    <sheet name="2024-12-08 - 24-24672" sheetId="105" r:id="rId102"/>
    <sheet name="2025-03-31 - 25-24865" sheetId="106" r:id="rId103"/>
    <sheet name="2025-05-17 - 25-24969" sheetId="107" r:id="rId104"/>
  </sheets>
  <definedNames>
    <definedName name="Liste_Activités" localSheetId="50">Activités!$C$5:$C$39</definedName>
    <definedName name="Liste_Activités" localSheetId="78">Activités!$C$5:$C$39</definedName>
    <definedName name="Liste_Activités" localSheetId="98">Activités!$C$5:$C$39</definedName>
    <definedName name="Liste_Activités" localSheetId="29">Activités!$C$5:$C$39</definedName>
    <definedName name="Liste_Activités" localSheetId="45">Activités!$C$5:$C$39</definedName>
    <definedName name="Liste_Activités" localSheetId="71">Activités!$C$5:$C$39</definedName>
    <definedName name="Liste_Activités" localSheetId="74">Activités!$C$5:$C$39</definedName>
    <definedName name="Liste_Activités" localSheetId="75">Activités!$C$5:$C$39</definedName>
    <definedName name="Liste_Activités" localSheetId="94">Activités!$C$5:$C$39</definedName>
    <definedName name="Liste_Activités" localSheetId="85">Activités!$C$5:$C$39</definedName>
    <definedName name="Liste_Activités" localSheetId="79">Activités!$C$5:$C$39</definedName>
    <definedName name="Liste_Activités" localSheetId="60">Activités!$C$5:$C$39</definedName>
    <definedName name="Liste_Activités" localSheetId="90">Activités!$C$5:$C$39</definedName>
    <definedName name="Liste_Activités" localSheetId="26">Activités!$C$5:$C$39</definedName>
    <definedName name="Liste_Activités" localSheetId="36">Activités!$C$5:$C$39</definedName>
    <definedName name="Liste_Activités" localSheetId="83">Activités!$C$5:$C$39</definedName>
    <definedName name="Liste_Activités" localSheetId="31">Activités!$C$5:$C$39</definedName>
    <definedName name="Liste_Activités" localSheetId="40">Activités!$C$5:$C$39</definedName>
    <definedName name="Liste_Activités" localSheetId="68">Activités!$C$5:$C$39</definedName>
    <definedName name="Liste_Activités" localSheetId="63">Activités!$C$5:$C$39</definedName>
    <definedName name="Liste_Activités" localSheetId="30">Activités!$C$5:$C$39</definedName>
    <definedName name="Liste_Activités" localSheetId="82">Activités!$C$5:$C$39</definedName>
    <definedName name="Liste_Activités" localSheetId="35">Activités!$C$5:$C$39</definedName>
    <definedName name="Liste_Activités" localSheetId="27">Activités!$C$5:$C$39</definedName>
    <definedName name="Liste_Activités" localSheetId="28">Activités!$C$5:$C$39</definedName>
    <definedName name="Liste_Activités" localSheetId="89">Activités!$C$5:$C$39</definedName>
    <definedName name="Liste_Activités" localSheetId="97">Activités!$C$5:$C$39</definedName>
    <definedName name="Liste_Activités" localSheetId="84">Activités!$C$5:$C$39</definedName>
    <definedName name="Liste_Activités" localSheetId="87">Activités!$C$5:$C$39</definedName>
    <definedName name="Liste_Activités" localSheetId="47">Activités!$C$5:$C$39</definedName>
    <definedName name="Liste_Activités" localSheetId="38">Activités!$C$5:$C$39</definedName>
    <definedName name="Liste_Activités" localSheetId="54">Activités!$C$5:$C$39</definedName>
    <definedName name="Liste_Activités" localSheetId="58">Activités!$C$5:$C$39</definedName>
    <definedName name="Liste_Activités" localSheetId="59">Activités!$C$5:$C$39</definedName>
    <definedName name="Liste_Activités" localSheetId="76">Activités!$C$5:$C$39</definedName>
    <definedName name="Liste_Activités" localSheetId="77">Activités!$C$5:$C$39</definedName>
    <definedName name="Liste_Activités" localSheetId="80">Activités!$C$5:$C$39</definedName>
    <definedName name="Liste_Activités" localSheetId="44">Activités!$C$5:$C$39</definedName>
    <definedName name="Liste_Activités" localSheetId="67">Activités!$C$5:$C$39</definedName>
    <definedName name="Liste_Activités" localSheetId="41">Activités!$C$5:$C$39</definedName>
    <definedName name="Liste_Activités" localSheetId="55">Activités!$C$5:$C$39</definedName>
    <definedName name="Liste_Activités" localSheetId="95">Activités!$C$5:$C$39</definedName>
    <definedName name="Liste_Activités" localSheetId="49">Activités!$C$5:$C$39</definedName>
    <definedName name="Liste_Activités" localSheetId="61">Activités!$C$5:$C$39</definedName>
    <definedName name="Liste_Activités" localSheetId="62">Activités!$C$5:$C$39</definedName>
    <definedName name="Liste_Activités" localSheetId="73">Activités!$C$5:$C$39</definedName>
    <definedName name="Liste_Activités" localSheetId="25">Activités!$C$5:$C$39</definedName>
    <definedName name="Liste_Activités" localSheetId="91">Activités!$C$5:$C$39</definedName>
    <definedName name="Liste_Activités" localSheetId="81">Activités!$C$5:$C$39</definedName>
    <definedName name="Liste_Activités" localSheetId="57">Activités!$C$5:$C$39</definedName>
    <definedName name="Liste_Activités" localSheetId="39">Activités!$C$5:$C$39</definedName>
    <definedName name="Liste_Activités" localSheetId="51">Activités!$C$5:$C$39</definedName>
    <definedName name="Liste_Activités" localSheetId="96">Activités!$C$5:$C$39</definedName>
    <definedName name="Liste_Activités" localSheetId="70">Activités!$C$5:$C$39</definedName>
    <definedName name="Liste_Activités" localSheetId="37">Activités!$C$5:$C$39</definedName>
    <definedName name="Liste_Activités" localSheetId="52">Activités!$C$5:$C$39</definedName>
    <definedName name="Liste_Activités" localSheetId="65">Activités!$C$5:$C$39</definedName>
    <definedName name="Liste_Activités" localSheetId="46">Activités!$C$5:$C$39</definedName>
    <definedName name="Liste_Activités" localSheetId="43">Activités!$C$5:$C$39</definedName>
    <definedName name="Liste_Activités" localSheetId="53">Activités!$C$5:$C$39</definedName>
    <definedName name="Liste_Activités" localSheetId="72">Activités!$C$5:$C$39</definedName>
    <definedName name="Liste_Activités" localSheetId="48">Activités!$C$5:$C$39</definedName>
    <definedName name="Liste_Activités" localSheetId="86">Activités!$C$5:$C$39</definedName>
    <definedName name="Liste_Activités" localSheetId="92">Activités!$C$5:$C$39</definedName>
    <definedName name="Liste_Activités" localSheetId="64">Activités!$C$5:$C$39</definedName>
    <definedName name="Liste_Activités" localSheetId="32">Activités!$C$5:$C$39</definedName>
    <definedName name="Liste_Activités" localSheetId="69">Activités!$C$5:$C$39</definedName>
    <definedName name="Liste_Activités" localSheetId="88">Activités!$C$5:$C$39</definedName>
    <definedName name="Liste_Activités" localSheetId="42">Activités!$C$5:$C$39</definedName>
    <definedName name="Liste_Activités" localSheetId="66">Activités!$C$5:$C$39</definedName>
    <definedName name="Liste_Activités" localSheetId="33">Activités!$C$5:$C$39</definedName>
    <definedName name="Liste_Activités" localSheetId="34">Activités!$C$5:$C$39</definedName>
    <definedName name="Liste_Activités" localSheetId="93">Activités!$C$5:$C$39</definedName>
    <definedName name="Liste_Activités" localSheetId="56">Activités!$C$5:$C$39</definedName>
    <definedName name="Liste_Activités">Activités!$C$5:$C$45</definedName>
    <definedName name="Print_Area" localSheetId="50">'01-02-2018'!$A$1:$F$86</definedName>
    <definedName name="Print_Area" localSheetId="78">'01-02-21'!$A$1:$F$89</definedName>
    <definedName name="Print_Area" localSheetId="98">'01-06-24'!$A$1:$F$85</definedName>
    <definedName name="Print_Area" localSheetId="29">'01-07-15'!$A$1:$F$89</definedName>
    <definedName name="Print_Area" localSheetId="45">'01-07-17'!$A$1:$F$83</definedName>
    <definedName name="Print_Area" localSheetId="71">'01-10-20'!$A$1:$F$89</definedName>
    <definedName name="Print_Area" localSheetId="74">'02-12-20'!$A$1:$F$89</definedName>
    <definedName name="Print_Area" localSheetId="75">'02-12-20(2)'!$A$1:$F$89</definedName>
    <definedName name="Print_Area" localSheetId="94">'03-10-23'!$A$1:$F$85</definedName>
    <definedName name="Print_Area" localSheetId="85">'04-02-22'!$A$1:$F$89</definedName>
    <definedName name="Print_Area" localSheetId="79">'04-03-21'!$A$1:$F$89</definedName>
    <definedName name="Print_Area" localSheetId="60">'05-03-19'!$A$1:$F$89</definedName>
    <definedName name="Print_Area" localSheetId="90">'05-03-23'!$A$1:$F$85</definedName>
    <definedName name="Print_Area" localSheetId="26">'05-05-15'!$A$1:$F$88</definedName>
    <definedName name="Print_Area" localSheetId="36">'05-10-16'!$A$1:$F$89</definedName>
    <definedName name="Print_Area" localSheetId="83">'05-10-21'!$A$1:$F$89</definedName>
    <definedName name="Print_Area" localSheetId="31">'05-12-15'!$A$1:$F$89</definedName>
    <definedName name="Print_Area" localSheetId="40">'06-02-17'!$A$1:$F$89</definedName>
    <definedName name="Print_Area" localSheetId="68">'06-03-20'!$A$1:$F$89</definedName>
    <definedName name="Print_Area" localSheetId="63">'06-06-19'!$A$1:$F$89</definedName>
    <definedName name="Print_Area" localSheetId="30">'06-10-15'!$A$1:$F$89</definedName>
    <definedName name="Print_Area" localSheetId="82">'07-09-21'!$A$1:$F$89</definedName>
    <definedName name="Print_Area" localSheetId="35">'08-09-16'!$A$1:$F$89</definedName>
    <definedName name="Print_Area" localSheetId="27">'09-06-15'!$A$1:$F$89</definedName>
    <definedName name="Print_Area" localSheetId="28">'09-06-15 (2)'!$A$1:$F$88</definedName>
    <definedName name="Print_Area" localSheetId="89">'09-09-22'!$A$1:$F$86</definedName>
    <definedName name="Print_Area" localSheetId="97">'10-05-24'!$A$1:$F$85</definedName>
    <definedName name="Print_Area" localSheetId="84">'11-12-21'!$A$1:$F$89</definedName>
    <definedName name="Print_Area" localSheetId="87">'13-05-22'!$A$1:$F$87</definedName>
    <definedName name="Print_Area" localSheetId="47">'13-11-17'!$A$1:$F$86</definedName>
    <definedName name="Print_Area" localSheetId="38">'13-12-16'!$A$1:$F$89</definedName>
    <definedName name="Print_Area" localSheetId="54">'14-06-18'!$A$1:$F$87</definedName>
    <definedName name="Print_Area" localSheetId="58">'14-11-18'!$A$1:$F$89</definedName>
    <definedName name="Print_Area" localSheetId="59">'14-12-18'!$A$1:$F$89</definedName>
    <definedName name="Print_Area" localSheetId="76">'14-12-20'!$A$1:$F$89</definedName>
    <definedName name="Print_Area" localSheetId="77">'14-12-20(2)'!$A$1:$F$89</definedName>
    <definedName name="Print_Area" localSheetId="80">'16-04-21'!$A$1:$F$89</definedName>
    <definedName name="Print_Area" localSheetId="44">'16-05-17'!$A$1:$F$89</definedName>
    <definedName name="Print_Area" localSheetId="67">'16-12-19'!$A$1:$F$89</definedName>
    <definedName name="Print_Area" localSheetId="41">'17-03-17'!$A$1:$F$89</definedName>
    <definedName name="Print_Area" localSheetId="55">'17-07-18'!$A$1:$F$86</definedName>
    <definedName name="Print_Area" localSheetId="95">'18-02-24'!$A$1:$F$85</definedName>
    <definedName name="Print_Area" localSheetId="49">'18-12-2017'!$A$1:$F$86</definedName>
    <definedName name="Print_Area" localSheetId="61">'19-04-19'!$A$1:$F$89</definedName>
    <definedName name="Print_Area" localSheetId="62">'19-04-19 (2)'!$A$1:$F$89</definedName>
    <definedName name="Print_Area" localSheetId="73">'19-11-20'!$A$1:$F$89</definedName>
    <definedName name="Print_Area" localSheetId="25">'20-02-15'!$A$1:$F$89</definedName>
    <definedName name="Print_Area" localSheetId="91">'21-03-23'!$A$1:$F$85</definedName>
    <definedName name="Print_Area" localSheetId="81">'21-07-21'!$A$1:$F$89</definedName>
    <definedName name="Print_Area" localSheetId="57">'22-10-18'!$A$1:$F$89</definedName>
    <definedName name="Print_Area" localSheetId="39">'22-12-16'!$A$1:$F$88</definedName>
    <definedName name="Print_Area" localSheetId="51">'23-02-18'!$A$1:$F$86</definedName>
    <definedName name="Print_Area" localSheetId="96">'24-03-24'!$A$1:$F$85</definedName>
    <definedName name="Print_Area" localSheetId="70">'24-07-20'!$A$1:$F$89</definedName>
    <definedName name="Print_Area" localSheetId="37">'24-11-16'!$A$1:$F$89</definedName>
    <definedName name="Print_Area" localSheetId="52">'25-03-18'!$A$1:$F$86</definedName>
    <definedName name="Print_Area" localSheetId="65">'25-07-19'!$A$1:$F$89</definedName>
    <definedName name="Print_Area" localSheetId="46">'25-08-17'!$A$1:$F$87</definedName>
    <definedName name="Print_Area" localSheetId="43">'27-04-17'!$A$1:$F$89</definedName>
    <definedName name="Print_Area" localSheetId="53">'27-04-18'!$A$1:$F$85</definedName>
    <definedName name="Print_Area" localSheetId="72">'27-10-20'!$A$1:$F$89</definedName>
    <definedName name="Print_Area" localSheetId="48">'27-11-17'!$A$1:$F$86</definedName>
    <definedName name="Print_Area" localSheetId="86">'28-03-22'!$A$1:$F$89</definedName>
    <definedName name="Print_Area" localSheetId="92">'28-04-23'!$A$1:$F$85</definedName>
    <definedName name="Print_Area" localSheetId="64">'28-06-19'!$A$1:$F$89</definedName>
    <definedName name="Print_Area" localSheetId="32">'29-01-16'!$A$1:$F$89</definedName>
    <definedName name="Print_Area" localSheetId="69">'29-04-20'!$A$1:$F$89</definedName>
    <definedName name="Print_Area" localSheetId="88">'29-06-22'!$A$1:$F$86</definedName>
    <definedName name="Print_Area" localSheetId="42">'30-03-17'!$A$1:$F$88</definedName>
    <definedName name="Print_Area" localSheetId="66">'30-09-19'!$A$1:$F$89</definedName>
    <definedName name="Print_Area" localSheetId="33">'31-03-16'!$A$1:$F$89</definedName>
    <definedName name="Print_Area" localSheetId="34">'31-05-16'!$A$1:$F$88</definedName>
    <definedName name="Print_Area" localSheetId="93">'31-05-23'!$A$1:$F$85</definedName>
    <definedName name="Print_Area" localSheetId="56">'31-08-18'!$A$1:$F$87</definedName>
    <definedName name="_xlnm.Print_Area" localSheetId="50">'01-02-2018'!$A$1:$F$86</definedName>
    <definedName name="_xlnm.Print_Area" localSheetId="78">'01-02-21'!$A$1:$F$89</definedName>
    <definedName name="_xlnm.Print_Area" localSheetId="98">'01-06-24'!$A$1:$F$85</definedName>
    <definedName name="_xlnm.Print_Area" localSheetId="29">'01-07-15'!$A$1:$F$89</definedName>
    <definedName name="_xlnm.Print_Area" localSheetId="45">'01-07-17'!$A$1:$F$83</definedName>
    <definedName name="_xlnm.Print_Area" localSheetId="71">'01-10-20'!$A$1:$F$89</definedName>
    <definedName name="_xlnm.Print_Area" localSheetId="74">'02-12-20'!$A$1:$F$89</definedName>
    <definedName name="_xlnm.Print_Area" localSheetId="75">'02-12-20(2)'!$A$1:$F$89</definedName>
    <definedName name="_xlnm.Print_Area" localSheetId="2">'03-05-12'!$A$1:$F$95</definedName>
    <definedName name="_xlnm.Print_Area" localSheetId="21">'03-09-14'!$A$1:$F$90</definedName>
    <definedName name="_xlnm.Print_Area" localSheetId="94">'03-10-23'!$A$1:$F$85</definedName>
    <definedName name="_xlnm.Print_Area" localSheetId="85">'04-02-22'!$A$1:$F$89</definedName>
    <definedName name="_xlnm.Print_Area" localSheetId="79">'04-03-21'!$A$1:$F$89</definedName>
    <definedName name="_xlnm.Print_Area" localSheetId="60">'05-03-19'!$A$1:$F$89</definedName>
    <definedName name="_xlnm.Print_Area" localSheetId="90">'05-03-23'!$A$1:$F$85</definedName>
    <definedName name="_xlnm.Print_Area" localSheetId="26">'05-05-15'!$A$1:$F$88</definedName>
    <definedName name="_xlnm.Print_Area" localSheetId="36">'05-10-16'!$A$1:$F$89</definedName>
    <definedName name="_xlnm.Print_Area" localSheetId="83">'05-10-21'!$A$1:$F$89</definedName>
    <definedName name="_xlnm.Print_Area" localSheetId="31">'05-12-15'!$A$1:$F$89</definedName>
    <definedName name="_xlnm.Print_Area" localSheetId="40">'06-02-17'!$A$1:$F$89</definedName>
    <definedName name="_xlnm.Print_Area" localSheetId="68">'06-03-20'!$A$1:$F$89</definedName>
    <definedName name="_xlnm.Print_Area" localSheetId="9">'06-04-13'!$A$1:$F$93</definedName>
    <definedName name="_xlnm.Print_Area" localSheetId="63">'06-06-19'!$A$1:$F$89</definedName>
    <definedName name="_xlnm.Print_Area" localSheetId="30">'06-10-15'!$A$1:$F$89</definedName>
    <definedName name="_xlnm.Print_Area" localSheetId="82">'07-09-21'!$A$1:$F$89</definedName>
    <definedName name="_xlnm.Print_Area" localSheetId="35">'08-09-16'!$A$1:$F$89</definedName>
    <definedName name="_xlnm.Print_Area" localSheetId="27">'09-06-15'!$A$1:$F$89</definedName>
    <definedName name="_xlnm.Print_Area" localSheetId="28">'09-06-15 (2)'!$A$1:$F$88</definedName>
    <definedName name="_xlnm.Print_Area" localSheetId="89">'09-09-22'!$A$1:$F$86</definedName>
    <definedName name="_xlnm.Print_Area" localSheetId="97">'10-05-24'!$A$1:$F$85</definedName>
    <definedName name="_xlnm.Print_Area" localSheetId="19">'10-07-14'!$A$1:$F$90</definedName>
    <definedName name="_xlnm.Print_Area" localSheetId="16">'10-12-13'!$A$1:$F$91</definedName>
    <definedName name="_xlnm.Print_Area" localSheetId="24">'11-12-14'!$A$1:$F$90</definedName>
    <definedName name="_xlnm.Print_Area" localSheetId="84">'11-12-21'!$A$1:$F$89</definedName>
    <definedName name="_xlnm.Print_Area" localSheetId="87">'13-05-22'!$A$1:$F$87</definedName>
    <definedName name="_xlnm.Print_Area" localSheetId="47">'13-11-17'!$A$1:$F$86</definedName>
    <definedName name="_xlnm.Print_Area" localSheetId="38">'13-12-16'!$A$1:$F$89</definedName>
    <definedName name="_xlnm.Print_Area" localSheetId="54">'14-06-18'!$A$1:$F$87</definedName>
    <definedName name="_xlnm.Print_Area" localSheetId="58">'14-11-18'!$A$1:$F$89</definedName>
    <definedName name="_xlnm.Print_Area" localSheetId="59">'14-12-18'!$A$1:$F$89</definedName>
    <definedName name="_xlnm.Print_Area" localSheetId="76">'14-12-20'!$A$1:$F$89</definedName>
    <definedName name="_xlnm.Print_Area" localSheetId="77">'14-12-20(2)'!$A$1:$F$89</definedName>
    <definedName name="_xlnm.Print_Area" localSheetId="80">'16-04-21'!$A$1:$F$89</definedName>
    <definedName name="_xlnm.Print_Area" localSheetId="44">'16-05-17'!$A$1:$F$89</definedName>
    <definedName name="_xlnm.Print_Area" localSheetId="67">'16-12-19'!$A$1:$F$89</definedName>
    <definedName name="_xlnm.Print_Area" localSheetId="41">'17-03-17'!$A$1:$F$89</definedName>
    <definedName name="_xlnm.Print_Area" localSheetId="1">'17-04-12'!$A$1:$F$95</definedName>
    <definedName name="_xlnm.Print_Area" localSheetId="55">'17-07-18'!$A$1:$F$86</definedName>
    <definedName name="_xlnm.Print_Area" localSheetId="3">'17-09-12'!$A$1:$F$95</definedName>
    <definedName name="_xlnm.Print_Area" localSheetId="5">'17-12-12'!$A$1:$F$95</definedName>
    <definedName name="_xlnm.Print_Area" localSheetId="95">'18-02-24'!$A$1:$F$85</definedName>
    <definedName name="_xlnm.Print_Area" localSheetId="49">'18-12-2017'!$A$1:$F$86</definedName>
    <definedName name="_xlnm.Print_Area" localSheetId="61">'19-04-19'!$A$1:$F$89</definedName>
    <definedName name="_xlnm.Print_Area" localSheetId="62">'19-04-19 (2)'!$A$1:$F$89</definedName>
    <definedName name="_xlnm.Print_Area" localSheetId="73">'19-11-20'!$A$1:$F$89</definedName>
    <definedName name="_xlnm.Print_Area" localSheetId="17">'20-02-14'!$A$1:$F$91</definedName>
    <definedName name="_xlnm.Print_Area" localSheetId="25">'20-02-15'!$A$1:$F$89</definedName>
    <definedName name="_xlnm.Print_Area" localSheetId="100">'2024-11-16 - 24-24636'!$A$1:$F$89</definedName>
    <definedName name="_xlnm.Print_Area" localSheetId="101">'2024-12-08 - 24-24672'!$A$1:$F$88</definedName>
    <definedName name="_xlnm.Print_Area" localSheetId="102">'2025-03-31 - 25-24865'!$A$1:$F$88</definedName>
    <definedName name="_xlnm.Print_Area" localSheetId="103">'2025-05-17 - 25-24969'!$A$1:$F$88</definedName>
    <definedName name="_xlnm.Print_Area" localSheetId="91">'21-03-23'!$A$1:$F$85</definedName>
    <definedName name="_xlnm.Print_Area" localSheetId="81">'21-07-21'!$A$1:$F$89</definedName>
    <definedName name="_xlnm.Print_Area" localSheetId="18">'22-05-14'!$A$1:$F$86</definedName>
    <definedName name="_xlnm.Print_Area" localSheetId="20">'22-07-14'!$A$1:$F$90</definedName>
    <definedName name="_xlnm.Print_Area" localSheetId="57">'22-10-18'!$A$1:$F$89</definedName>
    <definedName name="_xlnm.Print_Area" localSheetId="39">'22-12-16'!$A$1:$F$88</definedName>
    <definedName name="_xlnm.Print_Area" localSheetId="51">'23-02-18'!$A$1:$F$86</definedName>
    <definedName name="_xlnm.Print_Area" localSheetId="4">'23-10-12'!$A$1:$F$95</definedName>
    <definedName name="_xlnm.Print_Area" localSheetId="14">'23-10-13'!$A$1:$F$91</definedName>
    <definedName name="_xlnm.Print_Area" localSheetId="96">'24-03-24'!$A$1:$F$85</definedName>
    <definedName name="_xlnm.Print_Area" localSheetId="70">'24-07-20'!$A$1:$F$89</definedName>
    <definedName name="_xlnm.Print_Area" localSheetId="37">'24-11-16'!$A$1:$F$89</definedName>
    <definedName name="_xlnm.Print_Area" localSheetId="7">'25-02-13'!$A$1:$F$93</definedName>
    <definedName name="_xlnm.Print_Area" localSheetId="8">'25-03-13'!$A$1:$F$93</definedName>
    <definedName name="_xlnm.Print_Area" localSheetId="52">'25-03-18'!$A$1:$F$86</definedName>
    <definedName name="_xlnm.Print_Area" localSheetId="65">'25-07-19'!$A$1:$F$89</definedName>
    <definedName name="_xlnm.Print_Area" localSheetId="46">'25-08-17'!$A$1:$F$87</definedName>
    <definedName name="_xlnm.Print_Area" localSheetId="12">'26-08-13'!$A$1:$F$93</definedName>
    <definedName name="_xlnm.Print_Area" localSheetId="22">'26-09-14'!$A$1:$F$90</definedName>
    <definedName name="_xlnm.Print_Area" localSheetId="43">'27-04-17'!$A$1:$F$89</definedName>
    <definedName name="_xlnm.Print_Area" localSheetId="53">'27-04-18'!$A$1:$F$85</definedName>
    <definedName name="_xlnm.Print_Area" localSheetId="13">'27-09-13'!$A$1:$F$91</definedName>
    <definedName name="_xlnm.Print_Area" localSheetId="72">'27-10-20'!$A$1:$F$89</definedName>
    <definedName name="_xlnm.Print_Area" localSheetId="48">'27-11-17'!$A$1:$F$86</definedName>
    <definedName name="_xlnm.Print_Area" localSheetId="6">'28-01-13'!$A$1:$F$95</definedName>
    <definedName name="_xlnm.Print_Area" localSheetId="0">'28-02-12'!$A$1:$F$95</definedName>
    <definedName name="_xlnm.Print_Area" localSheetId="86">'28-03-22'!$A$1:$F$89</definedName>
    <definedName name="_xlnm.Print_Area" localSheetId="92">'28-04-23'!$A$1:$F$85</definedName>
    <definedName name="_xlnm.Print_Area" localSheetId="11">'28-06-13'!$A$1:$F$93</definedName>
    <definedName name="_xlnm.Print_Area" localSheetId="64">'28-06-19'!$A$1:$F$89</definedName>
    <definedName name="_xlnm.Print_Area" localSheetId="32">'29-01-16'!$A$1:$F$89</definedName>
    <definedName name="_xlnm.Print_Area" localSheetId="10">'29-04-13'!$A$1:$F$93</definedName>
    <definedName name="_xlnm.Print_Area" localSheetId="69">'29-04-20'!$A$1:$F$89</definedName>
    <definedName name="_xlnm.Print_Area" localSheetId="88">'29-06-22'!$A$1:$F$86</definedName>
    <definedName name="_xlnm.Print_Area" localSheetId="42">'30-03-17'!$A$1:$F$88</definedName>
    <definedName name="_xlnm.Print_Area" localSheetId="66">'30-09-19'!$A$1:$F$89</definedName>
    <definedName name="_xlnm.Print_Area" localSheetId="23">'30-10-14'!$A$1:$F$90</definedName>
    <definedName name="_xlnm.Print_Area" localSheetId="33">'31-03-16'!$A$1:$F$89</definedName>
    <definedName name="_xlnm.Print_Area" localSheetId="34">'31-05-16'!$A$1:$F$88</definedName>
    <definedName name="_xlnm.Print_Area" localSheetId="93">'31-05-23'!$A$1:$F$85</definedName>
    <definedName name="_xlnm.Print_Area" localSheetId="56">'31-08-18'!$A$1:$F$87</definedName>
    <definedName name="_xlnm.Print_Area" localSheetId="99">Activités!$A$1:$D$45</definedName>
    <definedName name="_xlnm.Print_Area" localSheetId="15">Remorquage!$A$1:$F$91</definedName>
    <definedName name="Zone_impres_MI" localSheetId="50">#REF!</definedName>
    <definedName name="Zone_impres_MI" localSheetId="78">#REF!</definedName>
    <definedName name="Zone_impres_MI" localSheetId="98">#REF!</definedName>
    <definedName name="Zone_impres_MI" localSheetId="29">#REF!</definedName>
    <definedName name="Zone_impres_MI" localSheetId="45">#REF!</definedName>
    <definedName name="Zone_impres_MI" localSheetId="71">#REF!</definedName>
    <definedName name="Zone_impres_MI" localSheetId="74">#REF!</definedName>
    <definedName name="Zone_impres_MI" localSheetId="75">#REF!</definedName>
    <definedName name="Zone_impres_MI" localSheetId="2">#REF!</definedName>
    <definedName name="Zone_impres_MI" localSheetId="21">#REF!</definedName>
    <definedName name="Zone_impres_MI" localSheetId="94">#REF!</definedName>
    <definedName name="Zone_impres_MI" localSheetId="85">#REF!</definedName>
    <definedName name="Zone_impres_MI" localSheetId="79">#REF!</definedName>
    <definedName name="Zone_impres_MI" localSheetId="60">#REF!</definedName>
    <definedName name="Zone_impres_MI" localSheetId="90">#REF!</definedName>
    <definedName name="Zone_impres_MI" localSheetId="26">#REF!</definedName>
    <definedName name="Zone_impres_MI" localSheetId="36">#REF!</definedName>
    <definedName name="Zone_impres_MI" localSheetId="83">#REF!</definedName>
    <definedName name="Zone_impres_MI" localSheetId="31">#REF!</definedName>
    <definedName name="Zone_impres_MI" localSheetId="40">#REF!</definedName>
    <definedName name="Zone_impres_MI" localSheetId="68">#REF!</definedName>
    <definedName name="Zone_impres_MI" localSheetId="9">#REF!</definedName>
    <definedName name="Zone_impres_MI" localSheetId="63">#REF!</definedName>
    <definedName name="Zone_impres_MI" localSheetId="30">#REF!</definedName>
    <definedName name="Zone_impres_MI" localSheetId="82">#REF!</definedName>
    <definedName name="Zone_impres_MI" localSheetId="35">#REF!</definedName>
    <definedName name="Zone_impres_MI" localSheetId="27">#REF!</definedName>
    <definedName name="Zone_impres_MI" localSheetId="28">#REF!</definedName>
    <definedName name="Zone_impres_MI" localSheetId="89">#REF!</definedName>
    <definedName name="Zone_impres_MI" localSheetId="97">#REF!</definedName>
    <definedName name="Zone_impres_MI" localSheetId="19">#REF!</definedName>
    <definedName name="Zone_impres_MI" localSheetId="16">#REF!</definedName>
    <definedName name="Zone_impres_MI" localSheetId="24">#REF!</definedName>
    <definedName name="Zone_impres_MI" localSheetId="84">#REF!</definedName>
    <definedName name="Zone_impres_MI" localSheetId="87">#REF!</definedName>
    <definedName name="Zone_impres_MI" localSheetId="47">#REF!</definedName>
    <definedName name="Zone_impres_MI" localSheetId="38">#REF!</definedName>
    <definedName name="Zone_impres_MI" localSheetId="54">#REF!</definedName>
    <definedName name="Zone_impres_MI" localSheetId="58">#REF!</definedName>
    <definedName name="Zone_impres_MI" localSheetId="59">#REF!</definedName>
    <definedName name="Zone_impres_MI" localSheetId="76">#REF!</definedName>
    <definedName name="Zone_impres_MI" localSheetId="77">#REF!</definedName>
    <definedName name="Zone_impres_MI" localSheetId="80">#REF!</definedName>
    <definedName name="Zone_impres_MI" localSheetId="44">#REF!</definedName>
    <definedName name="Zone_impres_MI" localSheetId="67">#REF!</definedName>
    <definedName name="Zone_impres_MI" localSheetId="41">#REF!</definedName>
    <definedName name="Zone_impres_MI" localSheetId="1">#REF!</definedName>
    <definedName name="Zone_impres_MI" localSheetId="55">#REF!</definedName>
    <definedName name="Zone_impres_MI" localSheetId="3">#REF!</definedName>
    <definedName name="Zone_impres_MI" localSheetId="5">#REF!</definedName>
    <definedName name="Zone_impres_MI" localSheetId="95">#REF!</definedName>
    <definedName name="Zone_impres_MI" localSheetId="49">#REF!</definedName>
    <definedName name="Zone_impres_MI" localSheetId="61">#REF!</definedName>
    <definedName name="Zone_impres_MI" localSheetId="62">#REF!</definedName>
    <definedName name="Zone_impres_MI" localSheetId="73">#REF!</definedName>
    <definedName name="Zone_impres_MI" localSheetId="17">#REF!</definedName>
    <definedName name="Zone_impres_MI" localSheetId="25">#REF!</definedName>
    <definedName name="Zone_impres_MI" localSheetId="91">#REF!</definedName>
    <definedName name="Zone_impres_MI" localSheetId="81">#REF!</definedName>
    <definedName name="Zone_impres_MI" localSheetId="18">#REF!</definedName>
    <definedName name="Zone_impres_MI" localSheetId="20">#REF!</definedName>
    <definedName name="Zone_impres_MI" localSheetId="57">#REF!</definedName>
    <definedName name="Zone_impres_MI" localSheetId="39">#REF!</definedName>
    <definedName name="Zone_impres_MI" localSheetId="51">#REF!</definedName>
    <definedName name="Zone_impres_MI" localSheetId="4">#REF!</definedName>
    <definedName name="Zone_impres_MI" localSheetId="14">#REF!</definedName>
    <definedName name="Zone_impres_MI" localSheetId="96">#REF!</definedName>
    <definedName name="Zone_impres_MI" localSheetId="70">#REF!</definedName>
    <definedName name="Zone_impres_MI" localSheetId="37">#REF!</definedName>
    <definedName name="Zone_impres_MI" localSheetId="7">#REF!</definedName>
    <definedName name="Zone_impres_MI" localSheetId="8">#REF!</definedName>
    <definedName name="Zone_impres_MI" localSheetId="52">#REF!</definedName>
    <definedName name="Zone_impres_MI" localSheetId="65">#REF!</definedName>
    <definedName name="Zone_impres_MI" localSheetId="46">#REF!</definedName>
    <definedName name="Zone_impres_MI" localSheetId="12">#REF!</definedName>
    <definedName name="Zone_impres_MI" localSheetId="22">#REF!</definedName>
    <definedName name="Zone_impres_MI" localSheetId="43">#REF!</definedName>
    <definedName name="Zone_impres_MI" localSheetId="53">#REF!</definedName>
    <definedName name="Zone_impres_MI" localSheetId="13">#REF!</definedName>
    <definedName name="Zone_impres_MI" localSheetId="72">#REF!</definedName>
    <definedName name="Zone_impres_MI" localSheetId="48">#REF!</definedName>
    <definedName name="Zone_impres_MI" localSheetId="6">#REF!</definedName>
    <definedName name="Zone_impres_MI" localSheetId="86">#REF!</definedName>
    <definedName name="Zone_impres_MI" localSheetId="92">#REF!</definedName>
    <definedName name="Zone_impres_MI" localSheetId="11">#REF!</definedName>
    <definedName name="Zone_impres_MI" localSheetId="64">#REF!</definedName>
    <definedName name="Zone_impres_MI" localSheetId="32">#REF!</definedName>
    <definedName name="Zone_impres_MI" localSheetId="10">#REF!</definedName>
    <definedName name="Zone_impres_MI" localSheetId="69">#REF!</definedName>
    <definedName name="Zone_impres_MI" localSheetId="88">#REF!</definedName>
    <definedName name="Zone_impres_MI" localSheetId="42">#REF!</definedName>
    <definedName name="Zone_impres_MI" localSheetId="66">#REF!</definedName>
    <definedName name="Zone_impres_MI" localSheetId="23">#REF!</definedName>
    <definedName name="Zone_impres_MI" localSheetId="33">#REF!</definedName>
    <definedName name="Zone_impres_MI" localSheetId="34">#REF!</definedName>
    <definedName name="Zone_impres_MI" localSheetId="93">#REF!</definedName>
    <definedName name="Zone_impres_MI" localSheetId="56">#REF!</definedName>
    <definedName name="Zone_impres_MI" localSheetId="15">#REF!</definedName>
    <definedName name="Zone_impres_M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5" i="103" l="1"/>
  <c r="E65" i="103" s="1"/>
  <c r="E68" i="103" s="1"/>
  <c r="E41" i="102"/>
  <c r="E39" i="102"/>
  <c r="E37" i="102"/>
  <c r="E35" i="102"/>
  <c r="E37" i="101"/>
  <c r="E35" i="101"/>
  <c r="E35" i="100"/>
  <c r="E65" i="100" s="1"/>
  <c r="E68" i="100" s="1"/>
  <c r="E37" i="99"/>
  <c r="E35" i="99"/>
  <c r="E65" i="99" s="1"/>
  <c r="E68" i="99" s="1"/>
  <c r="E37" i="98"/>
  <c r="E35" i="98"/>
  <c r="E65" i="98" s="1"/>
  <c r="E68" i="98" s="1"/>
  <c r="E47" i="97"/>
  <c r="E45" i="97"/>
  <c r="E43" i="97"/>
  <c r="E41" i="97"/>
  <c r="E39" i="97"/>
  <c r="E37" i="97"/>
  <c r="E35" i="97"/>
  <c r="E65" i="97" s="1"/>
  <c r="E68" i="97" s="1"/>
  <c r="E35" i="96"/>
  <c r="E65" i="96"/>
  <c r="E68" i="96"/>
  <c r="E69" i="96"/>
  <c r="E70" i="96"/>
  <c r="E72" i="96"/>
  <c r="E76" i="96"/>
  <c r="E37" i="95"/>
  <c r="E35" i="95"/>
  <c r="E65" i="95"/>
  <c r="E68" i="95"/>
  <c r="E69" i="95"/>
  <c r="E70" i="95"/>
  <c r="E72" i="95"/>
  <c r="E76" i="95"/>
  <c r="E35" i="94"/>
  <c r="E66" i="94"/>
  <c r="E69" i="94"/>
  <c r="E70" i="94"/>
  <c r="E71" i="94"/>
  <c r="E73" i="94"/>
  <c r="E77" i="94"/>
  <c r="E35" i="93"/>
  <c r="E37" i="93"/>
  <c r="E39" i="93"/>
  <c r="E41" i="93"/>
  <c r="E43" i="93"/>
  <c r="E66" i="93"/>
  <c r="E69" i="93"/>
  <c r="E70" i="93"/>
  <c r="E71" i="93"/>
  <c r="E73" i="93"/>
  <c r="E77" i="93"/>
  <c r="E45" i="92"/>
  <c r="E35" i="92"/>
  <c r="E37" i="92"/>
  <c r="E39" i="92"/>
  <c r="E41" i="92"/>
  <c r="E43" i="92"/>
  <c r="E67" i="92"/>
  <c r="E70" i="92"/>
  <c r="E71" i="92"/>
  <c r="E72" i="92"/>
  <c r="E74" i="92"/>
  <c r="E78" i="92"/>
  <c r="E35" i="91"/>
  <c r="E37" i="91"/>
  <c r="E39" i="91"/>
  <c r="E41" i="91"/>
  <c r="E43" i="91"/>
  <c r="E69" i="91"/>
  <c r="E72" i="91"/>
  <c r="E73" i="91"/>
  <c r="E74" i="91"/>
  <c r="E76" i="91"/>
  <c r="E80" i="91"/>
  <c r="E57" i="90"/>
  <c r="E55" i="90"/>
  <c r="E53" i="90"/>
  <c r="E51" i="90"/>
  <c r="E49" i="90"/>
  <c r="E47" i="90"/>
  <c r="E45" i="90"/>
  <c r="E43" i="90"/>
  <c r="E35" i="90"/>
  <c r="E37" i="90"/>
  <c r="E39" i="90"/>
  <c r="E41" i="90"/>
  <c r="E69" i="90"/>
  <c r="E72" i="90"/>
  <c r="E73" i="90"/>
  <c r="E74" i="90"/>
  <c r="E76" i="90"/>
  <c r="E80" i="90"/>
  <c r="E44" i="89"/>
  <c r="E41" i="89"/>
  <c r="E38" i="89"/>
  <c r="E35" i="89"/>
  <c r="E69" i="89"/>
  <c r="E72" i="89"/>
  <c r="E73" i="89"/>
  <c r="E74" i="89"/>
  <c r="E76" i="89"/>
  <c r="E80" i="89"/>
  <c r="E35" i="88"/>
  <c r="E69" i="88"/>
  <c r="E72" i="88"/>
  <c r="E73" i="88"/>
  <c r="E74" i="88"/>
  <c r="E76" i="88"/>
  <c r="E80" i="88"/>
  <c r="E35" i="87"/>
  <c r="E69" i="87"/>
  <c r="E72" i="87"/>
  <c r="E73" i="87"/>
  <c r="E74" i="87"/>
  <c r="E76" i="87"/>
  <c r="E80" i="87"/>
  <c r="E35" i="86"/>
  <c r="E69" i="86"/>
  <c r="E72" i="86"/>
  <c r="E73" i="86"/>
  <c r="E74" i="86"/>
  <c r="E76" i="86"/>
  <c r="E80" i="86"/>
  <c r="E35" i="85"/>
  <c r="E37" i="85"/>
  <c r="E69" i="85"/>
  <c r="E72" i="85"/>
  <c r="E73" i="85"/>
  <c r="E74" i="85"/>
  <c r="E76" i="85"/>
  <c r="E80" i="85"/>
  <c r="E43" i="84"/>
  <c r="E41" i="84"/>
  <c r="E35" i="84"/>
  <c r="E37" i="84"/>
  <c r="E39" i="84"/>
  <c r="E69" i="84"/>
  <c r="E72" i="84"/>
  <c r="E73" i="84"/>
  <c r="E74" i="84"/>
  <c r="E76" i="84"/>
  <c r="E80" i="84"/>
  <c r="E39" i="83"/>
  <c r="E37" i="83"/>
  <c r="E35" i="83"/>
  <c r="E69" i="83"/>
  <c r="E72" i="83"/>
  <c r="E73" i="83"/>
  <c r="E74" i="83"/>
  <c r="E76" i="83"/>
  <c r="E80" i="83"/>
  <c r="E35" i="82"/>
  <c r="E69" i="82"/>
  <c r="E72" i="82"/>
  <c r="E73" i="82"/>
  <c r="E74" i="82"/>
  <c r="E76" i="82"/>
  <c r="E80" i="82"/>
  <c r="E35" i="81"/>
  <c r="E69" i="81"/>
  <c r="E72" i="81"/>
  <c r="E73" i="81"/>
  <c r="E74" i="81"/>
  <c r="E76" i="81"/>
  <c r="E80" i="81"/>
  <c r="E35" i="80"/>
  <c r="E69" i="80"/>
  <c r="E72" i="80"/>
  <c r="E73" i="80"/>
  <c r="E74" i="80"/>
  <c r="E76" i="80"/>
  <c r="E80" i="80"/>
  <c r="E69" i="79"/>
  <c r="E72" i="79"/>
  <c r="E73" i="79"/>
  <c r="E74" i="79"/>
  <c r="E76" i="79"/>
  <c r="E80" i="79"/>
  <c r="E39" i="78"/>
  <c r="E37" i="78"/>
  <c r="E35" i="78"/>
  <c r="E69" i="78"/>
  <c r="E72" i="78"/>
  <c r="E73" i="78"/>
  <c r="E74" i="78"/>
  <c r="E76" i="78"/>
  <c r="E80" i="78"/>
  <c r="E35" i="77"/>
  <c r="E69" i="77"/>
  <c r="E72" i="77"/>
  <c r="E73" i="77"/>
  <c r="E74" i="77"/>
  <c r="E76" i="77"/>
  <c r="E80" i="77"/>
  <c r="E35" i="76"/>
  <c r="E37" i="76"/>
  <c r="E39" i="76"/>
  <c r="E41" i="76"/>
  <c r="E69" i="76"/>
  <c r="E72" i="76"/>
  <c r="E73" i="76"/>
  <c r="E74" i="76"/>
  <c r="E76" i="76"/>
  <c r="E80" i="76"/>
  <c r="E55" i="75"/>
  <c r="E53" i="75"/>
  <c r="E51" i="75"/>
  <c r="E49" i="75"/>
  <c r="E47" i="75"/>
  <c r="E45" i="75"/>
  <c r="E35" i="75"/>
  <c r="E37" i="75"/>
  <c r="E39" i="75"/>
  <c r="E41" i="75"/>
  <c r="E43" i="75"/>
  <c r="E69" i="75"/>
  <c r="E72" i="75"/>
  <c r="E73" i="75"/>
  <c r="E74" i="75"/>
  <c r="E76" i="75"/>
  <c r="E80" i="75"/>
  <c r="E35" i="74"/>
  <c r="E37" i="74"/>
  <c r="E39" i="74"/>
  <c r="E41" i="74"/>
  <c r="E43" i="74"/>
  <c r="E69" i="74"/>
  <c r="E72" i="74"/>
  <c r="E73" i="74"/>
  <c r="E74" i="74"/>
  <c r="E76" i="74"/>
  <c r="E80" i="74"/>
  <c r="E53" i="73"/>
  <c r="E51" i="73"/>
  <c r="E49" i="73"/>
  <c r="E47" i="73"/>
  <c r="E45" i="73"/>
  <c r="E43" i="73"/>
  <c r="E35" i="73"/>
  <c r="E37" i="73"/>
  <c r="E39" i="73"/>
  <c r="E41" i="73"/>
  <c r="E69" i="73"/>
  <c r="E72" i="73"/>
  <c r="E73" i="73"/>
  <c r="E74" i="73"/>
  <c r="E76" i="73"/>
  <c r="E80" i="73"/>
  <c r="C39" i="72"/>
  <c r="E35" i="72"/>
  <c r="E37" i="72"/>
  <c r="E39" i="72"/>
  <c r="E41" i="72"/>
  <c r="E69" i="72"/>
  <c r="E72" i="72"/>
  <c r="E73" i="72"/>
  <c r="E74" i="72"/>
  <c r="E76" i="72"/>
  <c r="E80" i="72"/>
  <c r="E51" i="71"/>
  <c r="E49" i="71"/>
  <c r="E47" i="71"/>
  <c r="E45" i="71"/>
  <c r="E35" i="71"/>
  <c r="E37" i="71"/>
  <c r="E39" i="71"/>
  <c r="E41" i="71"/>
  <c r="E43" i="71"/>
  <c r="E69" i="71"/>
  <c r="E72" i="71"/>
  <c r="E73" i="71"/>
  <c r="E74" i="71"/>
  <c r="E76" i="71"/>
  <c r="E80" i="71"/>
  <c r="E43" i="70"/>
  <c r="E41" i="70"/>
  <c r="E35" i="70"/>
  <c r="E37" i="70"/>
  <c r="E39" i="70"/>
  <c r="E69" i="70"/>
  <c r="E72" i="70"/>
  <c r="E73" i="70"/>
  <c r="E74" i="70"/>
  <c r="E76" i="70"/>
  <c r="E80" i="70"/>
  <c r="E35" i="69"/>
  <c r="E37" i="69"/>
  <c r="E39" i="69"/>
  <c r="E69" i="69"/>
  <c r="E72" i="69"/>
  <c r="E73" i="69"/>
  <c r="E74" i="69"/>
  <c r="E76" i="69"/>
  <c r="E80" i="69"/>
  <c r="E43" i="68"/>
  <c r="E41" i="68"/>
  <c r="E39" i="68"/>
  <c r="E37" i="68"/>
  <c r="E35" i="68"/>
  <c r="E69" i="68"/>
  <c r="E72" i="68"/>
  <c r="E73" i="68"/>
  <c r="E74" i="68"/>
  <c r="E76" i="68"/>
  <c r="E80" i="68"/>
  <c r="E35" i="67"/>
  <c r="E69" i="67"/>
  <c r="E72" i="67"/>
  <c r="E73" i="67"/>
  <c r="E74" i="67"/>
  <c r="E76" i="67"/>
  <c r="E80" i="67"/>
  <c r="E35" i="66"/>
  <c r="E37" i="66"/>
  <c r="E39" i="66"/>
  <c r="E41" i="66"/>
  <c r="E43" i="66"/>
  <c r="E45" i="66"/>
  <c r="E47" i="66"/>
  <c r="E49" i="66"/>
  <c r="E69" i="66"/>
  <c r="E72" i="66"/>
  <c r="E73" i="66"/>
  <c r="E74" i="66"/>
  <c r="E76" i="66"/>
  <c r="E80" i="66"/>
  <c r="E53" i="65"/>
  <c r="E51" i="65"/>
  <c r="E49" i="65"/>
  <c r="E47" i="65"/>
  <c r="E45" i="65"/>
  <c r="E43" i="65"/>
  <c r="E35" i="65"/>
  <c r="E37" i="65"/>
  <c r="E39" i="65"/>
  <c r="E41" i="65"/>
  <c r="E69" i="65"/>
  <c r="E72" i="65"/>
  <c r="E73" i="65"/>
  <c r="E74" i="65"/>
  <c r="E76" i="65"/>
  <c r="E80" i="65"/>
  <c r="E35" i="64"/>
  <c r="E37" i="64"/>
  <c r="E39" i="64"/>
  <c r="E41" i="64"/>
  <c r="E69" i="64"/>
  <c r="E72" i="64"/>
  <c r="E73" i="64"/>
  <c r="E74" i="64"/>
  <c r="E76" i="64"/>
  <c r="E80" i="64"/>
  <c r="E35" i="63"/>
  <c r="E37" i="63"/>
  <c r="E39" i="63"/>
  <c r="E41" i="63"/>
  <c r="E69" i="63"/>
  <c r="E72" i="63"/>
  <c r="E73" i="63"/>
  <c r="E74" i="63"/>
  <c r="E76" i="63"/>
  <c r="E80" i="63"/>
  <c r="E47" i="62"/>
  <c r="E45" i="62"/>
  <c r="E35" i="62"/>
  <c r="E37" i="62"/>
  <c r="E39" i="62"/>
  <c r="E41" i="62"/>
  <c r="E43" i="62"/>
  <c r="E69" i="62"/>
  <c r="E72" i="62"/>
  <c r="E73" i="62"/>
  <c r="E74" i="62"/>
  <c r="E76" i="62"/>
  <c r="E80" i="62"/>
  <c r="E43" i="61"/>
  <c r="E35" i="61"/>
  <c r="E37" i="61"/>
  <c r="E39" i="61"/>
  <c r="E41" i="61"/>
  <c r="E67" i="61"/>
  <c r="E70" i="61"/>
  <c r="E71" i="61"/>
  <c r="E72" i="61"/>
  <c r="E74" i="61"/>
  <c r="E78" i="61"/>
  <c r="E35" i="60"/>
  <c r="E37" i="60"/>
  <c r="E39" i="60"/>
  <c r="E41" i="60"/>
  <c r="E66" i="60"/>
  <c r="E69" i="60"/>
  <c r="E70" i="60"/>
  <c r="E71" i="60"/>
  <c r="E73" i="60"/>
  <c r="E77" i="60"/>
  <c r="E47" i="59"/>
  <c r="E35" i="59"/>
  <c r="E37" i="59"/>
  <c r="E39" i="59"/>
  <c r="E41" i="59"/>
  <c r="E43" i="59"/>
  <c r="E45" i="59"/>
  <c r="E67" i="59"/>
  <c r="E70" i="59"/>
  <c r="E71" i="59"/>
  <c r="E72" i="59"/>
  <c r="E74" i="59"/>
  <c r="E78" i="59"/>
  <c r="E45" i="58"/>
  <c r="E43" i="58"/>
  <c r="E41" i="58"/>
  <c r="E39" i="58"/>
  <c r="E37" i="58"/>
  <c r="E35" i="58"/>
  <c r="E65" i="58"/>
  <c r="E68" i="58"/>
  <c r="E69" i="58"/>
  <c r="E70" i="58"/>
  <c r="E72" i="58"/>
  <c r="E76" i="58"/>
  <c r="E35" i="57"/>
  <c r="E66" i="57"/>
  <c r="E69" i="57"/>
  <c r="E70" i="57"/>
  <c r="E71" i="57"/>
  <c r="E73" i="57"/>
  <c r="E77" i="57"/>
  <c r="E35" i="56"/>
  <c r="E37" i="56"/>
  <c r="E39" i="56"/>
  <c r="E66" i="56"/>
  <c r="E69" i="56"/>
  <c r="E70" i="56"/>
  <c r="E71" i="56"/>
  <c r="E73" i="56"/>
  <c r="E77" i="56"/>
  <c r="E35" i="55"/>
  <c r="E37" i="55"/>
  <c r="E39" i="55"/>
  <c r="E41" i="55"/>
  <c r="E43" i="55"/>
  <c r="E45" i="55"/>
  <c r="E66" i="55"/>
  <c r="E69" i="55"/>
  <c r="E70" i="55"/>
  <c r="E71" i="55"/>
  <c r="E73" i="55"/>
  <c r="E77" i="55"/>
  <c r="E35" i="54"/>
  <c r="E37" i="54"/>
  <c r="E39" i="54"/>
  <c r="E41" i="54"/>
  <c r="E43" i="54"/>
  <c r="E45" i="54"/>
  <c r="E66" i="54"/>
  <c r="E69" i="54"/>
  <c r="E70" i="54"/>
  <c r="E71" i="54"/>
  <c r="E73" i="54"/>
  <c r="E77" i="54"/>
  <c r="E35" i="53"/>
  <c r="E37" i="53"/>
  <c r="E39" i="53"/>
  <c r="E41" i="53"/>
  <c r="E43" i="53"/>
  <c r="E45" i="53"/>
  <c r="E66" i="53"/>
  <c r="E69" i="53"/>
  <c r="E70" i="53"/>
  <c r="E71" i="53"/>
  <c r="E73" i="53"/>
  <c r="E77" i="53"/>
  <c r="E53" i="52"/>
  <c r="E51" i="52"/>
  <c r="E49" i="52"/>
  <c r="E47" i="52"/>
  <c r="E45" i="52"/>
  <c r="E43" i="52"/>
  <c r="E35" i="52"/>
  <c r="E37" i="52"/>
  <c r="E39" i="52"/>
  <c r="E41" i="52"/>
  <c r="E66" i="52"/>
  <c r="E69" i="52"/>
  <c r="E70" i="52"/>
  <c r="E71" i="52"/>
  <c r="E73" i="52"/>
  <c r="E77" i="52"/>
  <c r="E35" i="51"/>
  <c r="E37" i="51"/>
  <c r="E39" i="51"/>
  <c r="E41" i="51"/>
  <c r="E67" i="51"/>
  <c r="E70" i="51"/>
  <c r="E71" i="51"/>
  <c r="E72" i="51"/>
  <c r="E74" i="51"/>
  <c r="E78" i="51"/>
  <c r="E51" i="50"/>
  <c r="E49" i="50"/>
  <c r="E47" i="50"/>
  <c r="E45" i="50"/>
  <c r="E43" i="50"/>
  <c r="E41" i="50"/>
  <c r="E39" i="50"/>
  <c r="E37" i="50"/>
  <c r="E35" i="50"/>
  <c r="E63" i="50"/>
  <c r="E66" i="50"/>
  <c r="E67" i="50"/>
  <c r="E68" i="50"/>
  <c r="E70" i="50"/>
  <c r="E74" i="50"/>
  <c r="E39" i="49"/>
  <c r="E37" i="49"/>
  <c r="E35" i="49"/>
  <c r="E69" i="49"/>
  <c r="E72" i="49"/>
  <c r="E73" i="49"/>
  <c r="E74" i="49"/>
  <c r="E76" i="49"/>
  <c r="E80" i="49"/>
  <c r="E51" i="48"/>
  <c r="E49" i="48"/>
  <c r="E47" i="48"/>
  <c r="E45" i="48"/>
  <c r="E43" i="48"/>
  <c r="E41" i="48"/>
  <c r="E39" i="48"/>
  <c r="E37" i="48"/>
  <c r="E35" i="48"/>
  <c r="E69" i="48"/>
  <c r="E72" i="48"/>
  <c r="E73" i="48"/>
  <c r="E74" i="48"/>
  <c r="E76" i="48"/>
  <c r="E80" i="48"/>
  <c r="E37" i="47"/>
  <c r="E35" i="47"/>
  <c r="E68" i="47"/>
  <c r="E71" i="47"/>
  <c r="E72" i="47"/>
  <c r="E73" i="47"/>
  <c r="E75" i="47"/>
  <c r="E79" i="47"/>
  <c r="E37" i="46"/>
  <c r="E51" i="46"/>
  <c r="E49" i="46"/>
  <c r="E47" i="46"/>
  <c r="E45" i="46"/>
  <c r="E43" i="46"/>
  <c r="E41" i="46"/>
  <c r="E39" i="46"/>
  <c r="E35" i="46"/>
  <c r="E69" i="46"/>
  <c r="E72" i="46"/>
  <c r="E73" i="46"/>
  <c r="E74" i="46"/>
  <c r="E76" i="46"/>
  <c r="E80" i="46"/>
  <c r="E39" i="45"/>
  <c r="E37" i="45"/>
  <c r="E35" i="45"/>
  <c r="E69" i="45"/>
  <c r="E72" i="45"/>
  <c r="E73" i="45"/>
  <c r="E74" i="45"/>
  <c r="E76" i="45"/>
  <c r="E80" i="45"/>
  <c r="E37" i="44"/>
  <c r="E35" i="44"/>
  <c r="E68" i="44"/>
  <c r="E71" i="44"/>
  <c r="E72" i="44"/>
  <c r="E73" i="44"/>
  <c r="E75" i="44"/>
  <c r="E79" i="44"/>
  <c r="E39" i="43"/>
  <c r="E37" i="43"/>
  <c r="E35" i="43"/>
  <c r="E69" i="43"/>
  <c r="E72" i="43"/>
  <c r="E73" i="43"/>
  <c r="E74" i="43"/>
  <c r="E76" i="43"/>
  <c r="E80" i="43"/>
  <c r="E39" i="42"/>
  <c r="E35" i="42"/>
  <c r="E69" i="42"/>
  <c r="E72" i="42"/>
  <c r="E73" i="42"/>
  <c r="E74" i="42"/>
  <c r="E76" i="42"/>
  <c r="E80" i="42"/>
  <c r="E39" i="41"/>
  <c r="E37" i="41"/>
  <c r="E35" i="41"/>
  <c r="E69" i="41"/>
  <c r="E72" i="41"/>
  <c r="E73" i="41"/>
  <c r="E74" i="41"/>
  <c r="E76" i="41"/>
  <c r="E80" i="41"/>
  <c r="E41" i="40"/>
  <c r="E39" i="40"/>
  <c r="E37" i="40"/>
  <c r="E35" i="40"/>
  <c r="E69" i="40"/>
  <c r="E72" i="40"/>
  <c r="E73" i="40"/>
  <c r="E74" i="40"/>
  <c r="E76" i="40"/>
  <c r="E80" i="40"/>
  <c r="E39" i="39"/>
  <c r="E47" i="39"/>
  <c r="E45" i="39"/>
  <c r="E43" i="39"/>
  <c r="E41" i="39"/>
  <c r="E37" i="39"/>
  <c r="E35" i="39"/>
  <c r="E68" i="39"/>
  <c r="E71" i="39"/>
  <c r="E72" i="39"/>
  <c r="E73" i="39"/>
  <c r="E75" i="39"/>
  <c r="E79" i="39"/>
  <c r="E45" i="38"/>
  <c r="E43" i="38"/>
  <c r="E41" i="38"/>
  <c r="E39" i="38"/>
  <c r="E37" i="38"/>
  <c r="E35" i="38"/>
  <c r="E69" i="38"/>
  <c r="E72" i="38"/>
  <c r="E73" i="38"/>
  <c r="E74" i="38"/>
  <c r="E76" i="38"/>
  <c r="E80" i="38"/>
  <c r="E41" i="37"/>
  <c r="E38" i="37"/>
  <c r="E35" i="37"/>
  <c r="E69" i="37"/>
  <c r="E72" i="37"/>
  <c r="E74" i="37"/>
  <c r="E73" i="37"/>
  <c r="E76" i="37"/>
  <c r="E80" i="37"/>
  <c r="E41" i="36"/>
  <c r="E35" i="36"/>
  <c r="E38" i="36"/>
  <c r="E69" i="36"/>
  <c r="E72" i="36"/>
  <c r="E74" i="36"/>
  <c r="E73" i="36"/>
  <c r="E76" i="36"/>
  <c r="E80" i="36"/>
  <c r="E41" i="35"/>
  <c r="E38" i="35"/>
  <c r="E35" i="35"/>
  <c r="E69" i="35"/>
  <c r="E72" i="35"/>
  <c r="E74" i="35"/>
  <c r="E35" i="34"/>
  <c r="E69" i="34"/>
  <c r="E72" i="34"/>
  <c r="E73" i="35"/>
  <c r="E76" i="35"/>
  <c r="E80" i="35"/>
  <c r="E74" i="34"/>
  <c r="E73" i="34"/>
  <c r="E76" i="34"/>
  <c r="E80" i="34"/>
  <c r="E35" i="33"/>
  <c r="E68" i="33"/>
  <c r="E71" i="33"/>
  <c r="E73" i="33"/>
  <c r="E72" i="33"/>
  <c r="E75" i="33"/>
  <c r="E79" i="33"/>
  <c r="E47" i="32"/>
  <c r="E44" i="32"/>
  <c r="E41" i="32"/>
  <c r="E38" i="32"/>
  <c r="E35" i="32"/>
  <c r="E69" i="32"/>
  <c r="E72" i="32"/>
  <c r="E74" i="32"/>
  <c r="E41" i="31"/>
  <c r="E56" i="31"/>
  <c r="E53" i="31"/>
  <c r="E50" i="31"/>
  <c r="E47" i="31"/>
  <c r="E44" i="31"/>
  <c r="E38" i="31"/>
  <c r="E35" i="31"/>
  <c r="E73" i="32"/>
  <c r="E76" i="32"/>
  <c r="E80" i="32"/>
  <c r="E68" i="31"/>
  <c r="E71" i="31"/>
  <c r="E72" i="31"/>
  <c r="E50" i="30"/>
  <c r="E38" i="30"/>
  <c r="E41" i="30"/>
  <c r="E35" i="30"/>
  <c r="E69" i="30"/>
  <c r="E72" i="30"/>
  <c r="E73" i="30"/>
  <c r="E36" i="29"/>
  <c r="E70" i="29"/>
  <c r="E73" i="29"/>
  <c r="E74" i="29"/>
  <c r="E75" i="29"/>
  <c r="E45" i="28"/>
  <c r="E42" i="28"/>
  <c r="E39" i="28"/>
  <c r="E36" i="28"/>
  <c r="E70" i="28"/>
  <c r="E73" i="28"/>
  <c r="E51" i="27"/>
  <c r="E48" i="27"/>
  <c r="E42" i="27"/>
  <c r="E45" i="27"/>
  <c r="E36" i="27"/>
  <c r="E70" i="27"/>
  <c r="E73" i="27"/>
  <c r="E45" i="26"/>
  <c r="E42" i="26"/>
  <c r="E39" i="26"/>
  <c r="E36" i="26"/>
  <c r="E70" i="26"/>
  <c r="E73" i="26"/>
  <c r="E70" i="25"/>
  <c r="E73" i="25"/>
  <c r="E42" i="24"/>
  <c r="E39" i="24"/>
  <c r="E36" i="24"/>
  <c r="E45" i="24"/>
  <c r="E70" i="24"/>
  <c r="E73" i="24"/>
  <c r="E60" i="23"/>
  <c r="E57" i="23"/>
  <c r="E48" i="23"/>
  <c r="E54" i="23"/>
  <c r="E51" i="23"/>
  <c r="E45" i="23"/>
  <c r="E39" i="23"/>
  <c r="E42" i="23"/>
  <c r="E36" i="23"/>
  <c r="E66" i="23"/>
  <c r="E69" i="23"/>
  <c r="E48" i="22"/>
  <c r="E42" i="22"/>
  <c r="E36" i="22"/>
  <c r="E39" i="22"/>
  <c r="E45" i="22"/>
  <c r="E71" i="22"/>
  <c r="E74" i="22"/>
  <c r="E45" i="20"/>
  <c r="E42" i="20"/>
  <c r="E39" i="20"/>
  <c r="E74" i="21"/>
  <c r="E76" i="21"/>
  <c r="E36" i="20"/>
  <c r="E39" i="19"/>
  <c r="E36" i="19"/>
  <c r="E71" i="19"/>
  <c r="E74" i="19"/>
  <c r="E48" i="18"/>
  <c r="E36" i="18"/>
  <c r="E39" i="18"/>
  <c r="E42" i="18"/>
  <c r="E45" i="18"/>
  <c r="E71" i="18"/>
  <c r="E74" i="18"/>
  <c r="E42" i="17"/>
  <c r="E39" i="17"/>
  <c r="E36" i="17"/>
  <c r="E73" i="17"/>
  <c r="E76" i="17"/>
  <c r="E48" i="16"/>
  <c r="E45" i="16"/>
  <c r="E39" i="16"/>
  <c r="E36" i="16"/>
  <c r="E36" i="15"/>
  <c r="E73" i="15"/>
  <c r="E76" i="15"/>
  <c r="E78" i="15"/>
  <c r="E36" i="14"/>
  <c r="E39" i="14"/>
  <c r="E73" i="14"/>
  <c r="E76" i="14"/>
  <c r="E42" i="13"/>
  <c r="E39" i="13"/>
  <c r="E36" i="13"/>
  <c r="E42" i="12"/>
  <c r="E36" i="12"/>
  <c r="E39" i="12"/>
  <c r="E73" i="12"/>
  <c r="E76" i="12"/>
  <c r="E71" i="20"/>
  <c r="E74" i="20"/>
  <c r="E73" i="16"/>
  <c r="E76" i="16"/>
  <c r="E73" i="13"/>
  <c r="E76" i="13"/>
  <c r="E42" i="11"/>
  <c r="E39" i="11"/>
  <c r="E36" i="11"/>
  <c r="E75" i="11"/>
  <c r="E78" i="11"/>
  <c r="E45" i="10"/>
  <c r="E42" i="10"/>
  <c r="E36" i="10"/>
  <c r="E39" i="10"/>
  <c r="E42" i="9"/>
  <c r="E39" i="9"/>
  <c r="E36" i="9"/>
  <c r="E75" i="9"/>
  <c r="E78" i="9"/>
  <c r="E75" i="8"/>
  <c r="E78" i="8"/>
  <c r="E75" i="7"/>
  <c r="E78" i="7"/>
  <c r="E75" i="6"/>
  <c r="E78" i="6"/>
  <c r="E79" i="6"/>
  <c r="E75" i="4"/>
  <c r="E78" i="4"/>
  <c r="E75" i="10"/>
  <c r="E78" i="10"/>
  <c r="E79" i="7"/>
  <c r="E80" i="7"/>
  <c r="E82" i="7"/>
  <c r="E86" i="7"/>
  <c r="E79" i="4"/>
  <c r="E80" i="4"/>
  <c r="E75" i="20"/>
  <c r="E76" i="20"/>
  <c r="E78" i="20"/>
  <c r="E82" i="20"/>
  <c r="E74" i="24"/>
  <c r="E75" i="24"/>
  <c r="E77" i="24"/>
  <c r="E81" i="24"/>
  <c r="E75" i="18"/>
  <c r="E76" i="18"/>
  <c r="E78" i="18"/>
  <c r="E82" i="18"/>
  <c r="E74" i="27"/>
  <c r="E75" i="27"/>
  <c r="E77" i="27"/>
  <c r="E81" i="27"/>
  <c r="E78" i="16"/>
  <c r="E77" i="16"/>
  <c r="E80" i="16"/>
  <c r="E84" i="16"/>
  <c r="E75" i="19"/>
  <c r="E76" i="19"/>
  <c r="E78" i="19"/>
  <c r="E82" i="19"/>
  <c r="E79" i="8"/>
  <c r="E80" i="8"/>
  <c r="E78" i="12"/>
  <c r="E77" i="12"/>
  <c r="E80" i="12"/>
  <c r="E84" i="12"/>
  <c r="E80" i="11"/>
  <c r="E79" i="11"/>
  <c r="E82" i="11"/>
  <c r="E86" i="11"/>
  <c r="E75" i="25"/>
  <c r="E74" i="25"/>
  <c r="E77" i="25"/>
  <c r="E81" i="25"/>
  <c r="E78" i="14"/>
  <c r="E77" i="14"/>
  <c r="E80" i="14"/>
  <c r="E84" i="14"/>
  <c r="E77" i="17"/>
  <c r="E78" i="17"/>
  <c r="E80" i="17"/>
  <c r="E84" i="17"/>
  <c r="E79" i="10"/>
  <c r="E80" i="10"/>
  <c r="E82" i="10"/>
  <c r="E86" i="10"/>
  <c r="E75" i="22"/>
  <c r="E76" i="22"/>
  <c r="E78" i="22"/>
  <c r="E82" i="22"/>
  <c r="E79" i="9"/>
  <c r="E80" i="9"/>
  <c r="E77" i="13"/>
  <c r="E78" i="13"/>
  <c r="E80" i="13"/>
  <c r="E84" i="13"/>
  <c r="E70" i="23"/>
  <c r="E71" i="23"/>
  <c r="E73" i="23"/>
  <c r="E77" i="23"/>
  <c r="E74" i="26"/>
  <c r="E75" i="26"/>
  <c r="E77" i="26"/>
  <c r="E81" i="26"/>
  <c r="E74" i="28"/>
  <c r="E75" i="28"/>
  <c r="E77" i="28"/>
  <c r="E81" i="28"/>
  <c r="E82" i="4"/>
  <c r="E86" i="4"/>
  <c r="E77" i="15"/>
  <c r="E80" i="15"/>
  <c r="E84" i="15"/>
  <c r="E80" i="6"/>
  <c r="E82" i="6"/>
  <c r="E86" i="6"/>
  <c r="E75" i="21"/>
  <c r="E78" i="21"/>
  <c r="E82" i="21"/>
  <c r="E77" i="29"/>
  <c r="E81" i="29"/>
  <c r="E74" i="30"/>
  <c r="E76" i="30"/>
  <c r="E80" i="30"/>
  <c r="E73" i="31"/>
  <c r="E75" i="31"/>
  <c r="E79" i="31"/>
  <c r="E82" i="9"/>
  <c r="E86" i="9"/>
  <c r="E82" i="8"/>
  <c r="E86" i="8"/>
  <c r="E70" i="103" l="1"/>
  <c r="E69" i="103"/>
  <c r="E72" i="103" s="1"/>
  <c r="E76" i="103" s="1"/>
  <c r="E65" i="102"/>
  <c r="E68" i="102" s="1"/>
  <c r="E70" i="102"/>
  <c r="E69" i="102"/>
  <c r="E72" i="102" s="1"/>
  <c r="E76" i="102" s="1"/>
  <c r="E65" i="101"/>
  <c r="E68" i="101" s="1"/>
  <c r="E70" i="101"/>
  <c r="E69" i="101"/>
  <c r="E72" i="101" s="1"/>
  <c r="E76" i="101" s="1"/>
  <c r="E70" i="100"/>
  <c r="E69" i="100"/>
  <c r="E72" i="100" s="1"/>
  <c r="E76" i="100" s="1"/>
  <c r="E70" i="99"/>
  <c r="E69" i="99"/>
  <c r="E72" i="99" s="1"/>
  <c r="E76" i="99" s="1"/>
  <c r="E70" i="98"/>
  <c r="E69" i="98"/>
  <c r="E72" i="98" s="1"/>
  <c r="E76" i="98" s="1"/>
  <c r="E70" i="97"/>
  <c r="E69" i="97"/>
  <c r="E72" i="97" s="1"/>
  <c r="E76" i="97" s="1"/>
</calcChain>
</file>

<file path=xl/sharedStrings.xml><?xml version="1.0" encoding="utf-8"?>
<sst xmlns="http://schemas.openxmlformats.org/spreadsheetml/2006/main" count="2667" uniqueCount="692">
  <si>
    <t>NOTE D'HONORAIRES</t>
  </si>
  <si>
    <t>LISTE DES ACTIVITÉS POSSIBLE À FACTURER</t>
  </si>
  <si>
    <t xml:space="preserve"> - Rédaction de lettre pour envoie de documents aux gouvernements;</t>
  </si>
  <si>
    <t xml:space="preserve"> - Prise de connaissance et analyse des documents soumis;</t>
  </si>
  <si>
    <t>DESCRIPTIONS</t>
  </si>
  <si>
    <t>T.V.Q. # 1214451162TQ0001</t>
  </si>
  <si>
    <t>T.P.S.  # 849759626RT0001</t>
  </si>
  <si>
    <t>Facturation relativement aux travaux effectués, notamment:</t>
  </si>
  <si>
    <t>*** Payable sur réception.  Frais d’administration de 2 % par mois sur note d’honoraires passée due. ***</t>
  </si>
  <si>
    <t>MERCI DE VOTRE CONFIANCE POUR VISER JUSTE ET BIEN</t>
  </si>
  <si>
    <t xml:space="preserve"> - Rédaction d'un mémorandum fiscal pour mettre en place la réorganisation;</t>
  </si>
  <si>
    <t xml:space="preserve"> - Recherches et analyses fiscales requises pour mener à terme la réorganisation;</t>
  </si>
  <si>
    <t xml:space="preserve"> - Diverses discussions téléphoniques avec vous;</t>
  </si>
  <si>
    <t xml:space="preserve"> - Discussion avec un expert en taxes à la consommation pour les différents aspects de la réorganisation;</t>
  </si>
  <si>
    <t xml:space="preserve"> - Révision de la documentation juridique afférente à la présente réorganisation;</t>
  </si>
  <si>
    <t xml:space="preserve"> - Rencontre avec vous à nos bureaux;</t>
  </si>
  <si>
    <t xml:space="preserve"> - Préparation des formulaires de roulement requis;</t>
  </si>
  <si>
    <t>Consultation fiscale horaire</t>
  </si>
  <si>
    <t>Réorganisation</t>
  </si>
  <si>
    <t>Conformité</t>
  </si>
  <si>
    <t xml:space="preserve"> - Préparation de votre déclaration de revenu pour l'année d'imposition 2009;</t>
  </si>
  <si>
    <t xml:space="preserve"> - Préparation de votre déclaration de revenu ainsi que celle de votre conjoint pour l'année d'imposition 2009;</t>
  </si>
  <si>
    <t xml:space="preserve"> - Préparation de la déclaration de revenu de la société pour l'année d'imposition se terminant le xxx ;</t>
  </si>
  <si>
    <t xml:space="preserve"> - Divers calculs effectués;</t>
  </si>
  <si>
    <t xml:space="preserve"> - Lecture et rédaction de divers courriels;</t>
  </si>
  <si>
    <t xml:space="preserve"> - Discussions téléphoniques avec le conseiller juridique;</t>
  </si>
  <si>
    <t xml:space="preserve"> - Communication avec les gouvernements;</t>
  </si>
  <si>
    <t xml:space="preserve"> - Préparation de la déclaration de revenu de la fiducie pour l'année d'imposition se terminant le 31 décembre 2009;</t>
  </si>
  <si>
    <t xml:space="preserve"> - Rencontre avec vous pour la signature des documents préparés;</t>
  </si>
  <si>
    <t xml:space="preserve"> - Discussions téléphoniques avec vous ;</t>
  </si>
  <si>
    <t xml:space="preserve"> - Rencontre avec vous à nos bureaux relativement à xxx;</t>
  </si>
  <si>
    <t xml:space="preserve"> - Divers calculs effectués relativement à xxx;</t>
  </si>
  <si>
    <t xml:space="preserve"> - Préparation des formulaires de taxes requis;</t>
  </si>
  <si>
    <t xml:space="preserve"> - Lecture et rédaction de courriels dans le dossier de xxx;</t>
  </si>
  <si>
    <t xml:space="preserve"> - Lecture et rédaction de courriels ;</t>
  </si>
  <si>
    <t xml:space="preserve"> - Discussions téléphoniques avec vous relativement au dossier de xxx;</t>
  </si>
  <si>
    <t xml:space="preserve"> - Recherches et analyses fiscales relativement au dossier de xxx;</t>
  </si>
  <si>
    <t xml:space="preserve"> - 2ième révision de la T2 dans le dossier de xxx;</t>
  </si>
  <si>
    <t xml:space="preserve"> - Révision de la T2 de xxx et discussions avec les vérificateurs</t>
  </si>
  <si>
    <t xml:space="preserve"> - Recherche fiscale concernant le traitement fiscal de</t>
  </si>
  <si>
    <t xml:space="preserve"> - Révision de la T3 de xxx et discussions avec les vérificateurs</t>
  </si>
  <si>
    <t>N° FACTURE</t>
  </si>
  <si>
    <t>Frais de poste</t>
  </si>
  <si>
    <t>Autres frais</t>
  </si>
  <si>
    <t>Total avant taxes</t>
  </si>
  <si>
    <t>Total - Honoraires professionnels</t>
  </si>
  <si>
    <t>GRAND TOTAL</t>
  </si>
  <si>
    <t>SOMME DUE</t>
  </si>
  <si>
    <t>Sommes perçues d'avance (dépôt)</t>
  </si>
  <si>
    <t>*** Veuillez faire votre chèque à l'ordre de GC Fiscalité Plus Inc. Payable en ligne chez Desjardins et dans les institutions financières participantes.***</t>
  </si>
  <si>
    <t>Moreau, Boisselle, Brunelle &amp; Associés, SENCRL</t>
  </si>
  <si>
    <t>Le 28 février 2012</t>
  </si>
  <si>
    <t>ALAIN GIRARD</t>
  </si>
  <si>
    <t>4510 rue Papineau</t>
  </si>
  <si>
    <t>Montréal  Québec  H2H 1V1</t>
  </si>
  <si>
    <t># 12024</t>
  </si>
  <si>
    <t xml:space="preserve"> - Question reslativement à la production de T5 à une fiducie;</t>
  </si>
  <si>
    <t>Le 17 avril 2012</t>
  </si>
  <si>
    <t># 12065</t>
  </si>
  <si>
    <t xml:space="preserve"> - Dossier de don d'immeubles - recherches, discussions téléphoniques et courriels;</t>
  </si>
  <si>
    <t xml:space="preserve"> - Question re: vente d'immeuble et de terre vs résidence principale;</t>
  </si>
  <si>
    <t># 12077</t>
  </si>
  <si>
    <t>Le 3 mai 2012</t>
  </si>
  <si>
    <t>Le 17 septembre 2012</t>
  </si>
  <si>
    <t># 12154</t>
  </si>
  <si>
    <t xml:space="preserve"> - Révision des déclarations de revenus T2 du groupe de sociétés Alexcalibur;</t>
  </si>
  <si>
    <t>Le 23 octobre 2012</t>
  </si>
  <si>
    <t># 12165</t>
  </si>
  <si>
    <t xml:space="preserve"> - Dossier Groupe St-Michel;</t>
  </si>
  <si>
    <t xml:space="preserve"> - Analyse - dossier de Robert Martineau, discussion avec le notaire, vous et Robert Martineau, révision de la documentation juridique du notaire;</t>
  </si>
  <si>
    <t xml:space="preserve"> - Dossier de Assurance-expert Boiselle - discussion avec vous et Michel Taillefer, analyses et recherches;</t>
  </si>
  <si>
    <t xml:space="preserve"> - Dossier de Don McTavish;</t>
  </si>
  <si>
    <t>Le 17 décembre 2012</t>
  </si>
  <si>
    <t># 12207</t>
  </si>
  <si>
    <t xml:space="preserve"> - Dossier Groupe St-Michel - analyse supplémentaire, déplacement et rencontre avec le client à St-Michel;</t>
  </si>
  <si>
    <t xml:space="preserve"> - Dossier Michel Côté Pharmacien - analyse des cotisations, recherches, discussions avec cotiseur et vous;</t>
  </si>
  <si>
    <t xml:space="preserve"> - Dossier de Assurance-expert Boiselle - discussion avec vous;</t>
  </si>
  <si>
    <t xml:space="preserve"> - Dossier de Modlivco - impôt partie IV - rencontre;</t>
  </si>
  <si>
    <t>Le 28 janvier 2013</t>
  </si>
  <si>
    <t># 13009</t>
  </si>
  <si>
    <t xml:space="preserve"> - Dossier Michel Côté Pharmacien - discussions avec cotiseur et diverses représentations et discussions avec vous;</t>
  </si>
  <si>
    <t xml:space="preserve"> - Dossier de Modlivco - impact choix CDC non produit;</t>
  </si>
  <si>
    <t xml:space="preserve"> - Dossier Alexcalibur - rencontre au bureau;</t>
  </si>
  <si>
    <t xml:space="preserve"> - Dossier - Transfert de REER à l'ex-conjoint de fait;</t>
  </si>
  <si>
    <t># 13026</t>
  </si>
  <si>
    <t>Le 25 février 2013</t>
  </si>
  <si>
    <t xml:space="preserve"> - Dossier Michel Côté Pharmacien - discussions avec vous, analyse des nouveaux avis de cotisation, préparation à la rencontre, rencontre et déplacement pour rencontre chez le client, préparation de l'avis d'opposition et envoie au gouvernement, recherches concernant les intérêts sur remboursement à rembourser éventuellement ;</t>
  </si>
  <si>
    <t xml:space="preserve"> - Recherche registraire des entreprise vs obligation pour les fiducies;</t>
  </si>
  <si>
    <t xml:space="preserve"> - Question sur possibilité de ne pas imposer la location d'un appartement pour un employé</t>
  </si>
  <si>
    <t xml:space="preserve"> - Recherches sur l'impact de détenir une police d'assurance-vie par l'opérante mais bénéficaire = gesco;</t>
  </si>
  <si>
    <t xml:space="preserve"> - Dossier Michel Côté Pharmacien - discussions avec vous, discussions avec Dominique Larose, discussion avec Michel Taillefer pour cotisation en TPS/TVQ, préparation des avis d'opposition fédéral, analyse des cotisations reçues, divers échanges par courriel;</t>
  </si>
  <si>
    <t xml:space="preserve"> - Révision des T2 du groupe St-Michel;</t>
  </si>
  <si>
    <t xml:space="preserve"> - Question : don d'une grand-mère française;</t>
  </si>
  <si>
    <t>Le 25 mars 2013</t>
  </si>
  <si>
    <t># 13069</t>
  </si>
  <si>
    <t>Le 6 avril 2013</t>
  </si>
  <si>
    <t># 13079</t>
  </si>
  <si>
    <t xml:space="preserve"> - Groupe St-Michel - discussions et analyse de l'admissibilité à l'exonération et multiplication de l'exo;</t>
  </si>
  <si>
    <t xml:space="preserve"> - Discussions, analyses et recherches pour la notion de PBR négatif et applications dans Taxprep forms pour votre société;</t>
  </si>
  <si>
    <t xml:space="preserve"> - Recherches : terre agricole et traitement fiscal;</t>
  </si>
  <si>
    <t>Le 29 avril 2013</t>
  </si>
  <si>
    <t># 13113</t>
  </si>
  <si>
    <t xml:space="preserve"> - Analyse de madame qui a fait don des 2 immeubles vs imposition résidence principale;</t>
  </si>
  <si>
    <t xml:space="preserve"> - Analyse de déductibilité pour frais juridiques pour réclamer assurance-maladie;</t>
  </si>
  <si>
    <t>Le 28 juin 2013</t>
  </si>
  <si>
    <t># 13155</t>
  </si>
  <si>
    <t xml:space="preserve"> - Dossier de Michel Côté: démarches avec le gouvernement, recherches, sortir la jurisprudence requise pour défendre nos points, discussions avec vous et avec le gouvernement;</t>
  </si>
  <si>
    <t xml:space="preserve"> - Dossier Ferme Soucy: analyse de la transaction à faire, des critères d'exonérations, analyse des documents soumis, courriels, discussions téléphoniques;</t>
  </si>
  <si>
    <t xml:space="preserve"> - Révision Groupe Millenium Micro;</t>
  </si>
  <si>
    <t xml:space="preserve"> - Analyse de compagnies associés - groupe de Resto Longueuil;</t>
  </si>
  <si>
    <t xml:space="preserve"> - Question roulement par actions ordinaires;</t>
  </si>
  <si>
    <t>Frais de poste pour Michel Côté</t>
  </si>
  <si>
    <t>Le 26 août 2013</t>
  </si>
  <si>
    <t># 13191</t>
  </si>
  <si>
    <t xml:space="preserve"> - Dossier de Michel Côté: préparation, déplacement et rencontre avec le client, sortir les articles de loi demandés, courriels et téléphones concernant les prochaines démarches;</t>
  </si>
  <si>
    <t xml:space="preserve"> - Dossier Ferme Soucy: transmettre les directives au notaire, discussions téléphoniques avec vous et avec Me Bourdeau;</t>
  </si>
  <si>
    <t xml:space="preserve"> - Lessard - disc sur traitement du dividende sur la T2;</t>
  </si>
  <si>
    <t>Le 27 septembre 2013</t>
  </si>
  <si>
    <t># 13215</t>
  </si>
  <si>
    <t xml:space="preserve"> - Dossier Ferme Soucy: plusieurs discussions téléphoniques avec Alain, Sylvain, Daniel et Me Bourdeau, révision juridiques #1, #2, #3 et divers courriels pour tenter de régler les problématiques;</t>
  </si>
  <si>
    <t xml:space="preserve"> - Dossier de Michel Côté: préparation et rencontre avec le client, courriels et téléphones concernant les prochaines démarches, révision du document déposé par l'avocat, transmettre les informations requise à l'avocat et assurer le transfert de connaissance;</t>
  </si>
  <si>
    <t xml:space="preserve"> - Dossier de Transport St-Michel - emprunt par la compagnie et sortir l'argent - analyse, recherches fiscales et discussions;</t>
  </si>
  <si>
    <t xml:space="preserve"> - Dossier de Ferme Picard: analyse du dossier, recherches fiscales, préparation d'un mémorandum explicatif et discussions;</t>
  </si>
  <si>
    <t xml:space="preserve"> - Discussion - toiture N Legault - bateau de course;</t>
  </si>
  <si>
    <t>Le 23 octobre 2013</t>
  </si>
  <si>
    <t># 13232</t>
  </si>
  <si>
    <t xml:space="preserve"> - Discussion - CRTG et dividende excédentaire - Excalibur;</t>
  </si>
  <si>
    <t xml:space="preserve"> - Discussion - Réjean Huot - cotisation excédentaire REER;</t>
  </si>
  <si>
    <t>Le 10 décembre 2013</t>
  </si>
  <si>
    <t># 13258</t>
  </si>
  <si>
    <t xml:space="preserve"> - Question sur employé incorporé et résidence principale;</t>
  </si>
  <si>
    <t xml:space="preserve"> - Dossier M. Pitre - non résident et modifications possibles, discusssions avec vous, analyse et discussions avec des juristes;</t>
  </si>
  <si>
    <t xml:space="preserve"> - Logobec - révision des T2 et recherches entourant les crédits d'impôt à l'investissement, discussions et courriels;</t>
  </si>
  <si>
    <t xml:space="preserve"> - Dossier de Lalonde - problème d'actions émises, CDC et autres discussions, rencontre, courriels prise de connaissance;</t>
  </si>
  <si>
    <t># 13260</t>
  </si>
  <si>
    <t xml:space="preserve"> - Analyse concernant la meilleure structure à mettre en place suite à l'acquisition de Dionde;</t>
  </si>
  <si>
    <t>CHANTAL LUSSIER</t>
  </si>
  <si>
    <t>REMORQUAGE ST-MICHEL INC.</t>
  </si>
  <si>
    <t>340 ch. Pigeon</t>
  </si>
  <si>
    <t>Saint-Michel (Québec) J0L 2J0</t>
  </si>
  <si>
    <t xml:space="preserve"> - Diverses discussions téléphoniques et courriels avec vous, votre comptable et l'avocate et analyse pour répondre aux diverses questions;</t>
  </si>
  <si>
    <t xml:space="preserve"> - Vérification diligente fiscales pour l'acquisition de Dionde - révision des déclarations de revenus de 2010 à 2012 pour chacune des sociétés du groupe;</t>
  </si>
  <si>
    <t>Le 20 février 2014</t>
  </si>
  <si>
    <t># 14028</t>
  </si>
  <si>
    <t xml:space="preserve"> - Discussion avec vous - dividendes dans "Les Voilières"</t>
  </si>
  <si>
    <t xml:space="preserve"> - Dossier Brient - recherches et analyses sur critères Assurance-emploi;</t>
  </si>
  <si>
    <t xml:space="preserve"> - Dossier du Non résident qui se fait refuser la DAPE;</t>
  </si>
  <si>
    <t xml:space="preserve"> - Dossier de Boisselle - taxe compensatoire et crédit de taxes pour Cabinets en assurance de dommage;</t>
  </si>
  <si>
    <t xml:space="preserve"> - Dossier Alexcalibur - Impôt de la partie III.1 - prise de connaissance, recherches, discussions, texte explicatif;</t>
  </si>
  <si>
    <t># 14122</t>
  </si>
  <si>
    <t>Le 22 mai 2014</t>
  </si>
  <si>
    <t xml:space="preserve"> - Marc-Antoine Dion - changement d'usage d'un condo;</t>
  </si>
  <si>
    <t xml:space="preserve"> - Question - Yves-Marie Barbeau - forestier + Tableau vente immeuble partie résidence principale et locative;</t>
  </si>
  <si>
    <t xml:space="preserve"> - Question Lyne Mayer pour transfert de maisons aux enfants + disc avec notaires;</t>
  </si>
  <si>
    <t xml:space="preserve"> - Question Roger Dubé - rachat d'actions dans Électro;</t>
  </si>
  <si>
    <t xml:space="preserve"> - Question sur réduction générale pour société non résidente;</t>
  </si>
  <si>
    <t xml:space="preserve"> - Dossier Lacenes - planification fiscale avant vs après décès - analyse, disc avec vous et avec votre client;</t>
  </si>
  <si>
    <t xml:space="preserve"> - Question - Transport St-Michel vs achat de biens via fiducie et autres points sur la transactions;</t>
  </si>
  <si>
    <t xml:space="preserve"> - Dossier Alexcalibur - Impôt de la partie III.1 - travail d'analyse, de diverses communications avec le gouvernement, d'analyse des corrections proposées et différentes modifications, recherches, rédaction de la lettre de choix distinct, courriels et autres;</t>
  </si>
  <si>
    <t>Frais de poste recommandé pour Alexcalibur à venir</t>
  </si>
  <si>
    <t xml:space="preserve"> - Dossier Lalonde et Brient: vérifier infos sur T5 en février, discussions sur récupération d'amortissement, IMRTD vs dividende non payé, révisions de toutes les sociétés du groupe, analyse pour déterminer les planifications potentielles à mettre en place, discussions avec le client sur les planifications, revoir la planification pour avoir suffisamment de CDC, recherches fiscales sur l'application du PBR lors bien partiel vendu, recherches sur le traitement fiscal des intérêts et impôts fonciers vs terrains vacants, disc avec Nathalie sur traitement fiscal de revente de terrain vs achat de Fruits et Passion;</t>
  </si>
  <si>
    <t>Le 10 juillet 2014</t>
  </si>
  <si>
    <t># 14150</t>
  </si>
  <si>
    <t xml:space="preserve"> - Discussions sur charte fédérale vs entrepreneur Alberta;</t>
  </si>
  <si>
    <t xml:space="preserve"> - Discussion - prescription d'un particulier;</t>
  </si>
  <si>
    <t xml:space="preserve"> - Alexcalibur - démarches avec le gouvernement pour faire libérer le remboursement de taxes;</t>
  </si>
  <si>
    <t xml:space="preserve"> - Transport St-Michel vs utilisation de la fiducie;</t>
  </si>
  <si>
    <t>Le 22 juillet 2014</t>
  </si>
  <si>
    <t># 14180</t>
  </si>
  <si>
    <t xml:space="preserve"> - Dossier Alexcalibur - révision du CRTG - annexes 53 et 55 et corrections et discussion téléphonique;</t>
  </si>
  <si>
    <t xml:space="preserve"> - Ferme Picard - révision juridique des documents;</t>
  </si>
  <si>
    <t>Le 3 septembre 2014</t>
  </si>
  <si>
    <t xml:space="preserve"> - Recherche pénalité pour production tardive - fiducie de Sylvain Oligny;</t>
  </si>
  <si>
    <t xml:space="preserve"> - Dossier Alexcalibur - sortir 2M$ de la société;</t>
  </si>
  <si>
    <t xml:space="preserve"> - Dossier de client qui ferme ses portes avec 100 000$ de pertes;</t>
  </si>
  <si>
    <t xml:space="preserve"> - Dossier Ty-Coq - succession et planifications potentielles - analyse et discussions;</t>
  </si>
  <si>
    <t># 14200</t>
  </si>
  <si>
    <t>Le 26 septembre 2014</t>
  </si>
  <si>
    <t># 14228</t>
  </si>
  <si>
    <t xml:space="preserve"> - Discussion - ferme soucy;</t>
  </si>
  <si>
    <t xml:space="preserve"> - Disc sur 9052-3903 - perte et avance admin + réflexions et recherches;</t>
  </si>
  <si>
    <t xml:space="preserve"> - Discussion Ty-Coq ;</t>
  </si>
  <si>
    <t xml:space="preserve"> - Discussion sur 2 frère qui veulent sortir l'immeuble;</t>
  </si>
  <si>
    <t xml:space="preserve"> - Dossier de rodrigue lafrance - répartition du prix de vente - résidence principale vs shop ébéniste;</t>
  </si>
  <si>
    <t xml:space="preserve"> - Analyse - Utilisation pertes 9266-0679;</t>
  </si>
  <si>
    <t>Le 20 novembre 2014</t>
  </si>
  <si>
    <t># 14256</t>
  </si>
  <si>
    <t xml:space="preserve"> - Discussions et analyse pour transporteur au Nouveau Brunswick vs impôt provincial;</t>
  </si>
  <si>
    <t xml:space="preserve"> - Question Logobec;</t>
  </si>
  <si>
    <t xml:space="preserve"> - Rencontre pour dossier de Maurice Duquette;</t>
  </si>
  <si>
    <t xml:space="preserve"> - Question de Fabienne vs TED vs R&amp;D;</t>
  </si>
  <si>
    <t>Le 11 décembre 2014</t>
  </si>
  <si>
    <t># 14270</t>
  </si>
  <si>
    <t xml:space="preserve"> - Discussion téléphonique pour dossier de Maurice Duquette;</t>
  </si>
  <si>
    <t>*** Veuillez faire votre chèque à l'ordre de GC Fiscalité Plus Inc. Payable en ligne dans les institutions financières participantes.***</t>
  </si>
  <si>
    <t>*** Payable sur réception.  Frais d’administration de 24 % par année sur note d’honoraires passée due. ***</t>
  </si>
  <si>
    <t>Le 20 février 2015</t>
  </si>
  <si>
    <t>4510 rue Papineau
Montréal  Québec  H2H 1V1</t>
  </si>
  <si>
    <t># 15014</t>
  </si>
  <si>
    <t xml:space="preserve"> - Analyses, recherches fiscales et discussions au sujet de la réorganisation dans Moreau Boisselle vs départ d'un associé;</t>
  </si>
  <si>
    <t xml:space="preserve"> -  Dossier Ty-Coq - analyses, recherches, rédaction de courriels, révision juridique et discussions;</t>
  </si>
  <si>
    <t xml:space="preserve"> - Recherche sur T1135 - Michel Desmarais;</t>
  </si>
  <si>
    <t xml:space="preserve"> - Recherche pour délai d'opposition dépassé et discussions;</t>
  </si>
  <si>
    <t xml:space="preserve"> - Recherche pour Yvon Boisselle - prestation consécutive au décès dans une SENC et dans une compagnie de gestion;</t>
  </si>
  <si>
    <t xml:space="preserve"> - Discussion au sujet de l'utilisation de l'IMRTD à récupérer dans une société vs fusion;</t>
  </si>
  <si>
    <t>Le 5 mai 2015</t>
  </si>
  <si>
    <t># 15088</t>
  </si>
  <si>
    <t xml:space="preserve"> - Dossier Ty-Coq - imposition de la succession;</t>
  </si>
  <si>
    <t xml:space="preserve"> - Dossier remorquage St-Michel - catégorie d'amortissement, dividende, association, questions sur la T2 et traitement des frais d'acquisition de Dionde;</t>
  </si>
  <si>
    <t xml:space="preserve"> - Dossier Lacunes - question d'imposition des revenus d'intérêts courus;</t>
  </si>
  <si>
    <t xml:space="preserve"> - Question de T3 à produire ou non et pénalité pour production tardive;</t>
  </si>
  <si>
    <t xml:space="preserve"> - Dossier Maurice Duquette - discussions avec vous, discussions avec le gouvernement, autorisations + début de lecture;</t>
  </si>
  <si>
    <t xml:space="preserve"> - Discussions - rachat Pierre Roy;</t>
  </si>
  <si>
    <t xml:space="preserve"> - Analyse de conversion de duplex en condo - Yvan Cloutier;</t>
  </si>
  <si>
    <t xml:space="preserve"> - Question de non-résidente vs impact d'émigration;</t>
  </si>
  <si>
    <t>Le 9 juin 2015</t>
  </si>
  <si>
    <t># 15121</t>
  </si>
  <si>
    <t xml:space="preserve"> - Question - dossier de Pierre Lévesque de contre-lettre;</t>
  </si>
  <si>
    <t xml:space="preserve"> - Dossier de Maurice Duquette - analyse de documents du vérificateur et discussion avec vous;</t>
  </si>
  <si>
    <t xml:space="preserve"> - Pénalité pour médecin vs déductibilité;</t>
  </si>
  <si>
    <t xml:space="preserve"> - Discussion pour dossier de Danielle pour vente d'un Usufruit;</t>
  </si>
  <si>
    <t xml:space="preserve"> - Remorquage St-Michel - question d'IMRTD;</t>
  </si>
  <si>
    <t># 15123</t>
  </si>
  <si>
    <t xml:space="preserve"> - Dossier de Lalonde et Brient - discussion sur fusion, révision des déclarations de revenus de toutes les sociétés du groupe et recherches fiscales (entre autre sur les retenues sur contrats);</t>
  </si>
  <si>
    <t>Le 1er juillet 2015</t>
  </si>
  <si>
    <t># 15138</t>
  </si>
  <si>
    <t xml:space="preserve"> - Dossier de Maurice Duquette - analyse, rencontre, discussions et courriels avec vous et avec le vérificateur;</t>
  </si>
  <si>
    <t xml:space="preserve"> - Dossier Otemheimer - traitement fiscal des pertes;</t>
  </si>
  <si>
    <t>Le 6 octobre 2015</t>
  </si>
  <si>
    <t># 15189</t>
  </si>
  <si>
    <t xml:space="preserve"> - Dossier de Maurice Duquette - analyse, discussions et courriels avec vous et avec le vérificateur et l'agent d'opposition;</t>
  </si>
  <si>
    <t xml:space="preserve"> - Discussion avec vous sur la mise à part de l'argent;</t>
  </si>
  <si>
    <t xml:space="preserve"> - Question Alexcution et le crédit d'impôt étranger;</t>
  </si>
  <si>
    <t xml:space="preserve"> - Demandes de renseignements dans le dossier de AssurExpert Boiselle / Georges Boisselle;</t>
  </si>
  <si>
    <t># 15246</t>
  </si>
  <si>
    <t>Le 5 décembre 2015</t>
  </si>
  <si>
    <t xml:space="preserve"> - Discussion téléphonique sur utilisation des pertes contre impôt de la partie IV ;</t>
  </si>
  <si>
    <t xml:space="preserve"> - Discussion téléphonique sur cliente qui loue un appart à Montréal et studio de danse ;</t>
  </si>
  <si>
    <t xml:space="preserve"> - Dossier de Aviation St-Michel - recherche pour traitement du paiement incitatif pour bail de l'hélicoptère ;</t>
  </si>
  <si>
    <t xml:space="preserve"> - Dossier de Michel Desmarais - recherches sur détention d'actions de sociétés privées via REER ;</t>
  </si>
  <si>
    <t>Le 29 janvier 2016</t>
  </si>
  <si>
    <t># 16008</t>
  </si>
  <si>
    <t xml:space="preserve"> - Question - pénalité sur cassure d'hypothèque ;</t>
  </si>
  <si>
    <t xml:space="preserve"> - Dossier de la pharmacienne - discussions et recherches ;</t>
  </si>
  <si>
    <t xml:space="preserve"> - Question - Boucherie Sevelin ;</t>
  </si>
  <si>
    <t>Le 31 mars 2016</t>
  </si>
  <si>
    <t># 16032</t>
  </si>
  <si>
    <t xml:space="preserve"> - Dossier de Duquette - analyses et discussions avec vous et avec le gouvernement ;</t>
  </si>
  <si>
    <t xml:space="preserve"> - Discussion - dossier de Force et forme - vente de BIA ;</t>
  </si>
  <si>
    <t xml:space="preserve"> - Analyse du dossier de Fiducie du Plaisir de Lyse-Anne - révision de T3 et discussion ;</t>
  </si>
  <si>
    <t xml:space="preserve"> - Analyse et recherche sur possibilité de cotiser aux REER après 71 ans + courriel sommaire ;</t>
  </si>
  <si>
    <t xml:space="preserve"> - Entreprises Lacenes vs CRTG erroné ;</t>
  </si>
  <si>
    <t xml:space="preserve"> - Dossier de Mme Pilon vs revenu US - analyse, recherche et validation avec spécialiste US ;</t>
  </si>
  <si>
    <t>Le 31 mai 2016</t>
  </si>
  <si>
    <t># 16122</t>
  </si>
  <si>
    <t xml:space="preserve"> - Discussion téléphonique et analyse des règles de perte en capital pour créance irrécouvrable ;</t>
  </si>
  <si>
    <t xml:space="preserve"> - Dossier Lalonde et Brient - discussions téléphoniques sur gain en capital, fusion et dividendes, vérification T2 de toutes les sociétés du groupe, rencontre avec vous, préparation d'un sommaire de recommandations ;</t>
  </si>
  <si>
    <t xml:space="preserve"> - Dossier avec Lyse-Anne - Analyses, courriels et discussions dans le dossier de la succession Pierre Jetté ;</t>
  </si>
  <si>
    <t xml:space="preserve"> - Discussion téléphonique et recherches pour frais de repas payés par employeur et courriel ;</t>
  </si>
  <si>
    <t xml:space="preserve"> - Question sur cotisation REER vs client de 65 ans ;</t>
  </si>
  <si>
    <t xml:space="preserve"> - Question de Lyse-Anne sur organisme de bienfaisance vs obligation de produire T1030Qc ;</t>
  </si>
  <si>
    <t xml:space="preserve"> - Rencontre avec vous pour les dossiers de Yvan Cloutier, Louise Massicotte et Daniel Soucy ;</t>
  </si>
  <si>
    <t>Le 8 septembre 2016</t>
  </si>
  <si>
    <t># 16195</t>
  </si>
  <si>
    <t xml:space="preserve"> - Dossier de Réjean Provencher - fermer une société / fusion ;</t>
  </si>
  <si>
    <t xml:space="preserve"> - Dossier d'avantage imposable de Jacques Girard ;</t>
  </si>
  <si>
    <t xml:space="preserve"> - Dossier du Dr Duquette - opposition en cours avec avocat ;</t>
  </si>
  <si>
    <t xml:space="preserve"> - Discussion téléphonique sur fractionnement avec enfants mineurs ;</t>
  </si>
  <si>
    <t>Le 5 Octobre 2016</t>
  </si>
  <si>
    <t># 16221</t>
  </si>
  <si>
    <t xml:space="preserve"> - Recherche pour possibilité de modifier les déclarations passées avec modification DPA ;</t>
  </si>
  <si>
    <t xml:space="preserve"> - Discussion sur dossier Ty-Coq ;</t>
  </si>
  <si>
    <t xml:space="preserve"> - Préparation de votre formation en fiscalité et présentation ;</t>
  </si>
  <si>
    <t>Le 24 novembre 2016</t>
  </si>
  <si>
    <t># 16251</t>
  </si>
  <si>
    <t xml:space="preserve"> - Dossier Transport Sylvestre et modification de T2 ;</t>
  </si>
  <si>
    <t xml:space="preserve"> - Dossier Logobec vs CDC ;</t>
  </si>
  <si>
    <t xml:space="preserve"> - Analyse et discussions - Dossier Bertrand Lamoureux ;</t>
  </si>
  <si>
    <t>Le 13 décembre 2016</t>
  </si>
  <si>
    <t># 16279</t>
  </si>
  <si>
    <t xml:space="preserve"> - Courriel + tel avec Lyse-Anne pour imposition du revenu de placement vs fin d'année autre que 31-12-2015 ;</t>
  </si>
  <si>
    <t xml:space="preserve"> - Analyse CDC - dossier Logobec et discussions avec vous ;</t>
  </si>
  <si>
    <t xml:space="preserve"> - Révision du dossier de T2 de Gestion L&amp;Y Cardinal et discussion téléphonique avec Lyse-Anne ;</t>
  </si>
  <si>
    <t>Le 22 décembre 2016</t>
  </si>
  <si>
    <t># 16286</t>
  </si>
  <si>
    <t xml:space="preserve"> - Question de Lyse-anne sur l'imposition du revenu locatif vs limitation de dpa et sur revenu actif de sociétés associées + question sur perte de valeur de bâtisse comptable ;</t>
  </si>
  <si>
    <t>MBBA S.E.N.C.R.L.</t>
  </si>
  <si>
    <t>Le 6 février 2017</t>
  </si>
  <si>
    <t># 17004</t>
  </si>
  <si>
    <t xml:space="preserve"> - Tel avec Lyse-Anne pour T1135 vs bien immobilier ;</t>
  </si>
  <si>
    <t xml:space="preserve"> - Demande d'Alain - impact de réorganisation Rio Tinto ;</t>
  </si>
  <si>
    <t xml:space="preserve"> - Révision des impôts futurs de Lyse-Anne - HEB3716 ;</t>
  </si>
  <si>
    <t>Le 17 mars 2017</t>
  </si>
  <si>
    <t># 17035</t>
  </si>
  <si>
    <t xml:space="preserve"> - Demande de Lyse-Anne - client qui achète de l'immobilier - façon d'acheter ;</t>
  </si>
  <si>
    <t xml:space="preserve"> - Dossier de LaPrairie avec Robert Arbour - Bru2226 - Discussions téléphoniques, analyses, recherches, rencontre avec le client, etc ;</t>
  </si>
  <si>
    <t xml:space="preserve"> - Courriel et recherches sur retenue d'impôt pour non-résident et formulaires à compléter - demande de Lyse-Anne</t>
  </si>
  <si>
    <t xml:space="preserve"> - Dossier de Dr Duquette avec Alain vs achat d'immeuble ;</t>
  </si>
  <si>
    <t xml:space="preserve"> - Question de lyse-anne sur frais de repas vs exception de refacturé au client ;</t>
  </si>
  <si>
    <t xml:space="preserve"> - Question d'Alain sur rémunération conjointe de Georges Boisselle ;</t>
  </si>
  <si>
    <t xml:space="preserve"> - Dossier de la Ferme Soucy - Recherches, analyses et discussions téléphoniques ;</t>
  </si>
  <si>
    <t xml:space="preserve"> - Question de Lyse-Anne sur incorporation d'un courtier hypothécaire de Desjardins vs EPSP ;</t>
  </si>
  <si>
    <t xml:space="preserve"> - Question de lyse-anne pour exonération de résidence principale pour succession ; </t>
  </si>
  <si>
    <t xml:space="preserve"> - Dossier de Lalonde et Brient - discussion sur fusion, révision des déclarations de revenus de toutes les sociétés du groupe et recherches fiscales ;</t>
  </si>
  <si>
    <t xml:space="preserve"> - Question de Lyse-Anne pour étudiant NR et revenus gagnés à l'international;</t>
  </si>
  <si>
    <t>Le 30 mars 2017</t>
  </si>
  <si>
    <t># 17099</t>
  </si>
  <si>
    <t>Le 27 avril 2017</t>
  </si>
  <si>
    <t xml:space="preserve"> - Dossier Honda Laval avec Robert Arbour - analyse des planifications fiscales à faire, discussions téléphoniques et courriels ;</t>
  </si>
  <si>
    <t xml:space="preserve"> - Question de Robert Arbour pour Stéphane Gariépy pour crédit Rénovert ;</t>
  </si>
  <si>
    <t xml:space="preserve"> - Discussion avec Alain sur principe d'intégration - salaire vs dividende ;</t>
  </si>
  <si>
    <t xml:space="preserve"> - Question de Lyse-Anne sur revenus actifs vs passifs ;</t>
  </si>
  <si>
    <t xml:space="preserve"> - Dossier avec Lyse-Anne - Analyse des sociétés associées dans le groupe de Placements Hebden ;</t>
  </si>
  <si>
    <t xml:space="preserve"> - Dossier avec Lyse-Anne - analyse des dispositions d'immobilisations dans le dossier d'Excavation Patrice Couture ;</t>
  </si>
  <si>
    <t xml:space="preserve"> - Dossier avec Lyse-Anne - fonctionnement le l'imposition des revenus par province vs Ontario ;</t>
  </si>
  <si>
    <t xml:space="preserve"> - Discussions avec Alain sur entreprise agricole et recherches pour comptabilité de caisse et divers ajustements agricoles ;</t>
  </si>
  <si>
    <t xml:space="preserve"> - Question d'Alain sur dossier de Réjean Lessard vs traitement fiscal de dépenses agricoles ;</t>
  </si>
  <si>
    <t xml:space="preserve"> - Crédit - Dossier Honda Ste-Rose avec Robert Arbour - analyse des planifications fiscales à faire - facturé direct au client ;</t>
  </si>
  <si>
    <t xml:space="preserve"> - Analyse de sociétés associées pour Robert - Groupe Allard-Ménard</t>
  </si>
  <si>
    <t xml:space="preserve"> - Discussion avec Lyse-Anne sur client RH qui sont en SENC et optimisation fiscale ;</t>
  </si>
  <si>
    <t xml:space="preserve"> - Question de Robert sur Non-résident qui reçoit PSV et RRQ et impôt retenu à la source vs choix de l'article 217 ;</t>
  </si>
  <si>
    <t>Le 16 mai 2017</t>
  </si>
  <si>
    <t># 17111</t>
  </si>
  <si>
    <t>Le 1er juillet 2017</t>
  </si>
  <si>
    <t># 17133</t>
  </si>
  <si>
    <t xml:space="preserve"> - Demande de Lyse-Anne sur CRTG lors de fusion - 19 mai;</t>
  </si>
  <si>
    <t xml:space="preserve"> - Question de Lyse-Anne sur CDC et fonctionnement - 23 mai;</t>
  </si>
  <si>
    <t xml:space="preserve"> - Question de Lyse-Anne sur le crédit à l'investissement sur matériel de fabrication - transformation - 23 mai ;</t>
  </si>
  <si>
    <t xml:space="preserve"> - Questions de Lyse-Anne sur client SENC en RH - 25 mai;</t>
  </si>
  <si>
    <t xml:space="preserve"> - Question de Lyse-Anne sur Gestion François et Louise Cousineau - dossier de rachat - 5-6 juin ;</t>
  </si>
  <si>
    <t xml:space="preserve"> - Analyse des sociétés associées - Groupe LA Hébert - 7 juin ;</t>
  </si>
  <si>
    <t xml:space="preserve"> - Recherche - traitement de l'incitatif à la location - dossier de Variété Montréal-Nord et courriel - 22 juin ;</t>
  </si>
  <si>
    <t xml:space="preserve"> - Analyse de la T2 de Les Jardins Paul Cousineau &amp; Fils, recherches fiscales, discussions téléphoniques, travail sur le capital imposable - capital versé, plafond des affaires, réduction du capital pour entreprise agricole, etc - 26-28 juin ;</t>
  </si>
  <si>
    <t xml:space="preserve"> - Question de Lyse-Anne sur traitement de catégorie fiscale d'amortissement pour un Pick-up + TPS/TVQ - dossier Les soudures Duphily - 26-27 juin ;</t>
  </si>
  <si>
    <t>Temps</t>
  </si>
  <si>
    <t>Taux horaires</t>
  </si>
  <si>
    <t>Le 25 août 2017</t>
  </si>
  <si>
    <t># 17186</t>
  </si>
  <si>
    <t xml:space="preserve"> - Dossier Construction Jasmont - Analyse de report d'imposition sur vente de terrain - Robert ;</t>
  </si>
  <si>
    <t xml:space="preserve"> - Dossier Palex - Analyse de planification salaire/dividende - Alain ;</t>
  </si>
  <si>
    <t xml:space="preserve"> - Dossier Ferme Soucy - solution en cas de décès et optimisation fiscale - Alain ;</t>
  </si>
  <si>
    <t xml:space="preserve"> - Variété Montréal-Nord - traitement de l'incitatif reçu - Alain;</t>
  </si>
  <si>
    <t>Le 13 novembre 2017</t>
  </si>
  <si>
    <t># 17240</t>
  </si>
  <si>
    <t>2030 Boulevard Pie-IX
Montréal (Québec) H1V 2C8</t>
  </si>
  <si>
    <t xml:space="preserve"> - Question d'Alain sur vente de condu US dans le dossier de Michel Desmarais ;</t>
  </si>
  <si>
    <t xml:space="preserve"> - Question de Lyse-Anne sur traitement de l'annexe 10 vs catégorie 14.1 - Client TRA3910 ;</t>
  </si>
  <si>
    <t xml:space="preserve"> - Question de Robert - Allocation de retraite + tel du client - BRU2148 ;</t>
  </si>
  <si>
    <t xml:space="preserve"> - Préparation et présentation de la Formation en fiscalité pour MBBA ;</t>
  </si>
  <si>
    <t xml:space="preserve"> - Question de Lyse-Anne - Dissolution - Client HEB3760 ;</t>
  </si>
  <si>
    <t xml:space="preserve"> - Dossier de Robert - Jacques Plante - Analyse des différents documents soumis, diverses discussion, analyse de la meilleure structure possible ;</t>
  </si>
  <si>
    <t xml:space="preserve"> - Question d'Alain - Client décédé vs actions à 50% dans une société ;</t>
  </si>
  <si>
    <t xml:space="preserve"> - Recherche démolition de bâtisse - Contstruction Roussillon - HEB3716 ;</t>
  </si>
  <si>
    <t xml:space="preserve"> - Question de Robert - Cotisation REER au fond de pension de la Police Richelieu St-Laurent - BRU2169</t>
  </si>
  <si>
    <t xml:space="preserve"> - Question d'Alain - Avantage imposable aux enfants pour voyages - AssurExpert Boisselle ;</t>
  </si>
  <si>
    <t># 17256</t>
  </si>
  <si>
    <t xml:space="preserve"> - Dossier de Excalibur - exonération pour résidence principale ;</t>
  </si>
  <si>
    <t xml:space="preserve"> - Question sur traitement fiscal des bureaux à domicile vs exonération résidence principale - Alain ;</t>
  </si>
  <si>
    <t xml:space="preserve"> - Analyse de sociétés associées - Groupe Vegco - question d'Alain + recherches sur critères qui ont des impacts fiscaux de sociétés associées ;</t>
  </si>
  <si>
    <t xml:space="preserve"> - Question de Alain sur Jean Boyer vs transfert à sa fille - courriel + téléphone ;</t>
  </si>
  <si>
    <t xml:space="preserve"> - Dossier de Distribution Lion - Transitec vs acquisition de contrôle lors de transfert à neveu ;</t>
  </si>
  <si>
    <t xml:space="preserve"> - Question d'Alain - Claude Lessard - structure d'achat de l'écurie ;</t>
  </si>
  <si>
    <t>Le 27 novembre 2017</t>
  </si>
  <si>
    <t>Le 18 décembre 2017</t>
  </si>
  <si>
    <t xml:space="preserve"> - Dossier Onipro - Exception pour sociétés associées et RS&amp;DE ;</t>
  </si>
  <si>
    <t># 17275</t>
  </si>
  <si>
    <t xml:space="preserve"> - Ascenceurs Viau - Toute la problématique des terrains en Arizona transférés à la société ;</t>
  </si>
  <si>
    <t xml:space="preserve"> - NPI4033 - Discussions avec Lyse-Anne sur stratégie d'acquisition d'actions et contrats de ventes &amp; clauses d'ajustement ;</t>
  </si>
  <si>
    <t xml:space="preserve"> - 9214-1837 - Analyse des impacts fiscaux pour la liquidation - dossier de Lyse-Anne ;</t>
  </si>
  <si>
    <t xml:space="preserve"> - Question de Lyse-Anne sur CO-771 et nombre d'heures d'employés ;</t>
  </si>
  <si>
    <t xml:space="preserve"> - BRU2226 - Analyse pour voir ce qu'il y a de possible pour verser intérêts vs dividendes pour chinois ;</t>
  </si>
  <si>
    <t>Le 1er février 2018</t>
  </si>
  <si>
    <t xml:space="preserve"> - Dossier d'analyse de la meilleure planification fiscale possible dans le dossier de la ferme Soucy - dossier avec Alain Girard -  diverses recherches fiscales et diverses discussions téléphoniques ;</t>
  </si>
  <si>
    <t xml:space="preserve"> - Dossier de Danielle Ste-Marie avec Alain - analyses d'impacts fiscaux sur plusieurs aspects;</t>
  </si>
  <si>
    <t xml:space="preserve"> - Discussion sur divers sujets avec Lyse-Anne ;</t>
  </si>
  <si>
    <t xml:space="preserve"> - Demande d'Alain relatif à l'imposition des TEC - bureau d'avocat ;</t>
  </si>
  <si>
    <t xml:space="preserve"> - Dossier Ascenceurs Viau - T1135 et voiture de collection perte totale ;</t>
  </si>
  <si>
    <t xml:space="preserve"> - Dossier de Cotisation excédentaire de Dong Min - ARB8170 ;</t>
  </si>
  <si>
    <t>#18002</t>
  </si>
  <si>
    <t>Le 23 février 2018</t>
  </si>
  <si>
    <t>#18040</t>
  </si>
  <si>
    <t xml:space="preserve"> - Traitement d'une liquidation - 9214-1837 Québec inc avec Lyse-Anne ;</t>
  </si>
  <si>
    <t xml:space="preserve"> - Dossier de PTPE pour Enzyme Jus Pressé à Froid - recherches fiscales, fournir les lettres modèles, discussions téléphoniques, sommaires par courriel, etc. avec Lyse-Anne ;</t>
  </si>
  <si>
    <t xml:space="preserve"> - Analyse et rédactions de courriels dans le dossier BRU2154 - radiation de créances avec Robert ;</t>
  </si>
  <si>
    <t>Le 25 mars 2018</t>
  </si>
  <si>
    <t>#18046</t>
  </si>
  <si>
    <t xml:space="preserve"> - Question de Lyse-Anne - tp1086 - quand compléter + Question sur exonération lors de vente du duplex de Carmen Moral ;</t>
  </si>
  <si>
    <t>Le 27 avril 2018</t>
  </si>
  <si>
    <t>#18125</t>
  </si>
  <si>
    <t xml:space="preserve"> - Dossier de Spades &amp; Spalacio avec Lyse-Anne, tel avec Lyse-Anne et tel conférence avec clients et Lyse-Anne pour discuter des risques de EPSP et structure de rémunérations vs sous-traitant;</t>
  </si>
  <si>
    <t xml:space="preserve"> - Question de BRU 2169 - régie de police sur REER de français et grief et étalement du revenu + révision des différents formulaires produits et commentaires/corrections ;</t>
  </si>
  <si>
    <t xml:space="preserve"> - Analyse des documents pour PTPE + dicussion - Pascale et Jocelyn - Enzyme avec Lyse-Anne ;</t>
  </si>
  <si>
    <t xml:space="preserve"> - Discussion avec Alain sur dossier de Aux Saveurs de Sévelin - intégration d'un actionnaire et autres ;</t>
  </si>
  <si>
    <t xml:space="preserve"> - Questions de Alain sur imposition du compte de Stabilisation du revenu de Robert St-Jacques et dossier de Nada Assi ;</t>
  </si>
  <si>
    <t xml:space="preserve"> - Question de Alain sur dossier de Michel Desmarais - perte sur condo personnel aux US ;</t>
  </si>
  <si>
    <t>Le 14 JUIN 2018</t>
  </si>
  <si>
    <t>#18148</t>
  </si>
  <si>
    <t xml:space="preserve"> - Analyse PNI et sociétés associées ;</t>
  </si>
  <si>
    <t xml:space="preserve"> - Dossier Ferme Soucy - téléphone avec Alain, le notaire et réflexions pour empêcher mère de donner ;</t>
  </si>
  <si>
    <t xml:space="preserve"> - Demande de Lyse-Anne sur un dividende plus élevé que les BNR ;</t>
  </si>
  <si>
    <t xml:space="preserve"> - Question pour Groupe Vegco et les dépenses de congrès et recherches + courriel sommaire ;</t>
  </si>
  <si>
    <t xml:space="preserve"> - Question de Lyse-Anne d'avances au 28/02 vs dividende à déclarer ;</t>
  </si>
  <si>
    <t xml:space="preserve"> - Question pour bail copropriété dans le dossier de Jardins Cousineau ;</t>
  </si>
  <si>
    <t xml:space="preserve"> - Révision de toutes les T2 du groupe de société de Les Entreprises Lalonde et Brient, discussions et voir le rachat d'actions à faire préparer vs dividende réputé déclaré sur T5 vs CV des actions ;</t>
  </si>
  <si>
    <t>Le 17 Juillet 2018</t>
  </si>
  <si>
    <t>#18166</t>
  </si>
  <si>
    <t xml:space="preserve"> - Analyse du projet de cotisation pour appropriation de fonds de Patrick Wittmer vs transfert de terrain &gt; JVM &amp; répondre aux questions par courriel - Dossier Honda Ste-Rose ;</t>
  </si>
  <si>
    <t xml:space="preserve"> - Révision de T2 de Les jardins cousineau, divers échanges et recherches fiscales sur ajustements au revenu + travail sur les calculs de gain/perte de change ;</t>
  </si>
  <si>
    <t xml:space="preserve"> - Analyse du dossier de Marc-andré Houde et tel avec Jacques Renaud pour cotisation/avis d'opposition ;</t>
  </si>
  <si>
    <t xml:space="preserve"> - Discussion avec alain sur dossier de Claude Lessard ;</t>
  </si>
  <si>
    <t>Le 31 août 2018</t>
  </si>
  <si>
    <t>#18178</t>
  </si>
  <si>
    <t xml:space="preserve"> - Dossier Ferme Soucy - option d'achat à 1$ - avancement du dossier ;</t>
  </si>
  <si>
    <t xml:space="preserve"> - Dossier de Décor Tapis du Nord - analyse du dossier de discussions avec Jacques ;</t>
  </si>
  <si>
    <t xml:space="preserve"> - Dossier de Docteur Lou - analyse et discussion avec Jacques ;</t>
  </si>
  <si>
    <t xml:space="preserve"> - Dossier Gestenv - dossier de vente à 1M$ et balance de vente et application de 55(2) - analyse et discussion avec Jacques ;</t>
  </si>
  <si>
    <t xml:space="preserve"> - Dossier de J Jodoin avec Jacques Renaud - analyse de l'optimisation corporative + introduction d'un plan de rétention pour employé et discussion avec Jacques ;</t>
  </si>
  <si>
    <t>Le 22 octobre 2018</t>
  </si>
  <si>
    <t>#18220</t>
  </si>
  <si>
    <t xml:space="preserve"> - Dossier Morand pour décès de M. - Tel avec Alain ;</t>
  </si>
  <si>
    <t xml:space="preserve"> - Dossier de Voyages Malavoie - salaire vs sous-traitant ;</t>
  </si>
  <si>
    <t xml:space="preserve"> - Dossier de Aux Saveurs de Sévelin - Rencontre avec Alain + recherches fiscales et sommaire par courriel ;</t>
  </si>
  <si>
    <t xml:space="preserve"> - Dossier Clinique Vétérinaire Maisonneuve - Rencontre avec Alain, recherches JVM, discussions ;</t>
  </si>
  <si>
    <t xml:space="preserve"> - Dossier Palex Palette - Rencontre avec Alain sur structure vs achat de Alexcalibur ;</t>
  </si>
  <si>
    <t xml:space="preserve"> - Dossier Variété Montréal-Nord - Analyse JVM de la société ;</t>
  </si>
  <si>
    <t xml:space="preserve"> - Dossier Martine Bourgault - Déduction REER - recherches, réflexions et discussions;</t>
  </si>
  <si>
    <t>Le 14 Novembre 2018</t>
  </si>
  <si>
    <t>#18253</t>
  </si>
  <si>
    <t xml:space="preserve"> - Analyse du rapport d'évaluation de Variété Montréal-Nord et commentaires + téléphone ;</t>
  </si>
  <si>
    <t xml:space="preserve"> - Analyse et répondre par écrit aux questions de Jacques Plante pour Altius/DHI sur comptabilisation du joint venture et du fonctionnement ;</t>
  </si>
  <si>
    <t xml:space="preserve"> - Analyse - Question de Robert Arbour sur dossier de André poulin pour cotisation immeuble vs conjointe ;</t>
  </si>
  <si>
    <t xml:space="preserve"> - Analyse - Question de Mikael sur voitures de collection et traitement fiscal à la vente ;</t>
  </si>
  <si>
    <t>#18260</t>
  </si>
  <si>
    <t>Le 14 décembre 2018</t>
  </si>
  <si>
    <t xml:space="preserve"> - Travail d'analyse pour le dossier de congé différé de Marie-Josée Archambault - dossier de Robert Arbour ;</t>
  </si>
  <si>
    <t xml:space="preserve"> - Analyse de la méthode d'achèvement et provision pour TEC pour Excavation St-Patrice Ltée ;</t>
  </si>
  <si>
    <t xml:space="preserve"> - Discussion téléphonique et recherches fiscales sur Placements André Trudeau - provision pour gain en capital ;</t>
  </si>
  <si>
    <t xml:space="preserve"> - Question de Mikael sur PTPE refusée au provincial en raison de non faillite/non insolvable - recherches et réponse par courriel ;</t>
  </si>
  <si>
    <t>Le 5 MARS 2019</t>
  </si>
  <si>
    <t>#19023</t>
  </si>
  <si>
    <t xml:space="preserve"> - Échanges avec Alain sur fin d'année possible pour société en commandite ;</t>
  </si>
  <si>
    <t xml:space="preserve"> - Dossier avec Robert - Isabelle Gariépy et cotisation excédentaire ;</t>
  </si>
  <si>
    <t xml:space="preserve"> - Analyse de planification possible de protection d'actifs - Les constructions LRD Inc</t>
  </si>
  <si>
    <t xml:space="preserve"> - Dossier avec Alain - Transport Sylvestre et contre-lettre ;</t>
  </si>
  <si>
    <t xml:space="preserve"> - Dossier de client non-résident et impacts possible de déclarer résident vs non-résident - avec Mikael ;</t>
  </si>
  <si>
    <t xml:space="preserve"> - Question de Mikael sur heures d'actionnaires 50/50 vs 5500 heures ;</t>
  </si>
  <si>
    <t xml:space="preserve"> - Dossier avec Alain de Joceline Dion - imposition rétroactive ;</t>
  </si>
  <si>
    <t xml:space="preserve"> - Question de Robert sur régie de police de Chambly - double déduction de REER ;</t>
  </si>
  <si>
    <t xml:space="preserve"> - Dossier de Aux saveurs de Sévelin vs don d'actions à la sœur de Nicolas ;</t>
  </si>
  <si>
    <t xml:space="preserve"> - Analyse pour voir ce qui est possible pour exonération vs vente des actions de Louis Parker ;</t>
  </si>
  <si>
    <t>Le 19 AVRIL 2019</t>
  </si>
  <si>
    <t>#19101</t>
  </si>
  <si>
    <t xml:space="preserve"> - Dossier de Jacques - Analyse du dossier de Catherine Luu et discussions téléphoniques ;</t>
  </si>
  <si>
    <t xml:space="preserve"> - Dossier de Jacques - Royal Photo ;</t>
  </si>
  <si>
    <t xml:space="preserve"> - Dossier d'Alain - Transport Sylvestre - contre-lettre ;</t>
  </si>
  <si>
    <t xml:space="preserve"> - Dossier d'Alain - Onipro - analyse et discussions entourant les notion de revenu de société déterminé ;</t>
  </si>
  <si>
    <t xml:space="preserve"> - Dossier de Robert - Analyse du dossier de Serge Gariépy de planification fiscale ;</t>
  </si>
  <si>
    <t xml:space="preserve"> - Dossier d'Alain - Analyse du dossier de Fiducie testament exclusive avec la conjointe et la maitresse ;</t>
  </si>
  <si>
    <t xml:space="preserve"> - Dossier d'Alain - Ferme Soucy - décès du père ;</t>
  </si>
  <si>
    <t xml:space="preserve"> - Dossier avec Mikael - PDTPE de Pascale Hancock et Jocelyn Bondu ;</t>
  </si>
  <si>
    <t>#19121</t>
  </si>
  <si>
    <t xml:space="preserve"> - Dossier d'Alain - Rénova Béton - Analyse des notions de BFT et CII ;</t>
  </si>
  <si>
    <t>Le 6 JUIN 2019</t>
  </si>
  <si>
    <t>#19150</t>
  </si>
  <si>
    <t xml:space="preserve"> - Dossier avec Mikael : Analyse du changement d'usage partiel - Duplex dont 50% est maintenant utilisé par fils ;</t>
  </si>
  <si>
    <t xml:space="preserve"> - Dossier de Jacques Plante - MUV pour problème de comptabilisation du sweat equity - analyses, échanges de courriels et discussion téléphonique ;</t>
  </si>
  <si>
    <t xml:space="preserve"> </t>
  </si>
  <si>
    <t xml:space="preserve"> - Dossier avec Mikael : question de frais juridique de pension alimentaire et déductibilité ;</t>
  </si>
  <si>
    <t xml:space="preserve"> - Dossier avec Mikael : vente de condo par une fille qui l'a obtenu de son père  - analyses recherches, tel ;</t>
  </si>
  <si>
    <t xml:space="preserve"> - Dossier avec Robert : Serge Gariépy - question sur donation d'actions boursières ;</t>
  </si>
  <si>
    <t>Le 28 JUIN 2019</t>
  </si>
  <si>
    <t>#19165</t>
  </si>
  <si>
    <t xml:space="preserve"> - Dossier avec Linda - Groupe Matériaux - traitement fiscal des frais d'exploration pour actions accréditives - diverses recherches ;</t>
  </si>
  <si>
    <t xml:space="preserve"> - Dossier avec Alain - Alexcalibur - fusion vs fins d'années ;</t>
  </si>
  <si>
    <t xml:space="preserve"> - Dossier avec Robert - Serge Gariépy - Analyse de convention d'actionnaires pour nouvelle société et fournir mes différents commentaires + analyse de la problématique de dividendes intersociétés;</t>
  </si>
  <si>
    <t>Le 25 JUILLET 2019</t>
  </si>
  <si>
    <t>#19192</t>
  </si>
  <si>
    <t xml:space="preserve"> - Dossier avec Alain - Rénova-Béton - question d'admissibilité au CII sur un moulin ;</t>
  </si>
  <si>
    <t xml:space="preserve"> - Dossier avec Robert - MUV Condo/Jacques Plante - dossier du Sweat Equity et du prête nom - analyse des différentes demandes effectuées par Jacques et son comptable Martin, réponses à de multiples courriels sur différents sujets touchant le projet MUV Condo et différentes discussions téléphoniques ;</t>
  </si>
  <si>
    <t xml:space="preserve"> - Dossier avec Alain - Succession Claude Ferron - Discussions téléphoniques, analyse de tous les documents soumis, recherches fiscales et courriels;</t>
  </si>
  <si>
    <t xml:space="preserve"> - Dossier avec Jacques - Discussion téléphonique au sujet des nouvelles règles sur le revenu de placement vs le plafond des affaires et discussion au sujet d'une société qui engage le fils et conjointe vs règle du 5500h ;</t>
  </si>
  <si>
    <t xml:space="preserve"> - Dossier de Catherine Luu - discussion téléphonique et courriel ;</t>
  </si>
  <si>
    <t>Le 30 SEPTEMBRE 2019</t>
  </si>
  <si>
    <t>#19221</t>
  </si>
  <si>
    <t xml:space="preserve"> - Dossier avec Alain - Variété Montréal Nord - Discussions avec Alain ;</t>
  </si>
  <si>
    <t xml:space="preserve"> - Dossier avec Alain - Ferme Soucy  - Discussion avec Alain ;</t>
  </si>
  <si>
    <t xml:space="preserve"> - Dossier avec Jacqes - Catherine Luu - Discussions téléphoniques, courriels et recherches concernant l'impôt sur le revenu fractionné ;</t>
  </si>
  <si>
    <t xml:space="preserve"> - Dossier avec Robert - Fondation de L'Alphabétisation (BRU2146) - analyse de l'imposition des bourses d'études ;</t>
  </si>
  <si>
    <t xml:space="preserve"> - Dossier avec Alain - LA Hébert - Analyse du choix possible de CII vs location avec option d'achat  ;</t>
  </si>
  <si>
    <t xml:space="preserve"> - Dossier avec Alain - Succession Claude Ferron - Analyse du dossier, discussions téléphoniques, préparer un sommaire explicatif de notre demande de déclaration de revenus amendés, préparation d'une déclaration de revenus amendés, divers échanges avec Raymond Carrier, etc</t>
  </si>
  <si>
    <t xml:space="preserve"> - Dossier avec Jacques - G2C - Discussion téléphoniques pour EPSP et facturation via compagnie ;</t>
  </si>
  <si>
    <t xml:space="preserve"> - Dossier avec Alain - Claude Lessard et avantage imposable pour loyer à sa fille ;</t>
  </si>
  <si>
    <t xml:space="preserve"> - Dossier avec Alain - Transport Vallé - Analyse, discussions téléphoniques avec Alain et le notaire pour fournir les directives pour corriger le problème de détention d'actions ;</t>
  </si>
  <si>
    <t>Frais de poste pour Succession Claude Ferron</t>
  </si>
  <si>
    <t>Le 16 DÉCEMBRE 2019</t>
  </si>
  <si>
    <t>#19290</t>
  </si>
  <si>
    <t xml:space="preserve"> - Analyse Christine Schultz - perte finale ;</t>
  </si>
  <si>
    <t xml:space="preserve"> - Analyse de correction de T1 de Valérie Bourdon et directives à Robert ;</t>
  </si>
  <si>
    <t xml:space="preserve"> - Succession Claude Ferron - communications avec les gouvernements pour demande de redressement ;</t>
  </si>
  <si>
    <t xml:space="preserve"> - Analyse - Auberge des ainés ;</t>
  </si>
  <si>
    <t>Le 6 MARS 2020</t>
  </si>
  <si>
    <t>#20012</t>
  </si>
  <si>
    <t xml:space="preserve"> - Dossier Alain - Succession Claude Ferron - problèmes pour faire accepter demande de correction</t>
  </si>
  <si>
    <t xml:space="preserve"> - Dossier Alain - Analyse du dossier du Syndic qui transfert ses travaux en cours lors de son incorporation ;</t>
  </si>
  <si>
    <t xml:space="preserve"> - Dossier Jacques - Tel relativement à la vente d'un concessionnaire Honda ;</t>
  </si>
  <si>
    <t xml:space="preserve"> - Dossier Alain - Dossier de christian hébert - vente de duplex converti en maison unifamiliale vs exo résidence principale</t>
  </si>
  <si>
    <t xml:space="preserve"> - Dossier Alain - Question de Jardin St-Jacques - production des déclarations de revenus des Guatémaltèques ;</t>
  </si>
  <si>
    <t xml:space="preserve"> - Dossier Yvon - CDC Groupe Matériaux - Préparer les différentes annexes, corrections et préparation ;</t>
  </si>
  <si>
    <t xml:space="preserve"> - Dossier Jacques - Droits successoraux américains ;</t>
  </si>
  <si>
    <t xml:space="preserve"> - Dossier Robert - BRU2153 - Avantages imposables pour véhicules banalisés de pompier et policier ;</t>
  </si>
  <si>
    <t xml:space="preserve"> - Dossier Jacques - Préparation à la rencontre et rencontre avec J Jodoin ;</t>
  </si>
  <si>
    <t xml:space="preserve"> - Dossier Alain - Béton Hébert - problème de sociétés associés vs impact partie III.1</t>
  </si>
  <si>
    <t>Le 29 AVRIL 2020</t>
  </si>
  <si>
    <t>#20132</t>
  </si>
  <si>
    <t xml:space="preserve"> - Question de Mikael sur exemption de résidence principale pour chalet détenu en copropriété ;</t>
  </si>
  <si>
    <t xml:space="preserve"> - Bleu Raisin - perte pour impôt encaissé par actionnaire ;</t>
  </si>
  <si>
    <t xml:space="preserve"> - Discussion téléphonique avec Alain - Mme Légaré ;</t>
  </si>
  <si>
    <t xml:space="preserve"> - Discussions avec Jacques - question de contamination de fiducie d'un concessionnaire auto ;</t>
  </si>
  <si>
    <t xml:space="preserve"> - Dossier de Alain - Élizabeth Timonni - recherches sur changement d'usage, tel et courriel ;</t>
  </si>
  <si>
    <t>Le 24 JUILLET 2020</t>
  </si>
  <si>
    <t>#20182</t>
  </si>
  <si>
    <t xml:space="preserve"> - Dossier Ville de Mercier: avantages imposables pour voiture fantôme - question du client ;</t>
  </si>
  <si>
    <t xml:space="preserve"> - Question de Alain sur 2 catégorie 14.1 et fonctionnement ;</t>
  </si>
  <si>
    <t xml:space="preserve"> - Dossier de Gaétan Lagarde - Analyse des différents documents et discussions téléphoniques avec Alain ;</t>
  </si>
  <si>
    <t xml:space="preserve"> - Dossier de pertes agricoles restreintes avec Alain - Analyses et discussions ;</t>
  </si>
  <si>
    <t xml:space="preserve"> - Dossier avec Robert: T1 de client qui a travaillé en Australie ;</t>
  </si>
  <si>
    <t xml:space="preserve"> - Dossier Indotech : analyse et discussions avec vous sur planification de donation ;</t>
  </si>
  <si>
    <t xml:space="preserve"> - Dossier Variété Montréal Nord - Discussions et courriels - Valeur marchande et autres ;</t>
  </si>
  <si>
    <t xml:space="preserve"> - Dossier BRU2300 - achat d'actions et mise de fonds vs déductibilité des intérêts ;</t>
  </si>
  <si>
    <t xml:space="preserve"> - Question de Alain - rachat d'un actionnaire qui détenait 25% ;</t>
  </si>
  <si>
    <t xml:space="preserve"> - Dossier de Robert: Recherche pour BRU2300 pour T4RIF et traitement ;</t>
  </si>
  <si>
    <t xml:space="preserve"> - Dossier LA Hébert: révision des différentes T2 du groupe et commentaires ;</t>
  </si>
  <si>
    <t>Le 1er OCTOBRE 2020</t>
  </si>
  <si>
    <t xml:space="preserve"> - Dossier avec Robert - Serge Gariépy - Diverses analyses, discussions, conférences, courriels, etc</t>
  </si>
  <si>
    <t xml:space="preserve"> - Dossier avec Alain - Noël Wilson ;</t>
  </si>
  <si>
    <t xml:space="preserve"> - Dossier avec Jacques - Voyage Malavoix - PTPE ;</t>
  </si>
  <si>
    <t xml:space="preserve"> - Dossier avec Mikael - Droits ou bien et amender une déclaration ;</t>
  </si>
  <si>
    <t>#20245</t>
  </si>
  <si>
    <t>Le 27 OCTOBRE 2020</t>
  </si>
  <si>
    <t>#20254</t>
  </si>
  <si>
    <t xml:space="preserve"> - Question de Mikael sur pénalité pour production tardive ;</t>
  </si>
  <si>
    <t>Le 19 NOVEMBRE 2020</t>
  </si>
  <si>
    <t>#20281</t>
  </si>
  <si>
    <t xml:space="preserve"> - Question de Robert sur CDC - dossier BRU-2149</t>
  </si>
  <si>
    <t xml:space="preserve"> - Analyse - dossier de Serge Gariépy pour actions accréditives - BRU2056 ;</t>
  </si>
  <si>
    <t xml:space="preserve"> - Question de Alain sur dossier Onipro vs intérêts ;</t>
  </si>
  <si>
    <t>Le 2 DÉCEMBRE 2020</t>
  </si>
  <si>
    <t>ROBERT ARBOUR</t>
  </si>
  <si>
    <t>GESTION ROBERT ARBOUR INC.</t>
  </si>
  <si>
    <t>901 rue Étienne-Marchand
Boucherville (Québec) J4B 6S3</t>
  </si>
  <si>
    <t>#20294</t>
  </si>
  <si>
    <t xml:space="preserve"> - Différentes analyses, discussions et courriels relativement à la vente de votre clientèle/parts dans MBBA SENCRL ;</t>
  </si>
  <si>
    <t>MPA SOCIÉTÉ DE COMPTABLES PROFESSIONNELS AGRÉÉS INC.</t>
  </si>
  <si>
    <t>#20300</t>
  </si>
  <si>
    <t xml:space="preserve"> - Discussion avec Alain - Dossier de Raymond Lamoureux ;</t>
  </si>
  <si>
    <t>#20323</t>
  </si>
  <si>
    <t xml:space="preserve"> - Analyse de la possibilité de liquider la SENC et la possibilité de reporter l'imposition des TEC ;</t>
  </si>
  <si>
    <t>Le 14 DÉCEMBRE 2020</t>
  </si>
  <si>
    <t>#20324</t>
  </si>
  <si>
    <t>Le 1ER FÉVRIER 2021</t>
  </si>
  <si>
    <t>#21026</t>
  </si>
  <si>
    <t xml:space="preserve"> - Discussion avec Alain - Dossier de Majr Capital ;</t>
  </si>
  <si>
    <t xml:space="preserve"> - Question de Alain - imposition d'une fiducie - Succession Lagarde ;</t>
  </si>
  <si>
    <t xml:space="preserve"> - Question de Alain - Gilbert Lalonde et frais de rappatriement en avion ;</t>
  </si>
  <si>
    <t>Le 4 MARS 2021</t>
  </si>
  <si>
    <t>#21035</t>
  </si>
  <si>
    <t xml:space="preserve"> - Videoconference dans le dossier de Stéphane Gariépy et discussions téléphonique avec vous ;</t>
  </si>
  <si>
    <t xml:space="preserve"> - Analyse des droits successoraux US de Serge Gariépy ;</t>
  </si>
  <si>
    <t xml:space="preserve"> - Question de Alain - Ferme Soucy et immobilier ;</t>
  </si>
  <si>
    <t xml:space="preserve"> - Problème de formulaire de roulement - dossier BRU2056 ;</t>
  </si>
  <si>
    <t xml:space="preserve"> - Question de Robert - dossier BRU2108 - fermer la gestion ;</t>
  </si>
  <si>
    <t>Le 16 AVRIL 2021</t>
  </si>
  <si>
    <t>#21136</t>
  </si>
  <si>
    <t xml:space="preserve"> - Dossier de Louis Parker avec Robert - question de dividende ;</t>
  </si>
  <si>
    <t xml:space="preserve"> - Dossier Yolande Boyer - Analyse et recherche pour question de Mikael pour BUP vs capitalisation des coûts ;</t>
  </si>
  <si>
    <t>Le 21 JUILLET 2021</t>
  </si>
  <si>
    <t>#21302</t>
  </si>
  <si>
    <t xml:space="preserve"> - Dossier de Centre du Camion 410  ;</t>
  </si>
  <si>
    <t>Le 7 SEPTEMBRE 2021</t>
  </si>
  <si>
    <t>#21338</t>
  </si>
  <si>
    <t xml:space="preserve"> - Discussions et recherches fiscales avec Alain Girard - dossier M. Bergeron vs PTPE et transfert agricole ;</t>
  </si>
  <si>
    <t>Le 5 OCTOBRE 2021</t>
  </si>
  <si>
    <t>#21363</t>
  </si>
  <si>
    <t xml:space="preserve"> - Discussions et recherches fiscales avec Alain Girard - dossier M Lamoureux ;</t>
  </si>
  <si>
    <t>Le 11 DÉCEMBRE 2021</t>
  </si>
  <si>
    <t xml:space="preserve"> - Dossier La Prairie avec Robert Arbour - Rencontre Teams, recherches fiscales, divers échanges courriels, discussions téléphoniques, Révision de documentation juridique, etc ;</t>
  </si>
  <si>
    <t xml:space="preserve"> - Dossier Onipro avec Linda - Recherches fiscales très approfondies pour CII et C3I, analyse de différents documents, différentes questions, différents échanges courrriels, etc,</t>
  </si>
  <si>
    <t xml:space="preserve"> - Question de Mikael sur liquidation de filiale ;</t>
  </si>
  <si>
    <t xml:space="preserve"> - Question de Alain pour Rénova Béton - CII et C3I - recherches fiscales et réponses ;</t>
  </si>
  <si>
    <t>#21430</t>
  </si>
  <si>
    <t>#22001</t>
  </si>
  <si>
    <t>Le 4 FÉVRIER 2022</t>
  </si>
  <si>
    <t xml:space="preserve"> - Dossier Gariépy avec Robert Arbour - Recherches fiscales, divers échanges courriels, discussions téléphoniques, etc - dossier de réorganisation des 3 sociétés à transférer, de l'organigramme à préparer, de la rechercher sur la provision de gain en capital à la vente de McMasterville, etc ;</t>
  </si>
  <si>
    <t xml:space="preserve"> - Dossier Onipro avec Linda - Révision des déclarations fiscales et demande de C3I, calculs et échanges</t>
  </si>
  <si>
    <t xml:space="preserve"> - Question de Mikael - CDC excédentaire ;</t>
  </si>
  <si>
    <t xml:space="preserve"> - Dossier de Jacques Plante - Dossier de Verdi pour protection d'actifs - analyse de possibilité de planif ;</t>
  </si>
  <si>
    <t xml:space="preserve"> - Dossier Palex - Avantage imposable auto de luxe ;</t>
  </si>
  <si>
    <t xml:space="preserve"> - Raymond Lamoureux - tel avec Alain sur tenir compte ou non d'un report de perte rétro sur revenu de placement;</t>
  </si>
  <si>
    <t xml:space="preserve"> - Dossier Soucy avec Alain - planification fiscale, recherches sur bien agricole admissible vs vente de quota par une SENC et attribué à l'associé et discussions;</t>
  </si>
  <si>
    <t xml:space="preserve"> - Dossier Sébastien Morand - liquidation/fusion ;</t>
  </si>
  <si>
    <t xml:space="preserve"> - Dossier Immobilier LAH - LA Hébert vs revenu protégé - disc avec Alain ;</t>
  </si>
  <si>
    <t xml:space="preserve"> - Dossier Morand Automobile - fermeture de la société ;</t>
  </si>
  <si>
    <t xml:space="preserve"> - Dossier Station B - Restratucturation et réorganisation à venir - Analyse et discussions ;</t>
  </si>
  <si>
    <t xml:space="preserve"> - Dossier Laitue St-Jacques - Analyse et discussions avec Alain et Martin ;</t>
  </si>
  <si>
    <t>Le 28 MARS 2022</t>
  </si>
  <si>
    <t>#22067</t>
  </si>
  <si>
    <t xml:space="preserve"> - Dossier Onipak - Droit de mutation - Transfert de bâtisse ;</t>
  </si>
  <si>
    <t xml:space="preserve"> - Dossier Onipro - vérification fiscale - analyse des documents soumis et videoconference</t>
  </si>
  <si>
    <t xml:space="preserve"> - Question de Mikael - modification d'un choix d'exonération pour résidence principale ;</t>
  </si>
  <si>
    <t xml:space="preserve"> - Analyse du dossier de Normand Fontaine - transfert agricole au enfants</t>
  </si>
  <si>
    <t xml:space="preserve"> - Dossier BRU2151 - recherche sur imposition de subventon pour restauration de bâtiment</t>
  </si>
  <si>
    <t>Le 13 MAI 2022</t>
  </si>
  <si>
    <t>#22190</t>
  </si>
  <si>
    <t xml:space="preserve"> - Dossier Onipro - vérification fiscale - analyse des documents soumis, discussions téléphoniques, modifications des documents de vérification et commentaires</t>
  </si>
  <si>
    <t xml:space="preserve"> - Question Alain - Qualification BFT pour Béton Hébert ;</t>
  </si>
  <si>
    <t xml:space="preserve"> - Dossier Roger Laliberté - BRU2160 - Analyse de la meilleur planification fiscale possible</t>
  </si>
  <si>
    <t xml:space="preserve"> - Dossier de Louise Beauregard - Dépenses de rénovations murs moisis - capitalisation ou dépense ;</t>
  </si>
  <si>
    <t xml:space="preserve"> - Analyse Caropac et discussions téléphoniques, rachat de 50% des actions ;</t>
  </si>
  <si>
    <t xml:space="preserve"> - Dossier Rénova-Béton - Analyse de toutes les sociétés associées et recherches pour fonctionnement du C3I vs revenus bruts et actifs totaux ;</t>
  </si>
  <si>
    <t>Le 29 JUIN 2022</t>
  </si>
  <si>
    <t>#22205</t>
  </si>
  <si>
    <t xml:space="preserve"> - Question de Alain sur Placements JO Roy - Assurance-vie vs CDC ;</t>
  </si>
  <si>
    <t xml:space="preserve"> - Dossier Onipro - vérification fiscale - analyse des documents soumis, discussions téléphoniques, commentaires, recherches fiscales demandées, etc,</t>
  </si>
  <si>
    <t xml:space="preserve"> - Dossier Rénova-Béton - Question de Linda sur C3I ;</t>
  </si>
  <si>
    <t xml:space="preserve"> - Question de Alain - Question d'un immeuble qui a brulé et reconstruit - bien de remplacement et passation en charge immédiates - courriels, téléphone, recherches fiscales ;</t>
  </si>
  <si>
    <t xml:space="preserve"> - Question de Robert Arbour - Dossier de Jonathan Bark - planification fiscale idéale pour vente ;</t>
  </si>
  <si>
    <t xml:space="preserve"> - Analyse de questions de Robert - LFG Distribution - Vente ;</t>
  </si>
  <si>
    <t>#22359</t>
  </si>
  <si>
    <t>Le 15 OCTOBRE 2022</t>
  </si>
  <si>
    <t>Le 5 MARS 2023</t>
  </si>
  <si>
    <t>#23047</t>
  </si>
  <si>
    <t xml:space="preserve"> - Question de Mikael - client 10-152 pour souscription d'actions de charte fédérale ;</t>
  </si>
  <si>
    <t xml:space="preserve"> - Question de Mikael sur possibilité de transférer un duplex avec portion résidence principale et portion roulement ;</t>
  </si>
  <si>
    <t>Le 21 MARS 2023</t>
  </si>
  <si>
    <t>#23113</t>
  </si>
  <si>
    <t xml:space="preserve"> - Question de Alain - traitement des location-acquisition lorsque achat et revente - analyse ;</t>
  </si>
  <si>
    <t>Le 28 AVRIL 2023</t>
  </si>
  <si>
    <t>#23121</t>
  </si>
  <si>
    <t xml:space="preserve"> - Question de Mikael - Demande de l'explication fiscale du fonctionnement de l'article 13(5.2)LIR ;</t>
  </si>
  <si>
    <t xml:space="preserve"> - Questions de Mikael sur gain sur règlement de dette dans diverses situations ;</t>
  </si>
  <si>
    <t xml:space="preserve"> - Question de Mikael sur droits de mutation vs immeuble roulé rétro de plus de 3 mois ;</t>
  </si>
  <si>
    <t xml:space="preserve"> - Question de Alain - Dossier Michel Côté - vente de l'enregistré ;</t>
  </si>
  <si>
    <t xml:space="preserve"> - Question de Alain - Ajustement au revenus pour devancer imposition revenu Agricole ;</t>
  </si>
  <si>
    <t xml:space="preserve"> - Question de Mikael - Recherches et discussion + sommaire sur option d'achat d'actions et déduction de 50% ;</t>
  </si>
  <si>
    <t xml:space="preserve"> - Question de Mikael - Admissibilité au CIE et 20(12) sur gain attribué par une SEC ;</t>
  </si>
  <si>
    <t>Le 31 MAI 2023</t>
  </si>
  <si>
    <t>#23211</t>
  </si>
  <si>
    <t xml:space="preserve"> - Question de Mikael - Fonctionnement des contre-lettres ;</t>
  </si>
  <si>
    <t xml:space="preserve"> - Questions de Mikael - Fonctionnement de fusion ;</t>
  </si>
  <si>
    <t>Le 3 OCTOBRE 2023</t>
  </si>
  <si>
    <t>#23319</t>
  </si>
  <si>
    <t xml:space="preserve"> - Question dossier de Gestion Johanne Cotte - traitement fiscal de paiement incitatif au loyer ;</t>
  </si>
  <si>
    <t xml:space="preserve"> - Dossier Usereau - Analyse de possibilité de réclamer la déduction pour bien agricole ;</t>
  </si>
  <si>
    <t>Le 18 FÉVRIER 2024</t>
  </si>
  <si>
    <t>#24008</t>
  </si>
  <si>
    <t xml:space="preserve"> - Dossier aux Saveurs des Sévelin - validation des impôts ;</t>
  </si>
  <si>
    <t>Le 24 MARS 2024</t>
  </si>
  <si>
    <t>#24083</t>
  </si>
  <si>
    <t xml:space="preserve"> - Question de Mikael sur roulement d'un portefeuille de placement ;</t>
  </si>
  <si>
    <t xml:space="preserve"> - Question de Mikael sur inceste corporatif ;</t>
  </si>
  <si>
    <t>Le 10 MAI 2024</t>
  </si>
  <si>
    <t>#24162</t>
  </si>
  <si>
    <t xml:space="preserve"> - Question de Alain sur traitement des TEC des contracteurs ;</t>
  </si>
  <si>
    <t xml:space="preserve"> - Question de Mikael sur Transport Morand  - exo de gain en capital ;</t>
  </si>
  <si>
    <t xml:space="preserve"> - Question de Mikael sur formulaire pour 84.1 et engagement à produire ;</t>
  </si>
  <si>
    <t xml:space="preserve"> - Dossier Aux Saveurs des Sevelin - préparer affidavit et autres documentation, révision et modif de T1, lettre Qc pour exo, etc.</t>
  </si>
  <si>
    <t>Le 1 JUIN 2024</t>
  </si>
  <si>
    <t>#24287</t>
  </si>
  <si>
    <t xml:space="preserve"> - Question de Mikael sur Pipeline ;</t>
  </si>
  <si>
    <t>Le 16 NOVEMBRE 2024</t>
  </si>
  <si>
    <t>Alain Girard</t>
  </si>
  <si>
    <t>MPA Société de comptables Professionnels agréés Inc.</t>
  </si>
  <si>
    <t>2030 Boulevard Pie-IX</t>
  </si>
  <si>
    <t>Bureau 450</t>
  </si>
  <si>
    <t>Montréal, Québec, H1V 2C8</t>
  </si>
  <si>
    <t>24-24636</t>
  </si>
  <si>
    <t xml:space="preserve"> - Question de Mikael sur roulement d'un bien sans coût fiscal</t>
  </si>
  <si>
    <t/>
  </si>
  <si>
    <t xml:space="preserve"> - Question de Alain sur acomptes provisionnels d'une société fusionnée</t>
  </si>
  <si>
    <t xml:space="preserve"> - Analyse et détermination des facteurs de détermination de la valeur d'une clinique de Physio</t>
  </si>
  <si>
    <t>Frais d'expert en taxes</t>
  </si>
  <si>
    <t>Le 8 DÉCEMBRE 2024</t>
  </si>
  <si>
    <t>24-24672</t>
  </si>
  <si>
    <t>Question de Mikael sur dossier Nigen - Dissolution de SENCRL et chhoix du paragraphe 98(3) - Analyse et recherches fiscales ;</t>
  </si>
  <si>
    <t>Le 31 MARS 2025</t>
  </si>
  <si>
    <t>25-24865</t>
  </si>
  <si>
    <t xml:space="preserve"> - Question de Mikael sur actions privilégiées</t>
  </si>
  <si>
    <t>Heures</t>
  </si>
  <si>
    <t>Taux</t>
  </si>
  <si>
    <t>Le 17 MAI 2025</t>
  </si>
  <si>
    <t>25-24969</t>
  </si>
  <si>
    <t xml:space="preserve"> - Question de Alain Girard concernant le capital-actions de Laitue St-Jacques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</si>
</sst>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7" formatCode="#,##0.00\ &quot;$&quot;_);\(#,##0.00\ &quot;$&quot;\)"/>
    <numFmt numFmtId="44" formatCode="_ * #,##0.00_)\ &quot;$&quot;_ ;_ * \(#,##0.00\)\ &quot;$&quot;_ ;_ * &quot;-&quot;??_)\ &quot;$&quot;_ ;_ @_ "/>
    <numFmt numFmtId="164" formatCode="_ * #,##0.00_)\ _$_ ;_ * \(#,##0.00\)\ _$_ ;_ * &quot;-&quot;??_)\ _$_ ;_ @_ "/>
    <numFmt numFmtId="165" formatCode="#,##0.00\ &quot;$&quot;_-;[Red]#,##0.00\ &quot;$&quot;\-"/>
    <numFmt numFmtId="166" formatCode="#,##0.00\ [$$-C0C]_);\(#,##0.00\ [$$-C0C]\)"/>
    <numFmt numFmtId="167" formatCode="0.000%"/>
    <numFmt numFmtId="168" formatCode="#,##0\ &quot;$&quot;"/>
    <numFmt numFmtId="169" formatCode="#,##0.00\ &quot;$&quot;"/>
    <numFmt numFmtId="170" formatCode="##0.00"/>
  </numFmts>
  <fonts count="30" x14ac:knownFonts="1">
    <font>
      <sz val="10"/>
      <name val="Arial"/>
    </font>
    <font>
      <sz val="10"/>
      <name val="Arial"/>
      <family val="2"/>
    </font>
    <font>
      <sz val="10"/>
      <name val="Verdana"/>
      <family val="2"/>
    </font>
    <font>
      <b/>
      <sz val="10"/>
      <name val="Verdana"/>
      <family val="2"/>
    </font>
    <font>
      <sz val="8"/>
      <name val="Arial"/>
      <family val="2"/>
    </font>
    <font>
      <b/>
      <sz val="18"/>
      <name val="Verdana"/>
      <family val="2"/>
    </font>
    <font>
      <sz val="10"/>
      <color indexed="9"/>
      <name val="Verdana"/>
      <family val="2"/>
    </font>
    <font>
      <b/>
      <sz val="10"/>
      <color indexed="9"/>
      <name val="Verdana"/>
      <family val="2"/>
    </font>
    <font>
      <b/>
      <i/>
      <sz val="10"/>
      <name val="Verdana"/>
      <family val="2"/>
    </font>
    <font>
      <sz val="10"/>
      <color theme="1" tint="0.249977111117893"/>
      <name val="Verdana"/>
      <family val="2"/>
    </font>
    <font>
      <b/>
      <sz val="10"/>
      <color theme="1" tint="0.249977111117893"/>
      <name val="Verdana"/>
      <family val="2"/>
    </font>
    <font>
      <b/>
      <sz val="12"/>
      <color rgb="FF8C8375"/>
      <name val="Verdana"/>
      <family val="2"/>
    </font>
    <font>
      <sz val="10"/>
      <color rgb="FF625850"/>
      <name val="Verdana"/>
      <family val="2"/>
    </font>
    <font>
      <sz val="11"/>
      <color rgb="FF625850"/>
      <name val="Verdana"/>
      <family val="2"/>
    </font>
    <font>
      <b/>
      <sz val="10"/>
      <color rgb="FF625850"/>
      <name val="Verdana"/>
      <family val="2"/>
    </font>
    <font>
      <sz val="8"/>
      <color rgb="FF625850"/>
      <name val="Verdana"/>
      <family val="2"/>
    </font>
    <font>
      <b/>
      <i/>
      <sz val="10"/>
      <color rgb="FF625850"/>
      <name val="Verdana"/>
      <family val="2"/>
    </font>
    <font>
      <b/>
      <sz val="12"/>
      <color rgb="FF625850"/>
      <name val="Verdana"/>
      <family val="2"/>
    </font>
    <font>
      <sz val="12"/>
      <color rgb="FF625850"/>
      <name val="Verdana"/>
      <family val="2"/>
    </font>
    <font>
      <b/>
      <i/>
      <sz val="11"/>
      <color rgb="FF625850"/>
      <name val="Verdana"/>
      <family val="2"/>
    </font>
    <font>
      <b/>
      <sz val="12"/>
      <color theme="0"/>
      <name val="Verdana"/>
      <family val="2"/>
    </font>
    <font>
      <sz val="12"/>
      <color theme="0"/>
      <name val="Verdana"/>
      <family val="2"/>
    </font>
    <font>
      <b/>
      <u/>
      <sz val="11"/>
      <color rgb="FF625850"/>
      <name val="Verdana"/>
      <family val="2"/>
    </font>
    <font>
      <sz val="10"/>
      <name val="Arial"/>
    </font>
    <font>
      <sz val="11"/>
      <name val="Verdana"/>
      <family val="2"/>
    </font>
    <font>
      <b/>
      <sz val="11"/>
      <color rgb="FF625850"/>
      <name val="Verdana"/>
      <family val="2"/>
    </font>
    <font>
      <b/>
      <u/>
      <sz val="10"/>
      <color rgb="FF625850"/>
      <name val="Calibri"/>
      <family val="2"/>
      <scheme val="minor"/>
    </font>
    <font>
      <b/>
      <sz val="12"/>
      <color rgb="FFFFFFFF"/>
      <name val="Verdana"/>
      <family val="2"/>
    </font>
    <font>
      <sz val="12"/>
      <color rgb="FFFFFFFF"/>
      <name val="Verdana"/>
      <family val="2"/>
    </font>
    <font>
      <b/>
      <sz val="8"/>
      <color rgb="FF625850"/>
      <name val="Verdana"/>
      <family val="2"/>
    </font>
  </fonts>
  <fills count="6">
    <fill>
      <patternFill patternType="none"/>
    </fill>
    <fill>
      <patternFill patternType="gray125"/>
    </fill>
    <fill>
      <patternFill patternType="solid">
        <fgColor indexed="9"/>
        <bgColor indexed="64"/>
      </patternFill>
    </fill>
    <fill>
      <patternFill patternType="solid">
        <fgColor indexed="16"/>
        <bgColor indexed="64"/>
      </patternFill>
    </fill>
    <fill>
      <patternFill patternType="solid">
        <fgColor rgb="FF8C8375"/>
        <bgColor indexed="64"/>
      </patternFill>
    </fill>
    <fill>
      <patternFill patternType="solid">
        <fgColor theme="7" tint="0.39994506668294322"/>
        <bgColor indexed="64"/>
      </patternFill>
    </fill>
  </fills>
  <borders count="18">
    <border>
      <left/>
      <right/>
      <top/>
      <bottom/>
      <diagonal/>
    </border>
    <border>
      <left/>
      <right/>
      <top/>
      <bottom style="medium">
        <color indexed="64"/>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6">
    <xf numFmtId="166" fontId="0" fillId="0" borderId="0"/>
    <xf numFmtId="164" fontId="1" fillId="0" borderId="0" applyFont="0" applyFill="0" applyBorder="0" applyAlignment="0" applyProtection="0"/>
    <xf numFmtId="44" fontId="1" fillId="0" borderId="0" applyFont="0" applyFill="0" applyBorder="0" applyAlignment="0" applyProtection="0"/>
    <xf numFmtId="166" fontId="1" fillId="0" borderId="0"/>
    <xf numFmtId="9" fontId="23" fillId="0" borderId="0" applyFont="0" applyFill="0" applyBorder="0" applyAlignment="0" applyProtection="0"/>
    <xf numFmtId="164" fontId="1" fillId="0" borderId="0" applyFont="0" applyFill="0" applyBorder="0" applyAlignment="0" applyProtection="0"/>
  </cellStyleXfs>
  <cellXfs count="177">
    <xf numFmtId="166" fontId="0" fillId="0" borderId="0" xfId="0"/>
    <xf numFmtId="166" fontId="2" fillId="2" borderId="0" xfId="0" applyFont="1" applyFill="1"/>
    <xf numFmtId="166" fontId="2" fillId="0" borderId="0" xfId="0" applyFont="1"/>
    <xf numFmtId="166" fontId="2" fillId="0" borderId="0" xfId="0" applyFont="1" applyAlignment="1">
      <alignment horizontal="left" indent="2"/>
    </xf>
    <xf numFmtId="165" fontId="2" fillId="0" borderId="0" xfId="0" applyNumberFormat="1" applyFont="1"/>
    <xf numFmtId="166" fontId="2" fillId="2" borderId="4" xfId="0" applyFont="1" applyFill="1" applyBorder="1"/>
    <xf numFmtId="166" fontId="2" fillId="2" borderId="5" xfId="0" applyFont="1" applyFill="1" applyBorder="1"/>
    <xf numFmtId="166" fontId="2" fillId="2" borderId="6" xfId="0" applyFont="1" applyFill="1" applyBorder="1"/>
    <xf numFmtId="166" fontId="2" fillId="2" borderId="6" xfId="0" applyFont="1" applyFill="1" applyBorder="1" applyAlignment="1">
      <alignment horizontal="left" wrapText="1" shrinkToFit="1"/>
    </xf>
    <xf numFmtId="49" fontId="2" fillId="2" borderId="6" xfId="0" applyNumberFormat="1" applyFont="1" applyFill="1" applyBorder="1"/>
    <xf numFmtId="49" fontId="2" fillId="0" borderId="6" xfId="0" applyNumberFormat="1" applyFont="1" applyBorder="1"/>
    <xf numFmtId="166" fontId="2" fillId="2" borderId="7" xfId="0" applyFont="1" applyFill="1" applyBorder="1"/>
    <xf numFmtId="166" fontId="2" fillId="2" borderId="8" xfId="0" applyFont="1" applyFill="1" applyBorder="1"/>
    <xf numFmtId="166" fontId="2" fillId="2" borderId="9" xfId="0" applyFont="1" applyFill="1" applyBorder="1"/>
    <xf numFmtId="166" fontId="5" fillId="2" borderId="0" xfId="0" applyFont="1" applyFill="1" applyAlignment="1">
      <alignment horizontal="center"/>
    </xf>
    <xf numFmtId="166" fontId="3" fillId="2" borderId="10" xfId="0" applyFont="1" applyFill="1" applyBorder="1" applyAlignment="1">
      <alignment horizontal="center"/>
    </xf>
    <xf numFmtId="166" fontId="2" fillId="2" borderId="10" xfId="0" applyFont="1" applyFill="1" applyBorder="1"/>
    <xf numFmtId="166" fontId="2" fillId="2" borderId="11" xfId="0" applyFont="1" applyFill="1" applyBorder="1"/>
    <xf numFmtId="166" fontId="6" fillId="3" borderId="12" xfId="0" applyFont="1" applyFill="1" applyBorder="1"/>
    <xf numFmtId="166" fontId="7" fillId="3" borderId="13" xfId="0" applyFont="1" applyFill="1" applyBorder="1" applyAlignment="1">
      <alignment horizontal="center"/>
    </xf>
    <xf numFmtId="166" fontId="8" fillId="0" borderId="0" xfId="0" applyFont="1" applyAlignment="1">
      <alignment horizontal="center"/>
    </xf>
    <xf numFmtId="166" fontId="9" fillId="0" borderId="0" xfId="0" applyFont="1"/>
    <xf numFmtId="166" fontId="10" fillId="0" borderId="0" xfId="0" applyFont="1"/>
    <xf numFmtId="166" fontId="9" fillId="0" borderId="1" xfId="0" applyFont="1" applyBorder="1"/>
    <xf numFmtId="166" fontId="2" fillId="0" borderId="5" xfId="0" applyFont="1" applyBorder="1"/>
    <xf numFmtId="166" fontId="6" fillId="0" borderId="10" xfId="0" applyFont="1" applyBorder="1"/>
    <xf numFmtId="166" fontId="2" fillId="0" borderId="6" xfId="0" applyFont="1" applyBorder="1"/>
    <xf numFmtId="166" fontId="3" fillId="0" borderId="6" xfId="0" applyFont="1" applyBorder="1" applyAlignment="1">
      <alignment horizontal="left"/>
    </xf>
    <xf numFmtId="166" fontId="3" fillId="2" borderId="6" xfId="0" applyFont="1" applyFill="1" applyBorder="1" applyAlignment="1">
      <alignment horizontal="left" wrapText="1" shrinkToFit="1"/>
    </xf>
    <xf numFmtId="166" fontId="2" fillId="0" borderId="1" xfId="0" applyFont="1" applyBorder="1"/>
    <xf numFmtId="166" fontId="12" fillId="0" borderId="0" xfId="0" applyFont="1"/>
    <xf numFmtId="166" fontId="13" fillId="0" borderId="0" xfId="0" applyFont="1"/>
    <xf numFmtId="166" fontId="14" fillId="0" borderId="0" xfId="0" applyFont="1"/>
    <xf numFmtId="166" fontId="14" fillId="0" borderId="0" xfId="0" applyFont="1" applyAlignment="1">
      <alignment horizontal="center"/>
    </xf>
    <xf numFmtId="166" fontId="17" fillId="0" borderId="0" xfId="0" applyFont="1"/>
    <xf numFmtId="166" fontId="18" fillId="0" borderId="0" xfId="0" applyFont="1"/>
    <xf numFmtId="166" fontId="17" fillId="0" borderId="0" xfId="0" applyFont="1" applyAlignment="1">
      <alignment horizontal="right"/>
    </xf>
    <xf numFmtId="7" fontId="13" fillId="0" borderId="0" xfId="0" applyNumberFormat="1" applyFont="1"/>
    <xf numFmtId="166" fontId="17" fillId="0" borderId="0" xfId="2" applyNumberFormat="1" applyFont="1"/>
    <xf numFmtId="166" fontId="18" fillId="0" borderId="0" xfId="2" applyNumberFormat="1" applyFont="1"/>
    <xf numFmtId="10" fontId="18" fillId="0" borderId="0" xfId="0" applyNumberFormat="1" applyFont="1" applyAlignment="1">
      <alignment horizontal="left"/>
    </xf>
    <xf numFmtId="166" fontId="17" fillId="0" borderId="3" xfId="2" applyNumberFormat="1" applyFont="1" applyBorder="1"/>
    <xf numFmtId="166" fontId="18" fillId="0" borderId="0" xfId="0" applyFont="1" applyAlignment="1">
      <alignment horizontal="right"/>
    </xf>
    <xf numFmtId="166" fontId="18" fillId="0" borderId="0" xfId="1" applyNumberFormat="1" applyFont="1"/>
    <xf numFmtId="166" fontId="18" fillId="0" borderId="2" xfId="1" applyNumberFormat="1" applyFont="1" applyBorder="1"/>
    <xf numFmtId="7" fontId="18" fillId="0" borderId="0" xfId="0" applyNumberFormat="1" applyFont="1"/>
    <xf numFmtId="166" fontId="20" fillId="4" borderId="15" xfId="0" applyFont="1" applyFill="1" applyBorder="1" applyAlignment="1">
      <alignment vertical="center"/>
    </xf>
    <xf numFmtId="166" fontId="21" fillId="4" borderId="16" xfId="0" applyFont="1" applyFill="1" applyBorder="1" applyAlignment="1">
      <alignment vertical="center"/>
    </xf>
    <xf numFmtId="7" fontId="20" fillId="4" borderId="17" xfId="0" applyNumberFormat="1" applyFont="1" applyFill="1" applyBorder="1" applyAlignment="1">
      <alignment vertical="center"/>
    </xf>
    <xf numFmtId="166" fontId="2" fillId="0" borderId="0" xfId="0" applyFont="1" applyAlignment="1">
      <alignment vertical="center"/>
    </xf>
    <xf numFmtId="167" fontId="18" fillId="0" borderId="0" xfId="0" applyNumberFormat="1" applyFont="1" applyAlignment="1">
      <alignment horizontal="left"/>
    </xf>
    <xf numFmtId="166" fontId="13" fillId="0" borderId="0" xfId="0" applyFont="1" applyAlignment="1">
      <alignment horizontal="left" wrapText="1" indent="1" shrinkToFit="1"/>
    </xf>
    <xf numFmtId="166" fontId="2" fillId="0" borderId="0" xfId="3" applyFont="1" applyAlignment="1">
      <alignment horizontal="left" indent="2"/>
    </xf>
    <xf numFmtId="166" fontId="2" fillId="0" borderId="0" xfId="3" applyFont="1"/>
    <xf numFmtId="165" fontId="2" fillId="0" borderId="0" xfId="3" applyNumberFormat="1" applyFont="1"/>
    <xf numFmtId="166" fontId="9" fillId="0" borderId="0" xfId="3" applyFont="1"/>
    <xf numFmtId="166" fontId="17" fillId="0" borderId="0" xfId="3" applyFont="1"/>
    <xf numFmtId="166" fontId="12" fillId="0" borderId="0" xfId="3" applyFont="1"/>
    <xf numFmtId="166" fontId="18" fillId="0" borderId="0" xfId="3" applyFont="1"/>
    <xf numFmtId="166" fontId="10" fillId="0" borderId="0" xfId="3" applyFont="1"/>
    <xf numFmtId="166" fontId="14" fillId="0" borderId="0" xfId="3" applyFont="1"/>
    <xf numFmtId="166" fontId="14" fillId="0" borderId="0" xfId="3" applyFont="1" applyAlignment="1">
      <alignment horizontal="center"/>
    </xf>
    <xf numFmtId="166" fontId="17" fillId="0" borderId="0" xfId="3" applyFont="1" applyAlignment="1">
      <alignment horizontal="right"/>
    </xf>
    <xf numFmtId="166" fontId="9" fillId="0" borderId="1" xfId="3" applyFont="1" applyBorder="1"/>
    <xf numFmtId="166" fontId="2" fillId="0" borderId="1" xfId="3" applyFont="1" applyBorder="1"/>
    <xf numFmtId="166" fontId="2" fillId="0" borderId="0" xfId="3" applyFont="1" applyAlignment="1">
      <alignment vertical="center"/>
    </xf>
    <xf numFmtId="166" fontId="13" fillId="0" borderId="0" xfId="3" applyFont="1"/>
    <xf numFmtId="7" fontId="13" fillId="0" borderId="0" xfId="3" applyNumberFormat="1" applyFont="1"/>
    <xf numFmtId="166" fontId="13" fillId="0" borderId="0" xfId="3" applyFont="1" applyAlignment="1">
      <alignment horizontal="left" wrapText="1" indent="1" shrinkToFit="1"/>
    </xf>
    <xf numFmtId="166" fontId="18" fillId="0" borderId="0" xfId="3" applyFont="1" applyAlignment="1">
      <alignment horizontal="right"/>
    </xf>
    <xf numFmtId="10" fontId="18" fillId="0" borderId="0" xfId="3" applyNumberFormat="1" applyFont="1" applyAlignment="1">
      <alignment horizontal="left"/>
    </xf>
    <xf numFmtId="167" fontId="18" fillId="0" borderId="0" xfId="3" applyNumberFormat="1" applyFont="1" applyAlignment="1">
      <alignment horizontal="left"/>
    </xf>
    <xf numFmtId="7" fontId="18" fillId="0" borderId="0" xfId="3" applyNumberFormat="1" applyFont="1"/>
    <xf numFmtId="166" fontId="20" fillId="4" borderId="15" xfId="3" applyFont="1" applyFill="1" applyBorder="1" applyAlignment="1">
      <alignment vertical="center"/>
    </xf>
    <xf numFmtId="166" fontId="21" fillId="4" borderId="16" xfId="3" applyFont="1" applyFill="1" applyBorder="1" applyAlignment="1">
      <alignment vertical="center"/>
    </xf>
    <xf numFmtId="7" fontId="20" fillId="4" borderId="17" xfId="3" applyNumberFormat="1" applyFont="1" applyFill="1" applyBorder="1" applyAlignment="1">
      <alignment vertical="center"/>
    </xf>
    <xf numFmtId="166" fontId="8" fillId="0" borderId="0" xfId="3" applyFont="1" applyAlignment="1">
      <alignment horizontal="center"/>
    </xf>
    <xf numFmtId="166" fontId="18" fillId="0" borderId="0" xfId="3" applyFont="1" applyAlignment="1">
      <alignment wrapText="1"/>
    </xf>
    <xf numFmtId="166" fontId="12" fillId="0" borderId="0" xfId="3" applyFont="1" applyAlignment="1">
      <alignment wrapText="1" shrinkToFit="1"/>
    </xf>
    <xf numFmtId="7" fontId="13" fillId="0" borderId="0" xfId="3" applyNumberFormat="1" applyFont="1" applyAlignment="1">
      <alignment wrapText="1" shrinkToFit="1"/>
    </xf>
    <xf numFmtId="166" fontId="2" fillId="0" borderId="0" xfId="3" applyFont="1" applyAlignment="1">
      <alignment wrapText="1" shrinkToFit="1"/>
    </xf>
    <xf numFmtId="166" fontId="13" fillId="0" borderId="0" xfId="3" applyFont="1" applyAlignment="1">
      <alignment wrapText="1" shrinkToFit="1"/>
    </xf>
    <xf numFmtId="166" fontId="22" fillId="0" borderId="0" xfId="3" applyFont="1" applyAlignment="1">
      <alignment horizontal="center"/>
    </xf>
    <xf numFmtId="166" fontId="13" fillId="0" borderId="0" xfId="3" applyFont="1" applyAlignment="1">
      <alignment horizontal="center" wrapText="1" shrinkToFit="1"/>
    </xf>
    <xf numFmtId="168" fontId="13" fillId="0" borderId="0" xfId="3" applyNumberFormat="1" applyFont="1" applyAlignment="1">
      <alignment horizontal="center" wrapText="1" shrinkToFit="1"/>
    </xf>
    <xf numFmtId="168" fontId="18" fillId="0" borderId="0" xfId="3" applyNumberFormat="1" applyFont="1"/>
    <xf numFmtId="4" fontId="13" fillId="0" borderId="0" xfId="3" applyNumberFormat="1" applyFont="1" applyAlignment="1">
      <alignment horizontal="center" wrapText="1" shrinkToFit="1"/>
    </xf>
    <xf numFmtId="37" fontId="17" fillId="0" borderId="0" xfId="3" applyNumberFormat="1" applyFont="1" applyAlignment="1">
      <alignment horizontal="right"/>
    </xf>
    <xf numFmtId="166" fontId="24" fillId="0" borderId="0" xfId="3" applyFont="1"/>
    <xf numFmtId="4" fontId="24" fillId="0" borderId="0" xfId="3" applyNumberFormat="1" applyFont="1" applyAlignment="1">
      <alignment horizontal="right"/>
    </xf>
    <xf numFmtId="169" fontId="24" fillId="0" borderId="0" xfId="3" applyNumberFormat="1" applyFont="1" applyAlignment="1">
      <alignment horizontal="right"/>
    </xf>
    <xf numFmtId="166" fontId="24" fillId="0" borderId="0" xfId="3" applyFont="1" applyAlignment="1">
      <alignment horizontal="left" indent="2"/>
    </xf>
    <xf numFmtId="166" fontId="18" fillId="0" borderId="0" xfId="3" applyFont="1" applyAlignment="1">
      <alignment vertical="center"/>
    </xf>
    <xf numFmtId="166" fontId="17" fillId="0" borderId="0" xfId="3" applyFont="1" applyAlignment="1">
      <alignment vertical="center"/>
    </xf>
    <xf numFmtId="4" fontId="18" fillId="0" borderId="0" xfId="3" applyNumberFormat="1" applyFont="1" applyAlignment="1">
      <alignment horizontal="right" vertical="center"/>
    </xf>
    <xf numFmtId="169" fontId="18" fillId="0" borderId="0" xfId="3" applyNumberFormat="1" applyFont="1" applyAlignment="1">
      <alignment horizontal="right" vertical="center"/>
    </xf>
    <xf numFmtId="49" fontId="17" fillId="0" borderId="0" xfId="3" applyNumberFormat="1" applyFont="1" applyAlignment="1">
      <alignment vertical="center"/>
    </xf>
    <xf numFmtId="4" fontId="17" fillId="0" borderId="0" xfId="3" applyNumberFormat="1" applyFont="1" applyAlignment="1">
      <alignment horizontal="right" vertical="center"/>
    </xf>
    <xf numFmtId="169" fontId="17" fillId="0" borderId="0" xfId="3" applyNumberFormat="1" applyFont="1" applyAlignment="1">
      <alignment horizontal="right" vertical="center"/>
    </xf>
    <xf numFmtId="166" fontId="17" fillId="0" borderId="0" xfId="3" applyFont="1" applyAlignment="1">
      <alignment horizontal="center" vertical="center"/>
    </xf>
    <xf numFmtId="166" fontId="18" fillId="0" borderId="1" xfId="3" applyFont="1" applyBorder="1" applyAlignment="1">
      <alignment vertical="center"/>
    </xf>
    <xf numFmtId="4" fontId="18" fillId="0" borderId="1" xfId="3" applyNumberFormat="1" applyFont="1" applyBorder="1" applyAlignment="1">
      <alignment horizontal="right" vertical="center"/>
    </xf>
    <xf numFmtId="169" fontId="18" fillId="0" borderId="1" xfId="3" applyNumberFormat="1" applyFont="1" applyBorder="1" applyAlignment="1">
      <alignment horizontal="right" vertical="center"/>
    </xf>
    <xf numFmtId="166" fontId="12" fillId="0" borderId="0" xfId="3" applyFont="1" applyAlignment="1">
      <alignment vertical="top"/>
    </xf>
    <xf numFmtId="166" fontId="25" fillId="0" borderId="0" xfId="3" applyFont="1" applyAlignment="1">
      <alignment horizontal="center" vertical="top"/>
    </xf>
    <xf numFmtId="166" fontId="13" fillId="0" borderId="0" xfId="3" applyFont="1" applyAlignment="1">
      <alignment vertical="center"/>
    </xf>
    <xf numFmtId="166" fontId="25" fillId="0" borderId="0" xfId="3" applyFont="1" applyAlignment="1">
      <alignment vertical="center"/>
    </xf>
    <xf numFmtId="4" fontId="22" fillId="0" borderId="0" xfId="3" applyNumberFormat="1" applyFont="1" applyAlignment="1">
      <alignment horizontal="center" vertical="center"/>
    </xf>
    <xf numFmtId="169" fontId="22" fillId="0" borderId="0" xfId="3" applyNumberFormat="1" applyFont="1" applyAlignment="1">
      <alignment horizontal="center" vertical="center"/>
    </xf>
    <xf numFmtId="166" fontId="13" fillId="0" borderId="0" xfId="3" quotePrefix="1" applyFont="1" applyAlignment="1">
      <alignment horizontal="left" indent="1"/>
    </xf>
    <xf numFmtId="2" fontId="13" fillId="0" borderId="0" xfId="3" applyNumberFormat="1" applyFont="1" applyAlignment="1">
      <alignment horizontal="right" vertical="center" wrapText="1" shrinkToFit="1"/>
    </xf>
    <xf numFmtId="169" fontId="13" fillId="0" borderId="0" xfId="3" applyNumberFormat="1" applyFont="1" applyAlignment="1">
      <alignment horizontal="right" vertical="center" wrapText="1" shrinkToFit="1"/>
    </xf>
    <xf numFmtId="2" fontId="13" fillId="0" borderId="0" xfId="3" applyNumberFormat="1" applyFont="1" applyAlignment="1">
      <alignment horizontal="right" vertical="center"/>
    </xf>
    <xf numFmtId="166" fontId="13" fillId="0" borderId="0" xfId="3" quotePrefix="1" applyFont="1" applyAlignment="1">
      <alignment horizontal="left" wrapText="1" indent="1" shrinkToFit="1"/>
    </xf>
    <xf numFmtId="4" fontId="26" fillId="0" borderId="0" xfId="0" applyNumberFormat="1" applyFont="1" applyAlignment="1">
      <alignment horizontal="center" vertical="center" wrapText="1"/>
    </xf>
    <xf numFmtId="169" fontId="26" fillId="0" borderId="0" xfId="0" applyNumberFormat="1" applyFont="1" applyAlignment="1">
      <alignment horizontal="center" wrapText="1"/>
    </xf>
    <xf numFmtId="170" fontId="22" fillId="0" borderId="0" xfId="3" applyNumberFormat="1" applyFont="1" applyAlignment="1">
      <alignment horizontal="center" vertical="center"/>
    </xf>
    <xf numFmtId="170" fontId="22" fillId="0" borderId="0" xfId="0" applyNumberFormat="1" applyFont="1" applyAlignment="1">
      <alignment horizontal="center" vertical="center"/>
    </xf>
    <xf numFmtId="169" fontId="22" fillId="0" borderId="0" xfId="0" applyNumberFormat="1" applyFont="1" applyAlignment="1">
      <alignment horizontal="center" vertical="center"/>
    </xf>
    <xf numFmtId="170" fontId="13" fillId="0" borderId="0" xfId="3" applyNumberFormat="1" applyFont="1" applyAlignment="1">
      <alignment horizontal="center" vertical="center"/>
    </xf>
    <xf numFmtId="169" fontId="13" fillId="0" borderId="0" xfId="3" applyNumberFormat="1" applyFont="1" applyAlignment="1">
      <alignment horizontal="center" vertical="center"/>
    </xf>
    <xf numFmtId="7" fontId="13" fillId="0" borderId="0" xfId="3" applyNumberFormat="1" applyFont="1" applyAlignment="1">
      <alignment vertical="center" wrapText="1" shrinkToFit="1"/>
    </xf>
    <xf numFmtId="166" fontId="25" fillId="0" borderId="0" xfId="3" quotePrefix="1" applyFont="1" applyAlignment="1">
      <alignment horizontal="left" indent="1"/>
    </xf>
    <xf numFmtId="166" fontId="25" fillId="0" borderId="0" xfId="3" applyFont="1" applyAlignment="1">
      <alignment vertical="center" shrinkToFit="1"/>
    </xf>
    <xf numFmtId="166" fontId="17" fillId="0" borderId="0" xfId="3" applyFont="1" applyAlignment="1">
      <alignment horizontal="left" vertical="center"/>
    </xf>
    <xf numFmtId="169" fontId="17" fillId="0" borderId="0" xfId="2" applyNumberFormat="1" applyFont="1"/>
    <xf numFmtId="166" fontId="18" fillId="0" borderId="0" xfId="3" applyFont="1" applyAlignment="1">
      <alignment horizontal="right" vertical="center"/>
    </xf>
    <xf numFmtId="169" fontId="18" fillId="0" borderId="0" xfId="2" applyNumberFormat="1" applyFont="1"/>
    <xf numFmtId="7" fontId="18" fillId="0" borderId="0" xfId="3" applyNumberFormat="1" applyFont="1" applyAlignment="1">
      <alignment horizontal="right" vertical="center"/>
    </xf>
    <xf numFmtId="169" fontId="17" fillId="0" borderId="0" xfId="5" applyNumberFormat="1" applyFont="1"/>
    <xf numFmtId="10" fontId="18" fillId="0" borderId="0" xfId="4" applyNumberFormat="1" applyFont="1" applyAlignment="1">
      <alignment horizontal="left" vertical="center"/>
    </xf>
    <xf numFmtId="169" fontId="18" fillId="0" borderId="0" xfId="5" applyNumberFormat="1" applyFont="1" applyBorder="1"/>
    <xf numFmtId="166" fontId="18" fillId="0" borderId="0" xfId="3" applyFont="1" applyAlignment="1">
      <alignment horizontal="left" vertical="center"/>
    </xf>
    <xf numFmtId="167" fontId="18" fillId="0" borderId="0" xfId="4" applyNumberFormat="1" applyFont="1" applyAlignment="1">
      <alignment horizontal="left" vertical="center"/>
    </xf>
    <xf numFmtId="169" fontId="18" fillId="0" borderId="2" xfId="5" applyNumberFormat="1" applyFont="1" applyBorder="1"/>
    <xf numFmtId="166" fontId="25" fillId="0" borderId="0" xfId="3" applyFont="1"/>
    <xf numFmtId="166" fontId="18" fillId="0" borderId="0" xfId="5" applyNumberFormat="1" applyFont="1" applyBorder="1"/>
    <xf numFmtId="169" fontId="17" fillId="0" borderId="3" xfId="2" applyNumberFormat="1" applyFont="1" applyBorder="1"/>
    <xf numFmtId="166" fontId="17" fillId="0" borderId="0" xfId="2" applyNumberFormat="1" applyFont="1" applyBorder="1"/>
    <xf numFmtId="169" fontId="18" fillId="0" borderId="0" xfId="3" applyNumberFormat="1" applyFont="1" applyAlignment="1">
      <alignment horizontal="left" vertical="center"/>
    </xf>
    <xf numFmtId="4" fontId="28" fillId="4" borderId="16" xfId="3" applyNumberFormat="1" applyFont="1" applyFill="1" applyBorder="1" applyAlignment="1">
      <alignment horizontal="right" vertical="center"/>
    </xf>
    <xf numFmtId="169" fontId="27" fillId="4" borderId="16" xfId="3" applyNumberFormat="1" applyFont="1" applyFill="1" applyBorder="1" applyAlignment="1">
      <alignment horizontal="right" vertical="center"/>
    </xf>
    <xf numFmtId="166" fontId="15" fillId="0" borderId="0" xfId="3" applyFont="1" applyAlignment="1">
      <alignment vertical="center"/>
    </xf>
    <xf numFmtId="166" fontId="15" fillId="0" borderId="0" xfId="3" applyFont="1"/>
    <xf numFmtId="166" fontId="13" fillId="0" borderId="0" xfId="3" applyFont="1" applyAlignment="1">
      <alignment horizontal="center" vertical="center"/>
    </xf>
    <xf numFmtId="4" fontId="24" fillId="5" borderId="0" xfId="3" applyNumberFormat="1" applyFont="1" applyFill="1" applyAlignment="1">
      <alignment horizontal="right"/>
    </xf>
    <xf numFmtId="166" fontId="13" fillId="0" borderId="0" xfId="0" applyFont="1" applyAlignment="1">
      <alignment horizontal="center"/>
    </xf>
    <xf numFmtId="166" fontId="11" fillId="0" borderId="0" xfId="0" applyFont="1" applyAlignment="1">
      <alignment horizontal="center"/>
    </xf>
    <xf numFmtId="166" fontId="19" fillId="0" borderId="0" xfId="0" applyFont="1" applyAlignment="1">
      <alignment horizontal="center"/>
    </xf>
    <xf numFmtId="166" fontId="13" fillId="0" borderId="0" xfId="0" applyFont="1" applyAlignment="1">
      <alignment horizontal="left" wrapText="1" indent="1" shrinkToFit="1"/>
    </xf>
    <xf numFmtId="166" fontId="18" fillId="0" borderId="0" xfId="0" applyFont="1" applyAlignment="1">
      <alignment horizontal="left"/>
    </xf>
    <xf numFmtId="166" fontId="18" fillId="0" borderId="0" xfId="0" applyFont="1" applyAlignment="1">
      <alignment horizontal="left" indent="1"/>
    </xf>
    <xf numFmtId="166" fontId="11" fillId="0" borderId="14" xfId="0" applyFont="1" applyBorder="1" applyAlignment="1">
      <alignment horizontal="center" vertical="center"/>
    </xf>
    <xf numFmtId="166" fontId="2" fillId="0" borderId="0" xfId="0" applyFont="1" applyAlignment="1">
      <alignment horizontal="center" wrapText="1"/>
    </xf>
    <xf numFmtId="166" fontId="2" fillId="0" borderId="0" xfId="0" applyFont="1" applyAlignment="1">
      <alignment horizontal="center"/>
    </xf>
    <xf numFmtId="166" fontId="15" fillId="0" borderId="0" xfId="0" applyFont="1" applyAlignment="1">
      <alignment horizontal="center"/>
    </xf>
    <xf numFmtId="166" fontId="16" fillId="0" borderId="0" xfId="0" applyFont="1" applyAlignment="1">
      <alignment horizontal="center"/>
    </xf>
    <xf numFmtId="166" fontId="13" fillId="0" borderId="0" xfId="3" applyFont="1" applyAlignment="1">
      <alignment horizontal="left" wrapText="1" indent="1" shrinkToFit="1"/>
    </xf>
    <xf numFmtId="166" fontId="11" fillId="0" borderId="14" xfId="3" applyFont="1" applyBorder="1" applyAlignment="1">
      <alignment horizontal="center" vertical="center"/>
    </xf>
    <xf numFmtId="166" fontId="16" fillId="0" borderId="0" xfId="3" applyFont="1" applyAlignment="1">
      <alignment horizontal="center"/>
    </xf>
    <xf numFmtId="166" fontId="11" fillId="0" borderId="0" xfId="3" applyFont="1" applyAlignment="1">
      <alignment horizontal="center"/>
    </xf>
    <xf numFmtId="166" fontId="2" fillId="0" borderId="0" xfId="3" applyFont="1" applyAlignment="1">
      <alignment horizontal="center" wrapText="1"/>
    </xf>
    <xf numFmtId="166" fontId="2" fillId="0" borderId="0" xfId="3" applyFont="1" applyAlignment="1">
      <alignment horizontal="center"/>
    </xf>
    <xf numFmtId="166" fontId="18" fillId="0" borderId="0" xfId="3" applyFont="1" applyAlignment="1">
      <alignment horizontal="left" indent="1"/>
    </xf>
    <xf numFmtId="166" fontId="18" fillId="0" borderId="0" xfId="3" applyFont="1" applyAlignment="1">
      <alignment horizontal="left"/>
    </xf>
    <xf numFmtId="166" fontId="15" fillId="0" borderId="0" xfId="3" applyFont="1" applyAlignment="1">
      <alignment horizontal="center"/>
    </xf>
    <xf numFmtId="166" fontId="19" fillId="0" borderId="0" xfId="3" applyFont="1" applyAlignment="1">
      <alignment horizontal="center"/>
    </xf>
    <xf numFmtId="166" fontId="13" fillId="0" borderId="0" xfId="3" applyFont="1" applyAlignment="1">
      <alignment horizontal="center"/>
    </xf>
    <xf numFmtId="166" fontId="5" fillId="2" borderId="0" xfId="0" applyFont="1" applyFill="1" applyAlignment="1">
      <alignment horizontal="center"/>
    </xf>
    <xf numFmtId="166" fontId="17" fillId="0" borderId="0" xfId="0" applyFont="1" applyAlignment="1">
      <alignment horizontal="center"/>
    </xf>
    <xf numFmtId="166" fontId="17" fillId="0" borderId="14" xfId="3" applyFont="1" applyBorder="1" applyAlignment="1">
      <alignment horizontal="center" vertical="center"/>
    </xf>
    <xf numFmtId="166" fontId="27" fillId="4" borderId="15" xfId="3" applyFont="1" applyFill="1" applyBorder="1" applyAlignment="1">
      <alignment horizontal="left" vertical="center"/>
    </xf>
    <xf numFmtId="166" fontId="27" fillId="4" borderId="16" xfId="3" applyFont="1" applyFill="1" applyBorder="1" applyAlignment="1">
      <alignment horizontal="left" vertical="center"/>
    </xf>
    <xf numFmtId="166" fontId="29" fillId="0" borderId="0" xfId="3" applyFont="1" applyAlignment="1">
      <alignment horizontal="center" vertical="center"/>
    </xf>
    <xf numFmtId="166" fontId="15" fillId="0" borderId="0" xfId="3" applyFont="1" applyAlignment="1">
      <alignment horizontal="center" vertical="center"/>
    </xf>
    <xf numFmtId="166" fontId="19" fillId="0" borderId="0" xfId="3" applyFont="1" applyAlignment="1">
      <alignment horizontal="center" vertical="center"/>
    </xf>
    <xf numFmtId="166" fontId="13" fillId="0" borderId="0" xfId="3" applyFont="1" applyAlignment="1">
      <alignment horizontal="center" vertical="center"/>
    </xf>
  </cellXfs>
  <cellStyles count="6">
    <cellStyle name="Milliers" xfId="1" builtinId="3"/>
    <cellStyle name="Milliers 2" xfId="5" xr:uid="{D6905133-0E2E-4D3D-8982-356C0416CE4B}"/>
    <cellStyle name="Monétaire" xfId="2" builtinId="4"/>
    <cellStyle name="Normal" xfId="0" builtinId="0"/>
    <cellStyle name="Normal 2" xfId="3" xr:uid="{00000000-0005-0000-0000-000003000000}"/>
    <cellStyle name="Pourcentage" xfId="4"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625850"/>
      <color rgb="FF8C83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sharedStrings" Target="sharedStrings.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0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02.xml.rels><?xml version="1.0" encoding="UTF-8" standalone="yes"?>
<Relationships xmlns="http://schemas.openxmlformats.org/package/2006/relationships"><Relationship Id="rId1" Type="http://schemas.openxmlformats.org/officeDocument/2006/relationships/image" Target="../media/image4.emf"/></Relationships>
</file>

<file path=xl/drawings/_rels/drawing103.xml.rels><?xml version="1.0" encoding="UTF-8" standalone="yes"?>
<Relationships xmlns="http://schemas.openxmlformats.org/package/2006/relationships"><Relationship Id="rId1" Type="http://schemas.openxmlformats.org/officeDocument/2006/relationships/image" Target="../media/image4.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9" name="Image 8" descr="GC_CHRONIQUE_P2_A_HAUT.jpg">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cstate="print"/>
        <a:stretch>
          <a:fillRect/>
        </a:stretch>
      </xdr:blipFill>
      <xdr:spPr>
        <a:xfrm>
          <a:off x="0" y="0"/>
          <a:ext cx="12108656" cy="334565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347D5290-3AB1-4884-9D8A-9EC0FF742963}"/>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0</xdr:col>
      <xdr:colOff>0</xdr:colOff>
      <xdr:row>0</xdr:row>
      <xdr:rowOff>1</xdr:rowOff>
    </xdr:from>
    <xdr:to>
      <xdr:col>6</xdr:col>
      <xdr:colOff>16962</xdr:colOff>
      <xdr:row>20</xdr:row>
      <xdr:rowOff>1906</xdr:rowOff>
    </xdr:to>
    <xdr:pic>
      <xdr:nvPicPr>
        <xdr:cNvPr id="2" name="GCF_Entête" descr="Une image contenant texte, capture d’écran, Police, conception&#10;&#10;Description générée automatiquement">
          <a:extLst>
            <a:ext uri="{FF2B5EF4-FFF2-40B4-BE49-F238E27FC236}">
              <a16:creationId xmlns:a16="http://schemas.microsoft.com/office/drawing/2014/main" id="{8B83BBA3-B854-42B7-A48C-D59D4885E41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2189912" cy="324040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04449" name="Picture 1">
          <a:extLst>
            <a:ext uri="{FF2B5EF4-FFF2-40B4-BE49-F238E27FC236}">
              <a16:creationId xmlns:a16="http://schemas.microsoft.com/office/drawing/2014/main" id="{73825583-2B90-7CDA-D364-670BE78885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3.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5</xdr:col>
      <xdr:colOff>210062</xdr:colOff>
      <xdr:row>19</xdr:row>
      <xdr:rowOff>98425</xdr:rowOff>
    </xdr:to>
    <xdr:pic>
      <xdr:nvPicPr>
        <xdr:cNvPr id="105473" name="Picture 1">
          <a:extLst>
            <a:ext uri="{FF2B5EF4-FFF2-40B4-BE49-F238E27FC236}">
              <a16:creationId xmlns:a16="http://schemas.microsoft.com/office/drawing/2014/main" id="{AD1F58AC-53B8-7D31-6409-F67DD67D3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0"/>
          <a:ext cx="11678161" cy="317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1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1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B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E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2F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000000-0008-0000-3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618B348-8EE1-4A08-9155-A1214775A6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7862C64-6851-4686-8A03-73376CD2CD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6570FE7-1E6E-4DC1-A516-13CC512DFEE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9924204-1DF7-4037-A319-9DB16AF7F2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B9C02C0-E1E8-46B6-9B01-104DA6C72F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69A2B88-EF14-40A5-896A-1509E11CC8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9FEF7BC-6CEB-4FB7-95FF-61DABEA895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5D49CEB-2E77-43B5-9877-CCDCD1164EB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C25AE5C-E9E9-4151-96A5-E0E01AF350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B444EB-00A3-4569-9501-6FF539F2623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E889AB7-DD82-4F73-9B6E-384E3D89886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B7631E-F256-4F34-9E99-A1502F8B2A8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0C9BDB6-1D5E-45C7-8353-D6CC5F9813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758A72-D80C-4738-B3DC-32B19F4A27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72C6EE4F-2C56-42AB-B04A-50EE584D02E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9E954B1-6908-46B9-90DC-004664DC1EF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8FFEF94-4F9C-4AC5-BF0D-617B7E3BC21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904EB10-859A-42E3-87C6-A791A9ABF0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DA4114B9-96A2-43C2-8098-C8A08F17AF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1274255F-7C3D-4AD7-A522-1930C0D610B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C640EBA8-B3A6-4630-8F96-7C440483ED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D1B800F-5662-4874-A598-7E57C35F3F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FF0697E5-C408-484E-8340-02F9BB63A5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E78E184-EB3E-46CE-AAB9-935FFC86597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8B80CBA-E86F-4B0C-A1BC-99A42C599C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2173BEF3-58CF-4EC4-B4D5-BDDF9D772B4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965265FB-0B79-4D22-BB3D-C6D7E6A8B4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A0D7DC6-23ED-4CF3-AEF9-F688EA3A96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39F8DD4-D65B-4521-A5ED-6EC6C1E438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E2EB92D5-5D83-4FF4-868A-5FA270C974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BB5984C9-1974-49FA-A0F4-C5B4D50B6D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8CBDA47-674B-4B0B-8ED1-97AE74B839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23812</xdr:colOff>
      <xdr:row>20</xdr:row>
      <xdr:rowOff>11906</xdr:rowOff>
    </xdr:to>
    <xdr:pic>
      <xdr:nvPicPr>
        <xdr:cNvPr id="2" name="Image 1" descr="GC_CHRONIQUE_P2_A_HAUT.jpg">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stretch>
          <a:fillRect/>
        </a:stretch>
      </xdr:blipFill>
      <xdr:spPr>
        <a:xfrm>
          <a:off x="0" y="0"/>
          <a:ext cx="12120562" cy="3250406"/>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1ECAE71-68FD-42E1-8E08-9D4B3DC756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BC192D8-2FAF-4F16-B7C9-AFFBCB5F888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63C3509C-80C8-4695-9983-A7A1A771E2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35F7F62B-F375-4087-8E83-EA567CEA08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C8DC70E-2654-401C-B4CB-6627D15EF0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813DDEF0-BE81-4527-9E33-EFC02A703B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D5F0591-C6F5-407A-A0C0-914D28AB69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085B521F-0DC0-4C09-B61C-5B66DC7E179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4E5A369D-488E-44B7-BF7F-04F397C3B6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11906</xdr:colOff>
      <xdr:row>20</xdr:row>
      <xdr:rowOff>11906</xdr:rowOff>
    </xdr:to>
    <xdr:pic>
      <xdr:nvPicPr>
        <xdr:cNvPr id="2" name="Image 1">
          <a:extLst>
            <a:ext uri="{FF2B5EF4-FFF2-40B4-BE49-F238E27FC236}">
              <a16:creationId xmlns:a16="http://schemas.microsoft.com/office/drawing/2014/main" id="{AC380EDF-643D-4D56-B217-19CEEED9BB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84856" cy="325040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100.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2" Type="http://schemas.openxmlformats.org/officeDocument/2006/relationships/drawing" Target="../drawings/drawing101.xml"/><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3.xml"/><Relationship Id="rId1" Type="http://schemas.openxmlformats.org/officeDocument/2006/relationships/printerSettings" Target="../printerSettings/printerSettings10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5.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2" Type="http://schemas.openxmlformats.org/officeDocument/2006/relationships/drawing" Target="../drawings/drawing99.xml"/><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pageSetUpPr fitToPage="1"/>
  </sheetPr>
  <dimension ref="A12:F98"/>
  <sheetViews>
    <sheetView view="pageBreakPreview" topLeftCell="A46" zoomScale="80" zoomScaleNormal="100" zoomScaleSheetLayoutView="80" workbookViewId="0">
      <selection activeCell="B72" sqref="B72:D7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51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55</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56</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c r="C39" s="149"/>
      <c r="D39" s="149"/>
      <c r="E39" s="37"/>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0.5*190</f>
        <v>95</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95</v>
      </c>
      <c r="F78" s="30"/>
    </row>
    <row r="79" spans="1:6" ht="13.5" customHeight="1" x14ac:dyDescent="0.2">
      <c r="A79" s="30"/>
      <c r="B79" s="35" t="s">
        <v>6</v>
      </c>
      <c r="C79" s="40">
        <v>0.05</v>
      </c>
      <c r="D79" s="35"/>
      <c r="E79" s="43">
        <f>ROUND(E78*C79,2)</f>
        <v>4.75</v>
      </c>
      <c r="F79" s="30"/>
    </row>
    <row r="80" spans="1:6" ht="13.5" customHeight="1" x14ac:dyDescent="0.2">
      <c r="A80" s="30"/>
      <c r="B80" s="35" t="s">
        <v>5</v>
      </c>
      <c r="C80" s="40">
        <v>9.5000000000000001E-2</v>
      </c>
      <c r="D80" s="35"/>
      <c r="E80" s="44">
        <f>ROUND((E78+E79)*C80,2)</f>
        <v>9.48</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109.23</v>
      </c>
      <c r="F82" s="30"/>
    </row>
    <row r="83" spans="1:6" ht="15.75" thickTop="1" x14ac:dyDescent="0.2">
      <c r="A83" s="30"/>
      <c r="B83" s="151"/>
      <c r="C83" s="151"/>
      <c r="D83" s="151"/>
      <c r="E83" s="45"/>
      <c r="F83" s="30"/>
    </row>
    <row r="84" spans="1:6" ht="15" x14ac:dyDescent="0.2">
      <c r="A84" s="30"/>
      <c r="B84" s="150" t="s">
        <v>48</v>
      </c>
      <c r="C84" s="150"/>
      <c r="D84" s="150"/>
      <c r="E84" s="45">
        <v>0</v>
      </c>
      <c r="F84" s="30"/>
    </row>
    <row r="85" spans="1:6" ht="15" x14ac:dyDescent="0.2">
      <c r="A85" s="30"/>
      <c r="B85" s="151"/>
      <c r="C85" s="151"/>
      <c r="D85" s="151"/>
      <c r="E85" s="45"/>
      <c r="F85" s="30"/>
    </row>
    <row r="86" spans="1:6" ht="19.5" customHeight="1" x14ac:dyDescent="0.2">
      <c r="A86" s="30"/>
      <c r="B86" s="46" t="s">
        <v>47</v>
      </c>
      <c r="C86" s="47"/>
      <c r="D86" s="47"/>
      <c r="E86" s="48">
        <f>E82-E84</f>
        <v>109.23</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5"/>
      <c r="C89" s="155"/>
      <c r="D89" s="155"/>
      <c r="E89" s="155"/>
      <c r="F89" s="30"/>
    </row>
    <row r="90" spans="1:6" ht="14.25" x14ac:dyDescent="0.2">
      <c r="A90" s="148" t="s">
        <v>49</v>
      </c>
      <c r="B90" s="148"/>
      <c r="C90" s="148"/>
      <c r="D90" s="148"/>
      <c r="E90" s="148"/>
      <c r="F90" s="148"/>
    </row>
    <row r="91" spans="1:6" ht="14.25" x14ac:dyDescent="0.2">
      <c r="A91" s="146" t="s">
        <v>8</v>
      </c>
      <c r="B91" s="146"/>
      <c r="C91" s="146"/>
      <c r="D91" s="146"/>
      <c r="E91" s="146"/>
      <c r="F91" s="146"/>
    </row>
    <row r="92" spans="1:6" x14ac:dyDescent="0.2">
      <c r="A92" s="30"/>
      <c r="B92" s="30"/>
      <c r="C92" s="30"/>
      <c r="D92" s="30"/>
      <c r="E92" s="30"/>
      <c r="F92" s="30"/>
    </row>
    <row r="93" spans="1:6" x14ac:dyDescent="0.2">
      <c r="A93" s="30"/>
      <c r="B93" s="156"/>
      <c r="C93" s="156"/>
      <c r="D93" s="156"/>
      <c r="E93" s="156"/>
      <c r="F93" s="30"/>
    </row>
    <row r="94" spans="1:6" ht="15" x14ac:dyDescent="0.2">
      <c r="A94" s="147" t="s">
        <v>9</v>
      </c>
      <c r="B94" s="147"/>
      <c r="C94" s="147"/>
      <c r="D94" s="147"/>
      <c r="E94" s="147"/>
      <c r="F94" s="147"/>
    </row>
    <row r="96" spans="1:6" ht="39.75" customHeight="1" x14ac:dyDescent="0.2">
      <c r="B96" s="153"/>
      <c r="C96" s="154"/>
      <c r="D96" s="154"/>
    </row>
    <row r="97" spans="2:4" ht="13.5" customHeight="1" x14ac:dyDescent="0.2"/>
    <row r="98" spans="2:4" x14ac:dyDescent="0.2">
      <c r="B98" s="20"/>
      <c r="C98" s="20"/>
      <c r="D98" s="20"/>
    </row>
  </sheetData>
  <mergeCells count="51">
    <mergeCell ref="B96:D96"/>
    <mergeCell ref="B89:E89"/>
    <mergeCell ref="B93:E93"/>
    <mergeCell ref="B36:D36"/>
    <mergeCell ref="B37:D37"/>
    <mergeCell ref="B38:D38"/>
    <mergeCell ref="B39:D39"/>
    <mergeCell ref="B40:D40"/>
    <mergeCell ref="B41:D41"/>
    <mergeCell ref="B42:D42"/>
    <mergeCell ref="B43:D43"/>
    <mergeCell ref="B44:D44"/>
    <mergeCell ref="B49:D49"/>
    <mergeCell ref="B50:D50"/>
    <mergeCell ref="B51:D51"/>
    <mergeCell ref="B52:D52"/>
    <mergeCell ref="A31:F31"/>
    <mergeCell ref="B45:D45"/>
    <mergeCell ref="B46:D46"/>
    <mergeCell ref="B47:D47"/>
    <mergeCell ref="B48:D48"/>
    <mergeCell ref="B84:D84"/>
    <mergeCell ref="B85:D85"/>
    <mergeCell ref="B58:D58"/>
    <mergeCell ref="B59:D59"/>
    <mergeCell ref="B53:D53"/>
    <mergeCell ref="B54:D54"/>
    <mergeCell ref="B55:D55"/>
    <mergeCell ref="B56:D56"/>
    <mergeCell ref="B57:D57"/>
    <mergeCell ref="B61:D61"/>
    <mergeCell ref="B62:D62"/>
    <mergeCell ref="B63:D63"/>
    <mergeCell ref="B64:D64"/>
    <mergeCell ref="B83:D83"/>
    <mergeCell ref="A91:F91"/>
    <mergeCell ref="A94:F94"/>
    <mergeCell ref="A90:F90"/>
    <mergeCell ref="B34:D34"/>
    <mergeCell ref="B35:D35"/>
    <mergeCell ref="B70:D70"/>
    <mergeCell ref="B71:D71"/>
    <mergeCell ref="B72:D72"/>
    <mergeCell ref="B73:D73"/>
    <mergeCell ref="B74:D74"/>
    <mergeCell ref="B65:D65"/>
    <mergeCell ref="B66:D66"/>
    <mergeCell ref="B67:D67"/>
    <mergeCell ref="B68:D68"/>
    <mergeCell ref="B69:D69"/>
    <mergeCell ref="B60:D60"/>
  </mergeCells>
  <phoneticPr fontId="0" type="noConversion"/>
  <dataValidations count="1">
    <dataValidation type="list" allowBlank="1" showInputMessage="1" showErrorMessage="1" sqref="B83:B85 B12:B20 B34:B74" xr:uid="{00000000-0002-0000-00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10">
    <pageSetUpPr fitToPage="1"/>
  </sheetPr>
  <dimension ref="A12:F96"/>
  <sheetViews>
    <sheetView view="pageBreakPreview" zoomScale="80" zoomScaleNormal="100" zoomScaleSheetLayoutView="80" workbookViewId="0">
      <selection activeCell="B71" sqref="B71:D7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95</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96</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98</v>
      </c>
      <c r="C36" s="149"/>
      <c r="D36" s="149"/>
      <c r="E36" s="37">
        <f>3*225</f>
        <v>675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97</v>
      </c>
      <c r="C39" s="149"/>
      <c r="D39" s="149"/>
      <c r="E39" s="37">
        <f>2.25*225</f>
        <v>506.25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99</v>
      </c>
      <c r="C42" s="149"/>
      <c r="D42" s="149"/>
      <c r="E42" s="37">
        <v>225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1406.25</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1406.25</v>
      </c>
      <c r="F76" s="30"/>
    </row>
    <row r="77" spans="1:6" ht="13.5" customHeight="1" x14ac:dyDescent="0.2">
      <c r="A77" s="30"/>
      <c r="B77" s="35" t="s">
        <v>6</v>
      </c>
      <c r="C77" s="40">
        <v>0.05</v>
      </c>
      <c r="D77" s="35"/>
      <c r="E77" s="43">
        <f>ROUND(E76*C77,2)</f>
        <v>70.31</v>
      </c>
      <c r="F77" s="30"/>
    </row>
    <row r="78" spans="1:6" ht="13.5" customHeight="1" x14ac:dyDescent="0.2">
      <c r="A78" s="30"/>
      <c r="B78" s="35" t="s">
        <v>5</v>
      </c>
      <c r="C78" s="50">
        <v>9.9750000000000005E-2</v>
      </c>
      <c r="D78" s="35"/>
      <c r="E78" s="44">
        <f>ROUND(E76*C78,2)</f>
        <v>140.27000000000001</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1616.83</v>
      </c>
      <c r="F80" s="30"/>
    </row>
    <row r="81" spans="1:6" ht="15.75" thickTop="1" x14ac:dyDescent="0.2">
      <c r="A81" s="30"/>
      <c r="B81" s="151"/>
      <c r="C81" s="151"/>
      <c r="D81" s="151"/>
      <c r="E81" s="45"/>
      <c r="F81" s="30"/>
    </row>
    <row r="82" spans="1:6" ht="15" x14ac:dyDescent="0.2">
      <c r="A82" s="30"/>
      <c r="B82" s="150" t="s">
        <v>48</v>
      </c>
      <c r="C82" s="150"/>
      <c r="D82" s="150"/>
      <c r="E82" s="45">
        <v>0</v>
      </c>
      <c r="F82" s="30"/>
    </row>
    <row r="83" spans="1:6" ht="15" x14ac:dyDescent="0.2">
      <c r="A83" s="30"/>
      <c r="B83" s="151"/>
      <c r="C83" s="151"/>
      <c r="D83" s="151"/>
      <c r="E83" s="45"/>
      <c r="F83" s="30"/>
    </row>
    <row r="84" spans="1:6" ht="19.5" customHeight="1" x14ac:dyDescent="0.2">
      <c r="A84" s="30"/>
      <c r="B84" s="46" t="s">
        <v>47</v>
      </c>
      <c r="C84" s="47"/>
      <c r="D84" s="47"/>
      <c r="E84" s="48">
        <f>E80-E82</f>
        <v>1616.83</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5"/>
      <c r="C87" s="155"/>
      <c r="D87" s="155"/>
      <c r="E87" s="155"/>
      <c r="F87" s="30"/>
    </row>
    <row r="88" spans="1:6" ht="14.25" x14ac:dyDescent="0.2">
      <c r="A88" s="148" t="s">
        <v>49</v>
      </c>
      <c r="B88" s="148"/>
      <c r="C88" s="148"/>
      <c r="D88" s="148"/>
      <c r="E88" s="148"/>
      <c r="F88" s="148"/>
    </row>
    <row r="89" spans="1:6" ht="14.25" x14ac:dyDescent="0.2">
      <c r="A89" s="146" t="s">
        <v>8</v>
      </c>
      <c r="B89" s="146"/>
      <c r="C89" s="146"/>
      <c r="D89" s="146"/>
      <c r="E89" s="146"/>
      <c r="F89" s="146"/>
    </row>
    <row r="90" spans="1:6" x14ac:dyDescent="0.2">
      <c r="A90" s="30"/>
      <c r="B90" s="30"/>
      <c r="C90" s="30"/>
      <c r="D90" s="30"/>
      <c r="E90" s="30"/>
      <c r="F90" s="30"/>
    </row>
    <row r="91" spans="1:6" x14ac:dyDescent="0.2">
      <c r="A91" s="30"/>
      <c r="B91" s="156"/>
      <c r="C91" s="156"/>
      <c r="D91" s="156"/>
      <c r="E91" s="156"/>
      <c r="F91" s="30"/>
    </row>
    <row r="92" spans="1:6" ht="15" x14ac:dyDescent="0.2">
      <c r="A92" s="147" t="s">
        <v>9</v>
      </c>
      <c r="B92" s="147"/>
      <c r="C92" s="147"/>
      <c r="D92" s="147"/>
      <c r="E92" s="147"/>
      <c r="F92" s="147"/>
    </row>
    <row r="94" spans="1:6" ht="39.75" customHeight="1" x14ac:dyDescent="0.2">
      <c r="B94" s="153"/>
      <c r="C94" s="154"/>
      <c r="D94" s="154"/>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9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Feuil69">
    <pageSetUpPr fitToPage="1"/>
  </sheetPr>
  <dimension ref="A1:D45"/>
  <sheetViews>
    <sheetView view="pageBreakPreview" zoomScaleNormal="100" workbookViewId="0">
      <selection activeCell="C40" sqref="C40"/>
    </sheetView>
  </sheetViews>
  <sheetFormatPr baseColWidth="10" defaultRowHeight="12.75" x14ac:dyDescent="0.2"/>
  <cols>
    <col min="1" max="1" width="11.42578125" style="1"/>
    <col min="2" max="2" width="5.5703125" style="1" customWidth="1"/>
    <col min="3" max="3" width="88.5703125" style="1" customWidth="1"/>
    <col min="4" max="16384" width="11.42578125" style="1"/>
  </cols>
  <sheetData>
    <row r="1" spans="1:4" ht="22.5" x14ac:dyDescent="0.3">
      <c r="A1" s="5"/>
      <c r="B1" s="168" t="s">
        <v>1</v>
      </c>
      <c r="C1" s="168"/>
      <c r="D1" s="13"/>
    </row>
    <row r="2" spans="1:4" ht="13.5" customHeight="1" x14ac:dyDescent="0.3">
      <c r="A2" s="6"/>
      <c r="B2" s="14"/>
      <c r="C2" s="14"/>
      <c r="D2" s="7"/>
    </row>
    <row r="3" spans="1:4" ht="13.5" thickBot="1" x14ac:dyDescent="0.25">
      <c r="A3" s="6"/>
      <c r="D3" s="7"/>
    </row>
    <row r="4" spans="1:4" ht="13.5" thickBot="1" x14ac:dyDescent="0.25">
      <c r="A4" s="6"/>
      <c r="B4" s="18"/>
      <c r="C4" s="19" t="s">
        <v>4</v>
      </c>
      <c r="D4" s="7"/>
    </row>
    <row r="5" spans="1:4" s="2" customFormat="1" x14ac:dyDescent="0.2">
      <c r="A5" s="24"/>
      <c r="B5" s="25"/>
      <c r="C5" s="27" t="s">
        <v>17</v>
      </c>
      <c r="D5" s="26"/>
    </row>
    <row r="6" spans="1:4" x14ac:dyDescent="0.2">
      <c r="A6" s="6"/>
      <c r="B6" s="15"/>
      <c r="C6" s="8" t="s">
        <v>30</v>
      </c>
      <c r="D6" s="7"/>
    </row>
    <row r="7" spans="1:4" x14ac:dyDescent="0.2">
      <c r="A7" s="6"/>
      <c r="B7" s="15"/>
      <c r="C7" s="8" t="s">
        <v>3</v>
      </c>
      <c r="D7" s="7"/>
    </row>
    <row r="8" spans="1:4" x14ac:dyDescent="0.2">
      <c r="A8" s="6"/>
      <c r="B8" s="15"/>
      <c r="C8" s="8" t="s">
        <v>36</v>
      </c>
      <c r="D8" s="7"/>
    </row>
    <row r="9" spans="1:4" x14ac:dyDescent="0.2">
      <c r="A9" s="6"/>
      <c r="B9" s="15"/>
      <c r="C9" s="8" t="s">
        <v>29</v>
      </c>
      <c r="D9" s="7"/>
    </row>
    <row r="10" spans="1:4" x14ac:dyDescent="0.2">
      <c r="A10" s="6"/>
      <c r="B10" s="15"/>
      <c r="C10" s="8" t="s">
        <v>35</v>
      </c>
      <c r="D10" s="7"/>
    </row>
    <row r="11" spans="1:4" x14ac:dyDescent="0.2">
      <c r="A11" s="6"/>
      <c r="B11" s="15"/>
      <c r="C11" s="8" t="s">
        <v>34</v>
      </c>
      <c r="D11" s="7"/>
    </row>
    <row r="12" spans="1:4" x14ac:dyDescent="0.2">
      <c r="A12" s="6"/>
      <c r="B12" s="15"/>
      <c r="C12" s="8" t="s">
        <v>33</v>
      </c>
      <c r="D12" s="7"/>
    </row>
    <row r="13" spans="1:4" x14ac:dyDescent="0.2">
      <c r="A13" s="6"/>
      <c r="B13" s="15"/>
      <c r="C13" s="8" t="s">
        <v>31</v>
      </c>
      <c r="D13" s="7"/>
    </row>
    <row r="14" spans="1:4" x14ac:dyDescent="0.2">
      <c r="A14" s="6"/>
      <c r="B14" s="15"/>
      <c r="C14" s="8"/>
      <c r="D14" s="7"/>
    </row>
    <row r="15" spans="1:4" x14ac:dyDescent="0.2">
      <c r="A15" s="6"/>
      <c r="B15" s="15"/>
      <c r="C15" s="28" t="s">
        <v>18</v>
      </c>
      <c r="D15" s="7"/>
    </row>
    <row r="16" spans="1:4" x14ac:dyDescent="0.2">
      <c r="A16" s="6"/>
      <c r="B16" s="15"/>
      <c r="C16" s="8" t="s">
        <v>15</v>
      </c>
      <c r="D16" s="7"/>
    </row>
    <row r="17" spans="1:4" x14ac:dyDescent="0.2">
      <c r="A17" s="6"/>
      <c r="B17" s="15"/>
      <c r="C17" s="8" t="s">
        <v>28</v>
      </c>
      <c r="D17" s="7"/>
    </row>
    <row r="18" spans="1:4" x14ac:dyDescent="0.2">
      <c r="A18" s="6"/>
      <c r="B18" s="15"/>
      <c r="C18" s="8" t="s">
        <v>3</v>
      </c>
      <c r="D18" s="7"/>
    </row>
    <row r="19" spans="1:4" x14ac:dyDescent="0.2">
      <c r="A19" s="6"/>
      <c r="B19" s="15"/>
      <c r="C19" s="8" t="s">
        <v>11</v>
      </c>
      <c r="D19" s="7"/>
    </row>
    <row r="20" spans="1:4" x14ac:dyDescent="0.2">
      <c r="A20" s="6"/>
      <c r="B20" s="15"/>
      <c r="C20" s="8" t="s">
        <v>10</v>
      </c>
      <c r="D20" s="7"/>
    </row>
    <row r="21" spans="1:4" x14ac:dyDescent="0.2">
      <c r="A21" s="6"/>
      <c r="B21" s="15"/>
      <c r="C21" s="8" t="s">
        <v>14</v>
      </c>
      <c r="D21" s="7"/>
    </row>
    <row r="22" spans="1:4" ht="25.5" x14ac:dyDescent="0.2">
      <c r="A22" s="6"/>
      <c r="B22" s="15"/>
      <c r="C22" s="8" t="s">
        <v>13</v>
      </c>
      <c r="D22" s="7"/>
    </row>
    <row r="23" spans="1:4" x14ac:dyDescent="0.2">
      <c r="A23" s="6"/>
      <c r="B23" s="15"/>
      <c r="C23" s="8" t="s">
        <v>23</v>
      </c>
      <c r="D23" s="7"/>
    </row>
    <row r="24" spans="1:4" x14ac:dyDescent="0.2">
      <c r="A24" s="6"/>
      <c r="B24" s="15"/>
      <c r="C24" s="9" t="s">
        <v>16</v>
      </c>
      <c r="D24" s="7"/>
    </row>
    <row r="25" spans="1:4" x14ac:dyDescent="0.2">
      <c r="A25" s="6"/>
      <c r="B25" s="15"/>
      <c r="C25" s="9" t="s">
        <v>32</v>
      </c>
      <c r="D25" s="7"/>
    </row>
    <row r="26" spans="1:4" x14ac:dyDescent="0.2">
      <c r="A26" s="6"/>
      <c r="B26" s="15"/>
      <c r="C26" s="8" t="s">
        <v>12</v>
      </c>
      <c r="D26" s="7"/>
    </row>
    <row r="27" spans="1:4" x14ac:dyDescent="0.2">
      <c r="A27" s="6"/>
      <c r="B27" s="15"/>
      <c r="C27" s="8" t="s">
        <v>25</v>
      </c>
      <c r="D27" s="7"/>
    </row>
    <row r="28" spans="1:4" x14ac:dyDescent="0.2">
      <c r="A28" s="6"/>
      <c r="B28" s="15"/>
      <c r="C28" s="8" t="s">
        <v>24</v>
      </c>
      <c r="D28" s="7"/>
    </row>
    <row r="29" spans="1:4" x14ac:dyDescent="0.2">
      <c r="A29" s="6"/>
      <c r="B29" s="15"/>
      <c r="C29" s="8"/>
      <c r="D29" s="7"/>
    </row>
    <row r="30" spans="1:4" x14ac:dyDescent="0.2">
      <c r="A30" s="6"/>
      <c r="B30" s="15"/>
      <c r="C30" s="28" t="s">
        <v>19</v>
      </c>
      <c r="D30" s="7"/>
    </row>
    <row r="31" spans="1:4" x14ac:dyDescent="0.2">
      <c r="A31" s="6"/>
      <c r="B31" s="15"/>
      <c r="C31" s="8" t="s">
        <v>20</v>
      </c>
      <c r="D31" s="7"/>
    </row>
    <row r="32" spans="1:4" ht="25.5" x14ac:dyDescent="0.2">
      <c r="A32" s="6"/>
      <c r="B32" s="15"/>
      <c r="C32" s="8" t="s">
        <v>21</v>
      </c>
      <c r="D32" s="7"/>
    </row>
    <row r="33" spans="1:4" ht="25.5" x14ac:dyDescent="0.2">
      <c r="A33" s="6"/>
      <c r="B33" s="15"/>
      <c r="C33" s="8" t="s">
        <v>22</v>
      </c>
      <c r="D33" s="7"/>
    </row>
    <row r="34" spans="1:4" ht="25.5" x14ac:dyDescent="0.2">
      <c r="A34" s="6"/>
      <c r="B34" s="15"/>
      <c r="C34" s="8" t="s">
        <v>27</v>
      </c>
      <c r="D34" s="7"/>
    </row>
    <row r="35" spans="1:4" x14ac:dyDescent="0.2">
      <c r="A35" s="6"/>
      <c r="B35" s="15"/>
      <c r="C35" s="8" t="s">
        <v>2</v>
      </c>
      <c r="D35" s="7"/>
    </row>
    <row r="36" spans="1:4" x14ac:dyDescent="0.2">
      <c r="A36" s="6"/>
      <c r="B36" s="15"/>
      <c r="C36" s="8" t="s">
        <v>26</v>
      </c>
      <c r="D36" s="7"/>
    </row>
    <row r="37" spans="1:4" x14ac:dyDescent="0.2">
      <c r="A37" s="6"/>
      <c r="B37" s="15"/>
      <c r="C37" s="10" t="s">
        <v>38</v>
      </c>
      <c r="D37" s="7"/>
    </row>
    <row r="38" spans="1:4" x14ac:dyDescent="0.2">
      <c r="A38" s="6"/>
      <c r="B38" s="15"/>
      <c r="C38" s="7" t="s">
        <v>37</v>
      </c>
      <c r="D38" s="7"/>
    </row>
    <row r="39" spans="1:4" x14ac:dyDescent="0.2">
      <c r="A39" s="6"/>
      <c r="B39" s="15"/>
      <c r="C39" s="7" t="s">
        <v>39</v>
      </c>
      <c r="D39" s="7"/>
    </row>
    <row r="40" spans="1:4" x14ac:dyDescent="0.2">
      <c r="A40" s="6"/>
      <c r="B40" s="15"/>
      <c r="C40" s="10" t="s">
        <v>40</v>
      </c>
      <c r="D40" s="7"/>
    </row>
    <row r="41" spans="1:4" x14ac:dyDescent="0.2">
      <c r="A41" s="6"/>
      <c r="B41" s="15"/>
      <c r="C41" s="7"/>
      <c r="D41" s="7"/>
    </row>
    <row r="42" spans="1:4" x14ac:dyDescent="0.2">
      <c r="A42" s="6"/>
      <c r="B42" s="15"/>
      <c r="C42" s="7"/>
      <c r="D42" s="7"/>
    </row>
    <row r="43" spans="1:4" x14ac:dyDescent="0.2">
      <c r="A43" s="6"/>
      <c r="B43" s="15"/>
      <c r="C43" s="7"/>
      <c r="D43" s="7"/>
    </row>
    <row r="44" spans="1:4" x14ac:dyDescent="0.2">
      <c r="A44" s="6"/>
      <c r="B44" s="16"/>
      <c r="C44" s="7"/>
      <c r="D44" s="7"/>
    </row>
    <row r="45" spans="1:4" ht="13.5" thickBot="1" x14ac:dyDescent="0.25">
      <c r="A45" s="11"/>
      <c r="B45" s="17"/>
      <c r="C45" s="12"/>
      <c r="D45" s="12"/>
    </row>
  </sheetData>
  <mergeCells count="1">
    <mergeCell ref="B1:C1"/>
  </mergeCells>
  <phoneticPr fontId="4" type="noConversion"/>
  <pageMargins left="0.78740157499999996" right="0.78740157499999996" top="0.984251969" bottom="0.984251969" header="0.4921259845" footer="0.4921259845"/>
  <pageSetup scale="76" orientation="portrait"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19F5A-986B-4C23-9C20-346D320E2907}">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88"/>
      <c r="B1" s="88"/>
      <c r="C1" s="88"/>
      <c r="D1" s="89"/>
      <c r="E1" s="90"/>
      <c r="F1" s="90"/>
    </row>
    <row r="2" spans="1:6" ht="12.75" customHeight="1" x14ac:dyDescent="0.2">
      <c r="A2" s="88"/>
      <c r="B2" s="88"/>
      <c r="C2" s="88"/>
      <c r="D2" s="89"/>
      <c r="E2" s="90"/>
      <c r="F2" s="90"/>
    </row>
    <row r="3" spans="1:6" ht="12.75" customHeight="1" x14ac:dyDescent="0.2">
      <c r="A3" s="88"/>
      <c r="B3" s="88"/>
      <c r="C3" s="88"/>
      <c r="D3" s="89"/>
      <c r="E3" s="90"/>
      <c r="F3" s="90"/>
    </row>
    <row r="4" spans="1:6" ht="12.75" customHeight="1" x14ac:dyDescent="0.2">
      <c r="A4" s="88"/>
      <c r="B4" s="88"/>
      <c r="C4" s="88"/>
      <c r="D4" s="89"/>
      <c r="E4" s="90"/>
      <c r="F4" s="90"/>
    </row>
    <row r="5" spans="1:6" ht="12.75" customHeight="1" x14ac:dyDescent="0.2">
      <c r="A5" s="88"/>
      <c r="B5" s="88"/>
      <c r="C5" s="88"/>
      <c r="D5" s="89"/>
      <c r="E5" s="90"/>
      <c r="F5" s="90"/>
    </row>
    <row r="6" spans="1:6" ht="12.75" customHeight="1" x14ac:dyDescent="0.2">
      <c r="A6" s="88"/>
      <c r="B6" s="88"/>
      <c r="C6" s="88"/>
      <c r="D6" s="89"/>
      <c r="E6" s="90"/>
      <c r="F6" s="90"/>
    </row>
    <row r="7" spans="1:6" ht="12.75" customHeight="1" x14ac:dyDescent="0.2">
      <c r="A7" s="88"/>
      <c r="B7" s="88"/>
      <c r="C7" s="88"/>
      <c r="D7" s="89"/>
      <c r="E7" s="90"/>
      <c r="F7" s="90"/>
    </row>
    <row r="8" spans="1:6" ht="12.75" customHeight="1" x14ac:dyDescent="0.2">
      <c r="A8" s="88"/>
      <c r="B8" s="88"/>
      <c r="C8" s="88"/>
      <c r="D8" s="89"/>
      <c r="E8" s="90"/>
      <c r="F8" s="90"/>
    </row>
    <row r="9" spans="1:6" ht="12.75" customHeight="1" x14ac:dyDescent="0.2">
      <c r="A9" s="88"/>
      <c r="B9" s="88"/>
      <c r="C9" s="88"/>
      <c r="D9" s="89"/>
      <c r="E9" s="90"/>
      <c r="F9" s="90"/>
    </row>
    <row r="10" spans="1:6" ht="12.75" customHeight="1" x14ac:dyDescent="0.2">
      <c r="A10" s="88"/>
      <c r="B10" s="88"/>
      <c r="C10" s="88"/>
      <c r="D10" s="89"/>
      <c r="E10" s="90"/>
      <c r="F10" s="90"/>
    </row>
    <row r="11" spans="1:6" ht="12.75" customHeight="1" x14ac:dyDescent="0.2">
      <c r="A11" s="88"/>
      <c r="B11" s="88"/>
      <c r="C11" s="88"/>
      <c r="D11" s="89"/>
      <c r="E11" s="90"/>
      <c r="F11" s="90"/>
    </row>
    <row r="12" spans="1:6" ht="12.75" customHeight="1" x14ac:dyDescent="0.2">
      <c r="A12" s="88"/>
      <c r="B12" s="91"/>
      <c r="C12" s="91"/>
      <c r="D12" s="89"/>
      <c r="E12" s="90"/>
      <c r="F12" s="90"/>
    </row>
    <row r="13" spans="1:6" ht="12.75" customHeight="1" x14ac:dyDescent="0.2">
      <c r="A13" s="88"/>
      <c r="B13" s="91"/>
      <c r="C13" s="91"/>
      <c r="D13" s="89"/>
      <c r="E13" s="90"/>
      <c r="F13" s="90"/>
    </row>
    <row r="14" spans="1:6" ht="12.75" customHeight="1" x14ac:dyDescent="0.2">
      <c r="A14" s="88"/>
      <c r="B14" s="91"/>
      <c r="C14" s="91"/>
      <c r="D14" s="89"/>
      <c r="E14" s="90"/>
      <c r="F14" s="90"/>
    </row>
    <row r="15" spans="1:6" ht="12.75" customHeight="1" x14ac:dyDescent="0.2">
      <c r="A15" s="88"/>
      <c r="B15" s="91"/>
      <c r="C15" s="91"/>
      <c r="D15" s="89"/>
      <c r="E15" s="90"/>
      <c r="F15" s="90"/>
    </row>
    <row r="16" spans="1:6" ht="12.75" customHeight="1" x14ac:dyDescent="0.2">
      <c r="A16" s="88"/>
      <c r="B16" s="91"/>
      <c r="C16" s="91"/>
      <c r="D16" s="89"/>
      <c r="E16" s="90"/>
      <c r="F16" s="90"/>
    </row>
    <row r="17" spans="1:6" ht="12.75" customHeight="1" x14ac:dyDescent="0.2">
      <c r="A17" s="88"/>
      <c r="B17" s="91"/>
      <c r="C17" s="91"/>
      <c r="D17" s="89"/>
      <c r="E17" s="90"/>
      <c r="F17" s="90"/>
    </row>
    <row r="18" spans="1:6" ht="12.75" customHeight="1" x14ac:dyDescent="0.2">
      <c r="A18" s="88"/>
      <c r="B18" s="91"/>
      <c r="C18" s="91"/>
      <c r="D18" s="89"/>
      <c r="E18" s="90"/>
      <c r="F18" s="90"/>
    </row>
    <row r="19" spans="1:6" ht="12.75" customHeight="1" x14ac:dyDescent="0.2">
      <c r="A19" s="88"/>
      <c r="B19" s="91"/>
      <c r="C19" s="91"/>
      <c r="D19" s="89"/>
      <c r="E19" s="90"/>
      <c r="F19" s="90"/>
    </row>
    <row r="20" spans="1:6" ht="12.75" customHeight="1" x14ac:dyDescent="0.2">
      <c r="A20" s="88"/>
      <c r="B20" s="91"/>
      <c r="C20" s="91"/>
      <c r="D20" s="89"/>
      <c r="E20" s="90"/>
      <c r="F20" s="90"/>
    </row>
    <row r="21" spans="1:6" ht="15" customHeight="1" x14ac:dyDescent="0.2">
      <c r="A21" s="92"/>
      <c r="B21" s="93" t="s">
        <v>669</v>
      </c>
      <c r="C21" s="93"/>
      <c r="D21" s="94"/>
      <c r="E21" s="95"/>
      <c r="F21" s="95"/>
    </row>
    <row r="22" spans="1:6" ht="15" customHeight="1" x14ac:dyDescent="0.2">
      <c r="A22" s="92"/>
      <c r="B22" s="92"/>
      <c r="C22" s="92"/>
      <c r="D22" s="94"/>
      <c r="E22" s="95"/>
      <c r="F22" s="95"/>
    </row>
    <row r="23" spans="1:6" ht="15" customHeight="1" x14ac:dyDescent="0.2">
      <c r="A23" s="92"/>
      <c r="B23" s="93" t="s">
        <v>670</v>
      </c>
      <c r="C23" s="93"/>
      <c r="D23" s="94"/>
      <c r="E23" s="95"/>
      <c r="F23" s="95"/>
    </row>
    <row r="24" spans="1:6" ht="15" customHeight="1" x14ac:dyDescent="0.2">
      <c r="A24" s="92"/>
      <c r="B24" s="96" t="s">
        <v>671</v>
      </c>
      <c r="C24" s="92"/>
      <c r="D24" s="94"/>
      <c r="E24" s="95"/>
      <c r="F24" s="95"/>
    </row>
    <row r="25" spans="1:6" ht="15" customHeight="1" x14ac:dyDescent="0.2">
      <c r="A25" s="92"/>
      <c r="B25" s="92" t="s">
        <v>672</v>
      </c>
      <c r="C25" s="92"/>
      <c r="D25" s="94"/>
      <c r="E25" s="95"/>
      <c r="F25" s="95"/>
    </row>
    <row r="26" spans="1:6" ht="15" customHeight="1" x14ac:dyDescent="0.2">
      <c r="A26" s="92"/>
      <c r="B26" s="92" t="s">
        <v>673</v>
      </c>
      <c r="C26" s="92"/>
      <c r="D26" s="94"/>
      <c r="E26" s="95"/>
      <c r="F26" s="95"/>
    </row>
    <row r="27" spans="1:6" ht="15" customHeight="1" x14ac:dyDescent="0.2">
      <c r="A27" s="93"/>
      <c r="B27" s="92" t="s">
        <v>674</v>
      </c>
      <c r="C27" s="92"/>
      <c r="D27" s="97"/>
      <c r="E27" s="98"/>
      <c r="F27" s="98"/>
    </row>
    <row r="28" spans="1:6" ht="15.95" customHeight="1" x14ac:dyDescent="0.2">
      <c r="A28" s="92"/>
      <c r="B28" s="93"/>
      <c r="C28" s="93"/>
      <c r="D28" s="98" t="s">
        <v>41</v>
      </c>
      <c r="E28" s="99" t="s">
        <v>675</v>
      </c>
      <c r="F28" s="99"/>
    </row>
    <row r="29" spans="1:6" ht="13.5" customHeight="1" thickBot="1" x14ac:dyDescent="0.25">
      <c r="A29" s="100"/>
      <c r="B29" s="100"/>
      <c r="C29" s="100"/>
      <c r="D29" s="101"/>
      <c r="E29" s="102"/>
      <c r="F29" s="102"/>
    </row>
    <row r="30" spans="1:6" ht="21.75" customHeight="1" x14ac:dyDescent="0.2">
      <c r="A30" s="170" t="s">
        <v>0</v>
      </c>
      <c r="B30" s="170"/>
      <c r="C30" s="170"/>
      <c r="D30" s="170"/>
      <c r="E30" s="170"/>
      <c r="F30" s="103"/>
    </row>
    <row r="31" spans="1:6" ht="14.25" customHeight="1" x14ac:dyDescent="0.2">
      <c r="A31" s="104"/>
      <c r="B31" s="104"/>
      <c r="C31" s="104"/>
      <c r="D31" s="104"/>
      <c r="E31" s="104"/>
      <c r="F31" s="104"/>
    </row>
    <row r="32" spans="1:6" ht="14.25" customHeight="1" x14ac:dyDescent="0.2">
      <c r="A32" s="105"/>
      <c r="B32" s="66" t="s">
        <v>7</v>
      </c>
      <c r="C32" s="106"/>
      <c r="D32" s="107"/>
      <c r="E32" s="108"/>
      <c r="F32" s="108"/>
    </row>
    <row r="33" spans="1:6" ht="14.25" customHeight="1" x14ac:dyDescent="0.2">
      <c r="A33" s="105"/>
      <c r="B33" s="105"/>
      <c r="C33" s="105"/>
      <c r="D33" s="107"/>
      <c r="E33" s="108"/>
      <c r="F33" s="108"/>
    </row>
    <row r="34" spans="1:6" ht="14.25" customHeight="1" x14ac:dyDescent="0.2">
      <c r="A34" s="105"/>
      <c r="B34" s="109" t="s">
        <v>676</v>
      </c>
      <c r="C34" s="110">
        <v>0.25</v>
      </c>
      <c r="D34" s="111">
        <v>350</v>
      </c>
      <c r="E34" s="111">
        <v>87.5</v>
      </c>
      <c r="F34" s="111"/>
    </row>
    <row r="35" spans="1:6" ht="14.25" customHeight="1" x14ac:dyDescent="0.2">
      <c r="A35" s="105"/>
      <c r="B35" s="109" t="s">
        <v>677</v>
      </c>
      <c r="C35" s="112"/>
      <c r="D35" s="111"/>
      <c r="E35" s="111"/>
      <c r="F35" s="111"/>
    </row>
    <row r="36" spans="1:6" ht="14.25" customHeight="1" x14ac:dyDescent="0.2">
      <c r="A36" s="105"/>
      <c r="B36" s="109" t="s">
        <v>678</v>
      </c>
      <c r="C36" s="110">
        <v>0.25</v>
      </c>
      <c r="D36" s="111">
        <v>350</v>
      </c>
      <c r="E36" s="111">
        <v>87.5</v>
      </c>
      <c r="F36" s="111"/>
    </row>
    <row r="37" spans="1:6" ht="14.25" customHeight="1" x14ac:dyDescent="0.2">
      <c r="A37" s="105"/>
      <c r="B37" s="109" t="s">
        <v>677</v>
      </c>
      <c r="C37" s="110"/>
      <c r="D37" s="111"/>
      <c r="E37" s="111"/>
      <c r="F37" s="111"/>
    </row>
    <row r="38" spans="1:6" ht="14.25" customHeight="1" x14ac:dyDescent="0.2">
      <c r="A38" s="105"/>
      <c r="B38" s="109" t="s">
        <v>679</v>
      </c>
      <c r="C38" s="110">
        <v>1.4</v>
      </c>
      <c r="D38" s="111">
        <v>350</v>
      </c>
      <c r="E38" s="111">
        <v>490</v>
      </c>
      <c r="F38" s="111"/>
    </row>
    <row r="39" spans="1:6" ht="14.25" customHeight="1" x14ac:dyDescent="0.2">
      <c r="A39" s="105"/>
      <c r="B39" s="109"/>
      <c r="C39" s="110"/>
      <c r="D39" s="111"/>
      <c r="E39" s="111"/>
      <c r="F39" s="111"/>
    </row>
    <row r="40" spans="1:6" ht="14.25" customHeight="1" x14ac:dyDescent="0.2">
      <c r="A40" s="105"/>
      <c r="B40" s="109"/>
      <c r="C40" s="112"/>
      <c r="D40" s="111"/>
      <c r="E40" s="111"/>
      <c r="F40" s="111"/>
    </row>
    <row r="41" spans="1:6" ht="14.25" customHeight="1" x14ac:dyDescent="0.2">
      <c r="A41" s="105"/>
      <c r="B41" s="109"/>
      <c r="C41" s="110"/>
      <c r="D41" s="111"/>
      <c r="E41" s="111"/>
      <c r="F41" s="111"/>
    </row>
    <row r="42" spans="1:6" ht="14.25" customHeight="1" x14ac:dyDescent="0.2">
      <c r="A42" s="105"/>
      <c r="B42" s="109"/>
      <c r="C42" s="110"/>
      <c r="D42" s="111"/>
      <c r="E42" s="111"/>
      <c r="F42" s="111"/>
    </row>
    <row r="43" spans="1:6" ht="14.25" customHeight="1" x14ac:dyDescent="0.2">
      <c r="A43" s="105"/>
      <c r="B43" s="109"/>
      <c r="C43" s="110"/>
      <c r="D43" s="111"/>
      <c r="E43" s="111"/>
      <c r="F43" s="111"/>
    </row>
    <row r="44" spans="1:6" ht="14.25" customHeight="1" x14ac:dyDescent="0.2">
      <c r="A44" s="105"/>
      <c r="B44" s="109"/>
      <c r="C44" s="110"/>
      <c r="D44" s="111"/>
      <c r="E44" s="111"/>
      <c r="F44" s="111"/>
    </row>
    <row r="45" spans="1:6" ht="14.25" customHeight="1" x14ac:dyDescent="0.2">
      <c r="A45" s="105"/>
      <c r="B45" s="109"/>
      <c r="C45" s="110"/>
      <c r="D45" s="111"/>
      <c r="E45" s="111"/>
      <c r="F45" s="111"/>
    </row>
    <row r="46" spans="1:6" ht="14.25" customHeight="1" x14ac:dyDescent="0.2">
      <c r="A46" s="105"/>
      <c r="B46" s="109"/>
      <c r="C46" s="110"/>
      <c r="D46" s="111"/>
      <c r="E46" s="111"/>
      <c r="F46" s="111"/>
    </row>
    <row r="47" spans="1:6" ht="14.25" customHeight="1" x14ac:dyDescent="0.2">
      <c r="A47" s="105"/>
      <c r="B47" s="109"/>
      <c r="C47" s="110"/>
      <c r="D47" s="111"/>
      <c r="E47" s="111"/>
      <c r="F47" s="111"/>
    </row>
    <row r="48" spans="1:6" ht="14.25" customHeight="1" x14ac:dyDescent="0.2">
      <c r="A48" s="105"/>
      <c r="B48" s="109"/>
      <c r="C48" s="110"/>
      <c r="D48" s="111"/>
      <c r="E48" s="111"/>
      <c r="F48" s="111"/>
    </row>
    <row r="49" spans="1:6" ht="14.25" customHeight="1" x14ac:dyDescent="0.2">
      <c r="A49" s="105"/>
      <c r="B49" s="109"/>
      <c r="C49" s="110"/>
      <c r="D49" s="111"/>
      <c r="E49" s="111"/>
      <c r="F49" s="111"/>
    </row>
    <row r="50" spans="1:6" ht="14.25" customHeight="1" x14ac:dyDescent="0.2">
      <c r="A50" s="105"/>
      <c r="B50" s="109"/>
      <c r="C50" s="113"/>
      <c r="D50" s="113"/>
      <c r="E50" s="111"/>
      <c r="F50" s="111"/>
    </row>
    <row r="51" spans="1:6" ht="14.25" customHeight="1" x14ac:dyDescent="0.2">
      <c r="A51" s="105"/>
      <c r="B51" s="109"/>
      <c r="C51" s="110"/>
      <c r="D51" s="111"/>
      <c r="E51" s="111"/>
      <c r="F51" s="111"/>
    </row>
    <row r="52" spans="1:6" ht="14.25" customHeight="1" x14ac:dyDescent="0.2">
      <c r="A52" s="105"/>
      <c r="B52" s="109"/>
      <c r="C52" s="110"/>
      <c r="D52" s="111"/>
      <c r="E52" s="111"/>
      <c r="F52" s="111"/>
    </row>
    <row r="53" spans="1:6" ht="14.25" customHeight="1" x14ac:dyDescent="0.2">
      <c r="A53" s="105"/>
      <c r="B53" s="109"/>
      <c r="C53" s="110"/>
      <c r="D53" s="111"/>
      <c r="E53" s="111"/>
      <c r="F53" s="111"/>
    </row>
    <row r="54" spans="1:6" ht="14.25" customHeight="1" x14ac:dyDescent="0.2">
      <c r="A54" s="105"/>
      <c r="B54" s="109"/>
      <c r="C54" s="110"/>
      <c r="D54" s="111"/>
      <c r="E54" s="111"/>
      <c r="F54" s="111"/>
    </row>
    <row r="55" spans="1:6" ht="14.25" customHeight="1" x14ac:dyDescent="0.2">
      <c r="A55" s="105"/>
      <c r="B55" s="109"/>
      <c r="C55" s="110"/>
      <c r="D55" s="111"/>
      <c r="E55" s="111"/>
      <c r="F55" s="111"/>
    </row>
    <row r="56" spans="1:6" ht="14.25" customHeight="1" x14ac:dyDescent="0.2">
      <c r="A56" s="105"/>
      <c r="B56" s="109"/>
      <c r="C56" s="110"/>
      <c r="D56" s="111"/>
      <c r="E56" s="111"/>
      <c r="F56" s="111"/>
    </row>
    <row r="57" spans="1:6" ht="14.25" customHeight="1" x14ac:dyDescent="0.2">
      <c r="A57" s="105"/>
      <c r="B57" s="109"/>
      <c r="C57" s="110"/>
      <c r="D57" s="111"/>
      <c r="E57" s="111"/>
      <c r="F57" s="111"/>
    </row>
    <row r="58" spans="1:6" ht="14.25" customHeight="1" x14ac:dyDescent="0.2">
      <c r="A58" s="105"/>
      <c r="B58" s="109"/>
      <c r="C58" s="110"/>
      <c r="D58" s="111"/>
      <c r="E58" s="111"/>
      <c r="F58" s="111"/>
    </row>
    <row r="59" spans="1:6" ht="14.25" customHeight="1" x14ac:dyDescent="0.2">
      <c r="A59" s="105"/>
      <c r="B59" s="109"/>
      <c r="C59" s="110"/>
      <c r="D59" s="111"/>
      <c r="E59" s="111"/>
      <c r="F59" s="111"/>
    </row>
    <row r="60" spans="1:6" ht="14.25" customHeight="1" x14ac:dyDescent="0.2">
      <c r="A60" s="105"/>
      <c r="B60" s="109"/>
      <c r="C60" s="110"/>
      <c r="D60" s="111"/>
      <c r="E60" s="111"/>
      <c r="F60" s="111"/>
    </row>
    <row r="61" spans="1:6" ht="14.25" customHeight="1" x14ac:dyDescent="0.2">
      <c r="A61" s="105"/>
      <c r="B61" s="109"/>
      <c r="C61" s="110"/>
      <c r="D61" s="111"/>
      <c r="E61" s="111"/>
      <c r="F61" s="111"/>
    </row>
    <row r="62" spans="1:6" ht="14.25" customHeight="1" x14ac:dyDescent="0.2">
      <c r="A62" s="105"/>
      <c r="B62" s="109"/>
      <c r="C62" s="110"/>
      <c r="D62" s="111"/>
      <c r="E62" s="111"/>
      <c r="F62" s="111"/>
    </row>
    <row r="63" spans="1:6" ht="14.25" customHeight="1" x14ac:dyDescent="0.2">
      <c r="A63" s="105"/>
      <c r="B63" s="109"/>
      <c r="C63" s="114"/>
      <c r="D63" s="115"/>
      <c r="E63" s="111"/>
      <c r="F63" s="111"/>
    </row>
    <row r="64" spans="1:6" ht="14.25" customHeight="1" x14ac:dyDescent="0.2">
      <c r="A64" s="105"/>
      <c r="B64" s="109"/>
      <c r="C64" s="116"/>
      <c r="D64" s="108"/>
      <c r="E64" s="111"/>
      <c r="F64" s="111"/>
    </row>
    <row r="65" spans="1:6" ht="14.25" customHeight="1" x14ac:dyDescent="0.2">
      <c r="A65" s="105"/>
      <c r="B65" s="109"/>
      <c r="C65" s="117"/>
      <c r="D65" s="118"/>
      <c r="E65" s="111"/>
      <c r="F65" s="111"/>
    </row>
    <row r="66" spans="1:6" ht="14.25" customHeight="1" x14ac:dyDescent="0.2">
      <c r="A66" s="105"/>
      <c r="B66" s="109"/>
      <c r="C66" s="119"/>
      <c r="D66" s="120"/>
      <c r="E66" s="121"/>
      <c r="F66" s="121"/>
    </row>
    <row r="67" spans="1:6" ht="14.25" customHeight="1" x14ac:dyDescent="0.2">
      <c r="A67" s="105"/>
      <c r="B67" s="109"/>
      <c r="C67" s="119"/>
      <c r="D67" s="120"/>
      <c r="E67" s="111"/>
      <c r="F67" s="111"/>
    </row>
    <row r="68" spans="1:6" ht="13.5" customHeight="1" x14ac:dyDescent="0.2">
      <c r="A68" s="105"/>
      <c r="B68" s="122"/>
      <c r="C68" s="123"/>
      <c r="D68" s="123"/>
      <c r="E68" s="123"/>
      <c r="F68" s="105"/>
    </row>
    <row r="69" spans="1:6" ht="15.95" customHeight="1" x14ac:dyDescent="0.2">
      <c r="A69" s="92"/>
      <c r="B69" s="124" t="s">
        <v>45</v>
      </c>
      <c r="C69" s="124"/>
      <c r="D69" s="94"/>
      <c r="E69" s="125">
        <v>665</v>
      </c>
      <c r="F69" s="125"/>
    </row>
    <row r="70" spans="1:6" ht="15.95" customHeight="1" x14ac:dyDescent="0.2">
      <c r="A70" s="92"/>
      <c r="B70" s="126" t="s">
        <v>42</v>
      </c>
      <c r="C70" s="58"/>
      <c r="D70" s="94"/>
      <c r="E70" s="127">
        <v>0</v>
      </c>
      <c r="F70" s="127"/>
    </row>
    <row r="71" spans="1:6" ht="15.95" customHeight="1" x14ac:dyDescent="0.2">
      <c r="A71" s="92"/>
      <c r="B71" s="128" t="s">
        <v>680</v>
      </c>
      <c r="C71" s="58"/>
      <c r="D71" s="94"/>
      <c r="E71" s="127">
        <v>0</v>
      </c>
      <c r="F71" s="127"/>
    </row>
    <row r="72" spans="1:6" ht="15.95" customHeight="1" x14ac:dyDescent="0.2">
      <c r="A72" s="92"/>
      <c r="B72" s="128" t="s">
        <v>43</v>
      </c>
      <c r="C72" s="58"/>
      <c r="D72" s="94"/>
      <c r="E72" s="127">
        <v>0</v>
      </c>
      <c r="F72" s="127"/>
    </row>
    <row r="73" spans="1:6" ht="15.95" customHeight="1" x14ac:dyDescent="0.2">
      <c r="A73" s="92"/>
      <c r="B73" s="93" t="s">
        <v>44</v>
      </c>
      <c r="C73" s="124"/>
      <c r="D73" s="94"/>
      <c r="E73" s="129">
        <v>665</v>
      </c>
      <c r="F73" s="129"/>
    </row>
    <row r="74" spans="1:6" ht="15.95" customHeight="1" x14ac:dyDescent="0.2">
      <c r="A74" s="92"/>
      <c r="B74" s="58" t="s">
        <v>6</v>
      </c>
      <c r="C74" s="130">
        <v>0.05</v>
      </c>
      <c r="D74" s="58"/>
      <c r="E74" s="131">
        <v>33.25</v>
      </c>
      <c r="F74" s="131"/>
    </row>
    <row r="75" spans="1:6" ht="15.95" customHeight="1" x14ac:dyDescent="0.2">
      <c r="A75" s="92"/>
      <c r="B75" s="132" t="s">
        <v>5</v>
      </c>
      <c r="C75" s="133">
        <v>9.9750000000000005E-2</v>
      </c>
      <c r="D75" s="58"/>
      <c r="E75" s="134">
        <v>66.33</v>
      </c>
      <c r="F75" s="131"/>
    </row>
    <row r="76" spans="1:6" ht="15.95" customHeight="1" x14ac:dyDescent="0.2">
      <c r="A76" s="92"/>
      <c r="B76" s="66"/>
      <c r="C76" s="92"/>
      <c r="D76" s="94"/>
      <c r="E76" s="95"/>
      <c r="F76" s="95"/>
    </row>
    <row r="77" spans="1:6" ht="15.95" customHeight="1" thickBot="1" x14ac:dyDescent="0.25">
      <c r="A77" s="92"/>
      <c r="B77" s="135" t="s">
        <v>46</v>
      </c>
      <c r="C77" s="124"/>
      <c r="D77" s="136"/>
      <c r="E77" s="137">
        <v>764.58</v>
      </c>
      <c r="F77" s="138"/>
    </row>
    <row r="78" spans="1:6" ht="15.95" customHeight="1" thickTop="1" x14ac:dyDescent="0.2">
      <c r="A78" s="92"/>
      <c r="B78" s="132"/>
      <c r="C78" s="132"/>
      <c r="D78" s="132"/>
      <c r="E78" s="139"/>
      <c r="F78" s="132"/>
    </row>
    <row r="79" spans="1:6" ht="15.95" customHeight="1" x14ac:dyDescent="0.2">
      <c r="A79" s="92"/>
      <c r="B79" s="66" t="s">
        <v>48</v>
      </c>
      <c r="C79" s="132"/>
      <c r="D79" s="94"/>
      <c r="E79" s="95">
        <v>0</v>
      </c>
      <c r="F79" s="95"/>
    </row>
    <row r="80" spans="1:6" ht="15.95" customHeight="1" x14ac:dyDescent="0.2">
      <c r="A80" s="92"/>
      <c r="B80" s="124"/>
      <c r="C80" s="132"/>
      <c r="D80" s="132"/>
      <c r="E80" s="139"/>
      <c r="F80" s="132"/>
    </row>
    <row r="81" spans="1:6" ht="15.95" customHeight="1" x14ac:dyDescent="0.2">
      <c r="A81" s="92"/>
      <c r="B81" s="171" t="s">
        <v>47</v>
      </c>
      <c r="C81" s="172"/>
      <c r="D81" s="140"/>
      <c r="E81" s="141">
        <v>764.58</v>
      </c>
      <c r="F81" s="95"/>
    </row>
    <row r="82" spans="1:6" ht="15.95" customHeight="1" x14ac:dyDescent="0.2">
      <c r="A82" s="92"/>
      <c r="B82" s="92"/>
      <c r="C82" s="92"/>
      <c r="D82" s="94"/>
      <c r="E82" s="95"/>
      <c r="F82" s="95"/>
    </row>
    <row r="83" spans="1:6" ht="15.95" customHeight="1" x14ac:dyDescent="0.2">
      <c r="A83" s="142"/>
      <c r="B83" s="173"/>
      <c r="C83" s="174"/>
      <c r="D83" s="174"/>
      <c r="E83" s="174"/>
      <c r="F83" s="143"/>
    </row>
    <row r="84" spans="1:6" ht="15.95" customHeight="1" x14ac:dyDescent="0.2">
      <c r="A84" s="175" t="s">
        <v>194</v>
      </c>
      <c r="B84" s="175"/>
      <c r="C84" s="175"/>
      <c r="D84" s="175"/>
      <c r="E84" s="175"/>
      <c r="F84" s="66"/>
    </row>
    <row r="85" spans="1:6" ht="15.95" customHeight="1" x14ac:dyDescent="0.2">
      <c r="A85" s="176" t="s">
        <v>195</v>
      </c>
      <c r="B85" s="176"/>
      <c r="C85" s="176"/>
      <c r="D85" s="176"/>
      <c r="E85" s="176"/>
      <c r="F85" s="57"/>
    </row>
    <row r="86" spans="1:6" ht="15.95" customHeight="1" x14ac:dyDescent="0.2">
      <c r="A86" s="144"/>
      <c r="B86" s="144"/>
      <c r="C86" s="144"/>
      <c r="D86" s="144"/>
      <c r="E86" s="144"/>
      <c r="F86" s="57"/>
    </row>
    <row r="87" spans="1:6" ht="15.95" customHeight="1" x14ac:dyDescent="0.2">
      <c r="A87" s="144"/>
      <c r="B87" s="144"/>
      <c r="C87" s="144"/>
      <c r="D87" s="144"/>
      <c r="E87" s="144"/>
      <c r="F87" s="57"/>
    </row>
    <row r="88" spans="1:6" ht="15.95" customHeight="1" x14ac:dyDescent="0.2">
      <c r="A88" s="169" t="s">
        <v>9</v>
      </c>
      <c r="B88" s="169"/>
      <c r="C88" s="169"/>
      <c r="D88" s="169"/>
      <c r="E88" s="169"/>
      <c r="F88" s="169"/>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5EA25F-86F1-40F5-9C03-8B2F44C791AC}">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88"/>
      <c r="B1" s="88"/>
      <c r="C1" s="88"/>
      <c r="D1" s="89"/>
      <c r="E1" s="90"/>
      <c r="F1" s="90"/>
    </row>
    <row r="2" spans="1:6" ht="12.75" customHeight="1" x14ac:dyDescent="0.2">
      <c r="A2" s="88"/>
      <c r="B2" s="88"/>
      <c r="C2" s="88"/>
      <c r="D2" s="89"/>
      <c r="E2" s="90"/>
      <c r="F2" s="90"/>
    </row>
    <row r="3" spans="1:6" ht="12.75" customHeight="1" x14ac:dyDescent="0.2">
      <c r="A3" s="88"/>
      <c r="B3" s="88"/>
      <c r="C3" s="88"/>
      <c r="D3" s="89"/>
      <c r="E3" s="90"/>
      <c r="F3" s="90"/>
    </row>
    <row r="4" spans="1:6" ht="12.75" customHeight="1" x14ac:dyDescent="0.2">
      <c r="A4" s="88"/>
      <c r="B4" s="88"/>
      <c r="C4" s="88"/>
      <c r="D4" s="89"/>
      <c r="E4" s="90"/>
      <c r="F4" s="90"/>
    </row>
    <row r="5" spans="1:6" ht="12.75" customHeight="1" x14ac:dyDescent="0.2">
      <c r="A5" s="88"/>
      <c r="B5" s="88"/>
      <c r="C5" s="88"/>
      <c r="D5" s="89"/>
      <c r="E5" s="90"/>
      <c r="F5" s="90"/>
    </row>
    <row r="6" spans="1:6" ht="12.75" customHeight="1" x14ac:dyDescent="0.2">
      <c r="A6" s="88"/>
      <c r="B6" s="88"/>
      <c r="C6" s="88"/>
      <c r="D6" s="89"/>
      <c r="E6" s="90"/>
      <c r="F6" s="90"/>
    </row>
    <row r="7" spans="1:6" ht="12.75" customHeight="1" x14ac:dyDescent="0.2">
      <c r="A7" s="88"/>
      <c r="B7" s="88"/>
      <c r="C7" s="88"/>
      <c r="D7" s="89"/>
      <c r="E7" s="90"/>
      <c r="F7" s="90"/>
    </row>
    <row r="8" spans="1:6" ht="12.75" customHeight="1" x14ac:dyDescent="0.2">
      <c r="A8" s="88"/>
      <c r="B8" s="88"/>
      <c r="C8" s="88"/>
      <c r="D8" s="89"/>
      <c r="E8" s="90"/>
      <c r="F8" s="90"/>
    </row>
    <row r="9" spans="1:6" ht="12.75" customHeight="1" x14ac:dyDescent="0.2">
      <c r="A9" s="88"/>
      <c r="B9" s="88"/>
      <c r="C9" s="88"/>
      <c r="D9" s="89"/>
      <c r="E9" s="90"/>
      <c r="F9" s="90"/>
    </row>
    <row r="10" spans="1:6" ht="12.75" customHeight="1" x14ac:dyDescent="0.2">
      <c r="A10" s="88"/>
      <c r="B10" s="88"/>
      <c r="C10" s="88"/>
      <c r="D10" s="89"/>
      <c r="E10" s="90"/>
      <c r="F10" s="90"/>
    </row>
    <row r="11" spans="1:6" ht="12.75" customHeight="1" x14ac:dyDescent="0.2">
      <c r="A11" s="88"/>
      <c r="B11" s="88"/>
      <c r="C11" s="88"/>
      <c r="D11" s="89"/>
      <c r="E11" s="90"/>
      <c r="F11" s="90"/>
    </row>
    <row r="12" spans="1:6" ht="12.75" customHeight="1" x14ac:dyDescent="0.2">
      <c r="A12" s="88"/>
      <c r="B12" s="91"/>
      <c r="C12" s="91"/>
      <c r="D12" s="89"/>
      <c r="E12" s="90"/>
      <c r="F12" s="90"/>
    </row>
    <row r="13" spans="1:6" ht="12.75" customHeight="1" x14ac:dyDescent="0.2">
      <c r="A13" s="88"/>
      <c r="B13" s="91"/>
      <c r="C13" s="91"/>
      <c r="D13" s="89"/>
      <c r="E13" s="90"/>
      <c r="F13" s="90"/>
    </row>
    <row r="14" spans="1:6" ht="12.75" customHeight="1" x14ac:dyDescent="0.2">
      <c r="A14" s="88"/>
      <c r="B14" s="91"/>
      <c r="C14" s="91"/>
      <c r="D14" s="89"/>
      <c r="E14" s="90"/>
      <c r="F14" s="90"/>
    </row>
    <row r="15" spans="1:6" ht="12.75" customHeight="1" x14ac:dyDescent="0.2">
      <c r="A15" s="88"/>
      <c r="B15" s="91"/>
      <c r="C15" s="91"/>
      <c r="D15" s="89"/>
      <c r="E15" s="90"/>
      <c r="F15" s="90"/>
    </row>
    <row r="16" spans="1:6" ht="12.75" customHeight="1" x14ac:dyDescent="0.2">
      <c r="A16" s="88"/>
      <c r="B16" s="91"/>
      <c r="C16" s="91"/>
      <c r="D16" s="89"/>
      <c r="E16" s="90"/>
      <c r="F16" s="90"/>
    </row>
    <row r="17" spans="1:6" ht="12.75" customHeight="1" x14ac:dyDescent="0.2">
      <c r="A17" s="88"/>
      <c r="B17" s="91"/>
      <c r="C17" s="91"/>
      <c r="D17" s="89"/>
      <c r="E17" s="90"/>
      <c r="F17" s="90"/>
    </row>
    <row r="18" spans="1:6" ht="12.75" customHeight="1" x14ac:dyDescent="0.2">
      <c r="A18" s="88"/>
      <c r="B18" s="91"/>
      <c r="C18" s="91"/>
      <c r="D18" s="89"/>
      <c r="E18" s="90"/>
      <c r="F18" s="90"/>
    </row>
    <row r="19" spans="1:6" ht="12.75" customHeight="1" x14ac:dyDescent="0.2">
      <c r="A19" s="88"/>
      <c r="B19" s="91"/>
      <c r="C19" s="91"/>
      <c r="D19" s="89"/>
      <c r="E19" s="90"/>
      <c r="F19" s="90"/>
    </row>
    <row r="20" spans="1:6" ht="12.75" customHeight="1" x14ac:dyDescent="0.2">
      <c r="A20" s="88"/>
      <c r="B20" s="91"/>
      <c r="C20" s="91"/>
      <c r="D20" s="89"/>
      <c r="E20" s="90"/>
      <c r="F20" s="90"/>
    </row>
    <row r="21" spans="1:6" ht="15" customHeight="1" x14ac:dyDescent="0.2">
      <c r="A21" s="92"/>
      <c r="B21" s="93" t="s">
        <v>681</v>
      </c>
      <c r="C21" s="93"/>
      <c r="D21" s="94"/>
      <c r="E21" s="95"/>
      <c r="F21" s="95"/>
    </row>
    <row r="22" spans="1:6" ht="15" customHeight="1" x14ac:dyDescent="0.2">
      <c r="A22" s="92"/>
      <c r="B22" s="92"/>
      <c r="C22" s="92"/>
      <c r="D22" s="94"/>
      <c r="E22" s="95"/>
      <c r="F22" s="95"/>
    </row>
    <row r="23" spans="1:6" ht="15" customHeight="1" x14ac:dyDescent="0.2">
      <c r="A23" s="92"/>
      <c r="B23" s="93" t="s">
        <v>670</v>
      </c>
      <c r="C23" s="93"/>
      <c r="D23" s="94"/>
      <c r="E23" s="95"/>
      <c r="F23" s="95"/>
    </row>
    <row r="24" spans="1:6" ht="15" customHeight="1" x14ac:dyDescent="0.2">
      <c r="A24" s="92"/>
      <c r="B24" s="96" t="s">
        <v>671</v>
      </c>
      <c r="C24" s="92"/>
      <c r="D24" s="94"/>
      <c r="E24" s="95"/>
      <c r="F24" s="95"/>
    </row>
    <row r="25" spans="1:6" ht="15" customHeight="1" x14ac:dyDescent="0.2">
      <c r="A25" s="92"/>
      <c r="B25" s="92" t="s">
        <v>672</v>
      </c>
      <c r="C25" s="92"/>
      <c r="D25" s="94"/>
      <c r="E25" s="95"/>
      <c r="F25" s="95"/>
    </row>
    <row r="26" spans="1:6" ht="15" customHeight="1" x14ac:dyDescent="0.2">
      <c r="A26" s="92"/>
      <c r="B26" s="92" t="s">
        <v>673</v>
      </c>
      <c r="C26" s="92"/>
      <c r="D26" s="94"/>
      <c r="E26" s="95"/>
      <c r="F26" s="95"/>
    </row>
    <row r="27" spans="1:6" ht="15" customHeight="1" x14ac:dyDescent="0.2">
      <c r="A27" s="93"/>
      <c r="B27" s="92" t="s">
        <v>674</v>
      </c>
      <c r="C27" s="92"/>
      <c r="D27" s="97"/>
      <c r="E27" s="98"/>
      <c r="F27" s="98"/>
    </row>
    <row r="28" spans="1:6" ht="15.95" customHeight="1" x14ac:dyDescent="0.2">
      <c r="A28" s="92"/>
      <c r="B28" s="93"/>
      <c r="C28" s="93"/>
      <c r="D28" s="98" t="s">
        <v>41</v>
      </c>
      <c r="E28" s="99" t="s">
        <v>682</v>
      </c>
      <c r="F28" s="99"/>
    </row>
    <row r="29" spans="1:6" ht="13.5" customHeight="1" thickBot="1" x14ac:dyDescent="0.25">
      <c r="A29" s="100"/>
      <c r="B29" s="100"/>
      <c r="C29" s="100"/>
      <c r="D29" s="101"/>
      <c r="E29" s="102"/>
      <c r="F29" s="102"/>
    </row>
    <row r="30" spans="1:6" ht="21.75" customHeight="1" x14ac:dyDescent="0.2">
      <c r="A30" s="170" t="s">
        <v>0</v>
      </c>
      <c r="B30" s="170"/>
      <c r="C30" s="170"/>
      <c r="D30" s="170"/>
      <c r="E30" s="170"/>
      <c r="F30" s="103"/>
    </row>
    <row r="31" spans="1:6" ht="14.25" customHeight="1" x14ac:dyDescent="0.2">
      <c r="A31" s="104"/>
      <c r="B31" s="104"/>
      <c r="C31" s="104"/>
      <c r="D31" s="104"/>
      <c r="E31" s="104"/>
      <c r="F31" s="104"/>
    </row>
    <row r="32" spans="1:6" ht="14.25" customHeight="1" x14ac:dyDescent="0.2">
      <c r="A32" s="105"/>
      <c r="B32" s="66" t="s">
        <v>7</v>
      </c>
      <c r="C32" s="106"/>
      <c r="D32" s="107"/>
      <c r="E32" s="108"/>
      <c r="F32" s="108"/>
    </row>
    <row r="33" spans="1:6" ht="14.25" customHeight="1" x14ac:dyDescent="0.2">
      <c r="A33" s="105"/>
      <c r="B33" s="105"/>
      <c r="C33" s="105"/>
      <c r="D33" s="107"/>
      <c r="E33" s="108"/>
      <c r="F33" s="108"/>
    </row>
    <row r="34" spans="1:6" ht="14.25" customHeight="1" x14ac:dyDescent="0.2">
      <c r="A34" s="105"/>
      <c r="B34" s="109" t="s">
        <v>683</v>
      </c>
      <c r="C34" s="110">
        <v>1.25</v>
      </c>
      <c r="D34" s="111">
        <v>350</v>
      </c>
      <c r="E34" s="111">
        <v>437.5</v>
      </c>
      <c r="F34" s="111"/>
    </row>
    <row r="35" spans="1:6" ht="14.25" customHeight="1" x14ac:dyDescent="0.2">
      <c r="A35" s="105"/>
      <c r="B35" s="109"/>
      <c r="C35" s="112"/>
      <c r="D35" s="111"/>
      <c r="E35" s="111"/>
      <c r="F35" s="111"/>
    </row>
    <row r="36" spans="1:6" ht="14.25" customHeight="1" x14ac:dyDescent="0.2">
      <c r="A36" s="105"/>
      <c r="B36" s="109"/>
      <c r="C36" s="110"/>
      <c r="D36" s="111"/>
      <c r="E36" s="111"/>
      <c r="F36" s="111"/>
    </row>
    <row r="37" spans="1:6" ht="14.25" customHeight="1" x14ac:dyDescent="0.2">
      <c r="A37" s="105"/>
      <c r="B37" s="109"/>
      <c r="C37" s="110"/>
      <c r="D37" s="111"/>
      <c r="E37" s="111"/>
      <c r="F37" s="111"/>
    </row>
    <row r="38" spans="1:6" ht="14.25" customHeight="1" x14ac:dyDescent="0.2">
      <c r="A38" s="105"/>
      <c r="B38" s="109"/>
      <c r="C38" s="110"/>
      <c r="D38" s="111"/>
      <c r="E38" s="111"/>
      <c r="F38" s="111"/>
    </row>
    <row r="39" spans="1:6" ht="14.25" customHeight="1" x14ac:dyDescent="0.2">
      <c r="A39" s="105"/>
      <c r="B39" s="109"/>
      <c r="C39" s="110"/>
      <c r="D39" s="111"/>
      <c r="E39" s="111"/>
      <c r="F39" s="111"/>
    </row>
    <row r="40" spans="1:6" ht="14.25" customHeight="1" x14ac:dyDescent="0.2">
      <c r="A40" s="105"/>
      <c r="B40" s="109"/>
      <c r="C40" s="112"/>
      <c r="D40" s="111"/>
      <c r="E40" s="111"/>
      <c r="F40" s="111"/>
    </row>
    <row r="41" spans="1:6" ht="14.25" customHeight="1" x14ac:dyDescent="0.2">
      <c r="A41" s="105"/>
      <c r="B41" s="109"/>
      <c r="C41" s="110"/>
      <c r="D41" s="111"/>
      <c r="E41" s="111"/>
      <c r="F41" s="111"/>
    </row>
    <row r="42" spans="1:6" ht="14.25" customHeight="1" x14ac:dyDescent="0.2">
      <c r="A42" s="105"/>
      <c r="B42" s="109"/>
      <c r="C42" s="110"/>
      <c r="D42" s="111"/>
      <c r="E42" s="111"/>
      <c r="F42" s="111"/>
    </row>
    <row r="43" spans="1:6" ht="14.25" customHeight="1" x14ac:dyDescent="0.2">
      <c r="A43" s="105"/>
      <c r="B43" s="109"/>
      <c r="C43" s="110"/>
      <c r="D43" s="111"/>
      <c r="E43" s="111"/>
      <c r="F43" s="111"/>
    </row>
    <row r="44" spans="1:6" ht="14.25" customHeight="1" x14ac:dyDescent="0.2">
      <c r="A44" s="105"/>
      <c r="B44" s="109"/>
      <c r="C44" s="110"/>
      <c r="D44" s="111"/>
      <c r="E44" s="111"/>
      <c r="F44" s="111"/>
    </row>
    <row r="45" spans="1:6" ht="14.25" customHeight="1" x14ac:dyDescent="0.2">
      <c r="A45" s="105"/>
      <c r="B45" s="109"/>
      <c r="C45" s="110"/>
      <c r="D45" s="111"/>
      <c r="E45" s="111"/>
      <c r="F45" s="111"/>
    </row>
    <row r="46" spans="1:6" ht="14.25" customHeight="1" x14ac:dyDescent="0.2">
      <c r="A46" s="105"/>
      <c r="B46" s="109"/>
      <c r="C46" s="110"/>
      <c r="D46" s="111"/>
      <c r="E46" s="111"/>
      <c r="F46" s="111"/>
    </row>
    <row r="47" spans="1:6" ht="14.25" customHeight="1" x14ac:dyDescent="0.2">
      <c r="A47" s="105"/>
      <c r="B47" s="109"/>
      <c r="C47" s="110"/>
      <c r="D47" s="111"/>
      <c r="E47" s="111"/>
      <c r="F47" s="111"/>
    </row>
    <row r="48" spans="1:6" ht="14.25" customHeight="1" x14ac:dyDescent="0.2">
      <c r="A48" s="105"/>
      <c r="B48" s="109"/>
      <c r="C48" s="110"/>
      <c r="D48" s="111"/>
      <c r="E48" s="111"/>
      <c r="F48" s="111"/>
    </row>
    <row r="49" spans="1:6" ht="14.25" customHeight="1" x14ac:dyDescent="0.2">
      <c r="A49" s="105"/>
      <c r="B49" s="109"/>
      <c r="C49" s="110"/>
      <c r="D49" s="111"/>
      <c r="E49" s="111"/>
      <c r="F49" s="111"/>
    </row>
    <row r="50" spans="1:6" ht="14.25" customHeight="1" x14ac:dyDescent="0.2">
      <c r="A50" s="105"/>
      <c r="B50" s="109"/>
      <c r="C50" s="113"/>
      <c r="D50" s="113"/>
      <c r="E50" s="111"/>
      <c r="F50" s="111"/>
    </row>
    <row r="51" spans="1:6" ht="14.25" customHeight="1" x14ac:dyDescent="0.2">
      <c r="A51" s="105"/>
      <c r="B51" s="109"/>
      <c r="C51" s="110"/>
      <c r="D51" s="111"/>
      <c r="E51" s="111"/>
      <c r="F51" s="111"/>
    </row>
    <row r="52" spans="1:6" ht="14.25" customHeight="1" x14ac:dyDescent="0.2">
      <c r="A52" s="105"/>
      <c r="B52" s="109"/>
      <c r="C52" s="110"/>
      <c r="D52" s="111"/>
      <c r="E52" s="111"/>
      <c r="F52" s="111"/>
    </row>
    <row r="53" spans="1:6" ht="14.25" customHeight="1" x14ac:dyDescent="0.2">
      <c r="A53" s="105"/>
      <c r="B53" s="109"/>
      <c r="C53" s="110"/>
      <c r="D53" s="111"/>
      <c r="E53" s="111"/>
      <c r="F53" s="111"/>
    </row>
    <row r="54" spans="1:6" ht="14.25" customHeight="1" x14ac:dyDescent="0.2">
      <c r="A54" s="105"/>
      <c r="B54" s="109"/>
      <c r="C54" s="110"/>
      <c r="D54" s="111"/>
      <c r="E54" s="111"/>
      <c r="F54" s="111"/>
    </row>
    <row r="55" spans="1:6" ht="14.25" customHeight="1" x14ac:dyDescent="0.2">
      <c r="A55" s="105"/>
      <c r="B55" s="109"/>
      <c r="C55" s="110"/>
      <c r="D55" s="111"/>
      <c r="E55" s="111"/>
      <c r="F55" s="111"/>
    </row>
    <row r="56" spans="1:6" ht="14.25" customHeight="1" x14ac:dyDescent="0.2">
      <c r="A56" s="105"/>
      <c r="B56" s="109"/>
      <c r="C56" s="110"/>
      <c r="D56" s="111"/>
      <c r="E56" s="111"/>
      <c r="F56" s="111"/>
    </row>
    <row r="57" spans="1:6" ht="14.25" customHeight="1" x14ac:dyDescent="0.2">
      <c r="A57" s="105"/>
      <c r="B57" s="109"/>
      <c r="C57" s="110"/>
      <c r="D57" s="111"/>
      <c r="E57" s="111"/>
      <c r="F57" s="111"/>
    </row>
    <row r="58" spans="1:6" ht="14.25" customHeight="1" x14ac:dyDescent="0.2">
      <c r="A58" s="105"/>
      <c r="B58" s="109"/>
      <c r="C58" s="110"/>
      <c r="D58" s="111"/>
      <c r="E58" s="111"/>
      <c r="F58" s="111"/>
    </row>
    <row r="59" spans="1:6" ht="14.25" customHeight="1" x14ac:dyDescent="0.2">
      <c r="A59" s="105"/>
      <c r="B59" s="109"/>
      <c r="C59" s="110"/>
      <c r="D59" s="111"/>
      <c r="E59" s="111"/>
      <c r="F59" s="111"/>
    </row>
    <row r="60" spans="1:6" ht="14.25" customHeight="1" x14ac:dyDescent="0.2">
      <c r="A60" s="105"/>
      <c r="B60" s="109"/>
      <c r="C60" s="110"/>
      <c r="D60" s="111"/>
      <c r="E60" s="111"/>
      <c r="F60" s="111"/>
    </row>
    <row r="61" spans="1:6" ht="14.25" customHeight="1" x14ac:dyDescent="0.2">
      <c r="A61" s="105"/>
      <c r="B61" s="109"/>
      <c r="C61" s="110"/>
      <c r="D61" s="111"/>
      <c r="E61" s="111"/>
      <c r="F61" s="111"/>
    </row>
    <row r="62" spans="1:6" ht="14.25" customHeight="1" x14ac:dyDescent="0.2">
      <c r="A62" s="105"/>
      <c r="B62" s="109"/>
      <c r="C62" s="110"/>
      <c r="D62" s="111"/>
      <c r="E62" s="111"/>
      <c r="F62" s="111"/>
    </row>
    <row r="63" spans="1:6" ht="14.25" customHeight="1" x14ac:dyDescent="0.2">
      <c r="A63" s="105"/>
      <c r="B63" s="122"/>
      <c r="C63" s="114"/>
      <c r="D63" s="115"/>
      <c r="E63" s="111"/>
      <c r="F63" s="111"/>
    </row>
    <row r="64" spans="1:6" ht="14.25" customHeight="1" x14ac:dyDescent="0.2">
      <c r="A64" s="105"/>
      <c r="B64" s="122"/>
      <c r="C64" s="116"/>
      <c r="D64" s="108"/>
      <c r="E64" s="111"/>
      <c r="F64" s="111"/>
    </row>
    <row r="65" spans="1:6" ht="14.25" customHeight="1" x14ac:dyDescent="0.2">
      <c r="A65" s="105"/>
      <c r="B65" s="109"/>
      <c r="C65" s="117"/>
      <c r="D65" s="118"/>
      <c r="E65" s="111"/>
      <c r="F65" s="111"/>
    </row>
    <row r="66" spans="1:6" ht="14.25" customHeight="1" x14ac:dyDescent="0.2">
      <c r="A66" s="105"/>
      <c r="B66" s="109"/>
      <c r="C66" s="119"/>
      <c r="D66" s="120"/>
      <c r="E66" s="121"/>
      <c r="F66" s="121"/>
    </row>
    <row r="67" spans="1:6" ht="14.25" customHeight="1" x14ac:dyDescent="0.2">
      <c r="A67" s="105"/>
      <c r="B67" s="122"/>
      <c r="C67" s="119"/>
      <c r="D67" s="120"/>
      <c r="E67" s="111"/>
      <c r="F67" s="111"/>
    </row>
    <row r="68" spans="1:6" ht="13.5" customHeight="1" x14ac:dyDescent="0.2">
      <c r="A68" s="105"/>
      <c r="B68" s="122"/>
      <c r="C68" s="123"/>
      <c r="D68" s="123"/>
      <c r="E68" s="123"/>
      <c r="F68" s="105"/>
    </row>
    <row r="69" spans="1:6" ht="15.95" customHeight="1" x14ac:dyDescent="0.2">
      <c r="A69" s="92"/>
      <c r="B69" s="124" t="s">
        <v>45</v>
      </c>
      <c r="C69" s="124"/>
      <c r="D69" s="94"/>
      <c r="E69" s="125">
        <v>437.5</v>
      </c>
      <c r="F69" s="125"/>
    </row>
    <row r="70" spans="1:6" ht="15.95" customHeight="1" x14ac:dyDescent="0.2">
      <c r="A70" s="92"/>
      <c r="B70" s="126" t="s">
        <v>42</v>
      </c>
      <c r="C70" s="58"/>
      <c r="D70" s="94"/>
      <c r="E70" s="127">
        <v>0</v>
      </c>
      <c r="F70" s="127"/>
    </row>
    <row r="71" spans="1:6" ht="15.95" customHeight="1" x14ac:dyDescent="0.2">
      <c r="A71" s="92"/>
      <c r="B71" s="128" t="s">
        <v>680</v>
      </c>
      <c r="C71" s="58"/>
      <c r="D71" s="94"/>
      <c r="E71" s="127">
        <v>0</v>
      </c>
      <c r="F71" s="127"/>
    </row>
    <row r="72" spans="1:6" ht="15.95" customHeight="1" x14ac:dyDescent="0.2">
      <c r="A72" s="92"/>
      <c r="B72" s="128" t="s">
        <v>43</v>
      </c>
      <c r="C72" s="58"/>
      <c r="D72" s="94"/>
      <c r="E72" s="127">
        <v>0</v>
      </c>
      <c r="F72" s="127"/>
    </row>
    <row r="73" spans="1:6" ht="15.95" customHeight="1" x14ac:dyDescent="0.2">
      <c r="A73" s="92"/>
      <c r="B73" s="93" t="s">
        <v>44</v>
      </c>
      <c r="C73" s="124"/>
      <c r="D73" s="94"/>
      <c r="E73" s="129">
        <v>437.5</v>
      </c>
      <c r="F73" s="129"/>
    </row>
    <row r="74" spans="1:6" ht="15.95" customHeight="1" x14ac:dyDescent="0.2">
      <c r="A74" s="92"/>
      <c r="B74" s="58" t="s">
        <v>6</v>
      </c>
      <c r="C74" s="130">
        <v>0.05</v>
      </c>
      <c r="D74" s="58"/>
      <c r="E74" s="131">
        <v>21.88</v>
      </c>
      <c r="F74" s="131"/>
    </row>
    <row r="75" spans="1:6" ht="15.95" customHeight="1" x14ac:dyDescent="0.2">
      <c r="A75" s="92"/>
      <c r="B75" s="132" t="s">
        <v>5</v>
      </c>
      <c r="C75" s="133">
        <v>9.9750000000000005E-2</v>
      </c>
      <c r="D75" s="58"/>
      <c r="E75" s="134">
        <v>43.64</v>
      </c>
      <c r="F75" s="131"/>
    </row>
    <row r="76" spans="1:6" ht="15.95" customHeight="1" x14ac:dyDescent="0.2">
      <c r="A76" s="92"/>
      <c r="B76" s="66"/>
      <c r="C76" s="92"/>
      <c r="D76" s="94"/>
      <c r="E76" s="95"/>
      <c r="F76" s="95"/>
    </row>
    <row r="77" spans="1:6" ht="15.95" customHeight="1" thickBot="1" x14ac:dyDescent="0.25">
      <c r="A77" s="92"/>
      <c r="B77" s="135" t="s">
        <v>46</v>
      </c>
      <c r="C77" s="124"/>
      <c r="D77" s="136"/>
      <c r="E77" s="137">
        <v>503.02</v>
      </c>
      <c r="F77" s="138"/>
    </row>
    <row r="78" spans="1:6" ht="15.95" customHeight="1" thickTop="1" x14ac:dyDescent="0.2">
      <c r="A78" s="92"/>
      <c r="B78" s="132"/>
      <c r="C78" s="132"/>
      <c r="D78" s="132"/>
      <c r="E78" s="139"/>
      <c r="F78" s="132"/>
    </row>
    <row r="79" spans="1:6" ht="15.95" customHeight="1" x14ac:dyDescent="0.2">
      <c r="A79" s="92"/>
      <c r="B79" s="66" t="s">
        <v>48</v>
      </c>
      <c r="C79" s="132"/>
      <c r="D79" s="94"/>
      <c r="E79" s="95">
        <v>0</v>
      </c>
      <c r="F79" s="95"/>
    </row>
    <row r="80" spans="1:6" ht="15.95" customHeight="1" x14ac:dyDescent="0.2">
      <c r="A80" s="92"/>
      <c r="B80" s="124"/>
      <c r="C80" s="132"/>
      <c r="D80" s="132"/>
      <c r="E80" s="139"/>
      <c r="F80" s="132"/>
    </row>
    <row r="81" spans="1:6" ht="15.95" customHeight="1" x14ac:dyDescent="0.2">
      <c r="A81" s="92"/>
      <c r="B81" s="171" t="s">
        <v>47</v>
      </c>
      <c r="C81" s="172"/>
      <c r="D81" s="140"/>
      <c r="E81" s="141">
        <v>503.02</v>
      </c>
      <c r="F81" s="95"/>
    </row>
    <row r="82" spans="1:6" ht="15.95" customHeight="1" x14ac:dyDescent="0.2">
      <c r="A82" s="92"/>
      <c r="B82" s="92"/>
      <c r="C82" s="92"/>
      <c r="D82" s="94"/>
      <c r="E82" s="95"/>
      <c r="F82" s="95"/>
    </row>
    <row r="83" spans="1:6" ht="15.95" customHeight="1" x14ac:dyDescent="0.2">
      <c r="A83" s="142"/>
      <c r="B83" s="173"/>
      <c r="C83" s="174"/>
      <c r="D83" s="174"/>
      <c r="E83" s="174"/>
      <c r="F83" s="143"/>
    </row>
    <row r="84" spans="1:6" ht="15.95" customHeight="1" x14ac:dyDescent="0.2">
      <c r="A84" s="175" t="s">
        <v>194</v>
      </c>
      <c r="B84" s="175"/>
      <c r="C84" s="175"/>
      <c r="D84" s="175"/>
      <c r="E84" s="175"/>
      <c r="F84" s="66"/>
    </row>
    <row r="85" spans="1:6" ht="15.95" customHeight="1" x14ac:dyDescent="0.2">
      <c r="A85" s="176" t="s">
        <v>195</v>
      </c>
      <c r="B85" s="176"/>
      <c r="C85" s="176"/>
      <c r="D85" s="176"/>
      <c r="E85" s="176"/>
      <c r="F85" s="57"/>
    </row>
    <row r="86" spans="1:6" ht="15.95" customHeight="1" x14ac:dyDescent="0.2">
      <c r="A86" s="144"/>
      <c r="B86" s="144"/>
      <c r="C86" s="144"/>
      <c r="D86" s="144"/>
      <c r="E86" s="144"/>
      <c r="F86" s="57"/>
    </row>
    <row r="87" spans="1:6" ht="15.95" customHeight="1" x14ac:dyDescent="0.2">
      <c r="A87" s="144"/>
      <c r="B87" s="144"/>
      <c r="C87" s="144"/>
      <c r="D87" s="144"/>
      <c r="E87" s="144"/>
      <c r="F87" s="57"/>
    </row>
    <row r="88" spans="1:6" ht="15.95" customHeight="1" x14ac:dyDescent="0.2">
      <c r="A88" s="169" t="s">
        <v>9</v>
      </c>
      <c r="B88" s="169"/>
      <c r="C88" s="169"/>
      <c r="D88" s="169"/>
      <c r="E88" s="169"/>
      <c r="F88" s="169"/>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C8571-E282-4876-BA0D-262538845D30}">
  <sheetPr>
    <pageSetUpPr fitToPage="1"/>
  </sheetPr>
  <dimension ref="A1:F88"/>
  <sheetViews>
    <sheetView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88"/>
      <c r="B1" s="88"/>
      <c r="C1" s="88"/>
      <c r="D1" s="89"/>
      <c r="E1" s="90"/>
      <c r="F1" s="90"/>
    </row>
    <row r="2" spans="1:6" ht="12.75" customHeight="1" x14ac:dyDescent="0.2">
      <c r="A2" s="88"/>
      <c r="B2" s="88"/>
      <c r="C2" s="88"/>
      <c r="D2" s="89"/>
      <c r="E2" s="90"/>
      <c r="F2" s="90"/>
    </row>
    <row r="3" spans="1:6" ht="12.75" customHeight="1" x14ac:dyDescent="0.2">
      <c r="A3" s="88"/>
      <c r="B3" s="88"/>
      <c r="C3" s="88"/>
      <c r="D3" s="89"/>
      <c r="E3" s="90"/>
      <c r="F3" s="90"/>
    </row>
    <row r="4" spans="1:6" ht="12.75" customHeight="1" x14ac:dyDescent="0.2">
      <c r="A4" s="88"/>
      <c r="B4" s="88"/>
      <c r="C4" s="88"/>
      <c r="D4" s="89"/>
      <c r="E4" s="90"/>
      <c r="F4" s="90"/>
    </row>
    <row r="5" spans="1:6" ht="12.75" customHeight="1" x14ac:dyDescent="0.2">
      <c r="A5" s="88"/>
      <c r="B5" s="88"/>
      <c r="C5" s="88"/>
      <c r="D5" s="89"/>
      <c r="E5" s="90"/>
      <c r="F5" s="90"/>
    </row>
    <row r="6" spans="1:6" ht="12.75" customHeight="1" x14ac:dyDescent="0.2">
      <c r="A6" s="88"/>
      <c r="B6" s="88"/>
      <c r="C6" s="88"/>
      <c r="D6" s="89"/>
      <c r="E6" s="90"/>
      <c r="F6" s="90"/>
    </row>
    <row r="7" spans="1:6" ht="12.75" customHeight="1" x14ac:dyDescent="0.2">
      <c r="A7" s="88"/>
      <c r="B7" s="88"/>
      <c r="C7" s="88"/>
      <c r="D7" s="89"/>
      <c r="E7" s="90"/>
      <c r="F7" s="90"/>
    </row>
    <row r="8" spans="1:6" ht="12.75" customHeight="1" x14ac:dyDescent="0.2">
      <c r="A8" s="88"/>
      <c r="B8" s="88"/>
      <c r="C8" s="88"/>
      <c r="D8" s="89"/>
      <c r="E8" s="90"/>
      <c r="F8" s="90"/>
    </row>
    <row r="9" spans="1:6" ht="12.75" customHeight="1" x14ac:dyDescent="0.2">
      <c r="A9" s="88"/>
      <c r="B9" s="88"/>
      <c r="C9" s="88"/>
      <c r="D9" s="145"/>
      <c r="E9" s="90"/>
      <c r="F9" s="90"/>
    </row>
    <row r="10" spans="1:6" ht="12.75" customHeight="1" x14ac:dyDescent="0.2">
      <c r="A10" s="88"/>
      <c r="B10" s="88"/>
      <c r="C10" s="88"/>
      <c r="D10" s="89"/>
      <c r="E10" s="90"/>
      <c r="F10" s="90"/>
    </row>
    <row r="11" spans="1:6" ht="12.75" customHeight="1" x14ac:dyDescent="0.2">
      <c r="A11" s="88"/>
      <c r="B11" s="88"/>
      <c r="C11" s="88"/>
      <c r="D11" s="89"/>
      <c r="E11" s="90"/>
      <c r="F11" s="90"/>
    </row>
    <row r="12" spans="1:6" ht="12.75" customHeight="1" x14ac:dyDescent="0.2">
      <c r="A12" s="88"/>
      <c r="B12" s="91"/>
      <c r="C12" s="91"/>
      <c r="D12" s="89"/>
      <c r="E12" s="90"/>
      <c r="F12" s="90"/>
    </row>
    <row r="13" spans="1:6" ht="12.75" customHeight="1" x14ac:dyDescent="0.2">
      <c r="A13" s="88"/>
      <c r="B13" s="91"/>
      <c r="C13" s="91"/>
      <c r="D13" s="89"/>
      <c r="E13" s="90"/>
      <c r="F13" s="90"/>
    </row>
    <row r="14" spans="1:6" ht="12.75" customHeight="1" x14ac:dyDescent="0.2">
      <c r="A14" s="88"/>
      <c r="B14" s="91"/>
      <c r="C14" s="91"/>
      <c r="D14" s="89"/>
      <c r="E14" s="90"/>
      <c r="F14" s="90"/>
    </row>
    <row r="15" spans="1:6" ht="12.75" customHeight="1" x14ac:dyDescent="0.2">
      <c r="A15" s="88"/>
      <c r="B15" s="91"/>
      <c r="C15" s="91"/>
      <c r="D15" s="89"/>
      <c r="E15" s="90"/>
      <c r="F15" s="90"/>
    </row>
    <row r="16" spans="1:6" ht="12.75" customHeight="1" x14ac:dyDescent="0.2">
      <c r="A16" s="88"/>
      <c r="B16" s="91"/>
      <c r="C16" s="91"/>
      <c r="D16" s="89"/>
      <c r="E16" s="90"/>
      <c r="F16" s="90"/>
    </row>
    <row r="17" spans="1:6" ht="12.75" customHeight="1" x14ac:dyDescent="0.2">
      <c r="A17" s="88"/>
      <c r="B17" s="91"/>
      <c r="C17" s="91"/>
      <c r="D17" s="89"/>
      <c r="E17" s="90"/>
      <c r="F17" s="90"/>
    </row>
    <row r="18" spans="1:6" ht="12.75" customHeight="1" x14ac:dyDescent="0.2">
      <c r="A18" s="88"/>
      <c r="B18" s="91"/>
      <c r="C18" s="91"/>
      <c r="D18" s="89"/>
      <c r="E18" s="90"/>
      <c r="F18" s="90"/>
    </row>
    <row r="19" spans="1:6" ht="12.75" customHeight="1" x14ac:dyDescent="0.2">
      <c r="A19" s="88"/>
      <c r="B19" s="91"/>
      <c r="C19" s="91"/>
      <c r="D19" s="89"/>
      <c r="E19" s="90"/>
      <c r="F19" s="90"/>
    </row>
    <row r="20" spans="1:6" ht="12.75" customHeight="1" x14ac:dyDescent="0.2">
      <c r="A20" s="88"/>
      <c r="B20" s="91"/>
      <c r="C20" s="91"/>
      <c r="D20" s="89"/>
      <c r="E20" s="90"/>
      <c r="F20" s="90"/>
    </row>
    <row r="21" spans="1:6" ht="15" customHeight="1" x14ac:dyDescent="0.2">
      <c r="A21" s="92"/>
      <c r="B21" s="93" t="s">
        <v>684</v>
      </c>
      <c r="C21" s="93"/>
      <c r="D21" s="94"/>
      <c r="E21" s="95"/>
      <c r="F21" s="95"/>
    </row>
    <row r="22" spans="1:6" ht="15" customHeight="1" x14ac:dyDescent="0.2">
      <c r="A22" s="92"/>
      <c r="B22" s="92"/>
      <c r="C22" s="92"/>
      <c r="D22" s="94"/>
      <c r="E22" s="95"/>
      <c r="F22" s="95"/>
    </row>
    <row r="23" spans="1:6" ht="15" customHeight="1" x14ac:dyDescent="0.2">
      <c r="A23" s="92"/>
      <c r="B23" s="93" t="s">
        <v>670</v>
      </c>
      <c r="C23" s="93"/>
      <c r="D23" s="94"/>
      <c r="E23" s="95"/>
      <c r="F23" s="95"/>
    </row>
    <row r="24" spans="1:6" ht="15" customHeight="1" x14ac:dyDescent="0.2">
      <c r="A24" s="92"/>
      <c r="B24" s="93" t="s">
        <v>671</v>
      </c>
      <c r="C24" s="92"/>
      <c r="D24" s="94"/>
      <c r="E24" s="95"/>
      <c r="F24" s="95"/>
    </row>
    <row r="25" spans="1:6" ht="15" customHeight="1" x14ac:dyDescent="0.2">
      <c r="A25" s="92"/>
      <c r="B25" s="92" t="s">
        <v>672</v>
      </c>
      <c r="C25" s="92"/>
      <c r="D25" s="94"/>
      <c r="E25" s="95"/>
      <c r="F25" s="95"/>
    </row>
    <row r="26" spans="1:6" ht="15" customHeight="1" x14ac:dyDescent="0.2">
      <c r="A26" s="92"/>
      <c r="B26" s="92" t="s">
        <v>673</v>
      </c>
      <c r="C26" s="92"/>
      <c r="D26" s="94"/>
      <c r="E26" s="95"/>
      <c r="F26" s="95"/>
    </row>
    <row r="27" spans="1:6" ht="15" customHeight="1" x14ac:dyDescent="0.2">
      <c r="A27" s="93"/>
      <c r="B27" s="92" t="s">
        <v>674</v>
      </c>
      <c r="C27" s="92"/>
      <c r="D27" s="97"/>
      <c r="E27" s="98"/>
      <c r="F27" s="98"/>
    </row>
    <row r="28" spans="1:6" ht="15.95" customHeight="1" x14ac:dyDescent="0.2">
      <c r="A28" s="92"/>
      <c r="B28" s="93"/>
      <c r="C28" s="93"/>
      <c r="D28" s="98" t="s">
        <v>41</v>
      </c>
      <c r="E28" s="99" t="s">
        <v>685</v>
      </c>
      <c r="F28" s="99"/>
    </row>
    <row r="29" spans="1:6" ht="13.5" customHeight="1" thickBot="1" x14ac:dyDescent="0.25">
      <c r="A29" s="100"/>
      <c r="B29" s="100"/>
      <c r="C29" s="100"/>
      <c r="D29" s="101"/>
      <c r="E29" s="102"/>
      <c r="F29" s="102"/>
    </row>
    <row r="30" spans="1:6" ht="21.75" customHeight="1" x14ac:dyDescent="0.2">
      <c r="A30" s="170" t="s">
        <v>0</v>
      </c>
      <c r="B30" s="170"/>
      <c r="C30" s="170"/>
      <c r="D30" s="170"/>
      <c r="E30" s="170"/>
      <c r="F30" s="103"/>
    </row>
    <row r="31" spans="1:6" ht="14.25" customHeight="1" x14ac:dyDescent="0.2">
      <c r="A31" s="104"/>
      <c r="B31" s="104"/>
      <c r="C31" s="104"/>
      <c r="D31" s="104"/>
      <c r="E31" s="104"/>
      <c r="F31" s="104"/>
    </row>
    <row r="32" spans="1:6" ht="14.25" customHeight="1" x14ac:dyDescent="0.2">
      <c r="A32" s="105"/>
      <c r="B32" s="66" t="s">
        <v>7</v>
      </c>
      <c r="C32" s="106"/>
      <c r="D32" s="107"/>
      <c r="E32" s="108"/>
      <c r="F32" s="108"/>
    </row>
    <row r="33" spans="1:6" ht="14.25" customHeight="1" x14ac:dyDescent="0.2">
      <c r="A33" s="105"/>
      <c r="B33" s="105"/>
      <c r="C33" s="105"/>
      <c r="D33" s="107"/>
      <c r="E33" s="108"/>
      <c r="F33" s="108"/>
    </row>
    <row r="34" spans="1:6" ht="14.25" customHeight="1" x14ac:dyDescent="0.2">
      <c r="A34" s="105"/>
      <c r="B34" s="109" t="s">
        <v>686</v>
      </c>
      <c r="C34" s="110"/>
      <c r="D34" s="111"/>
      <c r="E34" s="111"/>
      <c r="F34" s="111"/>
    </row>
    <row r="35" spans="1:6" ht="14.25" customHeight="1" x14ac:dyDescent="0.2">
      <c r="A35" s="105"/>
      <c r="B35" s="109"/>
      <c r="C35" s="112"/>
      <c r="D35" s="111"/>
      <c r="E35" s="111"/>
      <c r="F35" s="111"/>
    </row>
    <row r="36" spans="1:6" ht="14.25" customHeight="1" x14ac:dyDescent="0.2">
      <c r="A36" s="105"/>
      <c r="B36" s="109"/>
      <c r="C36" s="110"/>
      <c r="D36" s="111"/>
      <c r="E36" s="111"/>
      <c r="F36" s="111"/>
    </row>
    <row r="37" spans="1:6" ht="14.25" customHeight="1" x14ac:dyDescent="0.2">
      <c r="A37" s="105"/>
      <c r="B37" s="109"/>
      <c r="C37" s="110"/>
      <c r="D37" s="111"/>
      <c r="E37" s="111"/>
      <c r="F37" s="111"/>
    </row>
    <row r="38" spans="1:6" ht="14.25" customHeight="1" x14ac:dyDescent="0.2">
      <c r="A38" s="105"/>
      <c r="B38" s="109"/>
      <c r="C38" s="110"/>
      <c r="D38" s="111"/>
      <c r="E38" s="111"/>
      <c r="F38" s="111"/>
    </row>
    <row r="39" spans="1:6" ht="14.25" customHeight="1" x14ac:dyDescent="0.2">
      <c r="A39" s="105"/>
      <c r="B39" s="109"/>
      <c r="C39" s="110"/>
      <c r="D39" s="111"/>
      <c r="E39" s="111"/>
      <c r="F39" s="111"/>
    </row>
    <row r="40" spans="1:6" ht="14.25" customHeight="1" x14ac:dyDescent="0.2">
      <c r="A40" s="105"/>
      <c r="B40" s="109"/>
      <c r="C40" s="112"/>
      <c r="D40" s="111"/>
      <c r="E40" s="111"/>
      <c r="F40" s="111"/>
    </row>
    <row r="41" spans="1:6" ht="14.25" customHeight="1" x14ac:dyDescent="0.2">
      <c r="A41" s="105"/>
      <c r="B41" s="109"/>
      <c r="C41" s="110"/>
      <c r="D41" s="111"/>
      <c r="E41" s="111"/>
      <c r="F41" s="111"/>
    </row>
    <row r="42" spans="1:6" ht="14.25" customHeight="1" x14ac:dyDescent="0.2">
      <c r="A42" s="105"/>
      <c r="B42" s="109"/>
      <c r="C42" s="110"/>
      <c r="D42" s="111"/>
      <c r="E42" s="111"/>
      <c r="F42" s="111"/>
    </row>
    <row r="43" spans="1:6" ht="14.25" customHeight="1" x14ac:dyDescent="0.2">
      <c r="A43" s="105"/>
      <c r="B43" s="109"/>
      <c r="C43" s="110"/>
      <c r="D43" s="111"/>
      <c r="E43" s="111"/>
      <c r="F43" s="111"/>
    </row>
    <row r="44" spans="1:6" ht="14.25" customHeight="1" x14ac:dyDescent="0.2">
      <c r="A44" s="105"/>
      <c r="B44" s="109"/>
      <c r="C44" s="110"/>
      <c r="D44" s="111"/>
      <c r="E44" s="111"/>
      <c r="F44" s="111"/>
    </row>
    <row r="45" spans="1:6" ht="14.25" customHeight="1" x14ac:dyDescent="0.2">
      <c r="A45" s="105"/>
      <c r="B45" s="109"/>
      <c r="C45" s="110"/>
      <c r="D45" s="111"/>
      <c r="E45" s="111"/>
      <c r="F45" s="111"/>
    </row>
    <row r="46" spans="1:6" ht="14.25" customHeight="1" x14ac:dyDescent="0.2">
      <c r="A46" s="105"/>
      <c r="B46" s="109"/>
      <c r="C46" s="110"/>
      <c r="D46" s="111"/>
      <c r="E46" s="111"/>
      <c r="F46" s="111"/>
    </row>
    <row r="47" spans="1:6" ht="14.25" customHeight="1" x14ac:dyDescent="0.2">
      <c r="A47" s="105"/>
      <c r="B47" s="109"/>
      <c r="C47" s="110"/>
      <c r="D47" s="111"/>
      <c r="E47" s="111"/>
      <c r="F47" s="111"/>
    </row>
    <row r="48" spans="1:6" ht="14.25" customHeight="1" x14ac:dyDescent="0.2">
      <c r="A48" s="105"/>
      <c r="B48" s="109"/>
      <c r="C48" s="110"/>
      <c r="D48" s="111"/>
      <c r="E48" s="111"/>
      <c r="F48" s="111"/>
    </row>
    <row r="49" spans="1:6" ht="14.25" customHeight="1" x14ac:dyDescent="0.2">
      <c r="A49" s="105"/>
      <c r="B49" s="109"/>
      <c r="C49" s="110"/>
      <c r="D49" s="111"/>
      <c r="E49" s="111"/>
      <c r="F49" s="111"/>
    </row>
    <row r="50" spans="1:6" ht="14.25" customHeight="1" x14ac:dyDescent="0.2">
      <c r="A50" s="105"/>
      <c r="B50" s="109"/>
      <c r="C50" s="113"/>
      <c r="D50" s="113"/>
      <c r="E50" s="111"/>
      <c r="F50" s="111"/>
    </row>
    <row r="51" spans="1:6" ht="14.25" customHeight="1" x14ac:dyDescent="0.2">
      <c r="A51" s="105"/>
      <c r="B51" s="109"/>
      <c r="C51" s="110"/>
      <c r="D51" s="111"/>
      <c r="E51" s="111"/>
      <c r="F51" s="111"/>
    </row>
    <row r="52" spans="1:6" ht="14.25" customHeight="1" x14ac:dyDescent="0.2">
      <c r="A52" s="105"/>
      <c r="B52" s="109"/>
      <c r="C52" s="110"/>
      <c r="D52" s="111"/>
      <c r="E52" s="111"/>
      <c r="F52" s="111"/>
    </row>
    <row r="53" spans="1:6" ht="14.25" customHeight="1" x14ac:dyDescent="0.2">
      <c r="A53" s="105"/>
      <c r="B53" s="109"/>
      <c r="C53" s="110"/>
      <c r="D53" s="111"/>
      <c r="E53" s="111"/>
      <c r="F53" s="111"/>
    </row>
    <row r="54" spans="1:6" ht="14.25" customHeight="1" x14ac:dyDescent="0.2">
      <c r="A54" s="105"/>
      <c r="B54" s="109"/>
      <c r="C54" s="110"/>
      <c r="D54" s="111"/>
      <c r="E54" s="111"/>
      <c r="F54" s="111"/>
    </row>
    <row r="55" spans="1:6" ht="14.25" customHeight="1" x14ac:dyDescent="0.2">
      <c r="A55" s="105"/>
      <c r="B55" s="109"/>
      <c r="C55" s="110"/>
      <c r="D55" s="111"/>
      <c r="E55" s="111"/>
      <c r="F55" s="111"/>
    </row>
    <row r="56" spans="1:6" ht="14.25" customHeight="1" x14ac:dyDescent="0.2">
      <c r="A56" s="105"/>
      <c r="B56" s="109"/>
      <c r="C56" s="110"/>
      <c r="D56" s="111"/>
      <c r="E56" s="111"/>
      <c r="F56" s="111"/>
    </row>
    <row r="57" spans="1:6" ht="14.25" customHeight="1" x14ac:dyDescent="0.2">
      <c r="A57" s="105"/>
      <c r="B57" s="109"/>
      <c r="C57" s="110"/>
      <c r="D57" s="111"/>
      <c r="E57" s="111"/>
      <c r="F57" s="111"/>
    </row>
    <row r="58" spans="1:6" ht="14.25" customHeight="1" x14ac:dyDescent="0.2">
      <c r="A58" s="105"/>
      <c r="B58" s="109"/>
      <c r="C58" s="110"/>
      <c r="D58" s="111"/>
      <c r="E58" s="111"/>
      <c r="F58" s="111"/>
    </row>
    <row r="59" spans="1:6" ht="14.25" customHeight="1" x14ac:dyDescent="0.2">
      <c r="A59" s="105"/>
      <c r="B59" s="109"/>
      <c r="C59" s="110"/>
      <c r="D59" s="111"/>
      <c r="E59" s="111"/>
      <c r="F59" s="111"/>
    </row>
    <row r="60" spans="1:6" ht="14.25" customHeight="1" x14ac:dyDescent="0.2">
      <c r="A60" s="105"/>
      <c r="B60" s="109"/>
      <c r="C60" s="110"/>
      <c r="D60" s="111"/>
      <c r="E60" s="111"/>
      <c r="F60" s="111"/>
    </row>
    <row r="61" spans="1:6" ht="14.25" customHeight="1" x14ac:dyDescent="0.2">
      <c r="A61" s="105"/>
      <c r="B61" s="109"/>
      <c r="C61" s="110"/>
      <c r="D61" s="111"/>
      <c r="E61" s="111"/>
      <c r="F61" s="111"/>
    </row>
    <row r="62" spans="1:6" ht="14.25" customHeight="1" x14ac:dyDescent="0.2">
      <c r="A62" s="105"/>
      <c r="B62" s="109"/>
      <c r="C62" s="110"/>
      <c r="D62" s="111"/>
      <c r="E62" s="111"/>
      <c r="F62" s="111"/>
    </row>
    <row r="63" spans="1:6" ht="14.25" customHeight="1" x14ac:dyDescent="0.2">
      <c r="A63" s="105"/>
      <c r="B63" s="122"/>
      <c r="C63" s="114"/>
      <c r="D63" s="115"/>
      <c r="E63" s="111"/>
      <c r="F63" s="111"/>
    </row>
    <row r="64" spans="1:6" ht="14.25" customHeight="1" x14ac:dyDescent="0.2">
      <c r="A64" s="105"/>
      <c r="B64" s="122"/>
      <c r="C64" s="116"/>
      <c r="D64" s="108"/>
      <c r="E64" s="111"/>
      <c r="F64" s="111"/>
    </row>
    <row r="65" spans="1:6" ht="14.25" customHeight="1" x14ac:dyDescent="0.2">
      <c r="A65" s="105"/>
      <c r="B65" s="109"/>
      <c r="C65" s="117" t="s">
        <v>687</v>
      </c>
      <c r="D65" s="118" t="s">
        <v>688</v>
      </c>
      <c r="E65" s="111"/>
      <c r="F65" s="111"/>
    </row>
    <row r="66" spans="1:6" ht="14.25" customHeight="1" x14ac:dyDescent="0.2">
      <c r="A66" s="105"/>
      <c r="B66" s="109"/>
      <c r="C66" s="119">
        <v>0.25</v>
      </c>
      <c r="D66" s="120">
        <v>385</v>
      </c>
      <c r="E66" s="121"/>
      <c r="F66" s="121"/>
    </row>
    <row r="67" spans="1:6" ht="14.25" customHeight="1" x14ac:dyDescent="0.2">
      <c r="A67" s="105"/>
      <c r="B67" s="122"/>
      <c r="C67" s="119"/>
      <c r="D67" s="120"/>
      <c r="E67" s="111"/>
      <c r="F67" s="111"/>
    </row>
    <row r="68" spans="1:6" ht="13.5" customHeight="1" x14ac:dyDescent="0.2">
      <c r="A68" s="105"/>
      <c r="B68" s="122"/>
      <c r="C68" s="123"/>
      <c r="D68" s="123"/>
      <c r="E68" s="123"/>
      <c r="F68" s="105"/>
    </row>
    <row r="69" spans="1:6" ht="15.95" customHeight="1" x14ac:dyDescent="0.2">
      <c r="A69" s="92"/>
      <c r="B69" s="124" t="s">
        <v>45</v>
      </c>
      <c r="C69" s="124"/>
      <c r="D69" s="94"/>
      <c r="E69" s="125">
        <v>96.25</v>
      </c>
      <c r="F69" s="125"/>
    </row>
    <row r="70" spans="1:6" ht="15.95" customHeight="1" x14ac:dyDescent="0.2">
      <c r="A70" s="92"/>
      <c r="B70" s="126" t="s">
        <v>42</v>
      </c>
      <c r="C70" s="58"/>
      <c r="D70" s="94"/>
      <c r="E70" s="127">
        <v>0</v>
      </c>
      <c r="F70" s="127"/>
    </row>
    <row r="71" spans="1:6" ht="15.95" customHeight="1" x14ac:dyDescent="0.2">
      <c r="A71" s="92"/>
      <c r="B71" s="128" t="s">
        <v>680</v>
      </c>
      <c r="C71" s="58"/>
      <c r="D71" s="94"/>
      <c r="E71" s="127">
        <v>0</v>
      </c>
      <c r="F71" s="127"/>
    </row>
    <row r="72" spans="1:6" ht="15.95" customHeight="1" x14ac:dyDescent="0.2">
      <c r="A72" s="92"/>
      <c r="B72" s="128" t="s">
        <v>43</v>
      </c>
      <c r="C72" s="58"/>
      <c r="D72" s="94"/>
      <c r="E72" s="127">
        <v>0</v>
      </c>
      <c r="F72" s="127"/>
    </row>
    <row r="73" spans="1:6" ht="15.95" customHeight="1" x14ac:dyDescent="0.2">
      <c r="A73" s="92"/>
      <c r="B73" s="93" t="s">
        <v>44</v>
      </c>
      <c r="C73" s="124"/>
      <c r="D73" s="94"/>
      <c r="E73" s="129">
        <v>96.25</v>
      </c>
      <c r="F73" s="129"/>
    </row>
    <row r="74" spans="1:6" ht="15.95" customHeight="1" x14ac:dyDescent="0.2">
      <c r="A74" s="92"/>
      <c r="B74" s="58" t="s">
        <v>6</v>
      </c>
      <c r="C74" s="130">
        <v>0.05</v>
      </c>
      <c r="D74" s="58"/>
      <c r="E74" s="131">
        <v>4.8099999999999996</v>
      </c>
      <c r="F74" s="131"/>
    </row>
    <row r="75" spans="1:6" ht="15.95" customHeight="1" x14ac:dyDescent="0.2">
      <c r="A75" s="92"/>
      <c r="B75" s="132" t="s">
        <v>5</v>
      </c>
      <c r="C75" s="133">
        <v>9.9750000000000005E-2</v>
      </c>
      <c r="D75" s="58"/>
      <c r="E75" s="134">
        <v>9.6</v>
      </c>
      <c r="F75" s="131"/>
    </row>
    <row r="76" spans="1:6" ht="15.95" customHeight="1" x14ac:dyDescent="0.2">
      <c r="A76" s="92"/>
      <c r="B76" s="66"/>
      <c r="C76" s="92"/>
      <c r="D76" s="94"/>
      <c r="E76" s="95"/>
      <c r="F76" s="95"/>
    </row>
    <row r="77" spans="1:6" ht="15.95" customHeight="1" thickBot="1" x14ac:dyDescent="0.25">
      <c r="A77" s="92"/>
      <c r="B77" s="135" t="s">
        <v>46</v>
      </c>
      <c r="C77" s="124"/>
      <c r="D77" s="136"/>
      <c r="E77" s="137">
        <v>110.66</v>
      </c>
      <c r="F77" s="138"/>
    </row>
    <row r="78" spans="1:6" ht="15.95" customHeight="1" thickTop="1" x14ac:dyDescent="0.2">
      <c r="A78" s="92"/>
      <c r="B78" s="132"/>
      <c r="C78" s="132"/>
      <c r="D78" s="132"/>
      <c r="E78" s="139"/>
      <c r="F78" s="132"/>
    </row>
    <row r="79" spans="1:6" ht="15.95" customHeight="1" x14ac:dyDescent="0.2">
      <c r="A79" s="92"/>
      <c r="B79" s="66" t="s">
        <v>48</v>
      </c>
      <c r="C79" s="132"/>
      <c r="D79" s="94"/>
      <c r="E79" s="95">
        <v>0</v>
      </c>
      <c r="F79" s="95"/>
    </row>
    <row r="80" spans="1:6" ht="15.95" customHeight="1" x14ac:dyDescent="0.2">
      <c r="A80" s="92"/>
      <c r="B80" s="124"/>
      <c r="C80" s="132"/>
      <c r="D80" s="132"/>
      <c r="E80" s="139"/>
      <c r="F80" s="132"/>
    </row>
    <row r="81" spans="1:6" ht="15.95" customHeight="1" x14ac:dyDescent="0.2">
      <c r="A81" s="92"/>
      <c r="B81" s="171" t="s">
        <v>47</v>
      </c>
      <c r="C81" s="172"/>
      <c r="D81" s="140"/>
      <c r="E81" s="141">
        <v>110.66</v>
      </c>
      <c r="F81" s="95"/>
    </row>
    <row r="82" spans="1:6" ht="15.95" customHeight="1" x14ac:dyDescent="0.2">
      <c r="A82" s="92"/>
      <c r="B82" s="92"/>
      <c r="C82" s="92"/>
      <c r="D82" s="94"/>
      <c r="E82" s="95"/>
      <c r="F82" s="95"/>
    </row>
    <row r="83" spans="1:6" ht="15.95" customHeight="1" x14ac:dyDescent="0.2">
      <c r="A83" s="142"/>
      <c r="B83" s="173"/>
      <c r="C83" s="174"/>
      <c r="D83" s="174"/>
      <c r="E83" s="174"/>
      <c r="F83" s="143"/>
    </row>
    <row r="84" spans="1:6" ht="15.95" customHeight="1" x14ac:dyDescent="0.2">
      <c r="A84" s="175" t="s">
        <v>194</v>
      </c>
      <c r="B84" s="175"/>
      <c r="C84" s="175"/>
      <c r="D84" s="175"/>
      <c r="E84" s="175"/>
      <c r="F84" s="66"/>
    </row>
    <row r="85" spans="1:6" ht="15.95" customHeight="1" x14ac:dyDescent="0.2">
      <c r="A85" s="176" t="s">
        <v>195</v>
      </c>
      <c r="B85" s="176"/>
      <c r="C85" s="176"/>
      <c r="D85" s="176"/>
      <c r="E85" s="176"/>
      <c r="F85" s="57"/>
    </row>
    <row r="86" spans="1:6" ht="15.95" customHeight="1" x14ac:dyDescent="0.2">
      <c r="A86" s="144"/>
      <c r="B86" s="144"/>
      <c r="C86" s="144"/>
      <c r="D86" s="144"/>
      <c r="E86" s="144"/>
      <c r="F86" s="57"/>
    </row>
    <row r="87" spans="1:6" ht="15.95" customHeight="1" x14ac:dyDescent="0.2">
      <c r="A87" s="144"/>
      <c r="B87" s="144"/>
      <c r="C87" s="144"/>
      <c r="D87" s="144"/>
      <c r="E87" s="144"/>
      <c r="F87" s="57"/>
    </row>
    <row r="88" spans="1:6" ht="15.95" customHeight="1" x14ac:dyDescent="0.2">
      <c r="A88" s="169" t="s">
        <v>9</v>
      </c>
      <c r="B88" s="169"/>
      <c r="C88" s="169"/>
      <c r="D88" s="169"/>
      <c r="E88" s="169"/>
      <c r="F88" s="169"/>
    </row>
  </sheetData>
  <mergeCells count="6">
    <mergeCell ref="A88:F88"/>
    <mergeCell ref="A30:E30"/>
    <mergeCell ref="B81:C81"/>
    <mergeCell ref="B83:E83"/>
    <mergeCell ref="A84:E84"/>
    <mergeCell ref="A85:E85"/>
  </mergeCells>
  <printOptions horizontalCentered="1"/>
  <pageMargins left="0" right="0" top="0" bottom="0" header="0" footer="0"/>
  <pageSetup paperSize="119" scale="63" orientation="portrait" horizontalDpi="1200" verticalDpi="1200" r:id="rId1"/>
  <drawing r:id="rId2"/>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DFA37-9BFE-4ACD-9BEE-64A6F13D906A}">
  <sheetPr>
    <pageSetUpPr fitToPage="1"/>
  </sheetPr>
  <dimension ref="A1:F88"/>
  <sheetViews>
    <sheetView tabSelected="1" workbookViewId="0">
      <selection sqref="A1:F88"/>
    </sheetView>
  </sheetViews>
  <sheetFormatPr baseColWidth="10" defaultRowHeight="12.75" x14ac:dyDescent="0.2"/>
  <cols>
    <col min="1" max="1" width="5.140625" customWidth="1"/>
    <col min="2" max="2" width="120" customWidth="1"/>
    <col min="3" max="3" width="11.5703125" customWidth="1"/>
    <col min="4" max="4" width="17.5703125" customWidth="1"/>
    <col min="5" max="5" width="17.7109375" customWidth="1"/>
    <col min="6" max="6" width="10.5703125" customWidth="1"/>
  </cols>
  <sheetData>
    <row r="1" spans="1:6" ht="12.75" customHeight="1" x14ac:dyDescent="0.2">
      <c r="A1" s="88"/>
      <c r="B1" s="88"/>
      <c r="C1" s="88"/>
      <c r="D1" s="89"/>
      <c r="E1" s="90"/>
      <c r="F1" s="90"/>
    </row>
    <row r="2" spans="1:6" ht="12.75" customHeight="1" x14ac:dyDescent="0.2">
      <c r="A2" s="88"/>
      <c r="B2" s="88"/>
      <c r="C2" s="88"/>
      <c r="D2" s="89"/>
      <c r="E2" s="90"/>
      <c r="F2" s="90"/>
    </row>
    <row r="3" spans="1:6" ht="12.75" customHeight="1" x14ac:dyDescent="0.2">
      <c r="A3" s="88"/>
      <c r="B3" s="88"/>
      <c r="C3" s="88"/>
      <c r="D3" s="89"/>
      <c r="E3" s="90"/>
      <c r="F3" s="90"/>
    </row>
    <row r="4" spans="1:6" ht="12.75" customHeight="1" x14ac:dyDescent="0.2">
      <c r="A4" s="88"/>
      <c r="B4" s="88"/>
      <c r="C4" s="88"/>
      <c r="D4" s="89"/>
      <c r="E4" s="90"/>
      <c r="F4" s="90"/>
    </row>
    <row r="5" spans="1:6" ht="12.75" customHeight="1" x14ac:dyDescent="0.2">
      <c r="A5" s="88"/>
      <c r="B5" s="88"/>
      <c r="C5" s="88"/>
      <c r="D5" s="89"/>
      <c r="E5" s="90"/>
      <c r="F5" s="90"/>
    </row>
    <row r="6" spans="1:6" ht="12.75" customHeight="1" x14ac:dyDescent="0.2">
      <c r="A6" s="88"/>
      <c r="B6" s="88"/>
      <c r="C6" s="88"/>
      <c r="D6" s="89"/>
      <c r="E6" s="90"/>
      <c r="F6" s="90"/>
    </row>
    <row r="7" spans="1:6" ht="12.75" customHeight="1" x14ac:dyDescent="0.2">
      <c r="A7" s="88"/>
      <c r="B7" s="88"/>
      <c r="C7" s="88"/>
      <c r="D7" s="89"/>
      <c r="E7" s="90"/>
      <c r="F7" s="90"/>
    </row>
    <row r="8" spans="1:6" ht="12.75" customHeight="1" x14ac:dyDescent="0.2">
      <c r="A8" s="88"/>
      <c r="B8" s="88"/>
      <c r="C8" s="88"/>
      <c r="D8" s="89"/>
      <c r="E8" s="90"/>
      <c r="F8" s="90"/>
    </row>
    <row r="9" spans="1:6" ht="12.75" customHeight="1" x14ac:dyDescent="0.2">
      <c r="A9" s="88"/>
      <c r="B9" s="88"/>
      <c r="C9" s="88"/>
      <c r="D9" s="145"/>
      <c r="E9" s="90"/>
      <c r="F9" s="90"/>
    </row>
    <row r="10" spans="1:6" ht="12.75" customHeight="1" x14ac:dyDescent="0.2">
      <c r="A10" s="88"/>
      <c r="B10" s="88"/>
      <c r="C10" s="88"/>
      <c r="D10" s="89"/>
      <c r="E10" s="90"/>
      <c r="F10" s="90"/>
    </row>
    <row r="11" spans="1:6" ht="12.75" customHeight="1" x14ac:dyDescent="0.2">
      <c r="A11" s="88"/>
      <c r="B11" s="88"/>
      <c r="C11" s="88"/>
      <c r="D11" s="89"/>
      <c r="E11" s="90"/>
      <c r="F11" s="90"/>
    </row>
    <row r="12" spans="1:6" ht="12.75" customHeight="1" x14ac:dyDescent="0.2">
      <c r="A12" s="88"/>
      <c r="B12" s="91"/>
      <c r="C12" s="91"/>
      <c r="D12" s="89"/>
      <c r="E12" s="90"/>
      <c r="F12" s="90"/>
    </row>
    <row r="13" spans="1:6" ht="12.75" customHeight="1" x14ac:dyDescent="0.2">
      <c r="A13" s="88"/>
      <c r="B13" s="91"/>
      <c r="C13" s="91"/>
      <c r="D13" s="89"/>
      <c r="E13" s="90"/>
      <c r="F13" s="90"/>
    </row>
    <row r="14" spans="1:6" ht="12.75" customHeight="1" x14ac:dyDescent="0.2">
      <c r="A14" s="88"/>
      <c r="B14" s="91"/>
      <c r="C14" s="91"/>
      <c r="D14" s="89"/>
      <c r="E14" s="90"/>
      <c r="F14" s="90"/>
    </row>
    <row r="15" spans="1:6" ht="12.75" customHeight="1" x14ac:dyDescent="0.2">
      <c r="A15" s="88"/>
      <c r="B15" s="91"/>
      <c r="C15" s="91"/>
      <c r="D15" s="89"/>
      <c r="E15" s="90"/>
      <c r="F15" s="90"/>
    </row>
    <row r="16" spans="1:6" ht="12.75" customHeight="1" x14ac:dyDescent="0.2">
      <c r="A16" s="88"/>
      <c r="B16" s="91"/>
      <c r="C16" s="91"/>
      <c r="D16" s="89"/>
      <c r="E16" s="90"/>
      <c r="F16" s="90"/>
    </row>
    <row r="17" spans="1:6" ht="12.75" customHeight="1" x14ac:dyDescent="0.2">
      <c r="A17" s="88"/>
      <c r="B17" s="91"/>
      <c r="C17" s="91"/>
      <c r="D17" s="89"/>
      <c r="E17" s="90"/>
      <c r="F17" s="90"/>
    </row>
    <row r="18" spans="1:6" ht="12.75" customHeight="1" x14ac:dyDescent="0.2">
      <c r="A18" s="88"/>
      <c r="B18" s="91"/>
      <c r="C18" s="91"/>
      <c r="D18" s="89"/>
      <c r="E18" s="90"/>
      <c r="F18" s="90"/>
    </row>
    <row r="19" spans="1:6" ht="12.75" customHeight="1" x14ac:dyDescent="0.2">
      <c r="A19" s="88"/>
      <c r="B19" s="91"/>
      <c r="C19" s="91"/>
      <c r="D19" s="89"/>
      <c r="E19" s="90"/>
      <c r="F19" s="90"/>
    </row>
    <row r="20" spans="1:6" ht="12.75" customHeight="1" x14ac:dyDescent="0.2">
      <c r="A20" s="88"/>
      <c r="B20" s="91"/>
      <c r="C20" s="91"/>
      <c r="D20" s="89"/>
      <c r="E20" s="90"/>
      <c r="F20" s="90"/>
    </row>
    <row r="21" spans="1:6" ht="15" customHeight="1" x14ac:dyDescent="0.2">
      <c r="A21" s="92"/>
      <c r="B21" s="93" t="s">
        <v>689</v>
      </c>
      <c r="C21" s="93"/>
      <c r="D21" s="94"/>
      <c r="E21" s="95"/>
      <c r="F21" s="95"/>
    </row>
    <row r="22" spans="1:6" ht="15" customHeight="1" x14ac:dyDescent="0.2">
      <c r="A22" s="92"/>
      <c r="B22" s="92"/>
      <c r="C22" s="92"/>
      <c r="D22" s="94"/>
      <c r="E22" s="95"/>
      <c r="F22" s="95"/>
    </row>
    <row r="23" spans="1:6" ht="15" customHeight="1" x14ac:dyDescent="0.2">
      <c r="A23" s="92"/>
      <c r="B23" s="93" t="s">
        <v>670</v>
      </c>
      <c r="C23" s="93"/>
      <c r="D23" s="94"/>
      <c r="E23" s="95"/>
      <c r="F23" s="95"/>
    </row>
    <row r="24" spans="1:6" ht="15" customHeight="1" x14ac:dyDescent="0.2">
      <c r="A24" s="92"/>
      <c r="B24" s="93" t="s">
        <v>671</v>
      </c>
      <c r="C24" s="92"/>
      <c r="D24" s="94"/>
      <c r="E24" s="95"/>
      <c r="F24" s="95"/>
    </row>
    <row r="25" spans="1:6" ht="15" customHeight="1" x14ac:dyDescent="0.2">
      <c r="A25" s="92"/>
      <c r="B25" s="92" t="s">
        <v>672</v>
      </c>
      <c r="C25" s="92"/>
      <c r="D25" s="94"/>
      <c r="E25" s="95"/>
      <c r="F25" s="95"/>
    </row>
    <row r="26" spans="1:6" ht="15" customHeight="1" x14ac:dyDescent="0.2">
      <c r="A26" s="92"/>
      <c r="B26" s="92" t="s">
        <v>673</v>
      </c>
      <c r="C26" s="92"/>
      <c r="D26" s="94"/>
      <c r="E26" s="95"/>
      <c r="F26" s="95"/>
    </row>
    <row r="27" spans="1:6" ht="15" customHeight="1" x14ac:dyDescent="0.2">
      <c r="A27" s="93"/>
      <c r="B27" s="92" t="s">
        <v>674</v>
      </c>
      <c r="C27" s="92"/>
      <c r="D27" s="97"/>
      <c r="E27" s="98"/>
      <c r="F27" s="98"/>
    </row>
    <row r="28" spans="1:6" ht="15.95" customHeight="1" x14ac:dyDescent="0.2">
      <c r="A28" s="92"/>
      <c r="B28" s="93"/>
      <c r="C28" s="93"/>
      <c r="D28" s="98" t="s">
        <v>41</v>
      </c>
      <c r="E28" s="99" t="s">
        <v>690</v>
      </c>
      <c r="F28" s="99"/>
    </row>
    <row r="29" spans="1:6" ht="13.5" customHeight="1" thickBot="1" x14ac:dyDescent="0.25">
      <c r="A29" s="100"/>
      <c r="B29" s="100"/>
      <c r="C29" s="100"/>
      <c r="D29" s="101"/>
      <c r="E29" s="102"/>
      <c r="F29" s="102"/>
    </row>
    <row r="30" spans="1:6" ht="21.75" customHeight="1" x14ac:dyDescent="0.2">
      <c r="A30" s="170" t="s">
        <v>0</v>
      </c>
      <c r="B30" s="170"/>
      <c r="C30" s="170"/>
      <c r="D30" s="170"/>
      <c r="E30" s="170"/>
      <c r="F30" s="103"/>
    </row>
    <row r="31" spans="1:6" ht="14.25" customHeight="1" x14ac:dyDescent="0.2">
      <c r="A31" s="104"/>
      <c r="B31" s="104"/>
      <c r="C31" s="104"/>
      <c r="D31" s="104"/>
      <c r="E31" s="104"/>
      <c r="F31" s="104"/>
    </row>
    <row r="32" spans="1:6" ht="14.25" customHeight="1" x14ac:dyDescent="0.2">
      <c r="A32" s="105"/>
      <c r="B32" s="66" t="s">
        <v>7</v>
      </c>
      <c r="C32" s="106"/>
      <c r="D32" s="107"/>
      <c r="E32" s="108"/>
      <c r="F32" s="108"/>
    </row>
    <row r="33" spans="1:6" ht="14.25" customHeight="1" x14ac:dyDescent="0.2">
      <c r="A33" s="105"/>
      <c r="B33" s="105"/>
      <c r="C33" s="105"/>
      <c r="D33" s="107"/>
      <c r="E33" s="108"/>
      <c r="F33" s="108"/>
    </row>
    <row r="34" spans="1:6" ht="14.25" customHeight="1" x14ac:dyDescent="0.2">
      <c r="A34" s="105"/>
      <c r="B34" s="109" t="s">
        <v>691</v>
      </c>
      <c r="C34" s="110"/>
      <c r="D34" s="111"/>
      <c r="E34" s="111"/>
      <c r="F34" s="111"/>
    </row>
    <row r="35" spans="1:6" ht="14.25" customHeight="1" x14ac:dyDescent="0.2">
      <c r="A35" s="105"/>
      <c r="B35" s="109"/>
      <c r="C35" s="112"/>
      <c r="D35" s="111"/>
      <c r="E35" s="111"/>
      <c r="F35" s="111"/>
    </row>
    <row r="36" spans="1:6" ht="14.25" customHeight="1" x14ac:dyDescent="0.2">
      <c r="A36" s="105"/>
      <c r="B36" s="109"/>
      <c r="C36" s="110"/>
      <c r="D36" s="111"/>
      <c r="E36" s="111"/>
      <c r="F36" s="111"/>
    </row>
    <row r="37" spans="1:6" ht="14.25" customHeight="1" x14ac:dyDescent="0.2">
      <c r="A37" s="105"/>
      <c r="B37" s="109"/>
      <c r="C37" s="110"/>
      <c r="D37" s="111"/>
      <c r="E37" s="111"/>
      <c r="F37" s="111"/>
    </row>
    <row r="38" spans="1:6" ht="14.25" customHeight="1" x14ac:dyDescent="0.2">
      <c r="A38" s="105"/>
      <c r="B38" s="109"/>
      <c r="C38" s="110"/>
      <c r="D38" s="111"/>
      <c r="E38" s="111"/>
      <c r="F38" s="111"/>
    </row>
    <row r="39" spans="1:6" ht="14.25" customHeight="1" x14ac:dyDescent="0.2">
      <c r="A39" s="105"/>
      <c r="B39" s="109"/>
      <c r="C39" s="110"/>
      <c r="D39" s="111"/>
      <c r="E39" s="111"/>
      <c r="F39" s="111"/>
    </row>
    <row r="40" spans="1:6" ht="14.25" customHeight="1" x14ac:dyDescent="0.2">
      <c r="A40" s="105"/>
      <c r="B40" s="109"/>
      <c r="C40" s="112"/>
      <c r="D40" s="111"/>
      <c r="E40" s="111"/>
      <c r="F40" s="111"/>
    </row>
    <row r="41" spans="1:6" ht="14.25" customHeight="1" x14ac:dyDescent="0.2">
      <c r="A41" s="105"/>
      <c r="B41" s="109"/>
      <c r="C41" s="110"/>
      <c r="D41" s="111"/>
      <c r="E41" s="111"/>
      <c r="F41" s="111"/>
    </row>
    <row r="42" spans="1:6" ht="14.25" customHeight="1" x14ac:dyDescent="0.2">
      <c r="A42" s="105"/>
      <c r="B42" s="109"/>
      <c r="C42" s="110"/>
      <c r="D42" s="111"/>
      <c r="E42" s="111"/>
      <c r="F42" s="111"/>
    </row>
    <row r="43" spans="1:6" ht="14.25" customHeight="1" x14ac:dyDescent="0.2">
      <c r="A43" s="105"/>
      <c r="B43" s="109"/>
      <c r="C43" s="110"/>
      <c r="D43" s="111"/>
      <c r="E43" s="111"/>
      <c r="F43" s="111"/>
    </row>
    <row r="44" spans="1:6" ht="14.25" customHeight="1" x14ac:dyDescent="0.2">
      <c r="A44" s="105"/>
      <c r="B44" s="109"/>
      <c r="C44" s="110"/>
      <c r="D44" s="111"/>
      <c r="E44" s="111"/>
      <c r="F44" s="111"/>
    </row>
    <row r="45" spans="1:6" ht="14.25" customHeight="1" x14ac:dyDescent="0.2">
      <c r="A45" s="105"/>
      <c r="B45" s="109"/>
      <c r="C45" s="110"/>
      <c r="D45" s="111"/>
      <c r="E45" s="111"/>
      <c r="F45" s="111"/>
    </row>
    <row r="46" spans="1:6" ht="14.25" customHeight="1" x14ac:dyDescent="0.2">
      <c r="A46" s="105"/>
      <c r="B46" s="109"/>
      <c r="C46" s="110"/>
      <c r="D46" s="111"/>
      <c r="E46" s="111"/>
      <c r="F46" s="111"/>
    </row>
    <row r="47" spans="1:6" ht="14.25" customHeight="1" x14ac:dyDescent="0.2">
      <c r="A47" s="105"/>
      <c r="B47" s="109"/>
      <c r="C47" s="110"/>
      <c r="D47" s="111"/>
      <c r="E47" s="111"/>
      <c r="F47" s="111"/>
    </row>
    <row r="48" spans="1:6" ht="14.25" customHeight="1" x14ac:dyDescent="0.2">
      <c r="A48" s="105"/>
      <c r="B48" s="109"/>
      <c r="C48" s="110"/>
      <c r="D48" s="111"/>
      <c r="E48" s="111"/>
      <c r="F48" s="111"/>
    </row>
    <row r="49" spans="1:6" ht="14.25" customHeight="1" x14ac:dyDescent="0.2">
      <c r="A49" s="105"/>
      <c r="B49" s="109"/>
      <c r="C49" s="110"/>
      <c r="D49" s="111"/>
      <c r="E49" s="111"/>
      <c r="F49" s="111"/>
    </row>
    <row r="50" spans="1:6" ht="14.25" customHeight="1" x14ac:dyDescent="0.2">
      <c r="A50" s="105"/>
      <c r="B50" s="109"/>
      <c r="C50" s="113"/>
      <c r="D50" s="113"/>
      <c r="E50" s="111"/>
      <c r="F50" s="111"/>
    </row>
    <row r="51" spans="1:6" ht="14.25" customHeight="1" x14ac:dyDescent="0.2">
      <c r="A51" s="105"/>
      <c r="B51" s="109"/>
      <c r="C51" s="110"/>
      <c r="D51" s="111"/>
      <c r="E51" s="111"/>
      <c r="F51" s="111"/>
    </row>
    <row r="52" spans="1:6" ht="14.25" customHeight="1" x14ac:dyDescent="0.2">
      <c r="A52" s="105"/>
      <c r="B52" s="109"/>
      <c r="C52" s="110"/>
      <c r="D52" s="111"/>
      <c r="E52" s="111"/>
      <c r="F52" s="111"/>
    </row>
    <row r="53" spans="1:6" ht="14.25" customHeight="1" x14ac:dyDescent="0.2">
      <c r="A53" s="105"/>
      <c r="B53" s="109"/>
      <c r="C53" s="110"/>
      <c r="D53" s="111"/>
      <c r="E53" s="111"/>
      <c r="F53" s="111"/>
    </row>
    <row r="54" spans="1:6" ht="14.25" customHeight="1" x14ac:dyDescent="0.2">
      <c r="A54" s="105"/>
      <c r="B54" s="109"/>
      <c r="C54" s="110"/>
      <c r="D54" s="111"/>
      <c r="E54" s="111"/>
      <c r="F54" s="111"/>
    </row>
    <row r="55" spans="1:6" ht="14.25" customHeight="1" x14ac:dyDescent="0.2">
      <c r="A55" s="105"/>
      <c r="B55" s="109"/>
      <c r="C55" s="110"/>
      <c r="D55" s="111"/>
      <c r="E55" s="111"/>
      <c r="F55" s="111"/>
    </row>
    <row r="56" spans="1:6" ht="14.25" customHeight="1" x14ac:dyDescent="0.2">
      <c r="A56" s="105"/>
      <c r="B56" s="109"/>
      <c r="C56" s="110"/>
      <c r="D56" s="111"/>
      <c r="E56" s="111"/>
      <c r="F56" s="111"/>
    </row>
    <row r="57" spans="1:6" ht="14.25" customHeight="1" x14ac:dyDescent="0.2">
      <c r="A57" s="105"/>
      <c r="B57" s="109"/>
      <c r="C57" s="110"/>
      <c r="D57" s="111"/>
      <c r="E57" s="111"/>
      <c r="F57" s="111"/>
    </row>
    <row r="58" spans="1:6" ht="14.25" customHeight="1" x14ac:dyDescent="0.2">
      <c r="A58" s="105"/>
      <c r="B58" s="109"/>
      <c r="C58" s="110"/>
      <c r="D58" s="111"/>
      <c r="E58" s="111"/>
      <c r="F58" s="111"/>
    </row>
    <row r="59" spans="1:6" ht="14.25" customHeight="1" x14ac:dyDescent="0.2">
      <c r="A59" s="105"/>
      <c r="B59" s="109"/>
      <c r="C59" s="110"/>
      <c r="D59" s="111"/>
      <c r="E59" s="111"/>
      <c r="F59" s="111"/>
    </row>
    <row r="60" spans="1:6" ht="14.25" customHeight="1" x14ac:dyDescent="0.2">
      <c r="A60" s="105"/>
      <c r="B60" s="109"/>
      <c r="C60" s="110"/>
      <c r="D60" s="111"/>
      <c r="E60" s="111"/>
      <c r="F60" s="111"/>
    </row>
    <row r="61" spans="1:6" ht="14.25" customHeight="1" x14ac:dyDescent="0.2">
      <c r="A61" s="105"/>
      <c r="B61" s="109"/>
      <c r="C61" s="110"/>
      <c r="D61" s="111"/>
      <c r="E61" s="111"/>
      <c r="F61" s="111"/>
    </row>
    <row r="62" spans="1:6" ht="14.25" customHeight="1" x14ac:dyDescent="0.2">
      <c r="A62" s="105"/>
      <c r="B62" s="109"/>
      <c r="C62" s="110"/>
      <c r="D62" s="111"/>
      <c r="E62" s="111"/>
      <c r="F62" s="111"/>
    </row>
    <row r="63" spans="1:6" ht="14.25" customHeight="1" x14ac:dyDescent="0.2">
      <c r="A63" s="105"/>
      <c r="B63" s="122"/>
      <c r="C63" s="114"/>
      <c r="D63" s="115"/>
      <c r="E63" s="111"/>
      <c r="F63" s="111"/>
    </row>
    <row r="64" spans="1:6" ht="14.25" customHeight="1" x14ac:dyDescent="0.2">
      <c r="A64" s="105"/>
      <c r="B64" s="109"/>
      <c r="C64" s="116"/>
      <c r="D64" s="108"/>
      <c r="E64" s="111"/>
      <c r="F64" s="111"/>
    </row>
    <row r="65" spans="1:6" ht="14.25" customHeight="1" x14ac:dyDescent="0.2">
      <c r="A65" s="105"/>
      <c r="B65" s="109"/>
      <c r="C65" s="117" t="s">
        <v>687</v>
      </c>
      <c r="D65" s="118" t="s">
        <v>688</v>
      </c>
      <c r="E65" s="111"/>
      <c r="F65" s="111"/>
    </row>
    <row r="66" spans="1:6" ht="14.25" customHeight="1" x14ac:dyDescent="0.2">
      <c r="A66" s="105"/>
      <c r="B66" s="109"/>
      <c r="C66" s="119">
        <v>1</v>
      </c>
      <c r="D66" s="120">
        <v>385</v>
      </c>
      <c r="E66" s="121"/>
      <c r="F66" s="121"/>
    </row>
    <row r="67" spans="1:6" ht="14.25" customHeight="1" x14ac:dyDescent="0.2">
      <c r="A67" s="105"/>
      <c r="B67" s="122"/>
      <c r="C67" s="119"/>
      <c r="D67" s="120"/>
      <c r="E67" s="111"/>
      <c r="F67" s="111"/>
    </row>
    <row r="68" spans="1:6" ht="13.5" customHeight="1" x14ac:dyDescent="0.2">
      <c r="A68" s="105"/>
      <c r="B68" s="109"/>
      <c r="C68" s="123"/>
      <c r="D68" s="123"/>
      <c r="E68" s="123"/>
      <c r="F68" s="105"/>
    </row>
    <row r="69" spans="1:6" ht="15.95" customHeight="1" x14ac:dyDescent="0.2">
      <c r="A69" s="92"/>
      <c r="B69" s="124" t="s">
        <v>45</v>
      </c>
      <c r="C69" s="124"/>
      <c r="D69" s="94"/>
      <c r="E69" s="125">
        <v>385</v>
      </c>
      <c r="F69" s="125"/>
    </row>
    <row r="70" spans="1:6" ht="15.95" customHeight="1" x14ac:dyDescent="0.2">
      <c r="A70" s="92"/>
      <c r="B70" s="126" t="s">
        <v>42</v>
      </c>
      <c r="C70" s="58"/>
      <c r="D70" s="94"/>
      <c r="E70" s="127">
        <v>0</v>
      </c>
      <c r="F70" s="127"/>
    </row>
    <row r="71" spans="1:6" ht="15.95" customHeight="1" x14ac:dyDescent="0.2">
      <c r="A71" s="92"/>
      <c r="B71" s="128" t="s">
        <v>680</v>
      </c>
      <c r="C71" s="58"/>
      <c r="D71" s="94"/>
      <c r="E71" s="127">
        <v>0</v>
      </c>
      <c r="F71" s="127"/>
    </row>
    <row r="72" spans="1:6" ht="15.95" customHeight="1" x14ac:dyDescent="0.2">
      <c r="A72" s="92"/>
      <c r="B72" s="128" t="s">
        <v>43</v>
      </c>
      <c r="C72" s="58"/>
      <c r="D72" s="94"/>
      <c r="E72" s="127">
        <v>0</v>
      </c>
      <c r="F72" s="127"/>
    </row>
    <row r="73" spans="1:6" ht="15.95" customHeight="1" x14ac:dyDescent="0.2">
      <c r="A73" s="92"/>
      <c r="B73" s="93" t="s">
        <v>44</v>
      </c>
      <c r="C73" s="124"/>
      <c r="D73" s="94"/>
      <c r="E73" s="129">
        <v>385</v>
      </c>
      <c r="F73" s="129"/>
    </row>
    <row r="74" spans="1:6" ht="15.95" customHeight="1" x14ac:dyDescent="0.2">
      <c r="A74" s="92"/>
      <c r="B74" s="58" t="s">
        <v>6</v>
      </c>
      <c r="C74" s="130">
        <v>0.05</v>
      </c>
      <c r="D74" s="58"/>
      <c r="E74" s="131">
        <v>19.25</v>
      </c>
      <c r="F74" s="131"/>
    </row>
    <row r="75" spans="1:6" ht="15.95" customHeight="1" x14ac:dyDescent="0.2">
      <c r="A75" s="92"/>
      <c r="B75" s="132" t="s">
        <v>5</v>
      </c>
      <c r="C75" s="133">
        <v>9.9750000000000005E-2</v>
      </c>
      <c r="D75" s="58"/>
      <c r="E75" s="134">
        <v>38.4</v>
      </c>
      <c r="F75" s="131"/>
    </row>
    <row r="76" spans="1:6" ht="15.95" customHeight="1" x14ac:dyDescent="0.2">
      <c r="A76" s="92"/>
      <c r="B76" s="66"/>
      <c r="C76" s="92"/>
      <c r="D76" s="94"/>
      <c r="E76" s="95"/>
      <c r="F76" s="95"/>
    </row>
    <row r="77" spans="1:6" ht="15.95" customHeight="1" thickBot="1" x14ac:dyDescent="0.25">
      <c r="A77" s="92"/>
      <c r="B77" s="135" t="s">
        <v>46</v>
      </c>
      <c r="C77" s="124"/>
      <c r="D77" s="136"/>
      <c r="E77" s="137">
        <v>442.65</v>
      </c>
      <c r="F77" s="138"/>
    </row>
    <row r="78" spans="1:6" ht="15.95" customHeight="1" thickTop="1" x14ac:dyDescent="0.2">
      <c r="A78" s="92"/>
      <c r="B78" s="132"/>
      <c r="C78" s="132"/>
      <c r="D78" s="132"/>
      <c r="E78" s="139"/>
      <c r="F78" s="132"/>
    </row>
    <row r="79" spans="1:6" ht="15.95" customHeight="1" x14ac:dyDescent="0.2">
      <c r="A79" s="92"/>
      <c r="B79" s="66" t="s">
        <v>48</v>
      </c>
      <c r="C79" s="132"/>
      <c r="D79" s="94"/>
      <c r="E79" s="95">
        <v>0</v>
      </c>
      <c r="F79" s="95"/>
    </row>
    <row r="80" spans="1:6" ht="15.95" customHeight="1" x14ac:dyDescent="0.2">
      <c r="A80" s="92"/>
      <c r="B80" s="124"/>
      <c r="C80" s="132"/>
      <c r="D80" s="132"/>
      <c r="E80" s="139"/>
      <c r="F80" s="132"/>
    </row>
    <row r="81" spans="1:6" ht="15.95" customHeight="1" x14ac:dyDescent="0.2">
      <c r="A81" s="92"/>
      <c r="B81" s="171" t="s">
        <v>47</v>
      </c>
      <c r="C81" s="172"/>
      <c r="D81" s="140"/>
      <c r="E81" s="141">
        <v>442.65</v>
      </c>
      <c r="F81" s="95"/>
    </row>
    <row r="82" spans="1:6" ht="15.95" customHeight="1" x14ac:dyDescent="0.2">
      <c r="A82" s="92"/>
      <c r="B82" s="92"/>
      <c r="C82" s="92"/>
      <c r="D82" s="94"/>
      <c r="E82" s="95"/>
      <c r="F82" s="95"/>
    </row>
    <row r="83" spans="1:6" ht="15.95" customHeight="1" x14ac:dyDescent="0.2">
      <c r="A83" s="142"/>
      <c r="B83" s="173"/>
      <c r="C83" s="174"/>
      <c r="D83" s="174"/>
      <c r="E83" s="174"/>
      <c r="F83" s="143"/>
    </row>
    <row r="84" spans="1:6" ht="15.95" customHeight="1" x14ac:dyDescent="0.2">
      <c r="A84" s="175" t="s">
        <v>194</v>
      </c>
      <c r="B84" s="175"/>
      <c r="C84" s="175"/>
      <c r="D84" s="175"/>
      <c r="E84" s="175"/>
      <c r="F84" s="66"/>
    </row>
    <row r="85" spans="1:6" ht="15.95" customHeight="1" x14ac:dyDescent="0.2">
      <c r="A85" s="176" t="s">
        <v>195</v>
      </c>
      <c r="B85" s="176"/>
      <c r="C85" s="176"/>
      <c r="D85" s="176"/>
      <c r="E85" s="176"/>
      <c r="F85" s="57"/>
    </row>
    <row r="86" spans="1:6" ht="15.95" customHeight="1" x14ac:dyDescent="0.2">
      <c r="A86" s="144"/>
      <c r="B86" s="144"/>
      <c r="C86" s="144"/>
      <c r="D86" s="144"/>
      <c r="E86" s="144"/>
      <c r="F86" s="57"/>
    </row>
    <row r="87" spans="1:6" ht="15.95" customHeight="1" x14ac:dyDescent="0.2">
      <c r="A87" s="144"/>
      <c r="B87" s="144"/>
      <c r="C87" s="144"/>
      <c r="D87" s="144"/>
      <c r="E87" s="144"/>
      <c r="F87" s="57"/>
    </row>
    <row r="88" spans="1:6" ht="15.95" customHeight="1" x14ac:dyDescent="0.2">
      <c r="A88" s="169" t="s">
        <v>9</v>
      </c>
      <c r="B88" s="169"/>
      <c r="C88" s="169"/>
      <c r="D88" s="169"/>
      <c r="E88" s="169"/>
      <c r="F88" s="169"/>
    </row>
  </sheetData>
  <mergeCells count="6">
    <mergeCell ref="A30:E30"/>
    <mergeCell ref="B81:C81"/>
    <mergeCell ref="B83:E83"/>
    <mergeCell ref="A84:E84"/>
    <mergeCell ref="A85:E85"/>
    <mergeCell ref="A88:F88"/>
  </mergeCells>
  <printOptions horizontalCentered="1"/>
  <pageMargins left="0" right="0" top="0" bottom="0" header="0" footer="0"/>
  <pageSetup paperSize="119" scale="63"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11">
    <pageSetUpPr fitToPage="1"/>
  </sheetPr>
  <dimension ref="A12:F96"/>
  <sheetViews>
    <sheetView view="pageBreakPreview" zoomScale="80" zoomScaleNormal="100" zoomScaleSheetLayoutView="80" workbookViewId="0">
      <selection activeCell="E40" sqref="E4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100</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101</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102</v>
      </c>
      <c r="C36" s="149"/>
      <c r="D36" s="149"/>
      <c r="E36" s="37">
        <f>3*225</f>
        <v>675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103</v>
      </c>
      <c r="C39" s="149"/>
      <c r="D39" s="149"/>
      <c r="E39" s="37">
        <v>225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900</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900</v>
      </c>
      <c r="F76" s="30"/>
    </row>
    <row r="77" spans="1:6" ht="13.5" customHeight="1" x14ac:dyDescent="0.2">
      <c r="A77" s="30"/>
      <c r="B77" s="35" t="s">
        <v>6</v>
      </c>
      <c r="C77" s="40">
        <v>0.05</v>
      </c>
      <c r="D77" s="35"/>
      <c r="E77" s="43">
        <f>ROUND(E76*C77,2)</f>
        <v>45</v>
      </c>
      <c r="F77" s="30"/>
    </row>
    <row r="78" spans="1:6" ht="13.5" customHeight="1" x14ac:dyDescent="0.2">
      <c r="A78" s="30"/>
      <c r="B78" s="35" t="s">
        <v>5</v>
      </c>
      <c r="C78" s="50">
        <v>9.9750000000000005E-2</v>
      </c>
      <c r="D78" s="35"/>
      <c r="E78" s="44">
        <f>ROUND(E76*C78,2)</f>
        <v>89.78</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1034.78</v>
      </c>
      <c r="F80" s="30"/>
    </row>
    <row r="81" spans="1:6" ht="15.75" thickTop="1" x14ac:dyDescent="0.2">
      <c r="A81" s="30"/>
      <c r="B81" s="151"/>
      <c r="C81" s="151"/>
      <c r="D81" s="151"/>
      <c r="E81" s="45"/>
      <c r="F81" s="30"/>
    </row>
    <row r="82" spans="1:6" ht="15" x14ac:dyDescent="0.2">
      <c r="A82" s="30"/>
      <c r="B82" s="150" t="s">
        <v>48</v>
      </c>
      <c r="C82" s="150"/>
      <c r="D82" s="150"/>
      <c r="E82" s="45">
        <v>0</v>
      </c>
      <c r="F82" s="30"/>
    </row>
    <row r="83" spans="1:6" ht="15" x14ac:dyDescent="0.2">
      <c r="A83" s="30"/>
      <c r="B83" s="151"/>
      <c r="C83" s="151"/>
      <c r="D83" s="151"/>
      <c r="E83" s="45"/>
      <c r="F83" s="30"/>
    </row>
    <row r="84" spans="1:6" ht="19.5" customHeight="1" x14ac:dyDescent="0.2">
      <c r="A84" s="30"/>
      <c r="B84" s="46" t="s">
        <v>47</v>
      </c>
      <c r="C84" s="47"/>
      <c r="D84" s="47"/>
      <c r="E84" s="48">
        <f>E80-E82</f>
        <v>1034.78</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5"/>
      <c r="C87" s="155"/>
      <c r="D87" s="155"/>
      <c r="E87" s="155"/>
      <c r="F87" s="30"/>
    </row>
    <row r="88" spans="1:6" ht="14.25" x14ac:dyDescent="0.2">
      <c r="A88" s="148" t="s">
        <v>49</v>
      </c>
      <c r="B88" s="148"/>
      <c r="C88" s="148"/>
      <c r="D88" s="148"/>
      <c r="E88" s="148"/>
      <c r="F88" s="148"/>
    </row>
    <row r="89" spans="1:6" ht="14.25" x14ac:dyDescent="0.2">
      <c r="A89" s="146" t="s">
        <v>8</v>
      </c>
      <c r="B89" s="146"/>
      <c r="C89" s="146"/>
      <c r="D89" s="146"/>
      <c r="E89" s="146"/>
      <c r="F89" s="146"/>
    </row>
    <row r="90" spans="1:6" x14ac:dyDescent="0.2">
      <c r="A90" s="30"/>
      <c r="B90" s="30"/>
      <c r="C90" s="30"/>
      <c r="D90" s="30"/>
      <c r="E90" s="30"/>
      <c r="F90" s="30"/>
    </row>
    <row r="91" spans="1:6" x14ac:dyDescent="0.2">
      <c r="A91" s="30"/>
      <c r="B91" s="156"/>
      <c r="C91" s="156"/>
      <c r="D91" s="156"/>
      <c r="E91" s="156"/>
      <c r="F91" s="30"/>
    </row>
    <row r="92" spans="1:6" ht="15" x14ac:dyDescent="0.2">
      <c r="A92" s="147" t="s">
        <v>9</v>
      </c>
      <c r="B92" s="147"/>
      <c r="C92" s="147"/>
      <c r="D92" s="147"/>
      <c r="E92" s="147"/>
      <c r="F92" s="147"/>
    </row>
    <row r="94" spans="1:6" ht="39.75" customHeight="1" x14ac:dyDescent="0.2">
      <c r="B94" s="153"/>
      <c r="C94" s="154"/>
      <c r="D94" s="154"/>
    </row>
    <row r="95" spans="1:6" ht="13.5" customHeight="1" x14ac:dyDescent="0.2"/>
    <row r="96" spans="1:6" x14ac:dyDescent="0.2">
      <c r="B96" s="20"/>
      <c r="C96" s="20"/>
      <c r="D96" s="20"/>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A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12">
    <pageSetUpPr fitToPage="1"/>
  </sheetPr>
  <dimension ref="A12:F96"/>
  <sheetViews>
    <sheetView view="pageBreakPreview" topLeftCell="A28" zoomScale="80" zoomScaleNormal="100" zoomScaleSheetLayoutView="80" workbookViewId="0">
      <selection activeCell="B71" sqref="B71:D7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104</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105</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29.25" customHeight="1" x14ac:dyDescent="0.2">
      <c r="A36" s="30"/>
      <c r="B36" s="149" t="s">
        <v>106</v>
      </c>
      <c r="C36" s="149"/>
      <c r="D36" s="149"/>
      <c r="E36" s="37">
        <f>3.75*225</f>
        <v>843.75</v>
      </c>
      <c r="F36" s="30"/>
    </row>
    <row r="37" spans="1:6" ht="14.25" x14ac:dyDescent="0.2">
      <c r="A37" s="30"/>
      <c r="B37" s="149"/>
      <c r="C37" s="149"/>
      <c r="D37" s="149"/>
      <c r="E37" s="37"/>
      <c r="F37" s="30"/>
    </row>
    <row r="38" spans="1:6" ht="14.25" x14ac:dyDescent="0.2">
      <c r="A38" s="30"/>
      <c r="B38" s="149"/>
      <c r="C38" s="149"/>
      <c r="D38" s="149"/>
      <c r="E38" s="37"/>
      <c r="F38" s="30"/>
    </row>
    <row r="39" spans="1:6" ht="31.5" customHeight="1" x14ac:dyDescent="0.2">
      <c r="A39" s="30"/>
      <c r="B39" s="149" t="s">
        <v>107</v>
      </c>
      <c r="C39" s="149"/>
      <c r="D39" s="149"/>
      <c r="E39" s="37">
        <f>3.25*225</f>
        <v>731.25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108</v>
      </c>
      <c r="C42" s="149"/>
      <c r="D42" s="149"/>
      <c r="E42" s="37">
        <v>225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109</v>
      </c>
      <c r="C45" s="149"/>
      <c r="D45" s="149"/>
      <c r="E45" s="37">
        <f>1.25*225</f>
        <v>281.25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110</v>
      </c>
      <c r="C48" s="149"/>
      <c r="D48" s="149"/>
      <c r="E48" s="37">
        <f>0.25*225</f>
        <v>56.25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2137.5</v>
      </c>
      <c r="F73" s="30"/>
    </row>
    <row r="74" spans="1:6" ht="13.5" customHeight="1" x14ac:dyDescent="0.2">
      <c r="A74" s="30"/>
      <c r="B74" s="42" t="s">
        <v>111</v>
      </c>
      <c r="C74" s="35"/>
      <c r="D74" s="35"/>
      <c r="E74" s="39">
        <v>10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2147.5</v>
      </c>
      <c r="F76" s="30"/>
    </row>
    <row r="77" spans="1:6" ht="13.5" customHeight="1" x14ac:dyDescent="0.2">
      <c r="A77" s="30"/>
      <c r="B77" s="35" t="s">
        <v>6</v>
      </c>
      <c r="C77" s="40">
        <v>0.05</v>
      </c>
      <c r="D77" s="35"/>
      <c r="E77" s="43">
        <f>ROUND(E76*C77,2)</f>
        <v>107.38</v>
      </c>
      <c r="F77" s="30"/>
    </row>
    <row r="78" spans="1:6" ht="13.5" customHeight="1" x14ac:dyDescent="0.2">
      <c r="A78" s="30"/>
      <c r="B78" s="35" t="s">
        <v>5</v>
      </c>
      <c r="C78" s="50">
        <v>9.9750000000000005E-2</v>
      </c>
      <c r="D78" s="35"/>
      <c r="E78" s="44">
        <f>ROUND(E76*C78,2)</f>
        <v>214.21</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2469.09</v>
      </c>
      <c r="F80" s="30"/>
    </row>
    <row r="81" spans="1:6" ht="15.75" thickTop="1" x14ac:dyDescent="0.2">
      <c r="A81" s="30"/>
      <c r="B81" s="151"/>
      <c r="C81" s="151"/>
      <c r="D81" s="151"/>
      <c r="E81" s="45"/>
      <c r="F81" s="30"/>
    </row>
    <row r="82" spans="1:6" ht="15" x14ac:dyDescent="0.2">
      <c r="A82" s="30"/>
      <c r="B82" s="150" t="s">
        <v>48</v>
      </c>
      <c r="C82" s="150"/>
      <c r="D82" s="150"/>
      <c r="E82" s="45">
        <v>0</v>
      </c>
      <c r="F82" s="30"/>
    </row>
    <row r="83" spans="1:6" ht="15" x14ac:dyDescent="0.2">
      <c r="A83" s="30"/>
      <c r="B83" s="151"/>
      <c r="C83" s="151"/>
      <c r="D83" s="151"/>
      <c r="E83" s="45"/>
      <c r="F83" s="30"/>
    </row>
    <row r="84" spans="1:6" ht="19.5" customHeight="1" x14ac:dyDescent="0.2">
      <c r="A84" s="30"/>
      <c r="B84" s="46" t="s">
        <v>47</v>
      </c>
      <c r="C84" s="47"/>
      <c r="D84" s="47"/>
      <c r="E84" s="48">
        <f>E80-E82</f>
        <v>2469.09</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5"/>
      <c r="C87" s="155"/>
      <c r="D87" s="155"/>
      <c r="E87" s="155"/>
      <c r="F87" s="30"/>
    </row>
    <row r="88" spans="1:6" ht="14.25" x14ac:dyDescent="0.2">
      <c r="A88" s="148" t="s">
        <v>49</v>
      </c>
      <c r="B88" s="148"/>
      <c r="C88" s="148"/>
      <c r="D88" s="148"/>
      <c r="E88" s="148"/>
      <c r="F88" s="148"/>
    </row>
    <row r="89" spans="1:6" ht="14.25" x14ac:dyDescent="0.2">
      <c r="A89" s="146" t="s">
        <v>8</v>
      </c>
      <c r="B89" s="146"/>
      <c r="C89" s="146"/>
      <c r="D89" s="146"/>
      <c r="E89" s="146"/>
      <c r="F89" s="146"/>
    </row>
    <row r="90" spans="1:6" x14ac:dyDescent="0.2">
      <c r="A90" s="30"/>
      <c r="B90" s="30"/>
      <c r="C90" s="30"/>
      <c r="D90" s="30"/>
      <c r="E90" s="30"/>
      <c r="F90" s="30"/>
    </row>
    <row r="91" spans="1:6" x14ac:dyDescent="0.2">
      <c r="A91" s="30"/>
      <c r="B91" s="156"/>
      <c r="C91" s="156"/>
      <c r="D91" s="156"/>
      <c r="E91" s="156"/>
      <c r="F91" s="30"/>
    </row>
    <row r="92" spans="1:6" ht="15" x14ac:dyDescent="0.2">
      <c r="A92" s="147" t="s">
        <v>9</v>
      </c>
      <c r="B92" s="147"/>
      <c r="C92" s="147"/>
      <c r="D92" s="147"/>
      <c r="E92" s="147"/>
      <c r="F92" s="147"/>
    </row>
    <row r="94" spans="1:6" ht="39.75" customHeight="1" x14ac:dyDescent="0.2">
      <c r="B94" s="153"/>
      <c r="C94" s="154"/>
      <c r="D94" s="154"/>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B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3">
    <pageSetUpPr fitToPage="1"/>
  </sheetPr>
  <dimension ref="A12:F96"/>
  <sheetViews>
    <sheetView view="pageBreakPreview" zoomScale="80" zoomScaleNormal="100" zoomScaleSheetLayoutView="80" workbookViewId="0">
      <selection activeCell="B47" sqref="B47:D4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112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113</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29.25" customHeight="1" x14ac:dyDescent="0.2">
      <c r="A36" s="30"/>
      <c r="B36" s="149" t="s">
        <v>114</v>
      </c>
      <c r="C36" s="149"/>
      <c r="D36" s="149"/>
      <c r="E36" s="37">
        <f>6.75*225</f>
        <v>1518.75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115</v>
      </c>
      <c r="C39" s="149"/>
      <c r="D39" s="149"/>
      <c r="E39" s="37">
        <f>1.75*225</f>
        <v>393.75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116</v>
      </c>
      <c r="C42" s="149"/>
      <c r="D42" s="149"/>
      <c r="E42" s="37">
        <f>0.25*225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1968.75</v>
      </c>
      <c r="F73" s="30"/>
    </row>
    <row r="74" spans="1:6" ht="13.5" customHeight="1" x14ac:dyDescent="0.2">
      <c r="A74" s="30"/>
      <c r="B74" s="42" t="s">
        <v>111</v>
      </c>
      <c r="C74" s="35"/>
      <c r="D74" s="35"/>
      <c r="E74" s="39">
        <v>10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1978.75</v>
      </c>
      <c r="F76" s="30"/>
    </row>
    <row r="77" spans="1:6" ht="13.5" customHeight="1" x14ac:dyDescent="0.2">
      <c r="A77" s="30"/>
      <c r="B77" s="35" t="s">
        <v>6</v>
      </c>
      <c r="C77" s="40">
        <v>0.05</v>
      </c>
      <c r="D77" s="35"/>
      <c r="E77" s="43">
        <f>ROUND(E76*C77,2)</f>
        <v>98.94</v>
      </c>
      <c r="F77" s="30"/>
    </row>
    <row r="78" spans="1:6" ht="13.5" customHeight="1" x14ac:dyDescent="0.2">
      <c r="A78" s="30"/>
      <c r="B78" s="35" t="s">
        <v>5</v>
      </c>
      <c r="C78" s="50">
        <v>9.9750000000000005E-2</v>
      </c>
      <c r="D78" s="35"/>
      <c r="E78" s="44">
        <f>ROUND(E76*C78,2)</f>
        <v>197.38</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2275.0700000000002</v>
      </c>
      <c r="F80" s="30"/>
    </row>
    <row r="81" spans="1:6" ht="15.75" thickTop="1" x14ac:dyDescent="0.2">
      <c r="A81" s="30"/>
      <c r="B81" s="151"/>
      <c r="C81" s="151"/>
      <c r="D81" s="151"/>
      <c r="E81" s="45"/>
      <c r="F81" s="30"/>
    </row>
    <row r="82" spans="1:6" ht="15" x14ac:dyDescent="0.2">
      <c r="A82" s="30"/>
      <c r="B82" s="150" t="s">
        <v>48</v>
      </c>
      <c r="C82" s="150"/>
      <c r="D82" s="150"/>
      <c r="E82" s="45">
        <v>0</v>
      </c>
      <c r="F82" s="30"/>
    </row>
    <row r="83" spans="1:6" ht="15" x14ac:dyDescent="0.2">
      <c r="A83" s="30"/>
      <c r="B83" s="151"/>
      <c r="C83" s="151"/>
      <c r="D83" s="151"/>
      <c r="E83" s="45"/>
      <c r="F83" s="30"/>
    </row>
    <row r="84" spans="1:6" ht="19.5" customHeight="1" x14ac:dyDescent="0.2">
      <c r="A84" s="30"/>
      <c r="B84" s="46" t="s">
        <v>47</v>
      </c>
      <c r="C84" s="47"/>
      <c r="D84" s="47"/>
      <c r="E84" s="48">
        <f>E80-E82</f>
        <v>2275.0700000000002</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5"/>
      <c r="C87" s="155"/>
      <c r="D87" s="155"/>
      <c r="E87" s="155"/>
      <c r="F87" s="30"/>
    </row>
    <row r="88" spans="1:6" ht="14.25" x14ac:dyDescent="0.2">
      <c r="A88" s="148" t="s">
        <v>49</v>
      </c>
      <c r="B88" s="148"/>
      <c r="C88" s="148"/>
      <c r="D88" s="148"/>
      <c r="E88" s="148"/>
      <c r="F88" s="148"/>
    </row>
    <row r="89" spans="1:6" ht="14.25" x14ac:dyDescent="0.2">
      <c r="A89" s="146" t="s">
        <v>8</v>
      </c>
      <c r="B89" s="146"/>
      <c r="C89" s="146"/>
      <c r="D89" s="146"/>
      <c r="E89" s="146"/>
      <c r="F89" s="146"/>
    </row>
    <row r="90" spans="1:6" x14ac:dyDescent="0.2">
      <c r="A90" s="30"/>
      <c r="B90" s="30"/>
      <c r="C90" s="30"/>
      <c r="D90" s="30"/>
      <c r="E90" s="30"/>
      <c r="F90" s="30"/>
    </row>
    <row r="91" spans="1:6" x14ac:dyDescent="0.2">
      <c r="A91" s="30"/>
      <c r="B91" s="156"/>
      <c r="C91" s="156"/>
      <c r="D91" s="156"/>
      <c r="E91" s="156"/>
      <c r="F91" s="30"/>
    </row>
    <row r="92" spans="1:6" ht="15" x14ac:dyDescent="0.2">
      <c r="A92" s="147" t="s">
        <v>9</v>
      </c>
      <c r="B92" s="147"/>
      <c r="C92" s="147"/>
      <c r="D92" s="147"/>
      <c r="E92" s="147"/>
      <c r="F92" s="147"/>
    </row>
    <row r="94" spans="1:6" ht="39.75" customHeight="1" x14ac:dyDescent="0.2">
      <c r="B94" s="153"/>
      <c r="C94" s="154"/>
      <c r="D94" s="154"/>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2:D82"/>
    <mergeCell ref="B63:D63"/>
    <mergeCell ref="B64:D64"/>
    <mergeCell ref="B65:D65"/>
    <mergeCell ref="B66:D66"/>
    <mergeCell ref="B67:D67"/>
    <mergeCell ref="B68:D68"/>
    <mergeCell ref="B69:D69"/>
    <mergeCell ref="B70:D70"/>
    <mergeCell ref="B71:D71"/>
    <mergeCell ref="B72:D72"/>
    <mergeCell ref="B81:D81"/>
    <mergeCell ref="B94:D94"/>
    <mergeCell ref="B83:D83"/>
    <mergeCell ref="B87:E87"/>
    <mergeCell ref="A88:F88"/>
    <mergeCell ref="A89:F89"/>
    <mergeCell ref="B91:E91"/>
    <mergeCell ref="A92:F92"/>
  </mergeCells>
  <dataValidations count="1">
    <dataValidation type="list" allowBlank="1" showInputMessage="1" showErrorMessage="1" sqref="B81:B83 B34:B72 B12:B20" xr:uid="{00000000-0002-0000-0C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4">
    <pageSetUpPr fitToPage="1"/>
  </sheetPr>
  <dimension ref="A12:F94"/>
  <sheetViews>
    <sheetView view="pageBreakPreview"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117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118</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45" customHeight="1" x14ac:dyDescent="0.2">
      <c r="A36" s="30"/>
      <c r="B36" s="149" t="s">
        <v>120</v>
      </c>
      <c r="C36" s="149"/>
      <c r="D36" s="149"/>
      <c r="E36" s="37">
        <f>4.5*225</f>
        <v>1012.5</v>
      </c>
      <c r="F36" s="30"/>
    </row>
    <row r="37" spans="1:6" ht="14.25" x14ac:dyDescent="0.2">
      <c r="A37" s="30"/>
      <c r="B37" s="149"/>
      <c r="C37" s="149"/>
      <c r="D37" s="149"/>
      <c r="E37" s="37"/>
      <c r="F37" s="30"/>
    </row>
    <row r="38" spans="1:6" ht="14.25" x14ac:dyDescent="0.2">
      <c r="A38" s="30"/>
      <c r="B38" s="149"/>
      <c r="C38" s="149"/>
      <c r="D38" s="149"/>
      <c r="E38" s="37"/>
      <c r="F38" s="30"/>
    </row>
    <row r="39" spans="1:6" ht="33" customHeight="1" x14ac:dyDescent="0.2">
      <c r="A39" s="30"/>
      <c r="B39" s="149" t="s">
        <v>119</v>
      </c>
      <c r="C39" s="149"/>
      <c r="D39" s="149"/>
      <c r="E39" s="37">
        <f>3.75*225</f>
        <v>843.75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121</v>
      </c>
      <c r="C42" s="149"/>
      <c r="D42" s="149"/>
      <c r="E42" s="37">
        <f>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122</v>
      </c>
      <c r="C45" s="149"/>
      <c r="D45" s="149"/>
      <c r="E45" s="37">
        <f>6.5*225</f>
        <v>1462.5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123</v>
      </c>
      <c r="C48" s="149"/>
      <c r="D48" s="149"/>
      <c r="E48" s="37">
        <f>0.25*225</f>
        <v>56.25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f>SUM(E35:E70)</f>
        <v>3937.5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3937.5</v>
      </c>
      <c r="F74" s="30"/>
    </row>
    <row r="75" spans="1:6" ht="13.5" customHeight="1" x14ac:dyDescent="0.2">
      <c r="A75" s="30"/>
      <c r="B75" s="35" t="s">
        <v>6</v>
      </c>
      <c r="C75" s="40">
        <v>0.05</v>
      </c>
      <c r="D75" s="35"/>
      <c r="E75" s="43">
        <f>ROUND(E74*C75,2)</f>
        <v>196.88</v>
      </c>
      <c r="F75" s="30"/>
    </row>
    <row r="76" spans="1:6" ht="13.5" customHeight="1" x14ac:dyDescent="0.2">
      <c r="A76" s="30"/>
      <c r="B76" s="35" t="s">
        <v>5</v>
      </c>
      <c r="C76" s="50">
        <v>9.9750000000000005E-2</v>
      </c>
      <c r="D76" s="35"/>
      <c r="E76" s="44">
        <f>ROUND(E74*C76,2)</f>
        <v>392.77</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4527.1499999999996</v>
      </c>
      <c r="F78" s="30"/>
    </row>
    <row r="79" spans="1:6" ht="15.75" thickTop="1" x14ac:dyDescent="0.2">
      <c r="A79" s="30"/>
      <c r="B79" s="151"/>
      <c r="C79" s="151"/>
      <c r="D79" s="151"/>
      <c r="E79" s="45"/>
      <c r="F79" s="30"/>
    </row>
    <row r="80" spans="1:6" ht="15" x14ac:dyDescent="0.2">
      <c r="A80" s="30"/>
      <c r="B80" s="150" t="s">
        <v>48</v>
      </c>
      <c r="C80" s="150"/>
      <c r="D80" s="150"/>
      <c r="E80" s="45">
        <v>0</v>
      </c>
      <c r="F80" s="30"/>
    </row>
    <row r="81" spans="1:6" ht="15" x14ac:dyDescent="0.2">
      <c r="A81" s="30"/>
      <c r="B81" s="151"/>
      <c r="C81" s="151"/>
      <c r="D81" s="151"/>
      <c r="E81" s="45"/>
      <c r="F81" s="30"/>
    </row>
    <row r="82" spans="1:6" ht="19.5" customHeight="1" x14ac:dyDescent="0.2">
      <c r="A82" s="30"/>
      <c r="B82" s="46" t="s">
        <v>47</v>
      </c>
      <c r="C82" s="47"/>
      <c r="D82" s="47"/>
      <c r="E82" s="48">
        <f>E78-E80</f>
        <v>4527.1499999999996</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5"/>
      <c r="C85" s="155"/>
      <c r="D85" s="155"/>
      <c r="E85" s="155"/>
      <c r="F85" s="30"/>
    </row>
    <row r="86" spans="1:6" ht="14.25" x14ac:dyDescent="0.2">
      <c r="A86" s="148" t="s">
        <v>49</v>
      </c>
      <c r="B86" s="148"/>
      <c r="C86" s="148"/>
      <c r="D86" s="148"/>
      <c r="E86" s="148"/>
      <c r="F86" s="148"/>
    </row>
    <row r="87" spans="1:6" ht="14.25" x14ac:dyDescent="0.2">
      <c r="A87" s="146" t="s">
        <v>8</v>
      </c>
      <c r="B87" s="146"/>
      <c r="C87" s="146"/>
      <c r="D87" s="146"/>
      <c r="E87" s="146"/>
      <c r="F87" s="146"/>
    </row>
    <row r="88" spans="1:6" x14ac:dyDescent="0.2">
      <c r="A88" s="30"/>
      <c r="B88" s="30"/>
      <c r="C88" s="30"/>
      <c r="D88" s="30"/>
      <c r="E88" s="30"/>
      <c r="F88" s="30"/>
    </row>
    <row r="89" spans="1:6" x14ac:dyDescent="0.2">
      <c r="A89" s="30"/>
      <c r="B89" s="156"/>
      <c r="C89" s="156"/>
      <c r="D89" s="156"/>
      <c r="E89" s="156"/>
      <c r="F89" s="30"/>
    </row>
    <row r="90" spans="1:6" ht="15" x14ac:dyDescent="0.2">
      <c r="A90" s="147" t="s">
        <v>9</v>
      </c>
      <c r="B90" s="147"/>
      <c r="C90" s="147"/>
      <c r="D90" s="147"/>
      <c r="E90" s="147"/>
      <c r="F90" s="147"/>
    </row>
    <row r="92" spans="1:6" ht="39.75" customHeight="1" x14ac:dyDescent="0.2">
      <c r="B92" s="153"/>
      <c r="C92" s="154"/>
      <c r="D92" s="154"/>
    </row>
    <row r="93" spans="1:6" ht="13.5" customHeight="1" x14ac:dyDescent="0.2"/>
    <row r="94" spans="1:6" x14ac:dyDescent="0.2">
      <c r="B94" s="20"/>
      <c r="C94" s="20"/>
      <c r="D94" s="20"/>
    </row>
  </sheetData>
  <mergeCells count="47">
    <mergeCell ref="B92:D92"/>
    <mergeCell ref="B81:D81"/>
    <mergeCell ref="B85:E85"/>
    <mergeCell ref="A86:F86"/>
    <mergeCell ref="A87:F87"/>
    <mergeCell ref="B89:E89"/>
    <mergeCell ref="A90:F90"/>
    <mergeCell ref="B80:D80"/>
    <mergeCell ref="B61:D61"/>
    <mergeCell ref="B62:D62"/>
    <mergeCell ref="B63:D63"/>
    <mergeCell ref="B64:D64"/>
    <mergeCell ref="B65:D65"/>
    <mergeCell ref="B66:D66"/>
    <mergeCell ref="B67:D67"/>
    <mergeCell ref="B68:D68"/>
    <mergeCell ref="B69:D69"/>
    <mergeCell ref="B70:D70"/>
    <mergeCell ref="B79:D79"/>
    <mergeCell ref="B60:D60"/>
    <mergeCell ref="B49:D49"/>
    <mergeCell ref="B50:D50"/>
    <mergeCell ref="B51:D51"/>
    <mergeCell ref="B52:D52"/>
    <mergeCell ref="B53:D53"/>
    <mergeCell ref="B54:D54"/>
    <mergeCell ref="B55:D55"/>
    <mergeCell ref="B56:D56"/>
    <mergeCell ref="B57:D57"/>
    <mergeCell ref="B58:D58"/>
    <mergeCell ref="B59:D59"/>
    <mergeCell ref="B45:D45"/>
    <mergeCell ref="B46:D46"/>
    <mergeCell ref="B47:D47"/>
    <mergeCell ref="B48:D48"/>
    <mergeCell ref="B39:D39"/>
    <mergeCell ref="B40:D40"/>
    <mergeCell ref="B41:D41"/>
    <mergeCell ref="B42:D42"/>
    <mergeCell ref="B43:D43"/>
    <mergeCell ref="B44:D44"/>
    <mergeCell ref="B38:D38"/>
    <mergeCell ref="A31:F31"/>
    <mergeCell ref="B34:D34"/>
    <mergeCell ref="B35:D35"/>
    <mergeCell ref="B36:D36"/>
    <mergeCell ref="B37:D37"/>
  </mergeCells>
  <dataValidations count="1">
    <dataValidation type="list" allowBlank="1" showInputMessage="1" showErrorMessage="1" sqref="B79:B81 B12:B20 B34:B70" xr:uid="{00000000-0002-0000-0D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5">
    <pageSetUpPr fitToPage="1"/>
  </sheetPr>
  <dimension ref="A12:F94"/>
  <sheetViews>
    <sheetView view="pageBreakPreview" zoomScale="80" zoomScaleNormal="100" zoomScaleSheetLayoutView="80" workbookViewId="0">
      <selection activeCell="B49" sqref="B49:D4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124</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125</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126</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127</v>
      </c>
      <c r="C39" s="149"/>
      <c r="D39" s="149"/>
      <c r="E39" s="37">
        <f>0.25*225</f>
        <v>56.25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f>SUM(E35:E70)</f>
        <v>112.5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112.5</v>
      </c>
      <c r="F74" s="30"/>
    </row>
    <row r="75" spans="1:6" ht="13.5" customHeight="1" x14ac:dyDescent="0.2">
      <c r="A75" s="30"/>
      <c r="B75" s="35" t="s">
        <v>6</v>
      </c>
      <c r="C75" s="40">
        <v>0.05</v>
      </c>
      <c r="D75" s="35"/>
      <c r="E75" s="43">
        <f>ROUND(E74*C75,2)</f>
        <v>5.63</v>
      </c>
      <c r="F75" s="30"/>
    </row>
    <row r="76" spans="1:6" ht="13.5" customHeight="1" x14ac:dyDescent="0.2">
      <c r="A76" s="30"/>
      <c r="B76" s="35" t="s">
        <v>5</v>
      </c>
      <c r="C76" s="50">
        <v>9.9750000000000005E-2</v>
      </c>
      <c r="D76" s="35"/>
      <c r="E76" s="44">
        <f>ROUND(E74*C76,2)</f>
        <v>11.22</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129.35</v>
      </c>
      <c r="F78" s="30"/>
    </row>
    <row r="79" spans="1:6" ht="15.75" thickTop="1" x14ac:dyDescent="0.2">
      <c r="A79" s="30"/>
      <c r="B79" s="151"/>
      <c r="C79" s="151"/>
      <c r="D79" s="151"/>
      <c r="E79" s="45"/>
      <c r="F79" s="30"/>
    </row>
    <row r="80" spans="1:6" ht="15" x14ac:dyDescent="0.2">
      <c r="A80" s="30"/>
      <c r="B80" s="150" t="s">
        <v>48</v>
      </c>
      <c r="C80" s="150"/>
      <c r="D80" s="150"/>
      <c r="E80" s="45">
        <v>0</v>
      </c>
      <c r="F80" s="30"/>
    </row>
    <row r="81" spans="1:6" ht="15" x14ac:dyDescent="0.2">
      <c r="A81" s="30"/>
      <c r="B81" s="151"/>
      <c r="C81" s="151"/>
      <c r="D81" s="151"/>
      <c r="E81" s="45"/>
      <c r="F81" s="30"/>
    </row>
    <row r="82" spans="1:6" ht="19.5" customHeight="1" x14ac:dyDescent="0.2">
      <c r="A82" s="30"/>
      <c r="B82" s="46" t="s">
        <v>47</v>
      </c>
      <c r="C82" s="47"/>
      <c r="D82" s="47"/>
      <c r="E82" s="48">
        <f>E78-E80</f>
        <v>129.35</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5"/>
      <c r="C85" s="155"/>
      <c r="D85" s="155"/>
      <c r="E85" s="155"/>
      <c r="F85" s="30"/>
    </row>
    <row r="86" spans="1:6" ht="14.25" x14ac:dyDescent="0.2">
      <c r="A86" s="148" t="s">
        <v>49</v>
      </c>
      <c r="B86" s="148"/>
      <c r="C86" s="148"/>
      <c r="D86" s="148"/>
      <c r="E86" s="148"/>
      <c r="F86" s="148"/>
    </row>
    <row r="87" spans="1:6" ht="14.25" x14ac:dyDescent="0.2">
      <c r="A87" s="146" t="s">
        <v>8</v>
      </c>
      <c r="B87" s="146"/>
      <c r="C87" s="146"/>
      <c r="D87" s="146"/>
      <c r="E87" s="146"/>
      <c r="F87" s="146"/>
    </row>
    <row r="88" spans="1:6" x14ac:dyDescent="0.2">
      <c r="A88" s="30"/>
      <c r="B88" s="30"/>
      <c r="C88" s="30"/>
      <c r="D88" s="30"/>
      <c r="E88" s="30"/>
      <c r="F88" s="30"/>
    </row>
    <row r="89" spans="1:6" x14ac:dyDescent="0.2">
      <c r="A89" s="30"/>
      <c r="B89" s="156"/>
      <c r="C89" s="156"/>
      <c r="D89" s="156"/>
      <c r="E89" s="156"/>
      <c r="F89" s="30"/>
    </row>
    <row r="90" spans="1:6" ht="15" x14ac:dyDescent="0.2">
      <c r="A90" s="147" t="s">
        <v>9</v>
      </c>
      <c r="B90" s="147"/>
      <c r="C90" s="147"/>
      <c r="D90" s="147"/>
      <c r="E90" s="147"/>
      <c r="F90" s="147"/>
    </row>
    <row r="92" spans="1:6" ht="39.75" customHeight="1" x14ac:dyDescent="0.2">
      <c r="B92" s="153"/>
      <c r="C92" s="154"/>
      <c r="D92" s="154"/>
    </row>
    <row r="93" spans="1:6" ht="13.5" customHeight="1" x14ac:dyDescent="0.2"/>
    <row r="94" spans="1:6" x14ac:dyDescent="0.2">
      <c r="B94" s="20"/>
      <c r="C94" s="20"/>
      <c r="D94" s="20"/>
    </row>
  </sheetData>
  <mergeCells count="47">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4:B70" xr:uid="{00000000-0002-0000-0E00-000000000000}">
      <formula1>Liste_Activités</formula1>
    </dataValidation>
  </dataValidations>
  <pageMargins left="0" right="0" top="0" bottom="0" header="0" footer="0"/>
  <pageSetup paperSize="122" scale="63" orientation="portrait" horizontalDpi="1200" verticalDpi="1200" r:id="rId1"/>
  <headerFooter scaleWithDoc="0"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6">
    <pageSetUpPr fitToPage="1"/>
  </sheetPr>
  <dimension ref="A12:F94"/>
  <sheetViews>
    <sheetView view="pageBreakPreview" zoomScale="80" zoomScaleNormal="100" zoomScaleSheetLayoutView="80" workbookViewId="0">
      <selection activeCell="B41" sqref="B41"/>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128</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136</v>
      </c>
      <c r="C24" s="30"/>
      <c r="D24" s="30"/>
      <c r="E24" s="30"/>
      <c r="F24" s="30"/>
    </row>
    <row r="25" spans="1:6" ht="15" x14ac:dyDescent="0.2">
      <c r="A25" s="21"/>
      <c r="B25" s="34" t="s">
        <v>137</v>
      </c>
      <c r="C25" s="30"/>
      <c r="D25" s="30"/>
      <c r="E25" s="30"/>
      <c r="F25" s="30"/>
    </row>
    <row r="26" spans="1:6" ht="15" x14ac:dyDescent="0.2">
      <c r="A26" s="21"/>
      <c r="B26" s="35" t="s">
        <v>138</v>
      </c>
      <c r="C26" s="30"/>
      <c r="D26" s="30"/>
      <c r="E26" s="30"/>
      <c r="F26" s="30"/>
    </row>
    <row r="27" spans="1:6" ht="15" x14ac:dyDescent="0.2">
      <c r="A27" s="21"/>
      <c r="B27" s="35" t="s">
        <v>139</v>
      </c>
      <c r="C27" s="30"/>
      <c r="D27" s="30"/>
      <c r="E27" s="30"/>
      <c r="F27" s="30"/>
    </row>
    <row r="28" spans="1:6" x14ac:dyDescent="0.2">
      <c r="A28" s="22"/>
      <c r="B28" s="30"/>
      <c r="C28" s="32"/>
      <c r="D28" s="32"/>
      <c r="E28" s="33"/>
      <c r="F28" s="30"/>
    </row>
    <row r="29" spans="1:6" ht="15" x14ac:dyDescent="0.2">
      <c r="A29" s="21"/>
      <c r="B29" s="32"/>
      <c r="C29" s="32"/>
      <c r="D29" s="36" t="s">
        <v>41</v>
      </c>
      <c r="E29" s="36" t="s">
        <v>134</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30" customHeight="1" x14ac:dyDescent="0.2">
      <c r="A36" s="30"/>
      <c r="B36" s="149" t="s">
        <v>141</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51" t="s">
        <v>135</v>
      </c>
      <c r="C39" s="51"/>
      <c r="D39" s="51"/>
      <c r="E39" s="37"/>
      <c r="F39" s="30"/>
    </row>
    <row r="40" spans="1:6" ht="14.25" x14ac:dyDescent="0.2">
      <c r="A40" s="30"/>
      <c r="B40" s="51"/>
      <c r="C40" s="51"/>
      <c r="D40" s="51"/>
      <c r="E40" s="37"/>
      <c r="F40" s="30"/>
    </row>
    <row r="41" spans="1:6" ht="13.5" customHeight="1" x14ac:dyDescent="0.2">
      <c r="A41" s="30"/>
      <c r="B41" s="51"/>
      <c r="C41" s="51"/>
      <c r="D41" s="51"/>
      <c r="E41" s="37"/>
      <c r="F41" s="30"/>
    </row>
    <row r="42" spans="1:6" ht="28.5" customHeight="1" x14ac:dyDescent="0.2">
      <c r="A42" s="30"/>
      <c r="B42" s="149" t="s">
        <v>140</v>
      </c>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v>3600</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3600</v>
      </c>
      <c r="F74" s="30"/>
    </row>
    <row r="75" spans="1:6" ht="13.5" customHeight="1" x14ac:dyDescent="0.2">
      <c r="A75" s="30"/>
      <c r="B75" s="35" t="s">
        <v>6</v>
      </c>
      <c r="C75" s="40">
        <v>0.05</v>
      </c>
      <c r="D75" s="35"/>
      <c r="E75" s="43">
        <f>ROUND(E74*C75,2)</f>
        <v>180</v>
      </c>
      <c r="F75" s="30"/>
    </row>
    <row r="76" spans="1:6" ht="13.5" customHeight="1" x14ac:dyDescent="0.2">
      <c r="A76" s="30"/>
      <c r="B76" s="35" t="s">
        <v>5</v>
      </c>
      <c r="C76" s="50">
        <v>9.9750000000000005E-2</v>
      </c>
      <c r="D76" s="35"/>
      <c r="E76" s="44">
        <f>ROUND(E74*C76,2)</f>
        <v>359.1</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4139.1000000000004</v>
      </c>
      <c r="F78" s="30"/>
    </row>
    <row r="79" spans="1:6" ht="15.75" thickTop="1" x14ac:dyDescent="0.2">
      <c r="A79" s="30"/>
      <c r="B79" s="151"/>
      <c r="C79" s="151"/>
      <c r="D79" s="151"/>
      <c r="E79" s="45"/>
      <c r="F79" s="30"/>
    </row>
    <row r="80" spans="1:6" ht="15" x14ac:dyDescent="0.2">
      <c r="A80" s="30"/>
      <c r="B80" s="150" t="s">
        <v>48</v>
      </c>
      <c r="C80" s="150"/>
      <c r="D80" s="150"/>
      <c r="E80" s="45">
        <v>0</v>
      </c>
      <c r="F80" s="30"/>
    </row>
    <row r="81" spans="1:6" ht="15" x14ac:dyDescent="0.2">
      <c r="A81" s="30"/>
      <c r="B81" s="151"/>
      <c r="C81" s="151"/>
      <c r="D81" s="151"/>
      <c r="E81" s="45"/>
      <c r="F81" s="30"/>
    </row>
    <row r="82" spans="1:6" ht="19.5" customHeight="1" x14ac:dyDescent="0.2">
      <c r="A82" s="30"/>
      <c r="B82" s="46" t="s">
        <v>47</v>
      </c>
      <c r="C82" s="47"/>
      <c r="D82" s="47"/>
      <c r="E82" s="48">
        <f>E78-E80</f>
        <v>4139.1000000000004</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5"/>
      <c r="C85" s="155"/>
      <c r="D85" s="155"/>
      <c r="E85" s="155"/>
      <c r="F85" s="30"/>
    </row>
    <row r="86" spans="1:6" ht="14.25" x14ac:dyDescent="0.2">
      <c r="A86" s="148" t="s">
        <v>49</v>
      </c>
      <c r="B86" s="148"/>
      <c r="C86" s="148"/>
      <c r="D86" s="148"/>
      <c r="E86" s="148"/>
      <c r="F86" s="148"/>
    </row>
    <row r="87" spans="1:6" ht="14.25" x14ac:dyDescent="0.2">
      <c r="A87" s="146" t="s">
        <v>8</v>
      </c>
      <c r="B87" s="146"/>
      <c r="C87" s="146"/>
      <c r="D87" s="146"/>
      <c r="E87" s="146"/>
      <c r="F87" s="146"/>
    </row>
    <row r="88" spans="1:6" x14ac:dyDescent="0.2">
      <c r="A88" s="30"/>
      <c r="B88" s="30"/>
      <c r="C88" s="30"/>
      <c r="D88" s="30"/>
      <c r="E88" s="30"/>
      <c r="F88" s="30"/>
    </row>
    <row r="89" spans="1:6" x14ac:dyDescent="0.2">
      <c r="A89" s="30"/>
      <c r="B89" s="156"/>
      <c r="C89" s="156"/>
      <c r="D89" s="156"/>
      <c r="E89" s="156"/>
      <c r="F89" s="30"/>
    </row>
    <row r="90" spans="1:6" ht="15" x14ac:dyDescent="0.2">
      <c r="A90" s="147" t="s">
        <v>9</v>
      </c>
      <c r="B90" s="147"/>
      <c r="C90" s="147"/>
      <c r="D90" s="147"/>
      <c r="E90" s="147"/>
      <c r="F90" s="147"/>
    </row>
    <row r="92" spans="1:6" ht="39.75" customHeight="1" x14ac:dyDescent="0.2">
      <c r="B92" s="153"/>
      <c r="C92" s="154"/>
      <c r="D92" s="154"/>
    </row>
    <row r="93" spans="1:6" ht="13.5" customHeight="1" x14ac:dyDescent="0.2"/>
    <row r="94" spans="1:6" x14ac:dyDescent="0.2">
      <c r="B94" s="20"/>
      <c r="C94" s="20"/>
      <c r="D94" s="20"/>
    </row>
  </sheetData>
  <mergeCells count="44">
    <mergeCell ref="B50:D50"/>
    <mergeCell ref="B42:D42"/>
    <mergeCell ref="B43:D43"/>
    <mergeCell ref="B44:D44"/>
    <mergeCell ref="A31:F31"/>
    <mergeCell ref="B34:D34"/>
    <mergeCell ref="B35:D35"/>
    <mergeCell ref="B36:D36"/>
    <mergeCell ref="B37:D37"/>
    <mergeCell ref="B38:D38"/>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5:E85"/>
    <mergeCell ref="B63:D63"/>
    <mergeCell ref="B64:D64"/>
    <mergeCell ref="B65:D65"/>
    <mergeCell ref="B66:D66"/>
    <mergeCell ref="B67:D67"/>
    <mergeCell ref="B68:D68"/>
    <mergeCell ref="B69:D69"/>
    <mergeCell ref="B70:D70"/>
    <mergeCell ref="B79:D79"/>
    <mergeCell ref="B80:D80"/>
    <mergeCell ref="B81:D81"/>
    <mergeCell ref="A86:F86"/>
    <mergeCell ref="A87:F87"/>
    <mergeCell ref="B89:E89"/>
    <mergeCell ref="A90:F90"/>
    <mergeCell ref="B92:D92"/>
  </mergeCells>
  <dataValidations count="1">
    <dataValidation type="list" allowBlank="1" showInputMessage="1" showErrorMessage="1" sqref="B79:B81 B12:B20 B34:B70" xr:uid="{00000000-0002-0000-0F00-000000000000}">
      <formula1>Liste_Activités</formula1>
    </dataValidation>
  </dataValidations>
  <pageMargins left="0" right="0" top="0" bottom="0" header="0" footer="0"/>
  <pageSetup paperSize="122" scale="62" orientation="portrait" horizontalDpi="1200" verticalDpi="1200" r:id="rId1"/>
  <headerFooter scaleWithDoc="0"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7">
    <pageSetUpPr fitToPage="1"/>
  </sheetPr>
  <dimension ref="A12:F94"/>
  <sheetViews>
    <sheetView view="pageBreakPreview" topLeftCell="A55"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128</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129</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130</v>
      </c>
      <c r="C36" s="149"/>
      <c r="D36" s="149"/>
      <c r="E36" s="37">
        <f>0.3*225</f>
        <v>67.5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131</v>
      </c>
      <c r="C39" s="149"/>
      <c r="D39" s="149"/>
      <c r="E39" s="37">
        <f>1.5*225</f>
        <v>337.5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132</v>
      </c>
      <c r="C42" s="51"/>
      <c r="D42" s="51"/>
      <c r="E42" s="37">
        <f>5*225</f>
        <v>1125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133</v>
      </c>
      <c r="C45" s="149"/>
      <c r="D45" s="149"/>
      <c r="E45" s="37">
        <f>1.75*225</f>
        <v>393.75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f>SUM(E35:E70)</f>
        <v>1923.75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1923.75</v>
      </c>
      <c r="F74" s="30"/>
    </row>
    <row r="75" spans="1:6" ht="13.5" customHeight="1" x14ac:dyDescent="0.2">
      <c r="A75" s="30"/>
      <c r="B75" s="35" t="s">
        <v>6</v>
      </c>
      <c r="C75" s="40">
        <v>0.05</v>
      </c>
      <c r="D75" s="35"/>
      <c r="E75" s="43">
        <f>ROUND(E74*C75,2)</f>
        <v>96.19</v>
      </c>
      <c r="F75" s="30"/>
    </row>
    <row r="76" spans="1:6" ht="13.5" customHeight="1" x14ac:dyDescent="0.2">
      <c r="A76" s="30"/>
      <c r="B76" s="35" t="s">
        <v>5</v>
      </c>
      <c r="C76" s="50">
        <v>9.9750000000000005E-2</v>
      </c>
      <c r="D76" s="35"/>
      <c r="E76" s="44">
        <f>ROUND(E74*C76,2)</f>
        <v>191.89</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2211.83</v>
      </c>
      <c r="F78" s="30"/>
    </row>
    <row r="79" spans="1:6" ht="15.75" thickTop="1" x14ac:dyDescent="0.2">
      <c r="A79" s="30"/>
      <c r="B79" s="151"/>
      <c r="C79" s="151"/>
      <c r="D79" s="151"/>
      <c r="E79" s="45"/>
      <c r="F79" s="30"/>
    </row>
    <row r="80" spans="1:6" ht="15" x14ac:dyDescent="0.2">
      <c r="A80" s="30"/>
      <c r="B80" s="150" t="s">
        <v>48</v>
      </c>
      <c r="C80" s="150"/>
      <c r="D80" s="150"/>
      <c r="E80" s="45">
        <v>0</v>
      </c>
      <c r="F80" s="30"/>
    </row>
    <row r="81" spans="1:6" ht="15" x14ac:dyDescent="0.2">
      <c r="A81" s="30"/>
      <c r="B81" s="151"/>
      <c r="C81" s="151"/>
      <c r="D81" s="151"/>
      <c r="E81" s="45"/>
      <c r="F81" s="30"/>
    </row>
    <row r="82" spans="1:6" ht="19.5" customHeight="1" x14ac:dyDescent="0.2">
      <c r="A82" s="30"/>
      <c r="B82" s="46" t="s">
        <v>47</v>
      </c>
      <c r="C82" s="47"/>
      <c r="D82" s="47"/>
      <c r="E82" s="48">
        <f>E78-E80</f>
        <v>2211.83</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5"/>
      <c r="C85" s="155"/>
      <c r="D85" s="155"/>
      <c r="E85" s="155"/>
      <c r="F85" s="30"/>
    </row>
    <row r="86" spans="1:6" ht="14.25" x14ac:dyDescent="0.2">
      <c r="A86" s="148" t="s">
        <v>49</v>
      </c>
      <c r="B86" s="148"/>
      <c r="C86" s="148"/>
      <c r="D86" s="148"/>
      <c r="E86" s="148"/>
      <c r="F86" s="148"/>
    </row>
    <row r="87" spans="1:6" ht="14.25" x14ac:dyDescent="0.2">
      <c r="A87" s="146" t="s">
        <v>8</v>
      </c>
      <c r="B87" s="146"/>
      <c r="C87" s="146"/>
      <c r="D87" s="146"/>
      <c r="E87" s="146"/>
      <c r="F87" s="146"/>
    </row>
    <row r="88" spans="1:6" x14ac:dyDescent="0.2">
      <c r="A88" s="30"/>
      <c r="B88" s="30"/>
      <c r="C88" s="30"/>
      <c r="D88" s="30"/>
      <c r="E88" s="30"/>
      <c r="F88" s="30"/>
    </row>
    <row r="89" spans="1:6" x14ac:dyDescent="0.2">
      <c r="A89" s="30"/>
      <c r="B89" s="156"/>
      <c r="C89" s="156"/>
      <c r="D89" s="156"/>
      <c r="E89" s="156"/>
      <c r="F89" s="30"/>
    </row>
    <row r="90" spans="1:6" ht="15" x14ac:dyDescent="0.2">
      <c r="A90" s="147" t="s">
        <v>9</v>
      </c>
      <c r="B90" s="147"/>
      <c r="C90" s="147"/>
      <c r="D90" s="147"/>
      <c r="E90" s="147"/>
      <c r="F90" s="147"/>
    </row>
    <row r="92" spans="1:6" ht="39.75" customHeight="1" x14ac:dyDescent="0.2">
      <c r="B92" s="153"/>
      <c r="C92" s="154"/>
      <c r="D92" s="154"/>
    </row>
    <row r="93" spans="1:6" ht="13.5" customHeight="1" x14ac:dyDescent="0.2"/>
    <row r="94" spans="1:6" x14ac:dyDescent="0.2">
      <c r="B94" s="20"/>
      <c r="C94" s="20"/>
      <c r="D94" s="20"/>
    </row>
  </sheetData>
  <mergeCells count="44">
    <mergeCell ref="A86:F86"/>
    <mergeCell ref="A87:F87"/>
    <mergeCell ref="B89:E89"/>
    <mergeCell ref="A90:F90"/>
    <mergeCell ref="B92:D92"/>
    <mergeCell ref="B85:E85"/>
    <mergeCell ref="B63:D63"/>
    <mergeCell ref="B64:D64"/>
    <mergeCell ref="B65:D65"/>
    <mergeCell ref="B66:D66"/>
    <mergeCell ref="B67:D67"/>
    <mergeCell ref="B68:D68"/>
    <mergeCell ref="B69:D69"/>
    <mergeCell ref="B70:D70"/>
    <mergeCell ref="B79:D79"/>
    <mergeCell ref="B80:D80"/>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43:D43"/>
    <mergeCell ref="B44:D44"/>
    <mergeCell ref="B45:D45"/>
    <mergeCell ref="B46:D46"/>
    <mergeCell ref="B47:D47"/>
    <mergeCell ref="B48:D48"/>
    <mergeCell ref="B49:D49"/>
    <mergeCell ref="B38:D38"/>
    <mergeCell ref="B39:D39"/>
    <mergeCell ref="A31:F31"/>
    <mergeCell ref="B34:D34"/>
    <mergeCell ref="B35:D35"/>
    <mergeCell ref="B36:D36"/>
    <mergeCell ref="B37:D37"/>
  </mergeCells>
  <dataValidations count="1">
    <dataValidation type="list" allowBlank="1" showInputMessage="1" showErrorMessage="1" sqref="B79:B81 B12:B20 B34:B70" xr:uid="{00000000-0002-0000-1000-000000000000}">
      <formula1>Liste_Activités</formula1>
    </dataValidation>
  </dataValidations>
  <pageMargins left="0" right="0" top="0" bottom="0" header="0" footer="0"/>
  <pageSetup paperSize="122" scale="63" orientation="portrait" horizontalDpi="1200" verticalDpi="1200" r:id="rId1"/>
  <headerFooter scaleWithDoc="0"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8">
    <pageSetUpPr fitToPage="1"/>
  </sheetPr>
  <dimension ref="A12:F94"/>
  <sheetViews>
    <sheetView view="pageBreakPreview" zoomScale="80" zoomScaleNormal="100" zoomScaleSheetLayoutView="80" workbookViewId="0">
      <selection activeCell="B63" sqref="B63:D63"/>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142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143</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144</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145</v>
      </c>
      <c r="C39" s="149"/>
      <c r="D39" s="149"/>
      <c r="E39" s="37">
        <f>2*225</f>
        <v>450</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146</v>
      </c>
      <c r="C42" s="51"/>
      <c r="D42" s="51"/>
      <c r="E42" s="37">
        <f>1*225</f>
        <v>225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147</v>
      </c>
      <c r="C45" s="149"/>
      <c r="D45" s="149"/>
      <c r="E45" s="37">
        <f>1.25*225</f>
        <v>281.25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148</v>
      </c>
      <c r="C48" s="149"/>
      <c r="D48" s="149"/>
      <c r="E48" s="37">
        <f>2.5*225</f>
        <v>562.5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3.5" customHeight="1" x14ac:dyDescent="0.2">
      <c r="A70" s="30"/>
      <c r="B70" s="149"/>
      <c r="C70" s="149"/>
      <c r="D70" s="149"/>
      <c r="E70" s="37"/>
      <c r="F70" s="30"/>
    </row>
    <row r="71" spans="1:6" ht="13.5" customHeight="1" x14ac:dyDescent="0.2">
      <c r="A71" s="30"/>
      <c r="B71" s="34" t="s">
        <v>45</v>
      </c>
      <c r="C71" s="35"/>
      <c r="D71" s="35"/>
      <c r="E71" s="38">
        <f>SUM(E35:E70)</f>
        <v>1575</v>
      </c>
      <c r="F71" s="30"/>
    </row>
    <row r="72" spans="1:6" ht="13.5" customHeight="1" x14ac:dyDescent="0.2">
      <c r="A72" s="30"/>
      <c r="B72" s="42" t="s">
        <v>42</v>
      </c>
      <c r="C72" s="35"/>
      <c r="D72" s="35"/>
      <c r="E72" s="39">
        <v>0</v>
      </c>
      <c r="F72" s="30"/>
    </row>
    <row r="73" spans="1:6" ht="13.5" customHeight="1" x14ac:dyDescent="0.2">
      <c r="A73" s="30"/>
      <c r="B73" s="42" t="s">
        <v>43</v>
      </c>
      <c r="C73" s="35"/>
      <c r="D73" s="35"/>
      <c r="E73" s="39">
        <v>0</v>
      </c>
      <c r="F73" s="30"/>
    </row>
    <row r="74" spans="1:6" ht="13.5" customHeight="1" x14ac:dyDescent="0.2">
      <c r="A74" s="30"/>
      <c r="B74" s="34" t="s">
        <v>44</v>
      </c>
      <c r="C74" s="35"/>
      <c r="D74" s="35"/>
      <c r="E74" s="38">
        <f>SUM(E71:E73)</f>
        <v>1575</v>
      </c>
      <c r="F74" s="30"/>
    </row>
    <row r="75" spans="1:6" ht="13.5" customHeight="1" x14ac:dyDescent="0.2">
      <c r="A75" s="30"/>
      <c r="B75" s="35" t="s">
        <v>6</v>
      </c>
      <c r="C75" s="40">
        <v>0.05</v>
      </c>
      <c r="D75" s="35"/>
      <c r="E75" s="43">
        <f>ROUND(E74*C75,2)</f>
        <v>78.75</v>
      </c>
      <c r="F75" s="30"/>
    </row>
    <row r="76" spans="1:6" ht="13.5" customHeight="1" x14ac:dyDescent="0.2">
      <c r="A76" s="30"/>
      <c r="B76" s="35" t="s">
        <v>5</v>
      </c>
      <c r="C76" s="50">
        <v>9.9750000000000005E-2</v>
      </c>
      <c r="D76" s="35"/>
      <c r="E76" s="44">
        <f>ROUND(E74*C76,2)</f>
        <v>157.11000000000001</v>
      </c>
      <c r="F76" s="30"/>
    </row>
    <row r="77" spans="1:6" ht="13.5" customHeight="1" x14ac:dyDescent="0.2">
      <c r="A77" s="30"/>
      <c r="B77" s="35"/>
      <c r="C77" s="35"/>
      <c r="D77" s="35"/>
      <c r="E77" s="35"/>
      <c r="F77" s="30"/>
    </row>
    <row r="78" spans="1:6" ht="16.5" customHeight="1" thickBot="1" x14ac:dyDescent="0.25">
      <c r="A78" s="30"/>
      <c r="B78" s="34" t="s">
        <v>46</v>
      </c>
      <c r="C78" s="35"/>
      <c r="D78" s="35"/>
      <c r="E78" s="41">
        <f>SUM(E74:E76)</f>
        <v>1810.8600000000001</v>
      </c>
      <c r="F78" s="30"/>
    </row>
    <row r="79" spans="1:6" ht="15.75" thickTop="1" x14ac:dyDescent="0.2">
      <c r="A79" s="30"/>
      <c r="B79" s="151"/>
      <c r="C79" s="151"/>
      <c r="D79" s="151"/>
      <c r="E79" s="45"/>
      <c r="F79" s="30"/>
    </row>
    <row r="80" spans="1:6" ht="15" x14ac:dyDescent="0.2">
      <c r="A80" s="30"/>
      <c r="B80" s="150" t="s">
        <v>48</v>
      </c>
      <c r="C80" s="150"/>
      <c r="D80" s="150"/>
      <c r="E80" s="45">
        <v>0</v>
      </c>
      <c r="F80" s="30"/>
    </row>
    <row r="81" spans="1:6" ht="15" x14ac:dyDescent="0.2">
      <c r="A81" s="30"/>
      <c r="B81" s="151"/>
      <c r="C81" s="151"/>
      <c r="D81" s="151"/>
      <c r="E81" s="45"/>
      <c r="F81" s="30"/>
    </row>
    <row r="82" spans="1:6" ht="19.5" customHeight="1" x14ac:dyDescent="0.2">
      <c r="A82" s="30"/>
      <c r="B82" s="46" t="s">
        <v>47</v>
      </c>
      <c r="C82" s="47"/>
      <c r="D82" s="47"/>
      <c r="E82" s="48">
        <f>E78-E80</f>
        <v>1810.8600000000001</v>
      </c>
      <c r="F82" s="30"/>
    </row>
    <row r="83" spans="1:6" ht="13.5" customHeight="1" x14ac:dyDescent="0.2">
      <c r="A83" s="30"/>
      <c r="B83" s="30"/>
      <c r="C83" s="30"/>
      <c r="D83" s="30"/>
      <c r="E83" s="30"/>
      <c r="F83" s="30"/>
    </row>
    <row r="84" spans="1:6" x14ac:dyDescent="0.2">
      <c r="A84" s="30"/>
      <c r="B84" s="30"/>
      <c r="C84" s="30"/>
      <c r="D84" s="30"/>
      <c r="E84" s="30"/>
      <c r="F84" s="30"/>
    </row>
    <row r="85" spans="1:6" x14ac:dyDescent="0.2">
      <c r="A85" s="30"/>
      <c r="B85" s="155"/>
      <c r="C85" s="155"/>
      <c r="D85" s="155"/>
      <c r="E85" s="155"/>
      <c r="F85" s="30"/>
    </row>
    <row r="86" spans="1:6" ht="14.25" x14ac:dyDescent="0.2">
      <c r="A86" s="148" t="s">
        <v>49</v>
      </c>
      <c r="B86" s="148"/>
      <c r="C86" s="148"/>
      <c r="D86" s="148"/>
      <c r="E86" s="148"/>
      <c r="F86" s="148"/>
    </row>
    <row r="87" spans="1:6" ht="14.25" x14ac:dyDescent="0.2">
      <c r="A87" s="146" t="s">
        <v>8</v>
      </c>
      <c r="B87" s="146"/>
      <c r="C87" s="146"/>
      <c r="D87" s="146"/>
      <c r="E87" s="146"/>
      <c r="F87" s="146"/>
    </row>
    <row r="88" spans="1:6" x14ac:dyDescent="0.2">
      <c r="A88" s="30"/>
      <c r="B88" s="30"/>
      <c r="C88" s="30"/>
      <c r="D88" s="30"/>
      <c r="E88" s="30"/>
      <c r="F88" s="30"/>
    </row>
    <row r="89" spans="1:6" x14ac:dyDescent="0.2">
      <c r="A89" s="30"/>
      <c r="B89" s="156"/>
      <c r="C89" s="156"/>
      <c r="D89" s="156"/>
      <c r="E89" s="156"/>
      <c r="F89" s="30"/>
    </row>
    <row r="90" spans="1:6" ht="15" x14ac:dyDescent="0.2">
      <c r="A90" s="147" t="s">
        <v>9</v>
      </c>
      <c r="B90" s="147"/>
      <c r="C90" s="147"/>
      <c r="D90" s="147"/>
      <c r="E90" s="147"/>
      <c r="F90" s="147"/>
    </row>
    <row r="92" spans="1:6" ht="39.75" customHeight="1" x14ac:dyDescent="0.2">
      <c r="B92" s="153"/>
      <c r="C92" s="154"/>
      <c r="D92" s="154"/>
    </row>
    <row r="93" spans="1:6" ht="13.5" customHeight="1" x14ac:dyDescent="0.2"/>
    <row r="94" spans="1:6" x14ac:dyDescent="0.2">
      <c r="B94" s="20"/>
      <c r="C94" s="20"/>
      <c r="D94" s="20"/>
    </row>
  </sheetData>
  <mergeCells count="44">
    <mergeCell ref="A90:F90"/>
    <mergeCell ref="B92:D92"/>
    <mergeCell ref="B80:D80"/>
    <mergeCell ref="B81:D81"/>
    <mergeCell ref="B85:E85"/>
    <mergeCell ref="A86:F86"/>
    <mergeCell ref="A87:F87"/>
    <mergeCell ref="B89:E89"/>
    <mergeCell ref="B79:D79"/>
    <mergeCell ref="B60:D60"/>
    <mergeCell ref="B61:D61"/>
    <mergeCell ref="B62:D62"/>
    <mergeCell ref="B63:D63"/>
    <mergeCell ref="B64:D64"/>
    <mergeCell ref="B65:D65"/>
    <mergeCell ref="B66:D66"/>
    <mergeCell ref="B67:D67"/>
    <mergeCell ref="B68:D68"/>
    <mergeCell ref="B69:D69"/>
    <mergeCell ref="B70:D70"/>
    <mergeCell ref="B59:D59"/>
    <mergeCell ref="B48:D48"/>
    <mergeCell ref="B49:D49"/>
    <mergeCell ref="B50:D50"/>
    <mergeCell ref="B51:D51"/>
    <mergeCell ref="B52:D52"/>
    <mergeCell ref="B53:D53"/>
    <mergeCell ref="B54:D54"/>
    <mergeCell ref="B55:D55"/>
    <mergeCell ref="B56:D56"/>
    <mergeCell ref="B57:D57"/>
    <mergeCell ref="B58:D58"/>
    <mergeCell ref="B47:D47"/>
    <mergeCell ref="A31:F31"/>
    <mergeCell ref="B34:D34"/>
    <mergeCell ref="B35:D35"/>
    <mergeCell ref="B36:D36"/>
    <mergeCell ref="B37:D37"/>
    <mergeCell ref="B38:D38"/>
    <mergeCell ref="B39:D39"/>
    <mergeCell ref="B43:D43"/>
    <mergeCell ref="B44:D44"/>
    <mergeCell ref="B45:D45"/>
    <mergeCell ref="B46:D46"/>
  </mergeCells>
  <dataValidations count="1">
    <dataValidation type="list" allowBlank="1" showInputMessage="1" showErrorMessage="1" sqref="B79:B81 B12:B20 B34:B70" xr:uid="{00000000-0002-0000-1100-000000000000}">
      <formula1>Liste_Activités</formula1>
    </dataValidation>
  </dataValidations>
  <printOptions horizontalCentered="1" verticalCentered="1"/>
  <pageMargins left="0" right="0" top="0" bottom="0" header="0" footer="0"/>
  <pageSetup scale="63" orientation="portrait" horizontalDpi="1200" verticalDpi="1200" r:id="rId1"/>
  <headerFooter scaleWithDoc="0"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9">
    <pageSetUpPr fitToPage="1"/>
  </sheetPr>
  <dimension ref="A12:F89"/>
  <sheetViews>
    <sheetView view="pageBreakPreview" topLeftCell="A25" zoomScale="80" zoomScaleNormal="100" zoomScaleSheetLayoutView="80" workbookViewId="0">
      <selection activeCell="B60" sqref="B60:D6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150</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149</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151</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152</v>
      </c>
      <c r="C39" s="149"/>
      <c r="D39" s="149"/>
      <c r="E39" s="37">
        <f>1.5*225</f>
        <v>337.5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153</v>
      </c>
      <c r="C42" s="51"/>
      <c r="D42" s="51"/>
      <c r="E42" s="37">
        <f>1.25*225</f>
        <v>281.25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154</v>
      </c>
      <c r="C45" s="149"/>
      <c r="D45" s="149"/>
      <c r="E45" s="37">
        <f>0.25*225</f>
        <v>56.25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157</v>
      </c>
      <c r="C48" s="149"/>
      <c r="D48" s="149"/>
      <c r="E48" s="37">
        <f>0.75*225</f>
        <v>168.75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t="s">
        <v>155</v>
      </c>
      <c r="C51" s="149"/>
      <c r="D51" s="149"/>
      <c r="E51" s="37">
        <f>0.25*225</f>
        <v>56.25</v>
      </c>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t="s">
        <v>156</v>
      </c>
      <c r="C54" s="149"/>
      <c r="D54" s="149"/>
      <c r="E54" s="37">
        <f>1.5*225</f>
        <v>337.5</v>
      </c>
      <c r="F54" s="30"/>
    </row>
    <row r="55" spans="1:6" ht="14.25" x14ac:dyDescent="0.2">
      <c r="A55" s="30"/>
      <c r="B55" s="149"/>
      <c r="C55" s="149"/>
      <c r="D55" s="149"/>
      <c r="E55" s="37"/>
      <c r="F55" s="30"/>
    </row>
    <row r="56" spans="1:6" ht="14.25" x14ac:dyDescent="0.2">
      <c r="A56" s="30"/>
      <c r="B56" s="149"/>
      <c r="C56" s="149"/>
      <c r="D56" s="149"/>
      <c r="E56" s="37"/>
      <c r="F56" s="30"/>
    </row>
    <row r="57" spans="1:6" ht="29.25" customHeight="1" x14ac:dyDescent="0.2">
      <c r="A57" s="30"/>
      <c r="B57" s="149" t="s">
        <v>158</v>
      </c>
      <c r="C57" s="149"/>
      <c r="D57" s="149"/>
      <c r="E57" s="37">
        <f>7.75*225</f>
        <v>1743.75</v>
      </c>
      <c r="F57" s="30"/>
    </row>
    <row r="58" spans="1:6" ht="14.25" x14ac:dyDescent="0.2">
      <c r="A58" s="30"/>
      <c r="B58" s="149"/>
      <c r="C58" s="149"/>
      <c r="D58" s="149"/>
      <c r="E58" s="37"/>
      <c r="F58" s="30"/>
    </row>
    <row r="59" spans="1:6" ht="14.25" x14ac:dyDescent="0.2">
      <c r="A59" s="30"/>
      <c r="B59" s="149"/>
      <c r="C59" s="149"/>
      <c r="D59" s="149"/>
      <c r="E59" s="37"/>
      <c r="F59" s="30"/>
    </row>
    <row r="60" spans="1:6" ht="73.5" customHeight="1" x14ac:dyDescent="0.2">
      <c r="A60" s="30"/>
      <c r="B60" s="149" t="s">
        <v>160</v>
      </c>
      <c r="C60" s="149"/>
      <c r="D60" s="149"/>
      <c r="E60" s="37">
        <f>13*225</f>
        <v>2925</v>
      </c>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3.5" customHeight="1" x14ac:dyDescent="0.2">
      <c r="A65" s="30"/>
      <c r="B65" s="149"/>
      <c r="C65" s="149"/>
      <c r="D65" s="149"/>
      <c r="E65" s="37"/>
      <c r="F65" s="30"/>
    </row>
    <row r="66" spans="1:6" ht="13.5" customHeight="1" x14ac:dyDescent="0.2">
      <c r="A66" s="30"/>
      <c r="B66" s="34" t="s">
        <v>45</v>
      </c>
      <c r="C66" s="35"/>
      <c r="D66" s="35"/>
      <c r="E66" s="38">
        <f>SUM(E35:E65)</f>
        <v>5962.5</v>
      </c>
      <c r="F66" s="30"/>
    </row>
    <row r="67" spans="1:6" ht="13.5" customHeight="1" x14ac:dyDescent="0.2">
      <c r="A67" s="30"/>
      <c r="B67" s="42" t="s">
        <v>159</v>
      </c>
      <c r="C67" s="35"/>
      <c r="D67" s="35"/>
      <c r="E67" s="39">
        <v>25</v>
      </c>
      <c r="F67" s="30"/>
    </row>
    <row r="68" spans="1:6" ht="13.5" customHeight="1" x14ac:dyDescent="0.2">
      <c r="A68" s="30"/>
      <c r="B68" s="42" t="s">
        <v>43</v>
      </c>
      <c r="C68" s="35"/>
      <c r="D68" s="35"/>
      <c r="E68" s="39">
        <v>0</v>
      </c>
      <c r="F68" s="30"/>
    </row>
    <row r="69" spans="1:6" ht="13.5" customHeight="1" x14ac:dyDescent="0.2">
      <c r="A69" s="30"/>
      <c r="B69" s="34" t="s">
        <v>44</v>
      </c>
      <c r="C69" s="35"/>
      <c r="D69" s="35"/>
      <c r="E69" s="38">
        <f>SUM(E66:E68)</f>
        <v>5987.5</v>
      </c>
      <c r="F69" s="30"/>
    </row>
    <row r="70" spans="1:6" ht="13.5" customHeight="1" x14ac:dyDescent="0.2">
      <c r="A70" s="30"/>
      <c r="B70" s="35" t="s">
        <v>6</v>
      </c>
      <c r="C70" s="40">
        <v>0.05</v>
      </c>
      <c r="D70" s="35"/>
      <c r="E70" s="43">
        <f>ROUND(E69*C70,2)</f>
        <v>299.38</v>
      </c>
      <c r="F70" s="30"/>
    </row>
    <row r="71" spans="1:6" ht="13.5" customHeight="1" x14ac:dyDescent="0.2">
      <c r="A71" s="30"/>
      <c r="B71" s="35" t="s">
        <v>5</v>
      </c>
      <c r="C71" s="50">
        <v>9.9750000000000005E-2</v>
      </c>
      <c r="D71" s="35"/>
      <c r="E71" s="44">
        <f>ROUND(E69*C71,2)</f>
        <v>597.25</v>
      </c>
      <c r="F71" s="30"/>
    </row>
    <row r="72" spans="1:6" ht="13.5" customHeight="1" x14ac:dyDescent="0.2">
      <c r="A72" s="30"/>
      <c r="B72" s="35"/>
      <c r="C72" s="35"/>
      <c r="D72" s="35"/>
      <c r="E72" s="35"/>
      <c r="F72" s="30"/>
    </row>
    <row r="73" spans="1:6" ht="16.5" customHeight="1" thickBot="1" x14ac:dyDescent="0.25">
      <c r="A73" s="30"/>
      <c r="B73" s="34" t="s">
        <v>46</v>
      </c>
      <c r="C73" s="35"/>
      <c r="D73" s="35"/>
      <c r="E73" s="41">
        <f>SUM(E69:E71)</f>
        <v>6884.13</v>
      </c>
      <c r="F73" s="30"/>
    </row>
    <row r="74" spans="1:6" ht="15.75" thickTop="1" x14ac:dyDescent="0.2">
      <c r="A74" s="30"/>
      <c r="B74" s="151"/>
      <c r="C74" s="151"/>
      <c r="D74" s="151"/>
      <c r="E74" s="45"/>
      <c r="F74" s="30"/>
    </row>
    <row r="75" spans="1:6" ht="15" x14ac:dyDescent="0.2">
      <c r="A75" s="30"/>
      <c r="B75" s="150" t="s">
        <v>48</v>
      </c>
      <c r="C75" s="150"/>
      <c r="D75" s="150"/>
      <c r="E75" s="45">
        <v>0</v>
      </c>
      <c r="F75" s="30"/>
    </row>
    <row r="76" spans="1:6" ht="15" x14ac:dyDescent="0.2">
      <c r="A76" s="30"/>
      <c r="B76" s="151"/>
      <c r="C76" s="151"/>
      <c r="D76" s="151"/>
      <c r="E76" s="45"/>
      <c r="F76" s="30"/>
    </row>
    <row r="77" spans="1:6" ht="19.5" customHeight="1" x14ac:dyDescent="0.2">
      <c r="A77" s="30"/>
      <c r="B77" s="46" t="s">
        <v>47</v>
      </c>
      <c r="C77" s="47"/>
      <c r="D77" s="47"/>
      <c r="E77" s="48">
        <f>E73-E75</f>
        <v>6884.13</v>
      </c>
      <c r="F77" s="30"/>
    </row>
    <row r="78" spans="1:6" ht="13.5" customHeight="1" x14ac:dyDescent="0.2">
      <c r="A78" s="30"/>
      <c r="B78" s="30"/>
      <c r="C78" s="30"/>
      <c r="D78" s="30"/>
      <c r="E78" s="30"/>
      <c r="F78" s="30"/>
    </row>
    <row r="79" spans="1:6" x14ac:dyDescent="0.2">
      <c r="A79" s="30"/>
      <c r="B79" s="30"/>
      <c r="C79" s="30"/>
      <c r="D79" s="30"/>
      <c r="E79" s="30"/>
      <c r="F79" s="30"/>
    </row>
    <row r="80" spans="1:6" x14ac:dyDescent="0.2">
      <c r="A80" s="30"/>
      <c r="B80" s="155"/>
      <c r="C80" s="155"/>
      <c r="D80" s="155"/>
      <c r="E80" s="155"/>
      <c r="F80" s="30"/>
    </row>
    <row r="81" spans="1:6" ht="14.25" x14ac:dyDescent="0.2">
      <c r="A81" s="148" t="s">
        <v>49</v>
      </c>
      <c r="B81" s="148"/>
      <c r="C81" s="148"/>
      <c r="D81" s="148"/>
      <c r="E81" s="148"/>
      <c r="F81" s="148"/>
    </row>
    <row r="82" spans="1:6" ht="14.25" x14ac:dyDescent="0.2">
      <c r="A82" s="146" t="s">
        <v>8</v>
      </c>
      <c r="B82" s="146"/>
      <c r="C82" s="146"/>
      <c r="D82" s="146"/>
      <c r="E82" s="146"/>
      <c r="F82" s="146"/>
    </row>
    <row r="83" spans="1:6" x14ac:dyDescent="0.2">
      <c r="A83" s="30"/>
      <c r="B83" s="30"/>
      <c r="C83" s="30"/>
      <c r="D83" s="30"/>
      <c r="E83" s="30"/>
      <c r="F83" s="30"/>
    </row>
    <row r="84" spans="1:6" x14ac:dyDescent="0.2">
      <c r="A84" s="30"/>
      <c r="B84" s="156"/>
      <c r="C84" s="156"/>
      <c r="D84" s="156"/>
      <c r="E84" s="156"/>
      <c r="F84" s="30"/>
    </row>
    <row r="85" spans="1:6" ht="15" x14ac:dyDescent="0.2">
      <c r="A85" s="147" t="s">
        <v>9</v>
      </c>
      <c r="B85" s="147"/>
      <c r="C85" s="147"/>
      <c r="D85" s="147"/>
      <c r="E85" s="147"/>
      <c r="F85" s="147"/>
    </row>
    <row r="87" spans="1:6" ht="39.75" customHeight="1" x14ac:dyDescent="0.2">
      <c r="B87" s="153"/>
      <c r="C87" s="154"/>
      <c r="D87" s="154"/>
    </row>
    <row r="88" spans="1:6" ht="13.5" customHeight="1" x14ac:dyDescent="0.2"/>
    <row r="89" spans="1:6" x14ac:dyDescent="0.2">
      <c r="B89" s="20"/>
      <c r="C89" s="20"/>
      <c r="D89" s="20"/>
    </row>
  </sheetData>
  <mergeCells count="39">
    <mergeCell ref="A85:F85"/>
    <mergeCell ref="B87:D87"/>
    <mergeCell ref="B75:D75"/>
    <mergeCell ref="B76:D76"/>
    <mergeCell ref="B80:E80"/>
    <mergeCell ref="A81:F81"/>
    <mergeCell ref="A82:F82"/>
    <mergeCell ref="B84:E84"/>
    <mergeCell ref="B62:D62"/>
    <mergeCell ref="B63:D63"/>
    <mergeCell ref="B64:D64"/>
    <mergeCell ref="B65:D65"/>
    <mergeCell ref="B74:D74"/>
    <mergeCell ref="B60:D60"/>
    <mergeCell ref="B61:D61"/>
    <mergeCell ref="B54:D54"/>
    <mergeCell ref="B55:D55"/>
    <mergeCell ref="B56:D56"/>
    <mergeCell ref="B57:D57"/>
    <mergeCell ref="B58:D58"/>
    <mergeCell ref="B59:D59"/>
    <mergeCell ref="B53:D53"/>
    <mergeCell ref="B39:D39"/>
    <mergeCell ref="B43:D43"/>
    <mergeCell ref="B44:D44"/>
    <mergeCell ref="B45:D45"/>
    <mergeCell ref="B46:D46"/>
    <mergeCell ref="B47:D47"/>
    <mergeCell ref="B48:D48"/>
    <mergeCell ref="B49:D49"/>
    <mergeCell ref="B50:D50"/>
    <mergeCell ref="B51:D51"/>
    <mergeCell ref="B52:D52"/>
    <mergeCell ref="B38:D38"/>
    <mergeCell ref="A31:F31"/>
    <mergeCell ref="B34:D34"/>
    <mergeCell ref="B35:D35"/>
    <mergeCell ref="B36:D36"/>
    <mergeCell ref="B37:D37"/>
  </mergeCells>
  <dataValidations count="1">
    <dataValidation type="list" allowBlank="1" showInputMessage="1" showErrorMessage="1" sqref="B74:B76 B12:B20 B34:B65" xr:uid="{00000000-0002-0000-1200-000000000000}">
      <formula1>Liste_Activités</formula1>
    </dataValidation>
  </dataValidations>
  <printOptions horizontalCentered="1"/>
  <pageMargins left="0" right="0" top="0" bottom="0" header="0" footer="0"/>
  <pageSetup paperSize="122" scale="63" orientation="portrait" horizontalDpi="1200" verticalDpi="1200"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pageSetUpPr fitToPage="1"/>
  </sheetPr>
  <dimension ref="A12:F98"/>
  <sheetViews>
    <sheetView view="pageBreakPreview" zoomScale="80" zoomScaleNormal="100" zoomScaleSheetLayoutView="80" workbookViewId="0">
      <selection activeCell="B70" sqref="B70:D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57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58</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59</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c r="C39" s="149"/>
      <c r="D39" s="149"/>
      <c r="E39" s="37"/>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2*190</f>
        <v>380</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380</v>
      </c>
      <c r="F78" s="30"/>
    </row>
    <row r="79" spans="1:6" ht="13.5" customHeight="1" x14ac:dyDescent="0.2">
      <c r="A79" s="30"/>
      <c r="B79" s="35" t="s">
        <v>6</v>
      </c>
      <c r="C79" s="40">
        <v>0.05</v>
      </c>
      <c r="D79" s="35"/>
      <c r="E79" s="43">
        <f>ROUND(E78*C79,2)</f>
        <v>19</v>
      </c>
      <c r="F79" s="30"/>
    </row>
    <row r="80" spans="1:6" ht="13.5" customHeight="1" x14ac:dyDescent="0.2">
      <c r="A80" s="30"/>
      <c r="B80" s="35" t="s">
        <v>5</v>
      </c>
      <c r="C80" s="40">
        <v>9.5000000000000001E-2</v>
      </c>
      <c r="D80" s="35"/>
      <c r="E80" s="44">
        <f>ROUND((E78+E79)*C80,2)</f>
        <v>37.909999999999997</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436.90999999999997</v>
      </c>
      <c r="F82" s="30"/>
    </row>
    <row r="83" spans="1:6" ht="15.75" thickTop="1" x14ac:dyDescent="0.2">
      <c r="A83" s="30"/>
      <c r="B83" s="151"/>
      <c r="C83" s="151"/>
      <c r="D83" s="151"/>
      <c r="E83" s="45"/>
      <c r="F83" s="30"/>
    </row>
    <row r="84" spans="1:6" ht="15" x14ac:dyDescent="0.2">
      <c r="A84" s="30"/>
      <c r="B84" s="150" t="s">
        <v>48</v>
      </c>
      <c r="C84" s="150"/>
      <c r="D84" s="150"/>
      <c r="E84" s="45">
        <v>0</v>
      </c>
      <c r="F84" s="30"/>
    </row>
    <row r="85" spans="1:6" ht="15" x14ac:dyDescent="0.2">
      <c r="A85" s="30"/>
      <c r="B85" s="151"/>
      <c r="C85" s="151"/>
      <c r="D85" s="151"/>
      <c r="E85" s="45"/>
      <c r="F85" s="30"/>
    </row>
    <row r="86" spans="1:6" ht="19.5" customHeight="1" x14ac:dyDescent="0.2">
      <c r="A86" s="30"/>
      <c r="B86" s="46" t="s">
        <v>47</v>
      </c>
      <c r="C86" s="47"/>
      <c r="D86" s="47"/>
      <c r="E86" s="48">
        <f>E82-E84</f>
        <v>436.90999999999997</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5"/>
      <c r="C89" s="155"/>
      <c r="D89" s="155"/>
      <c r="E89" s="155"/>
      <c r="F89" s="30"/>
    </row>
    <row r="90" spans="1:6" ht="14.25" x14ac:dyDescent="0.2">
      <c r="A90" s="148" t="s">
        <v>49</v>
      </c>
      <c r="B90" s="148"/>
      <c r="C90" s="148"/>
      <c r="D90" s="148"/>
      <c r="E90" s="148"/>
      <c r="F90" s="148"/>
    </row>
    <row r="91" spans="1:6" ht="14.25" x14ac:dyDescent="0.2">
      <c r="A91" s="146" t="s">
        <v>8</v>
      </c>
      <c r="B91" s="146"/>
      <c r="C91" s="146"/>
      <c r="D91" s="146"/>
      <c r="E91" s="146"/>
      <c r="F91" s="146"/>
    </row>
    <row r="92" spans="1:6" x14ac:dyDescent="0.2">
      <c r="A92" s="30"/>
      <c r="B92" s="30"/>
      <c r="C92" s="30"/>
      <c r="D92" s="30"/>
      <c r="E92" s="30"/>
      <c r="F92" s="30"/>
    </row>
    <row r="93" spans="1:6" x14ac:dyDescent="0.2">
      <c r="A93" s="30"/>
      <c r="B93" s="156"/>
      <c r="C93" s="156"/>
      <c r="D93" s="156"/>
      <c r="E93" s="156"/>
      <c r="F93" s="30"/>
    </row>
    <row r="94" spans="1:6" ht="15" x14ac:dyDescent="0.2">
      <c r="A94" s="147" t="s">
        <v>9</v>
      </c>
      <c r="B94" s="147"/>
      <c r="C94" s="147"/>
      <c r="D94" s="147"/>
      <c r="E94" s="147"/>
      <c r="F94" s="147"/>
    </row>
    <row r="96" spans="1:6" ht="39.75" customHeight="1" x14ac:dyDescent="0.2">
      <c r="B96" s="153"/>
      <c r="C96" s="154"/>
      <c r="D96" s="154"/>
    </row>
    <row r="97" spans="2:4" ht="13.5" customHeight="1" x14ac:dyDescent="0.2"/>
    <row r="98" spans="2:4" x14ac:dyDescent="0.2">
      <c r="B98" s="20"/>
      <c r="C98" s="20"/>
      <c r="D98" s="20"/>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1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20">
    <pageSetUpPr fitToPage="1"/>
  </sheetPr>
  <dimension ref="A12:F93"/>
  <sheetViews>
    <sheetView view="pageBreakPreview" topLeftCell="A34" zoomScale="80" zoomScaleNormal="100" zoomScaleSheetLayoutView="80" workbookViewId="0">
      <selection activeCell="E70" sqref="E7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161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162</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163</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164</v>
      </c>
      <c r="C39" s="149"/>
      <c r="D39" s="149"/>
      <c r="E39" s="37">
        <f>0.2*225</f>
        <v>45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165</v>
      </c>
      <c r="C42" s="51"/>
      <c r="D42" s="51"/>
      <c r="E42" s="37">
        <f>2.25*225</f>
        <v>506.25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166</v>
      </c>
      <c r="C45" s="149"/>
      <c r="D45" s="149"/>
      <c r="E45" s="37">
        <f>0.25*225</f>
        <v>56.25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663.75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663.75</v>
      </c>
      <c r="F73" s="30"/>
    </row>
    <row r="74" spans="1:6" ht="13.5" customHeight="1" x14ac:dyDescent="0.2">
      <c r="A74" s="30"/>
      <c r="B74" s="35" t="s">
        <v>6</v>
      </c>
      <c r="C74" s="40">
        <v>0.05</v>
      </c>
      <c r="D74" s="35"/>
      <c r="E74" s="43">
        <f>ROUND(E73*C74,2)</f>
        <v>33.19</v>
      </c>
      <c r="F74" s="30"/>
    </row>
    <row r="75" spans="1:6" ht="13.5" customHeight="1" x14ac:dyDescent="0.2">
      <c r="A75" s="30"/>
      <c r="B75" s="35" t="s">
        <v>5</v>
      </c>
      <c r="C75" s="50">
        <v>9.9750000000000005E-2</v>
      </c>
      <c r="D75" s="35"/>
      <c r="E75" s="44">
        <f>ROUND(E73*C75,2)</f>
        <v>66.209999999999994</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763.15000000000009</v>
      </c>
      <c r="F77" s="30"/>
    </row>
    <row r="78" spans="1:6" ht="15.75" thickTop="1" x14ac:dyDescent="0.2">
      <c r="A78" s="30"/>
      <c r="B78" s="151"/>
      <c r="C78" s="151"/>
      <c r="D78" s="151"/>
      <c r="E78" s="45"/>
      <c r="F78" s="30"/>
    </row>
    <row r="79" spans="1:6" ht="15" x14ac:dyDescent="0.2">
      <c r="A79" s="30"/>
      <c r="B79" s="150" t="s">
        <v>48</v>
      </c>
      <c r="C79" s="150"/>
      <c r="D79" s="150"/>
      <c r="E79" s="45">
        <v>0</v>
      </c>
      <c r="F79" s="30"/>
    </row>
    <row r="80" spans="1:6" ht="15" x14ac:dyDescent="0.2">
      <c r="A80" s="30"/>
      <c r="B80" s="151"/>
      <c r="C80" s="151"/>
      <c r="D80" s="151"/>
      <c r="E80" s="45"/>
      <c r="F80" s="30"/>
    </row>
    <row r="81" spans="1:6" ht="19.5" customHeight="1" x14ac:dyDescent="0.2">
      <c r="A81" s="30"/>
      <c r="B81" s="46" t="s">
        <v>47</v>
      </c>
      <c r="C81" s="47"/>
      <c r="D81" s="47"/>
      <c r="E81" s="48">
        <f>E77-E79</f>
        <v>763.15000000000009</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5"/>
      <c r="C84" s="155"/>
      <c r="D84" s="155"/>
      <c r="E84" s="155"/>
      <c r="F84" s="30"/>
    </row>
    <row r="85" spans="1:6" ht="14.25" x14ac:dyDescent="0.2">
      <c r="A85" s="148" t="s">
        <v>49</v>
      </c>
      <c r="B85" s="148"/>
      <c r="C85" s="148"/>
      <c r="D85" s="148"/>
      <c r="E85" s="148"/>
      <c r="F85" s="148"/>
    </row>
    <row r="86" spans="1:6" ht="14.25" x14ac:dyDescent="0.2">
      <c r="A86" s="146" t="s">
        <v>8</v>
      </c>
      <c r="B86" s="146"/>
      <c r="C86" s="146"/>
      <c r="D86" s="146"/>
      <c r="E86" s="146"/>
      <c r="F86" s="146"/>
    </row>
    <row r="87" spans="1:6" x14ac:dyDescent="0.2">
      <c r="A87" s="30"/>
      <c r="B87" s="30"/>
      <c r="C87" s="30"/>
      <c r="D87" s="30"/>
      <c r="E87" s="30"/>
      <c r="F87" s="30"/>
    </row>
    <row r="88" spans="1:6" x14ac:dyDescent="0.2">
      <c r="A88" s="30"/>
      <c r="B88" s="156"/>
      <c r="C88" s="156"/>
      <c r="D88" s="156"/>
      <c r="E88" s="156"/>
      <c r="F88" s="30"/>
    </row>
    <row r="89" spans="1:6" ht="15" x14ac:dyDescent="0.2">
      <c r="A89" s="147" t="s">
        <v>9</v>
      </c>
      <c r="B89" s="147"/>
      <c r="C89" s="147"/>
      <c r="D89" s="147"/>
      <c r="E89" s="147"/>
      <c r="F89" s="147"/>
    </row>
    <row r="91" spans="1:6" ht="39.75" customHeight="1" x14ac:dyDescent="0.2">
      <c r="B91" s="153"/>
      <c r="C91" s="154"/>
      <c r="D91" s="154"/>
    </row>
    <row r="92" spans="1:6" ht="13.5" customHeight="1" x14ac:dyDescent="0.2"/>
    <row r="93" spans="1:6" x14ac:dyDescent="0.2">
      <c r="B93" s="20"/>
      <c r="C93" s="20"/>
      <c r="D93" s="20"/>
    </row>
  </sheetData>
  <mergeCells count="39">
    <mergeCell ref="B38:D38"/>
    <mergeCell ref="A31:F31"/>
    <mergeCell ref="B34:D34"/>
    <mergeCell ref="B35:D35"/>
    <mergeCell ref="B36:D36"/>
    <mergeCell ref="B37:D37"/>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21">
    <pageSetUpPr fitToPage="1"/>
  </sheetPr>
  <dimension ref="A12:F93"/>
  <sheetViews>
    <sheetView view="pageBreakPreview" zoomScale="80" zoomScaleNormal="100" zoomScaleSheetLayoutView="80" workbookViewId="0">
      <selection activeCell="B39" sqref="B39:D39"/>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167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168</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169</v>
      </c>
      <c r="C36" s="149"/>
      <c r="D36" s="149"/>
      <c r="E36" s="37">
        <v>225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170</v>
      </c>
      <c r="C39" s="149"/>
      <c r="D39" s="149"/>
      <c r="E39" s="37">
        <v>225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c r="C42" s="51"/>
      <c r="D42" s="51"/>
      <c r="E42" s="37"/>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450</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450</v>
      </c>
      <c r="F73" s="30"/>
    </row>
    <row r="74" spans="1:6" ht="13.5" customHeight="1" x14ac:dyDescent="0.2">
      <c r="A74" s="30"/>
      <c r="B74" s="35" t="s">
        <v>6</v>
      </c>
      <c r="C74" s="40">
        <v>0.05</v>
      </c>
      <c r="D74" s="35"/>
      <c r="E74" s="43">
        <f>ROUND(E73*C74,2)</f>
        <v>22.5</v>
      </c>
      <c r="F74" s="30"/>
    </row>
    <row r="75" spans="1:6" ht="13.5" customHeight="1" x14ac:dyDescent="0.2">
      <c r="A75" s="30"/>
      <c r="B75" s="35" t="s">
        <v>5</v>
      </c>
      <c r="C75" s="50">
        <v>9.9750000000000005E-2</v>
      </c>
      <c r="D75" s="35"/>
      <c r="E75" s="44">
        <f>ROUND(E73*C75,2)</f>
        <v>44.89</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517.39</v>
      </c>
      <c r="F77" s="30"/>
    </row>
    <row r="78" spans="1:6" ht="15.75" thickTop="1" x14ac:dyDescent="0.2">
      <c r="A78" s="30"/>
      <c r="B78" s="151"/>
      <c r="C78" s="151"/>
      <c r="D78" s="151"/>
      <c r="E78" s="45"/>
      <c r="F78" s="30"/>
    </row>
    <row r="79" spans="1:6" ht="15" x14ac:dyDescent="0.2">
      <c r="A79" s="30"/>
      <c r="B79" s="150" t="s">
        <v>48</v>
      </c>
      <c r="C79" s="150"/>
      <c r="D79" s="150"/>
      <c r="E79" s="45">
        <v>0</v>
      </c>
      <c r="F79" s="30"/>
    </row>
    <row r="80" spans="1:6" ht="15" x14ac:dyDescent="0.2">
      <c r="A80" s="30"/>
      <c r="B80" s="151"/>
      <c r="C80" s="151"/>
      <c r="D80" s="151"/>
      <c r="E80" s="45"/>
      <c r="F80" s="30"/>
    </row>
    <row r="81" spans="1:6" ht="19.5" customHeight="1" x14ac:dyDescent="0.2">
      <c r="A81" s="30"/>
      <c r="B81" s="46" t="s">
        <v>47</v>
      </c>
      <c r="C81" s="47"/>
      <c r="D81" s="47"/>
      <c r="E81" s="48">
        <f>E77-E79</f>
        <v>517.39</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5"/>
      <c r="C84" s="155"/>
      <c r="D84" s="155"/>
      <c r="E84" s="155"/>
      <c r="F84" s="30"/>
    </row>
    <row r="85" spans="1:6" ht="14.25" x14ac:dyDescent="0.2">
      <c r="A85" s="148" t="s">
        <v>49</v>
      </c>
      <c r="B85" s="148"/>
      <c r="C85" s="148"/>
      <c r="D85" s="148"/>
      <c r="E85" s="148"/>
      <c r="F85" s="148"/>
    </row>
    <row r="86" spans="1:6" ht="14.25" x14ac:dyDescent="0.2">
      <c r="A86" s="146" t="s">
        <v>8</v>
      </c>
      <c r="B86" s="146"/>
      <c r="C86" s="146"/>
      <c r="D86" s="146"/>
      <c r="E86" s="146"/>
      <c r="F86" s="146"/>
    </row>
    <row r="87" spans="1:6" x14ac:dyDescent="0.2">
      <c r="A87" s="30"/>
      <c r="B87" s="30"/>
      <c r="C87" s="30"/>
      <c r="D87" s="30"/>
      <c r="E87" s="30"/>
      <c r="F87" s="30"/>
    </row>
    <row r="88" spans="1:6" x14ac:dyDescent="0.2">
      <c r="A88" s="30"/>
      <c r="B88" s="156"/>
      <c r="C88" s="156"/>
      <c r="D88" s="156"/>
      <c r="E88" s="156"/>
      <c r="F88" s="30"/>
    </row>
    <row r="89" spans="1:6" ht="15" x14ac:dyDescent="0.2">
      <c r="A89" s="147" t="s">
        <v>9</v>
      </c>
      <c r="B89" s="147"/>
      <c r="C89" s="147"/>
      <c r="D89" s="147"/>
      <c r="E89" s="147"/>
      <c r="F89" s="147"/>
    </row>
    <row r="91" spans="1:6" ht="39.75" customHeight="1" x14ac:dyDescent="0.2">
      <c r="B91" s="153"/>
      <c r="C91" s="154"/>
      <c r="D91" s="154"/>
    </row>
    <row r="92" spans="1:6" ht="13.5" customHeight="1" x14ac:dyDescent="0.2"/>
    <row r="93" spans="1:6" x14ac:dyDescent="0.2">
      <c r="B93" s="20"/>
      <c r="C93" s="20"/>
      <c r="D93" s="20"/>
    </row>
  </sheetData>
  <mergeCells count="39">
    <mergeCell ref="B88:E88"/>
    <mergeCell ref="A89:F89"/>
    <mergeCell ref="B91:D91"/>
    <mergeCell ref="B78:D78"/>
    <mergeCell ref="B79:D79"/>
    <mergeCell ref="B80:D80"/>
    <mergeCell ref="B84:E84"/>
    <mergeCell ref="A85:F85"/>
    <mergeCell ref="A86:F86"/>
    <mergeCell ref="B69:D69"/>
    <mergeCell ref="B55:D55"/>
    <mergeCell ref="B59:D59"/>
    <mergeCell ref="B60:D60"/>
    <mergeCell ref="B61:D61"/>
    <mergeCell ref="B62:D62"/>
    <mergeCell ref="B63:D63"/>
    <mergeCell ref="B64:D64"/>
    <mergeCell ref="B65:D65"/>
    <mergeCell ref="B66:D66"/>
    <mergeCell ref="B67:D67"/>
    <mergeCell ref="B68:D68"/>
    <mergeCell ref="B54:D54"/>
    <mergeCell ref="B39:D39"/>
    <mergeCell ref="B43:D43"/>
    <mergeCell ref="B44:D44"/>
    <mergeCell ref="B45:D45"/>
    <mergeCell ref="B46:D46"/>
    <mergeCell ref="B47:D47"/>
    <mergeCell ref="B48:D48"/>
    <mergeCell ref="B49:D49"/>
    <mergeCell ref="B50:D50"/>
    <mergeCell ref="B51:D51"/>
    <mergeCell ref="B52:D52"/>
    <mergeCell ref="B38:D38"/>
    <mergeCell ref="A31:F31"/>
    <mergeCell ref="B34:D34"/>
    <mergeCell ref="B35:D35"/>
    <mergeCell ref="B36:D36"/>
    <mergeCell ref="B37:D37"/>
  </mergeCells>
  <dataValidations count="1">
    <dataValidation type="list" allowBlank="1" showInputMessage="1" showErrorMessage="1" sqref="B78:B80 B12:B20 B34:B69" xr:uid="{00000000-0002-0000-1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22">
    <pageSetUpPr fitToPage="1"/>
  </sheetPr>
  <dimension ref="A12:F93"/>
  <sheetViews>
    <sheetView view="pageBreakPreview"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171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176</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172</v>
      </c>
      <c r="C36" s="149"/>
      <c r="D36" s="149"/>
      <c r="E36" s="37">
        <f>0.4*225</f>
        <v>90</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173</v>
      </c>
      <c r="C39" s="149"/>
      <c r="D39" s="149"/>
      <c r="E39" s="37">
        <f>0.5*225</f>
        <v>112.5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174</v>
      </c>
      <c r="C42" s="51"/>
      <c r="D42" s="51"/>
      <c r="E42" s="37">
        <f>0.25*225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175</v>
      </c>
      <c r="C45" s="149"/>
      <c r="D45" s="149"/>
      <c r="E45" s="37">
        <f>0.75*225</f>
        <v>168.75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427.5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427.5</v>
      </c>
      <c r="F73" s="30"/>
    </row>
    <row r="74" spans="1:6" ht="13.5" customHeight="1" x14ac:dyDescent="0.2">
      <c r="A74" s="30"/>
      <c r="B74" s="35" t="s">
        <v>6</v>
      </c>
      <c r="C74" s="40">
        <v>0.05</v>
      </c>
      <c r="D74" s="35"/>
      <c r="E74" s="43">
        <f>ROUND(E73*C74,2)</f>
        <v>21.38</v>
      </c>
      <c r="F74" s="30"/>
    </row>
    <row r="75" spans="1:6" ht="13.5" customHeight="1" x14ac:dyDescent="0.2">
      <c r="A75" s="30"/>
      <c r="B75" s="35" t="s">
        <v>5</v>
      </c>
      <c r="C75" s="50">
        <v>9.9750000000000005E-2</v>
      </c>
      <c r="D75" s="35"/>
      <c r="E75" s="44">
        <f>ROUND(E73*C75,2)</f>
        <v>42.64</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491.52</v>
      </c>
      <c r="F77" s="30"/>
    </row>
    <row r="78" spans="1:6" ht="15.75" thickTop="1" x14ac:dyDescent="0.2">
      <c r="A78" s="30"/>
      <c r="B78" s="151"/>
      <c r="C78" s="151"/>
      <c r="D78" s="151"/>
      <c r="E78" s="45"/>
      <c r="F78" s="30"/>
    </row>
    <row r="79" spans="1:6" ht="15" x14ac:dyDescent="0.2">
      <c r="A79" s="30"/>
      <c r="B79" s="150" t="s">
        <v>48</v>
      </c>
      <c r="C79" s="150"/>
      <c r="D79" s="150"/>
      <c r="E79" s="45">
        <v>0</v>
      </c>
      <c r="F79" s="30"/>
    </row>
    <row r="80" spans="1:6" ht="15" x14ac:dyDescent="0.2">
      <c r="A80" s="30"/>
      <c r="B80" s="151"/>
      <c r="C80" s="151"/>
      <c r="D80" s="151"/>
      <c r="E80" s="45"/>
      <c r="F80" s="30"/>
    </row>
    <row r="81" spans="1:6" ht="19.5" customHeight="1" x14ac:dyDescent="0.2">
      <c r="A81" s="30"/>
      <c r="B81" s="46" t="s">
        <v>47</v>
      </c>
      <c r="C81" s="47"/>
      <c r="D81" s="47"/>
      <c r="E81" s="48">
        <f>E77-E79</f>
        <v>491.52</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5"/>
      <c r="C84" s="155"/>
      <c r="D84" s="155"/>
      <c r="E84" s="155"/>
      <c r="F84" s="30"/>
    </row>
    <row r="85" spans="1:6" ht="14.25" x14ac:dyDescent="0.2">
      <c r="A85" s="148" t="s">
        <v>49</v>
      </c>
      <c r="B85" s="148"/>
      <c r="C85" s="148"/>
      <c r="D85" s="148"/>
      <c r="E85" s="148"/>
      <c r="F85" s="148"/>
    </row>
    <row r="86" spans="1:6" ht="14.25" x14ac:dyDescent="0.2">
      <c r="A86" s="146" t="s">
        <v>8</v>
      </c>
      <c r="B86" s="146"/>
      <c r="C86" s="146"/>
      <c r="D86" s="146"/>
      <c r="E86" s="146"/>
      <c r="F86" s="146"/>
    </row>
    <row r="87" spans="1:6" x14ac:dyDescent="0.2">
      <c r="A87" s="30"/>
      <c r="B87" s="30"/>
      <c r="C87" s="30"/>
      <c r="D87" s="30"/>
      <c r="E87" s="30"/>
      <c r="F87" s="30"/>
    </row>
    <row r="88" spans="1:6" x14ac:dyDescent="0.2">
      <c r="A88" s="30"/>
      <c r="B88" s="156"/>
      <c r="C88" s="156"/>
      <c r="D88" s="156"/>
      <c r="E88" s="156"/>
      <c r="F88" s="30"/>
    </row>
    <row r="89" spans="1:6" ht="15" x14ac:dyDescent="0.2">
      <c r="A89" s="147" t="s">
        <v>9</v>
      </c>
      <c r="B89" s="147"/>
      <c r="C89" s="147"/>
      <c r="D89" s="147"/>
      <c r="E89" s="147"/>
      <c r="F89" s="147"/>
    </row>
    <row r="91" spans="1:6" ht="39.75" customHeight="1" x14ac:dyDescent="0.2">
      <c r="B91" s="153"/>
      <c r="C91" s="154"/>
      <c r="D91" s="154"/>
    </row>
    <row r="92" spans="1:6" ht="13.5" customHeight="1" x14ac:dyDescent="0.2"/>
    <row r="93" spans="1:6" x14ac:dyDescent="0.2">
      <c r="B93" s="20"/>
      <c r="C93" s="20"/>
      <c r="D93" s="20"/>
    </row>
  </sheetData>
  <mergeCells count="39">
    <mergeCell ref="B38:D38"/>
    <mergeCell ref="A31:F31"/>
    <mergeCell ref="B34:D34"/>
    <mergeCell ref="B35:D35"/>
    <mergeCell ref="B36:D36"/>
    <mergeCell ref="B37:D37"/>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3">
    <pageSetUpPr fitToPage="1"/>
  </sheetPr>
  <dimension ref="A12:F93"/>
  <sheetViews>
    <sheetView view="pageBreakPreview" zoomScale="80" zoomScaleNormal="100" zoomScaleSheetLayoutView="80" workbookViewId="0">
      <selection activeCell="B54" sqref="B54:D54"/>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177</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178</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179</v>
      </c>
      <c r="C36" s="149"/>
      <c r="D36" s="149"/>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180</v>
      </c>
      <c r="C39" s="149"/>
      <c r="D39" s="149"/>
      <c r="E39" s="37">
        <v>225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182</v>
      </c>
      <c r="C42" s="51"/>
      <c r="D42" s="51"/>
      <c r="E42" s="37">
        <f>0.25*225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181</v>
      </c>
      <c r="C45" s="149"/>
      <c r="D45" s="149"/>
      <c r="E45" s="37">
        <f>0.25*225</f>
        <v>56.25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t="s">
        <v>183</v>
      </c>
      <c r="C48" s="149"/>
      <c r="D48" s="149"/>
      <c r="E48" s="37">
        <f>0.25*225</f>
        <v>56.25</v>
      </c>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t="s">
        <v>184</v>
      </c>
      <c r="C51" s="149"/>
      <c r="D51" s="149"/>
      <c r="E51" s="37">
        <f>2.75*225</f>
        <v>618.75</v>
      </c>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1068.75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1068.75</v>
      </c>
      <c r="F73" s="30"/>
    </row>
    <row r="74" spans="1:6" ht="13.5" customHeight="1" x14ac:dyDescent="0.2">
      <c r="A74" s="30"/>
      <c r="B74" s="35" t="s">
        <v>6</v>
      </c>
      <c r="C74" s="40">
        <v>0.05</v>
      </c>
      <c r="D74" s="35"/>
      <c r="E74" s="43">
        <f>ROUND(E73*C74,2)</f>
        <v>53.44</v>
      </c>
      <c r="F74" s="30"/>
    </row>
    <row r="75" spans="1:6" ht="13.5" customHeight="1" x14ac:dyDescent="0.2">
      <c r="A75" s="30"/>
      <c r="B75" s="35" t="s">
        <v>5</v>
      </c>
      <c r="C75" s="50">
        <v>9.9750000000000005E-2</v>
      </c>
      <c r="D75" s="35"/>
      <c r="E75" s="44">
        <f>ROUND(E73*C75,2)</f>
        <v>106.61</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1228.8</v>
      </c>
      <c r="F77" s="30"/>
    </row>
    <row r="78" spans="1:6" ht="15.75" thickTop="1" x14ac:dyDescent="0.2">
      <c r="A78" s="30"/>
      <c r="B78" s="151"/>
      <c r="C78" s="151"/>
      <c r="D78" s="151"/>
      <c r="E78" s="45"/>
      <c r="F78" s="30"/>
    </row>
    <row r="79" spans="1:6" ht="15" x14ac:dyDescent="0.2">
      <c r="A79" s="30"/>
      <c r="B79" s="150" t="s">
        <v>48</v>
      </c>
      <c r="C79" s="150"/>
      <c r="D79" s="150"/>
      <c r="E79" s="45">
        <v>0</v>
      </c>
      <c r="F79" s="30"/>
    </row>
    <row r="80" spans="1:6" ht="15" x14ac:dyDescent="0.2">
      <c r="A80" s="30"/>
      <c r="B80" s="151"/>
      <c r="C80" s="151"/>
      <c r="D80" s="151"/>
      <c r="E80" s="45"/>
      <c r="F80" s="30"/>
    </row>
    <row r="81" spans="1:6" ht="19.5" customHeight="1" x14ac:dyDescent="0.2">
      <c r="A81" s="30"/>
      <c r="B81" s="46" t="s">
        <v>47</v>
      </c>
      <c r="C81" s="47"/>
      <c r="D81" s="47"/>
      <c r="E81" s="48">
        <f>E77-E79</f>
        <v>1228.8</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5"/>
      <c r="C84" s="155"/>
      <c r="D84" s="155"/>
      <c r="E84" s="155"/>
      <c r="F84" s="30"/>
    </row>
    <row r="85" spans="1:6" ht="14.25" x14ac:dyDescent="0.2">
      <c r="A85" s="148" t="s">
        <v>49</v>
      </c>
      <c r="B85" s="148"/>
      <c r="C85" s="148"/>
      <c r="D85" s="148"/>
      <c r="E85" s="148"/>
      <c r="F85" s="148"/>
    </row>
    <row r="86" spans="1:6" ht="14.25" x14ac:dyDescent="0.2">
      <c r="A86" s="146" t="s">
        <v>8</v>
      </c>
      <c r="B86" s="146"/>
      <c r="C86" s="146"/>
      <c r="D86" s="146"/>
      <c r="E86" s="146"/>
      <c r="F86" s="146"/>
    </row>
    <row r="87" spans="1:6" x14ac:dyDescent="0.2">
      <c r="A87" s="30"/>
      <c r="B87" s="30"/>
      <c r="C87" s="30"/>
      <c r="D87" s="30"/>
      <c r="E87" s="30"/>
      <c r="F87" s="30"/>
    </row>
    <row r="88" spans="1:6" x14ac:dyDescent="0.2">
      <c r="A88" s="30"/>
      <c r="B88" s="156"/>
      <c r="C88" s="156"/>
      <c r="D88" s="156"/>
      <c r="E88" s="156"/>
      <c r="F88" s="30"/>
    </row>
    <row r="89" spans="1:6" ht="15" x14ac:dyDescent="0.2">
      <c r="A89" s="147" t="s">
        <v>9</v>
      </c>
      <c r="B89" s="147"/>
      <c r="C89" s="147"/>
      <c r="D89" s="147"/>
      <c r="E89" s="147"/>
      <c r="F89" s="147"/>
    </row>
    <row r="91" spans="1:6" ht="39.75" customHeight="1" x14ac:dyDescent="0.2">
      <c r="B91" s="153"/>
      <c r="C91" s="154"/>
      <c r="D91" s="154"/>
    </row>
    <row r="92" spans="1:6" ht="13.5" customHeight="1" x14ac:dyDescent="0.2"/>
    <row r="93" spans="1:6" x14ac:dyDescent="0.2">
      <c r="B93" s="20"/>
      <c r="C93" s="20"/>
      <c r="D93" s="20"/>
    </row>
  </sheetData>
  <mergeCells count="39">
    <mergeCell ref="B88:E88"/>
    <mergeCell ref="A89:F89"/>
    <mergeCell ref="B91:D91"/>
    <mergeCell ref="B78:D78"/>
    <mergeCell ref="B79:D79"/>
    <mergeCell ref="B80:D80"/>
    <mergeCell ref="B84:E84"/>
    <mergeCell ref="A85:F85"/>
    <mergeCell ref="A86:F86"/>
    <mergeCell ref="B69:D69"/>
    <mergeCell ref="B55:D55"/>
    <mergeCell ref="B59:D59"/>
    <mergeCell ref="B60:D60"/>
    <mergeCell ref="B61:D61"/>
    <mergeCell ref="B62:D62"/>
    <mergeCell ref="B63:D63"/>
    <mergeCell ref="B64:D64"/>
    <mergeCell ref="B65:D65"/>
    <mergeCell ref="B66:D66"/>
    <mergeCell ref="B67:D67"/>
    <mergeCell ref="B68:D68"/>
    <mergeCell ref="B54:D54"/>
    <mergeCell ref="B39:D39"/>
    <mergeCell ref="B43:D43"/>
    <mergeCell ref="B44:D44"/>
    <mergeCell ref="B45:D45"/>
    <mergeCell ref="B46:D46"/>
    <mergeCell ref="B47:D47"/>
    <mergeCell ref="B48:D48"/>
    <mergeCell ref="B49:D49"/>
    <mergeCell ref="B50:D50"/>
    <mergeCell ref="B51:D51"/>
    <mergeCell ref="B52:D52"/>
    <mergeCell ref="B38:D38"/>
    <mergeCell ref="A31:F31"/>
    <mergeCell ref="B34:D34"/>
    <mergeCell ref="B35:D35"/>
    <mergeCell ref="B36:D36"/>
    <mergeCell ref="B37:D37"/>
  </mergeCells>
  <dataValidations count="1">
    <dataValidation type="list" allowBlank="1" showInputMessage="1" showErrorMessage="1" sqref="B78:B80 B12:B20 B34:B69" xr:uid="{00000000-0002-0000-1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4">
    <pageSetUpPr fitToPage="1"/>
  </sheetPr>
  <dimension ref="A12:F93"/>
  <sheetViews>
    <sheetView view="pageBreakPreview" zoomScale="80" zoomScaleNormal="100" zoomScaleSheetLayoutView="80" workbookViewId="0">
      <selection activeCell="B65" sqref="B65:D65"/>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185</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186</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187</v>
      </c>
      <c r="C36" s="149"/>
      <c r="D36" s="149"/>
      <c r="E36" s="37">
        <f>1.25*225</f>
        <v>281.25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t="s">
        <v>188</v>
      </c>
      <c r="C39" s="149"/>
      <c r="D39" s="149"/>
      <c r="E39" s="37">
        <f>0.25*225</f>
        <v>56.25</v>
      </c>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t="s">
        <v>189</v>
      </c>
      <c r="C42" s="51"/>
      <c r="D42" s="51"/>
      <c r="E42" s="37">
        <f>0.75*225</f>
        <v>168.75</v>
      </c>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t="s">
        <v>190</v>
      </c>
      <c r="C45" s="149"/>
      <c r="D45" s="149"/>
      <c r="E45" s="37">
        <f>0.2*225</f>
        <v>45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551.25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551.25</v>
      </c>
      <c r="F73" s="30"/>
    </row>
    <row r="74" spans="1:6" ht="13.5" customHeight="1" x14ac:dyDescent="0.2">
      <c r="A74" s="30"/>
      <c r="B74" s="35" t="s">
        <v>6</v>
      </c>
      <c r="C74" s="40">
        <v>0.05</v>
      </c>
      <c r="D74" s="35"/>
      <c r="E74" s="43">
        <f>ROUND(E73*C74,2)</f>
        <v>27.56</v>
      </c>
      <c r="F74" s="30"/>
    </row>
    <row r="75" spans="1:6" ht="13.5" customHeight="1" x14ac:dyDescent="0.2">
      <c r="A75" s="30"/>
      <c r="B75" s="35" t="s">
        <v>5</v>
      </c>
      <c r="C75" s="50">
        <v>9.9750000000000005E-2</v>
      </c>
      <c r="D75" s="35"/>
      <c r="E75" s="44">
        <f>ROUND(E73*C75,2)</f>
        <v>54.99</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633.79999999999995</v>
      </c>
      <c r="F77" s="30"/>
    </row>
    <row r="78" spans="1:6" ht="15.75" thickTop="1" x14ac:dyDescent="0.2">
      <c r="A78" s="30"/>
      <c r="B78" s="151"/>
      <c r="C78" s="151"/>
      <c r="D78" s="151"/>
      <c r="E78" s="45"/>
      <c r="F78" s="30"/>
    </row>
    <row r="79" spans="1:6" ht="15" x14ac:dyDescent="0.2">
      <c r="A79" s="30"/>
      <c r="B79" s="150" t="s">
        <v>48</v>
      </c>
      <c r="C79" s="150"/>
      <c r="D79" s="150"/>
      <c r="E79" s="45">
        <v>0</v>
      </c>
      <c r="F79" s="30"/>
    </row>
    <row r="80" spans="1:6" ht="15" x14ac:dyDescent="0.2">
      <c r="A80" s="30"/>
      <c r="B80" s="151"/>
      <c r="C80" s="151"/>
      <c r="D80" s="151"/>
      <c r="E80" s="45"/>
      <c r="F80" s="30"/>
    </row>
    <row r="81" spans="1:6" ht="19.5" customHeight="1" x14ac:dyDescent="0.2">
      <c r="A81" s="30"/>
      <c r="B81" s="46" t="s">
        <v>47</v>
      </c>
      <c r="C81" s="47"/>
      <c r="D81" s="47"/>
      <c r="E81" s="48">
        <f>E77-E79</f>
        <v>633.79999999999995</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5"/>
      <c r="C84" s="155"/>
      <c r="D84" s="155"/>
      <c r="E84" s="155"/>
      <c r="F84" s="30"/>
    </row>
    <row r="85" spans="1:6" ht="14.25" x14ac:dyDescent="0.2">
      <c r="A85" s="148" t="s">
        <v>49</v>
      </c>
      <c r="B85" s="148"/>
      <c r="C85" s="148"/>
      <c r="D85" s="148"/>
      <c r="E85" s="148"/>
      <c r="F85" s="148"/>
    </row>
    <row r="86" spans="1:6" ht="14.25" x14ac:dyDescent="0.2">
      <c r="A86" s="146" t="s">
        <v>8</v>
      </c>
      <c r="B86" s="146"/>
      <c r="C86" s="146"/>
      <c r="D86" s="146"/>
      <c r="E86" s="146"/>
      <c r="F86" s="146"/>
    </row>
    <row r="87" spans="1:6" x14ac:dyDescent="0.2">
      <c r="A87" s="30"/>
      <c r="B87" s="30"/>
      <c r="C87" s="30"/>
      <c r="D87" s="30"/>
      <c r="E87" s="30"/>
      <c r="F87" s="30"/>
    </row>
    <row r="88" spans="1:6" x14ac:dyDescent="0.2">
      <c r="A88" s="30"/>
      <c r="B88" s="156"/>
      <c r="C88" s="156"/>
      <c r="D88" s="156"/>
      <c r="E88" s="156"/>
      <c r="F88" s="30"/>
    </row>
    <row r="89" spans="1:6" ht="15" x14ac:dyDescent="0.2">
      <c r="A89" s="147" t="s">
        <v>9</v>
      </c>
      <c r="B89" s="147"/>
      <c r="C89" s="147"/>
      <c r="D89" s="147"/>
      <c r="E89" s="147"/>
      <c r="F89" s="147"/>
    </row>
    <row r="91" spans="1:6" ht="39.75" customHeight="1" x14ac:dyDescent="0.2">
      <c r="B91" s="153"/>
      <c r="C91" s="154"/>
      <c r="D91" s="154"/>
    </row>
    <row r="92" spans="1:6" ht="13.5" customHeight="1" x14ac:dyDescent="0.2"/>
    <row r="93" spans="1:6" x14ac:dyDescent="0.2">
      <c r="B93" s="20"/>
      <c r="C93" s="20"/>
      <c r="D93" s="20"/>
    </row>
  </sheetData>
  <mergeCells count="39">
    <mergeCell ref="B38:D38"/>
    <mergeCell ref="A31:F31"/>
    <mergeCell ref="B34:D34"/>
    <mergeCell ref="B35:D35"/>
    <mergeCell ref="B36:D36"/>
    <mergeCell ref="B37:D37"/>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5">
    <pageSetUpPr fitToPage="1"/>
  </sheetPr>
  <dimension ref="A12:F93"/>
  <sheetViews>
    <sheetView view="pageBreakPreview" zoomScale="80" zoomScaleNormal="100" zoomScaleSheetLayoutView="80" workbookViewId="0">
      <selection activeCell="B27" sqref="B2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191</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192</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51" t="s">
        <v>193</v>
      </c>
      <c r="C36" s="51"/>
      <c r="D36" s="51"/>
      <c r="E36" s="37">
        <f>0.25*225</f>
        <v>56.25</v>
      </c>
      <c r="F36" s="30"/>
    </row>
    <row r="37" spans="1:6" ht="14.25" x14ac:dyDescent="0.2">
      <c r="A37" s="30"/>
      <c r="B37" s="149"/>
      <c r="C37" s="149"/>
      <c r="D37" s="149"/>
      <c r="E37" s="37"/>
      <c r="F37" s="30"/>
    </row>
    <row r="38" spans="1:6" ht="14.25" x14ac:dyDescent="0.2">
      <c r="A38" s="30"/>
      <c r="B38" s="149"/>
      <c r="C38" s="149"/>
      <c r="D38" s="149"/>
      <c r="E38" s="37"/>
      <c r="F38" s="30"/>
    </row>
    <row r="39" spans="1:6" ht="14.25" customHeight="1" x14ac:dyDescent="0.2">
      <c r="A39" s="30"/>
      <c r="B39" s="149"/>
      <c r="C39" s="149"/>
      <c r="D39" s="149"/>
      <c r="E39" s="37"/>
      <c r="F39" s="30"/>
    </row>
    <row r="40" spans="1:6" ht="14.25" x14ac:dyDescent="0.2">
      <c r="A40" s="30"/>
      <c r="B40" s="51"/>
      <c r="C40" s="51"/>
      <c r="D40" s="51"/>
      <c r="E40" s="37"/>
      <c r="F40" s="30"/>
    </row>
    <row r="41" spans="1:6" ht="13.5" customHeight="1" x14ac:dyDescent="0.2">
      <c r="A41" s="30"/>
      <c r="B41" s="51"/>
      <c r="C41" s="51"/>
      <c r="D41" s="51"/>
      <c r="E41" s="37"/>
      <c r="F41" s="30"/>
    </row>
    <row r="42" spans="1:6" ht="14.25" customHeight="1" x14ac:dyDescent="0.2">
      <c r="A42" s="30"/>
      <c r="B42" s="51"/>
      <c r="C42" s="51"/>
      <c r="D42" s="51"/>
      <c r="E42" s="37"/>
      <c r="F42" s="30"/>
    </row>
    <row r="43" spans="1:6" ht="14.25" x14ac:dyDescent="0.2">
      <c r="A43" s="30"/>
      <c r="B43" s="149"/>
      <c r="C43" s="149"/>
      <c r="D43" s="149"/>
      <c r="E43" s="37"/>
      <c r="F43" s="30"/>
    </row>
    <row r="44" spans="1:6" ht="14.25" x14ac:dyDescent="0.2">
      <c r="A44" s="30"/>
      <c r="B44" s="149"/>
      <c r="C44" s="149"/>
      <c r="D44" s="149"/>
      <c r="E44" s="37"/>
      <c r="F44" s="30"/>
    </row>
    <row r="45" spans="1:6" ht="14.25" customHeight="1"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51"/>
      <c r="C53" s="51"/>
      <c r="D53" s="51"/>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51"/>
      <c r="C56" s="51"/>
      <c r="D56" s="51"/>
      <c r="E56" s="37"/>
      <c r="F56" s="30"/>
    </row>
    <row r="57" spans="1:6" ht="14.25" x14ac:dyDescent="0.2">
      <c r="A57" s="30"/>
      <c r="B57" s="51"/>
      <c r="C57" s="51"/>
      <c r="D57" s="51"/>
      <c r="E57" s="37"/>
      <c r="F57" s="30"/>
    </row>
    <row r="58" spans="1:6" ht="14.25" x14ac:dyDescent="0.2">
      <c r="A58" s="30"/>
      <c r="B58" s="51"/>
      <c r="C58" s="51"/>
      <c r="D58" s="51"/>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3.5" customHeight="1" x14ac:dyDescent="0.2">
      <c r="A69" s="30"/>
      <c r="B69" s="149"/>
      <c r="C69" s="149"/>
      <c r="D69" s="149"/>
      <c r="E69" s="37"/>
      <c r="F69" s="30"/>
    </row>
    <row r="70" spans="1:6" ht="13.5" customHeight="1" x14ac:dyDescent="0.2">
      <c r="A70" s="30"/>
      <c r="B70" s="34" t="s">
        <v>45</v>
      </c>
      <c r="C70" s="35"/>
      <c r="D70" s="35"/>
      <c r="E70" s="38">
        <f>SUM(E35:E69)</f>
        <v>56.25</v>
      </c>
      <c r="F70" s="30"/>
    </row>
    <row r="71" spans="1:6" ht="13.5" customHeight="1" x14ac:dyDescent="0.2">
      <c r="A71" s="30"/>
      <c r="B71" s="42" t="s">
        <v>42</v>
      </c>
      <c r="C71" s="35"/>
      <c r="D71" s="35"/>
      <c r="E71" s="39">
        <v>0</v>
      </c>
      <c r="F71" s="30"/>
    </row>
    <row r="72" spans="1:6" ht="13.5" customHeight="1" x14ac:dyDescent="0.2">
      <c r="A72" s="30"/>
      <c r="B72" s="42" t="s">
        <v>43</v>
      </c>
      <c r="C72" s="35"/>
      <c r="D72" s="35"/>
      <c r="E72" s="39">
        <v>0</v>
      </c>
      <c r="F72" s="30"/>
    </row>
    <row r="73" spans="1:6" ht="13.5" customHeight="1" x14ac:dyDescent="0.2">
      <c r="A73" s="30"/>
      <c r="B73" s="34" t="s">
        <v>44</v>
      </c>
      <c r="C73" s="35"/>
      <c r="D73" s="35"/>
      <c r="E73" s="38">
        <f>SUM(E70:E72)</f>
        <v>56.25</v>
      </c>
      <c r="F73" s="30"/>
    </row>
    <row r="74" spans="1:6" ht="13.5" customHeight="1" x14ac:dyDescent="0.2">
      <c r="A74" s="30"/>
      <c r="B74" s="35" t="s">
        <v>6</v>
      </c>
      <c r="C74" s="40">
        <v>0.05</v>
      </c>
      <c r="D74" s="35"/>
      <c r="E74" s="43">
        <f>ROUND(E73*C74,2)</f>
        <v>2.81</v>
      </c>
      <c r="F74" s="30"/>
    </row>
    <row r="75" spans="1:6" ht="13.5" customHeight="1" x14ac:dyDescent="0.2">
      <c r="A75" s="30"/>
      <c r="B75" s="35" t="s">
        <v>5</v>
      </c>
      <c r="C75" s="50">
        <v>9.9750000000000005E-2</v>
      </c>
      <c r="D75" s="35"/>
      <c r="E75" s="44">
        <f>ROUND(E73*C75,2)</f>
        <v>5.61</v>
      </c>
      <c r="F75" s="30"/>
    </row>
    <row r="76" spans="1:6" ht="13.5" customHeight="1" x14ac:dyDescent="0.2">
      <c r="A76" s="30"/>
      <c r="B76" s="35"/>
      <c r="C76" s="35"/>
      <c r="D76" s="35"/>
      <c r="E76" s="35"/>
      <c r="F76" s="30"/>
    </row>
    <row r="77" spans="1:6" ht="16.5" customHeight="1" thickBot="1" x14ac:dyDescent="0.25">
      <c r="A77" s="30"/>
      <c r="B77" s="34" t="s">
        <v>46</v>
      </c>
      <c r="C77" s="35"/>
      <c r="D77" s="35"/>
      <c r="E77" s="41">
        <f>SUM(E73:E75)</f>
        <v>64.67</v>
      </c>
      <c r="F77" s="30"/>
    </row>
    <row r="78" spans="1:6" ht="15.75" thickTop="1" x14ac:dyDescent="0.2">
      <c r="A78" s="30"/>
      <c r="B78" s="151"/>
      <c r="C78" s="151"/>
      <c r="D78" s="151"/>
      <c r="E78" s="45"/>
      <c r="F78" s="30"/>
    </row>
    <row r="79" spans="1:6" ht="15" x14ac:dyDescent="0.2">
      <c r="A79" s="30"/>
      <c r="B79" s="150" t="s">
        <v>48</v>
      </c>
      <c r="C79" s="150"/>
      <c r="D79" s="150"/>
      <c r="E79" s="45">
        <v>0</v>
      </c>
      <c r="F79" s="30"/>
    </row>
    <row r="80" spans="1:6" ht="15" x14ac:dyDescent="0.2">
      <c r="A80" s="30"/>
      <c r="B80" s="151"/>
      <c r="C80" s="151"/>
      <c r="D80" s="151"/>
      <c r="E80" s="45"/>
      <c r="F80" s="30"/>
    </row>
    <row r="81" spans="1:6" ht="19.5" customHeight="1" x14ac:dyDescent="0.2">
      <c r="A81" s="30"/>
      <c r="B81" s="46" t="s">
        <v>47</v>
      </c>
      <c r="C81" s="47"/>
      <c r="D81" s="47"/>
      <c r="E81" s="48">
        <f>E77-E79</f>
        <v>64.67</v>
      </c>
      <c r="F81" s="30"/>
    </row>
    <row r="82" spans="1:6" ht="13.5" customHeight="1" x14ac:dyDescent="0.2">
      <c r="A82" s="30"/>
      <c r="B82" s="30"/>
      <c r="C82" s="30"/>
      <c r="D82" s="30"/>
      <c r="E82" s="30"/>
      <c r="F82" s="30"/>
    </row>
    <row r="83" spans="1:6" x14ac:dyDescent="0.2">
      <c r="A83" s="30"/>
      <c r="B83" s="30"/>
      <c r="C83" s="30"/>
      <c r="D83" s="30"/>
      <c r="E83" s="30"/>
      <c r="F83" s="30"/>
    </row>
    <row r="84" spans="1:6" x14ac:dyDescent="0.2">
      <c r="A84" s="30"/>
      <c r="B84" s="155"/>
      <c r="C84" s="155"/>
      <c r="D84" s="155"/>
      <c r="E84" s="155"/>
      <c r="F84" s="30"/>
    </row>
    <row r="85" spans="1:6" ht="14.25" x14ac:dyDescent="0.2">
      <c r="A85" s="148" t="s">
        <v>49</v>
      </c>
      <c r="B85" s="148"/>
      <c r="C85" s="148"/>
      <c r="D85" s="148"/>
      <c r="E85" s="148"/>
      <c r="F85" s="148"/>
    </row>
    <row r="86" spans="1:6" ht="14.25" x14ac:dyDescent="0.2">
      <c r="A86" s="146" t="s">
        <v>8</v>
      </c>
      <c r="B86" s="146"/>
      <c r="C86" s="146"/>
      <c r="D86" s="146"/>
      <c r="E86" s="146"/>
      <c r="F86" s="146"/>
    </row>
    <row r="87" spans="1:6" x14ac:dyDescent="0.2">
      <c r="A87" s="30"/>
      <c r="B87" s="30"/>
      <c r="C87" s="30"/>
      <c r="D87" s="30"/>
      <c r="E87" s="30"/>
      <c r="F87" s="30"/>
    </row>
    <row r="88" spans="1:6" x14ac:dyDescent="0.2">
      <c r="A88" s="30"/>
      <c r="B88" s="156"/>
      <c r="C88" s="156"/>
      <c r="D88" s="156"/>
      <c r="E88" s="156"/>
      <c r="F88" s="30"/>
    </row>
    <row r="89" spans="1:6" ht="15" x14ac:dyDescent="0.2">
      <c r="A89" s="147" t="s">
        <v>9</v>
      </c>
      <c r="B89" s="147"/>
      <c r="C89" s="147"/>
      <c r="D89" s="147"/>
      <c r="E89" s="147"/>
      <c r="F89" s="147"/>
    </row>
    <row r="91" spans="1:6" ht="39.75" customHeight="1" x14ac:dyDescent="0.2">
      <c r="B91" s="153"/>
      <c r="C91" s="154"/>
      <c r="D91" s="154"/>
    </row>
    <row r="92" spans="1:6" ht="13.5" customHeight="1" x14ac:dyDescent="0.2"/>
    <row r="93" spans="1:6" x14ac:dyDescent="0.2">
      <c r="B93" s="20"/>
      <c r="C93" s="20"/>
      <c r="D93" s="20"/>
    </row>
  </sheetData>
  <mergeCells count="38">
    <mergeCell ref="A31:F31"/>
    <mergeCell ref="B34:D34"/>
    <mergeCell ref="B35:D35"/>
    <mergeCell ref="B37:D37"/>
    <mergeCell ref="B38:D38"/>
    <mergeCell ref="B54:D54"/>
    <mergeCell ref="B39:D39"/>
    <mergeCell ref="B43:D43"/>
    <mergeCell ref="B44:D44"/>
    <mergeCell ref="B45:D45"/>
    <mergeCell ref="B46:D46"/>
    <mergeCell ref="B47:D47"/>
    <mergeCell ref="B48:D48"/>
    <mergeCell ref="B49:D49"/>
    <mergeCell ref="B50:D50"/>
    <mergeCell ref="B51:D51"/>
    <mergeCell ref="B52:D52"/>
    <mergeCell ref="B69:D69"/>
    <mergeCell ref="B55:D55"/>
    <mergeCell ref="B59:D59"/>
    <mergeCell ref="B60:D60"/>
    <mergeCell ref="B61:D61"/>
    <mergeCell ref="B62:D62"/>
    <mergeCell ref="B63:D63"/>
    <mergeCell ref="B64:D64"/>
    <mergeCell ref="B65:D65"/>
    <mergeCell ref="B66:D66"/>
    <mergeCell ref="B67:D67"/>
    <mergeCell ref="B68:D68"/>
    <mergeCell ref="B88:E88"/>
    <mergeCell ref="A89:F89"/>
    <mergeCell ref="B91:D91"/>
    <mergeCell ref="B78:D78"/>
    <mergeCell ref="B79:D79"/>
    <mergeCell ref="B80:D80"/>
    <mergeCell ref="B84:E84"/>
    <mergeCell ref="A85:F85"/>
    <mergeCell ref="A86:F86"/>
  </mergeCells>
  <dataValidations count="1">
    <dataValidation type="list" allowBlank="1" showInputMessage="1" showErrorMessage="1" sqref="B78:B80 B12:B20 B34:B69" xr:uid="{00000000-0002-0000-1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6">
    <pageSetUpPr fitToPage="1"/>
  </sheetPr>
  <dimension ref="A12:F92"/>
  <sheetViews>
    <sheetView view="pageBreakPreview" zoomScale="80" zoomScaleNormal="100" zoomScaleSheetLayoutView="80" workbookViewId="0">
      <selection activeCell="E23" sqref="E2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196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198</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199</v>
      </c>
      <c r="C35" s="157"/>
      <c r="D35" s="157"/>
      <c r="E35" s="67">
        <f>3.25*230</f>
        <v>747.5</v>
      </c>
      <c r="F35" s="57"/>
    </row>
    <row r="36" spans="1:6" ht="14.25" x14ac:dyDescent="0.2">
      <c r="A36" s="57"/>
      <c r="B36" s="157"/>
      <c r="C36" s="157"/>
      <c r="D36" s="157"/>
      <c r="E36" s="67"/>
      <c r="F36" s="57"/>
    </row>
    <row r="37" spans="1:6" ht="14.25" x14ac:dyDescent="0.2">
      <c r="A37" s="57"/>
      <c r="B37" s="157"/>
      <c r="C37" s="157"/>
      <c r="D37" s="157"/>
      <c r="E37" s="67"/>
      <c r="F37" s="57"/>
    </row>
    <row r="38" spans="1:6" ht="14.25" x14ac:dyDescent="0.2">
      <c r="A38" s="57"/>
      <c r="B38" s="157" t="s">
        <v>200</v>
      </c>
      <c r="C38" s="157"/>
      <c r="D38" s="157"/>
      <c r="E38" s="67">
        <f>5.75*230</f>
        <v>1322.5</v>
      </c>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t="s">
        <v>201</v>
      </c>
      <c r="C41" s="157"/>
      <c r="D41" s="157"/>
      <c r="E41" s="67">
        <f>0.5*230</f>
        <v>115</v>
      </c>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t="s">
        <v>202</v>
      </c>
      <c r="C44" s="157"/>
      <c r="D44" s="157"/>
      <c r="E44" s="67">
        <v>230</v>
      </c>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t="s">
        <v>203</v>
      </c>
      <c r="C47" s="157"/>
      <c r="D47" s="157"/>
      <c r="E47" s="67">
        <v>230</v>
      </c>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t="s">
        <v>204</v>
      </c>
      <c r="C50" s="157"/>
      <c r="D50" s="157"/>
      <c r="E50" s="67">
        <f>0.25*230</f>
        <v>57.5</v>
      </c>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68"/>
      <c r="C55" s="68"/>
      <c r="D55" s="68"/>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2702.5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2702.5</v>
      </c>
      <c r="F72" s="57"/>
    </row>
    <row r="73" spans="1:6" ht="13.5" customHeight="1" x14ac:dyDescent="0.2">
      <c r="A73" s="57"/>
      <c r="B73" s="58" t="s">
        <v>6</v>
      </c>
      <c r="C73" s="70">
        <v>0.05</v>
      </c>
      <c r="D73" s="58"/>
      <c r="E73" s="43">
        <f>ROUND(E72*C73,2)</f>
        <v>135.13</v>
      </c>
      <c r="F73" s="57"/>
    </row>
    <row r="74" spans="1:6" ht="13.5" customHeight="1" x14ac:dyDescent="0.2">
      <c r="A74" s="57"/>
      <c r="B74" s="58" t="s">
        <v>5</v>
      </c>
      <c r="C74" s="71">
        <v>9.9750000000000005E-2</v>
      </c>
      <c r="D74" s="58"/>
      <c r="E74" s="44">
        <f>ROUND(E72*C74,2)</f>
        <v>269.57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3107.2000000000003</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3107.2000000000003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1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7">
    <pageSetUpPr fitToPage="1"/>
  </sheetPr>
  <dimension ref="A12:F91"/>
  <sheetViews>
    <sheetView view="pageBreakPreview" topLeftCell="A7" zoomScale="80" zoomScaleNormal="100" zoomScaleSheetLayoutView="80" workbookViewId="0">
      <selection activeCell="B46" sqref="B46:D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205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206</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207</v>
      </c>
      <c r="C35" s="157"/>
      <c r="D35" s="157"/>
      <c r="E35" s="67">
        <f>0.25*230</f>
        <v>57.5</v>
      </c>
      <c r="F35" s="57"/>
    </row>
    <row r="36" spans="1:6" ht="14.25" x14ac:dyDescent="0.2">
      <c r="A36" s="57"/>
      <c r="B36" s="157"/>
      <c r="C36" s="157"/>
      <c r="D36" s="157"/>
      <c r="E36" s="67"/>
      <c r="F36" s="57"/>
    </row>
    <row r="37" spans="1:6" ht="14.25" x14ac:dyDescent="0.2">
      <c r="A37" s="57"/>
      <c r="B37" s="157"/>
      <c r="C37" s="157"/>
      <c r="D37" s="157"/>
      <c r="E37" s="67"/>
      <c r="F37" s="57"/>
    </row>
    <row r="38" spans="1:6" ht="30" customHeight="1" x14ac:dyDescent="0.2">
      <c r="A38" s="57"/>
      <c r="B38" s="157" t="s">
        <v>208</v>
      </c>
      <c r="C38" s="157"/>
      <c r="D38" s="157"/>
      <c r="E38" s="67">
        <f>3*230</f>
        <v>690</v>
      </c>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t="s">
        <v>209</v>
      </c>
      <c r="C41" s="157"/>
      <c r="D41" s="157"/>
      <c r="E41" s="67">
        <f>230*1.25</f>
        <v>287.5</v>
      </c>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t="s">
        <v>210</v>
      </c>
      <c r="C44" s="157"/>
      <c r="D44" s="157"/>
      <c r="E44" s="67">
        <f>1.6*230</f>
        <v>368</v>
      </c>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t="s">
        <v>211</v>
      </c>
      <c r="C47" s="157"/>
      <c r="D47" s="157"/>
      <c r="E47" s="67">
        <f>1.75*230</f>
        <v>402.5</v>
      </c>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t="s">
        <v>214</v>
      </c>
      <c r="C50" s="157"/>
      <c r="D50" s="157"/>
      <c r="E50" s="67">
        <f>0.25*230</f>
        <v>57.5</v>
      </c>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t="s">
        <v>212</v>
      </c>
      <c r="C53" s="157"/>
      <c r="D53" s="157"/>
      <c r="E53" s="67">
        <f>0.25*230</f>
        <v>57.5</v>
      </c>
      <c r="F53" s="57"/>
    </row>
    <row r="54" spans="1:6" ht="14.25" x14ac:dyDescent="0.2">
      <c r="A54" s="57"/>
      <c r="B54" s="68"/>
      <c r="C54" s="68"/>
      <c r="D54" s="68"/>
      <c r="E54" s="67"/>
      <c r="F54" s="57"/>
    </row>
    <row r="55" spans="1:6" ht="14.25" x14ac:dyDescent="0.2">
      <c r="A55" s="57"/>
      <c r="B55" s="157"/>
      <c r="C55" s="157"/>
      <c r="D55" s="157"/>
      <c r="E55" s="67"/>
      <c r="F55" s="57"/>
    </row>
    <row r="56" spans="1:6" ht="14.25" x14ac:dyDescent="0.2">
      <c r="A56" s="57"/>
      <c r="B56" s="157" t="s">
        <v>213</v>
      </c>
      <c r="C56" s="157"/>
      <c r="D56" s="157"/>
      <c r="E56" s="67">
        <f>1.5*230</f>
        <v>345</v>
      </c>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3.5" customHeight="1" x14ac:dyDescent="0.2">
      <c r="A67" s="57"/>
      <c r="B67" s="157"/>
      <c r="C67" s="157"/>
      <c r="D67" s="157"/>
      <c r="E67" s="67"/>
      <c r="F67" s="57"/>
    </row>
    <row r="68" spans="1:6" ht="13.5" customHeight="1" x14ac:dyDescent="0.2">
      <c r="A68" s="57"/>
      <c r="B68" s="56" t="s">
        <v>45</v>
      </c>
      <c r="C68" s="58"/>
      <c r="D68" s="58"/>
      <c r="E68" s="38">
        <f>SUM(E33:E67)</f>
        <v>2265.5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2265.5</v>
      </c>
      <c r="F71" s="57"/>
    </row>
    <row r="72" spans="1:6" ht="13.5" customHeight="1" x14ac:dyDescent="0.2">
      <c r="A72" s="57"/>
      <c r="B72" s="58" t="s">
        <v>6</v>
      </c>
      <c r="C72" s="70">
        <v>0.05</v>
      </c>
      <c r="D72" s="58"/>
      <c r="E72" s="43">
        <f>ROUND(E71*C72,2)</f>
        <v>113.28</v>
      </c>
      <c r="F72" s="57"/>
    </row>
    <row r="73" spans="1:6" ht="13.5" customHeight="1" x14ac:dyDescent="0.2">
      <c r="A73" s="57"/>
      <c r="B73" s="58" t="s">
        <v>5</v>
      </c>
      <c r="C73" s="71">
        <v>9.9750000000000005E-2</v>
      </c>
      <c r="D73" s="58"/>
      <c r="E73" s="44">
        <f>ROUND(E71*C73,2)</f>
        <v>225.98</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2604.7600000000002</v>
      </c>
      <c r="F75" s="57"/>
    </row>
    <row r="76" spans="1:6" ht="15.75" thickTop="1" x14ac:dyDescent="0.2">
      <c r="A76" s="57"/>
      <c r="B76" s="163"/>
      <c r="C76" s="163"/>
      <c r="D76" s="163"/>
      <c r="E76" s="72"/>
      <c r="F76" s="57"/>
    </row>
    <row r="77" spans="1:6" ht="15" x14ac:dyDescent="0.2">
      <c r="A77" s="57"/>
      <c r="B77" s="164" t="s">
        <v>48</v>
      </c>
      <c r="C77" s="164"/>
      <c r="D77" s="164"/>
      <c r="E77" s="72">
        <v>0</v>
      </c>
      <c r="F77" s="57"/>
    </row>
    <row r="78" spans="1:6" ht="15" x14ac:dyDescent="0.2">
      <c r="A78" s="57"/>
      <c r="B78" s="163"/>
      <c r="C78" s="163"/>
      <c r="D78" s="163"/>
      <c r="E78" s="72"/>
      <c r="F78" s="57"/>
    </row>
    <row r="79" spans="1:6" ht="19.5" customHeight="1" x14ac:dyDescent="0.2">
      <c r="A79" s="57"/>
      <c r="B79" s="73" t="s">
        <v>47</v>
      </c>
      <c r="C79" s="74"/>
      <c r="D79" s="74"/>
      <c r="E79" s="75">
        <f>E75-E77</f>
        <v>2604.7600000000002</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5"/>
      <c r="C82" s="165"/>
      <c r="D82" s="165"/>
      <c r="E82" s="165"/>
      <c r="F82" s="57"/>
    </row>
    <row r="83" spans="1:6" ht="14.25" x14ac:dyDescent="0.2">
      <c r="A83" s="166" t="s">
        <v>194</v>
      </c>
      <c r="B83" s="166"/>
      <c r="C83" s="166"/>
      <c r="D83" s="166"/>
      <c r="E83" s="166"/>
      <c r="F83" s="166"/>
    </row>
    <row r="84" spans="1:6" ht="14.25" x14ac:dyDescent="0.2">
      <c r="A84" s="167" t="s">
        <v>195</v>
      </c>
      <c r="B84" s="167"/>
      <c r="C84" s="167"/>
      <c r="D84" s="167"/>
      <c r="E84" s="167"/>
      <c r="F84" s="167"/>
    </row>
    <row r="85" spans="1:6" x14ac:dyDescent="0.2">
      <c r="A85" s="57"/>
      <c r="B85" s="57"/>
      <c r="C85" s="57"/>
      <c r="D85" s="57"/>
      <c r="E85" s="57"/>
      <c r="F85" s="57"/>
    </row>
    <row r="86" spans="1:6" x14ac:dyDescent="0.2">
      <c r="A86" s="57"/>
      <c r="B86" s="159"/>
      <c r="C86" s="159"/>
      <c r="D86" s="159"/>
      <c r="E86" s="159"/>
      <c r="F86" s="57"/>
    </row>
    <row r="87" spans="1:6" ht="15" x14ac:dyDescent="0.2">
      <c r="A87" s="160" t="s">
        <v>9</v>
      </c>
      <c r="B87" s="160"/>
      <c r="C87" s="160"/>
      <c r="D87" s="160"/>
      <c r="E87" s="160"/>
      <c r="F87" s="160"/>
    </row>
    <row r="89" spans="1:6" ht="39.75" customHeight="1" x14ac:dyDescent="0.2">
      <c r="B89" s="161"/>
      <c r="C89" s="162"/>
      <c r="D89" s="162"/>
    </row>
    <row r="90" spans="1:6" ht="13.5" customHeight="1" x14ac:dyDescent="0.2"/>
    <row r="91" spans="1:6" x14ac:dyDescent="0.2">
      <c r="B91" s="76"/>
      <c r="C91" s="76"/>
      <c r="D91" s="76"/>
    </row>
  </sheetData>
  <mergeCells count="44">
    <mergeCell ref="B37:D37"/>
    <mergeCell ref="A30:F30"/>
    <mergeCell ref="B33:D33"/>
    <mergeCell ref="B34:D34"/>
    <mergeCell ref="B35:D35"/>
    <mergeCell ref="B36:D36"/>
    <mergeCell ref="B38:D38"/>
    <mergeCell ref="B39:D39"/>
    <mergeCell ref="B40:D40"/>
    <mergeCell ref="B41:D41"/>
    <mergeCell ref="B42:D42"/>
    <mergeCell ref="B55:D55"/>
    <mergeCell ref="B43:D43"/>
    <mergeCell ref="B44:D44"/>
    <mergeCell ref="B45:D45"/>
    <mergeCell ref="B46:D46"/>
    <mergeCell ref="B47:D47"/>
    <mergeCell ref="B48:D48"/>
    <mergeCell ref="B49:D49"/>
    <mergeCell ref="B50:D50"/>
    <mergeCell ref="B51:D51"/>
    <mergeCell ref="B52:D52"/>
    <mergeCell ref="B53:D53"/>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00000000-0002-0000-1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8">
    <pageSetUpPr fitToPage="1"/>
  </sheetPr>
  <dimension ref="A12:F92"/>
  <sheetViews>
    <sheetView view="pageBreakPreview" topLeftCell="A16" zoomScale="80" zoomScaleNormal="100" zoomScaleSheetLayoutView="80" workbookViewId="0">
      <selection activeCell="B59" sqref="B59:D5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215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216</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217</v>
      </c>
      <c r="C35" s="157"/>
      <c r="D35" s="157"/>
      <c r="E35" s="67">
        <f>0.3*230</f>
        <v>69</v>
      </c>
      <c r="F35" s="57"/>
    </row>
    <row r="36" spans="1:6" ht="14.25" x14ac:dyDescent="0.2">
      <c r="A36" s="57"/>
      <c r="B36" s="157"/>
      <c r="C36" s="157"/>
      <c r="D36" s="157"/>
      <c r="E36" s="67"/>
      <c r="F36" s="57"/>
    </row>
    <row r="37" spans="1:6" ht="14.25" x14ac:dyDescent="0.2">
      <c r="A37" s="57"/>
      <c r="B37" s="157"/>
      <c r="C37" s="157"/>
      <c r="D37" s="157"/>
      <c r="E37" s="67"/>
      <c r="F37" s="57"/>
    </row>
    <row r="38" spans="1:6" ht="14.25" x14ac:dyDescent="0.2">
      <c r="A38" s="57"/>
      <c r="B38" s="157" t="s">
        <v>218</v>
      </c>
      <c r="C38" s="157"/>
      <c r="D38" s="157"/>
      <c r="E38" s="67">
        <f>1.25*230</f>
        <v>287.5</v>
      </c>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t="s">
        <v>219</v>
      </c>
      <c r="C41" s="157"/>
      <c r="D41" s="157"/>
      <c r="E41" s="67">
        <f>0.75*230</f>
        <v>172.5</v>
      </c>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t="s">
        <v>220</v>
      </c>
      <c r="C44" s="157"/>
      <c r="D44" s="157"/>
      <c r="E44" s="67">
        <f>0.25*230</f>
        <v>57.5</v>
      </c>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t="s">
        <v>221</v>
      </c>
      <c r="C47" s="157"/>
      <c r="D47" s="157"/>
      <c r="E47" s="67">
        <f>0.25*230</f>
        <v>57.5</v>
      </c>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68"/>
      <c r="C55" s="68"/>
      <c r="D55" s="68"/>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644</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644</v>
      </c>
      <c r="F72" s="57"/>
    </row>
    <row r="73" spans="1:6" ht="13.5" customHeight="1" x14ac:dyDescent="0.2">
      <c r="A73" s="57"/>
      <c r="B73" s="58" t="s">
        <v>6</v>
      </c>
      <c r="C73" s="70">
        <v>0.05</v>
      </c>
      <c r="D73" s="58"/>
      <c r="E73" s="43">
        <f>ROUND(E72*C73,2)</f>
        <v>32.200000000000003</v>
      </c>
      <c r="F73" s="57"/>
    </row>
    <row r="74" spans="1:6" ht="13.5" customHeight="1" x14ac:dyDescent="0.2">
      <c r="A74" s="57"/>
      <c r="B74" s="58" t="s">
        <v>5</v>
      </c>
      <c r="C74" s="71">
        <v>9.9750000000000005E-2</v>
      </c>
      <c r="D74" s="58"/>
      <c r="E74" s="44">
        <f>ROUND(E72*C74,2)</f>
        <v>64.239999999999995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740.44</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740.44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5">
    <mergeCell ref="A88:F88"/>
    <mergeCell ref="B90:D90"/>
    <mergeCell ref="B51:D51"/>
    <mergeCell ref="B78:D78"/>
    <mergeCell ref="B79:D79"/>
    <mergeCell ref="B83:E83"/>
    <mergeCell ref="A84:F84"/>
    <mergeCell ref="A85:F85"/>
    <mergeCell ref="B87:E87"/>
    <mergeCell ref="B64:D64"/>
    <mergeCell ref="B65:D65"/>
    <mergeCell ref="B66:D66"/>
    <mergeCell ref="B67:D67"/>
    <mergeCell ref="B68:D68"/>
    <mergeCell ref="B77:D77"/>
    <mergeCell ref="B58:D58"/>
    <mergeCell ref="B59:D59"/>
    <mergeCell ref="B60:D60"/>
    <mergeCell ref="B61:D61"/>
    <mergeCell ref="B62:D62"/>
    <mergeCell ref="B63:D63"/>
    <mergeCell ref="B57:D57"/>
    <mergeCell ref="B44:D44"/>
    <mergeCell ref="B45:D45"/>
    <mergeCell ref="B46:D46"/>
    <mergeCell ref="B47:D47"/>
    <mergeCell ref="B48:D48"/>
    <mergeCell ref="B49:D49"/>
    <mergeCell ref="B50:D50"/>
    <mergeCell ref="B52:D52"/>
    <mergeCell ref="B53:D53"/>
    <mergeCell ref="B54:D54"/>
    <mergeCell ref="B56:D56"/>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1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9">
    <pageSetUpPr fitToPage="1"/>
  </sheetPr>
  <dimension ref="A12:F91"/>
  <sheetViews>
    <sheetView view="pageBreakPreview" topLeftCell="A16" zoomScale="80" zoomScaleNormal="100" zoomScaleSheetLayoutView="80" workbookViewId="0">
      <selection activeCell="B35" sqref="B35:D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215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222</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30" customHeight="1" x14ac:dyDescent="0.2">
      <c r="A35" s="57"/>
      <c r="B35" s="157" t="s">
        <v>223</v>
      </c>
      <c r="C35" s="157"/>
      <c r="D35" s="157"/>
      <c r="E35" s="67">
        <f>7.5*230</f>
        <v>1725</v>
      </c>
      <c r="F35" s="57"/>
    </row>
    <row r="36" spans="1:6" ht="14.25" x14ac:dyDescent="0.2">
      <c r="A36" s="57"/>
      <c r="B36" s="157"/>
      <c r="C36" s="157"/>
      <c r="D36" s="157"/>
      <c r="E36" s="67"/>
      <c r="F36" s="57"/>
    </row>
    <row r="37" spans="1:6" ht="14.25" x14ac:dyDescent="0.2">
      <c r="A37" s="57"/>
      <c r="B37" s="157"/>
      <c r="C37" s="157"/>
      <c r="D37" s="157"/>
      <c r="E37" s="67"/>
      <c r="F37" s="57"/>
    </row>
    <row r="38" spans="1:6" ht="14.25" x14ac:dyDescent="0.2">
      <c r="A38" s="57"/>
      <c r="B38" s="157"/>
      <c r="C38" s="157"/>
      <c r="D38" s="157"/>
      <c r="E38" s="67"/>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c r="C41" s="157"/>
      <c r="D41" s="157"/>
      <c r="E41" s="67"/>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68"/>
      <c r="C54" s="68"/>
      <c r="D54" s="68"/>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3.5" customHeight="1" x14ac:dyDescent="0.2">
      <c r="A67" s="57"/>
      <c r="B67" s="157"/>
      <c r="C67" s="157"/>
      <c r="D67" s="157"/>
      <c r="E67" s="67"/>
      <c r="F67" s="57"/>
    </row>
    <row r="68" spans="1:6" ht="13.5" customHeight="1" x14ac:dyDescent="0.2">
      <c r="A68" s="57"/>
      <c r="B68" s="56" t="s">
        <v>45</v>
      </c>
      <c r="C68" s="58"/>
      <c r="D68" s="58"/>
      <c r="E68" s="38">
        <f>SUM(E33:E67)</f>
        <v>1725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1725</v>
      </c>
      <c r="F71" s="57"/>
    </row>
    <row r="72" spans="1:6" ht="13.5" customHeight="1" x14ac:dyDescent="0.2">
      <c r="A72" s="57"/>
      <c r="B72" s="58" t="s">
        <v>6</v>
      </c>
      <c r="C72" s="70">
        <v>0.05</v>
      </c>
      <c r="D72" s="58"/>
      <c r="E72" s="43">
        <f>ROUND(E71*C72,2)</f>
        <v>86.25</v>
      </c>
      <c r="F72" s="57"/>
    </row>
    <row r="73" spans="1:6" ht="13.5" customHeight="1" x14ac:dyDescent="0.2">
      <c r="A73" s="57"/>
      <c r="B73" s="58" t="s">
        <v>5</v>
      </c>
      <c r="C73" s="71">
        <v>9.9750000000000005E-2</v>
      </c>
      <c r="D73" s="58"/>
      <c r="E73" s="44">
        <f>ROUND(E71*C73,2)</f>
        <v>172.07</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1983.32</v>
      </c>
      <c r="F75" s="57"/>
    </row>
    <row r="76" spans="1:6" ht="15.75" thickTop="1" x14ac:dyDescent="0.2">
      <c r="A76" s="57"/>
      <c r="B76" s="163"/>
      <c r="C76" s="163"/>
      <c r="D76" s="163"/>
      <c r="E76" s="72"/>
      <c r="F76" s="57"/>
    </row>
    <row r="77" spans="1:6" ht="15" x14ac:dyDescent="0.2">
      <c r="A77" s="57"/>
      <c r="B77" s="164" t="s">
        <v>48</v>
      </c>
      <c r="C77" s="164"/>
      <c r="D77" s="164"/>
      <c r="E77" s="72">
        <v>0</v>
      </c>
      <c r="F77" s="57"/>
    </row>
    <row r="78" spans="1:6" ht="15" x14ac:dyDescent="0.2">
      <c r="A78" s="57"/>
      <c r="B78" s="163"/>
      <c r="C78" s="163"/>
      <c r="D78" s="163"/>
      <c r="E78" s="72"/>
      <c r="F78" s="57"/>
    </row>
    <row r="79" spans="1:6" ht="19.5" customHeight="1" x14ac:dyDescent="0.2">
      <c r="A79" s="57"/>
      <c r="B79" s="73" t="s">
        <v>47</v>
      </c>
      <c r="C79" s="74"/>
      <c r="D79" s="74"/>
      <c r="E79" s="75">
        <f>E75-E77</f>
        <v>1983.32</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5"/>
      <c r="C82" s="165"/>
      <c r="D82" s="165"/>
      <c r="E82" s="165"/>
      <c r="F82" s="57"/>
    </row>
    <row r="83" spans="1:6" ht="14.25" x14ac:dyDescent="0.2">
      <c r="A83" s="166" t="s">
        <v>194</v>
      </c>
      <c r="B83" s="166"/>
      <c r="C83" s="166"/>
      <c r="D83" s="166"/>
      <c r="E83" s="166"/>
      <c r="F83" s="166"/>
    </row>
    <row r="84" spans="1:6" ht="14.25" x14ac:dyDescent="0.2">
      <c r="A84" s="167" t="s">
        <v>195</v>
      </c>
      <c r="B84" s="167"/>
      <c r="C84" s="167"/>
      <c r="D84" s="167"/>
      <c r="E84" s="167"/>
      <c r="F84" s="167"/>
    </row>
    <row r="85" spans="1:6" x14ac:dyDescent="0.2">
      <c r="A85" s="57"/>
      <c r="B85" s="57"/>
      <c r="C85" s="57"/>
      <c r="D85" s="57"/>
      <c r="E85" s="57"/>
      <c r="F85" s="57"/>
    </row>
    <row r="86" spans="1:6" x14ac:dyDescent="0.2">
      <c r="A86" s="57"/>
      <c r="B86" s="159"/>
      <c r="C86" s="159"/>
      <c r="D86" s="159"/>
      <c r="E86" s="159"/>
      <c r="F86" s="57"/>
    </row>
    <row r="87" spans="1:6" ht="15" x14ac:dyDescent="0.2">
      <c r="A87" s="160" t="s">
        <v>9</v>
      </c>
      <c r="B87" s="160"/>
      <c r="C87" s="160"/>
      <c r="D87" s="160"/>
      <c r="E87" s="160"/>
      <c r="F87" s="160"/>
    </row>
    <row r="89" spans="1:6" ht="39.75" customHeight="1" x14ac:dyDescent="0.2">
      <c r="B89" s="161"/>
      <c r="C89" s="162"/>
      <c r="D89" s="162"/>
    </row>
    <row r="90" spans="1:6" ht="13.5" customHeight="1" x14ac:dyDescent="0.2"/>
    <row r="91" spans="1:6" x14ac:dyDescent="0.2">
      <c r="B91" s="76"/>
      <c r="C91" s="76"/>
      <c r="D91" s="76"/>
    </row>
  </sheetData>
  <mergeCells count="44">
    <mergeCell ref="B37:D37"/>
    <mergeCell ref="A30:F30"/>
    <mergeCell ref="B33:D33"/>
    <mergeCell ref="B34:D34"/>
    <mergeCell ref="B35:D35"/>
    <mergeCell ref="B36:D36"/>
    <mergeCell ref="B49:D49"/>
    <mergeCell ref="B38:D38"/>
    <mergeCell ref="B39:D39"/>
    <mergeCell ref="B40:D40"/>
    <mergeCell ref="B41:D41"/>
    <mergeCell ref="B42:D42"/>
    <mergeCell ref="B43:D43"/>
    <mergeCell ref="B44:D44"/>
    <mergeCell ref="B45:D45"/>
    <mergeCell ref="B46:D46"/>
    <mergeCell ref="B47:D47"/>
    <mergeCell ref="B48:D48"/>
    <mergeCell ref="B50:D50"/>
    <mergeCell ref="B51:D51"/>
    <mergeCell ref="B52:D52"/>
    <mergeCell ref="B53:D53"/>
    <mergeCell ref="B55:D55"/>
    <mergeCell ref="B67:D67"/>
    <mergeCell ref="B56:D56"/>
    <mergeCell ref="B57:D57"/>
    <mergeCell ref="B58:D58"/>
    <mergeCell ref="B59:D59"/>
    <mergeCell ref="B60:D60"/>
    <mergeCell ref="B61:D61"/>
    <mergeCell ref="B62:D62"/>
    <mergeCell ref="B63:D63"/>
    <mergeCell ref="B64:D64"/>
    <mergeCell ref="B65:D65"/>
    <mergeCell ref="B66:D66"/>
    <mergeCell ref="B86:E86"/>
    <mergeCell ref="A87:F87"/>
    <mergeCell ref="B89:D89"/>
    <mergeCell ref="B76:D76"/>
    <mergeCell ref="B77:D77"/>
    <mergeCell ref="B78:D78"/>
    <mergeCell ref="B82:E82"/>
    <mergeCell ref="A83:F83"/>
    <mergeCell ref="A84:F84"/>
  </mergeCells>
  <dataValidations count="1">
    <dataValidation type="list" allowBlank="1" showInputMessage="1" showErrorMessage="1" sqref="B76:B78 B12:B20 B33:B67" xr:uid="{00000000-0002-0000-1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pageSetUpPr fitToPage="1"/>
  </sheetPr>
  <dimension ref="A12:F98"/>
  <sheetViews>
    <sheetView view="pageBreakPreview" topLeftCell="A7" zoomScale="80" zoomScaleNormal="100" zoomScaleSheetLayoutView="80" workbookViewId="0">
      <selection activeCell="B22" sqref="B2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62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61</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60</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c r="C39" s="149"/>
      <c r="D39" s="149"/>
      <c r="E39" s="37"/>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0.4*190</f>
        <v>76</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76</v>
      </c>
      <c r="F78" s="30"/>
    </row>
    <row r="79" spans="1:6" ht="13.5" customHeight="1" x14ac:dyDescent="0.2">
      <c r="A79" s="30"/>
      <c r="B79" s="35" t="s">
        <v>6</v>
      </c>
      <c r="C79" s="40">
        <v>0.05</v>
      </c>
      <c r="D79" s="35"/>
      <c r="E79" s="43">
        <f>ROUND(E78*C79,2)</f>
        <v>3.8</v>
      </c>
      <c r="F79" s="30"/>
    </row>
    <row r="80" spans="1:6" ht="13.5" customHeight="1" x14ac:dyDescent="0.2">
      <c r="A80" s="30"/>
      <c r="B80" s="35" t="s">
        <v>5</v>
      </c>
      <c r="C80" s="40">
        <v>9.5000000000000001E-2</v>
      </c>
      <c r="D80" s="35"/>
      <c r="E80" s="44">
        <f>ROUND((E78+E79)*C80,2)</f>
        <v>7.58</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87.38</v>
      </c>
      <c r="F82" s="30"/>
    </row>
    <row r="83" spans="1:6" ht="15.75" thickTop="1" x14ac:dyDescent="0.2">
      <c r="A83" s="30"/>
      <c r="B83" s="151"/>
      <c r="C83" s="151"/>
      <c r="D83" s="151"/>
      <c r="E83" s="45"/>
      <c r="F83" s="30"/>
    </row>
    <row r="84" spans="1:6" ht="15" x14ac:dyDescent="0.2">
      <c r="A84" s="30"/>
      <c r="B84" s="150" t="s">
        <v>48</v>
      </c>
      <c r="C84" s="150"/>
      <c r="D84" s="150"/>
      <c r="E84" s="45">
        <v>0</v>
      </c>
      <c r="F84" s="30"/>
    </row>
    <row r="85" spans="1:6" ht="15" x14ac:dyDescent="0.2">
      <c r="A85" s="30"/>
      <c r="B85" s="151"/>
      <c r="C85" s="151"/>
      <c r="D85" s="151"/>
      <c r="E85" s="45"/>
      <c r="F85" s="30"/>
    </row>
    <row r="86" spans="1:6" ht="19.5" customHeight="1" x14ac:dyDescent="0.2">
      <c r="A86" s="30"/>
      <c r="B86" s="46" t="s">
        <v>47</v>
      </c>
      <c r="C86" s="47"/>
      <c r="D86" s="47"/>
      <c r="E86" s="48">
        <f>E82-E84</f>
        <v>87.38</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5"/>
      <c r="C89" s="155"/>
      <c r="D89" s="155"/>
      <c r="E89" s="155"/>
      <c r="F89" s="30"/>
    </row>
    <row r="90" spans="1:6" ht="14.25" x14ac:dyDescent="0.2">
      <c r="A90" s="148" t="s">
        <v>49</v>
      </c>
      <c r="B90" s="148"/>
      <c r="C90" s="148"/>
      <c r="D90" s="148"/>
      <c r="E90" s="148"/>
      <c r="F90" s="148"/>
    </row>
    <row r="91" spans="1:6" ht="14.25" x14ac:dyDescent="0.2">
      <c r="A91" s="146" t="s">
        <v>8</v>
      </c>
      <c r="B91" s="146"/>
      <c r="C91" s="146"/>
      <c r="D91" s="146"/>
      <c r="E91" s="146"/>
      <c r="F91" s="146"/>
    </row>
    <row r="92" spans="1:6" x14ac:dyDescent="0.2">
      <c r="A92" s="30"/>
      <c r="B92" s="30"/>
      <c r="C92" s="30"/>
      <c r="D92" s="30"/>
      <c r="E92" s="30"/>
      <c r="F92" s="30"/>
    </row>
    <row r="93" spans="1:6" x14ac:dyDescent="0.2">
      <c r="A93" s="30"/>
      <c r="B93" s="156"/>
      <c r="C93" s="156"/>
      <c r="D93" s="156"/>
      <c r="E93" s="156"/>
      <c r="F93" s="30"/>
    </row>
    <row r="94" spans="1:6" ht="15" x14ac:dyDescent="0.2">
      <c r="A94" s="147" t="s">
        <v>9</v>
      </c>
      <c r="B94" s="147"/>
      <c r="C94" s="147"/>
      <c r="D94" s="147"/>
      <c r="E94" s="147"/>
      <c r="F94" s="147"/>
    </row>
    <row r="96" spans="1:6" ht="39.75" customHeight="1" x14ac:dyDescent="0.2">
      <c r="B96" s="153"/>
      <c r="C96" s="154"/>
      <c r="D96" s="154"/>
    </row>
    <row r="97" spans="2:4" ht="13.5" customHeight="1" x14ac:dyDescent="0.2"/>
    <row r="98" spans="2:4" x14ac:dyDescent="0.2">
      <c r="B98" s="20"/>
      <c r="C98" s="20"/>
      <c r="D98" s="20"/>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2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30">
    <pageSetUpPr fitToPage="1"/>
  </sheetPr>
  <dimension ref="A12:F92"/>
  <sheetViews>
    <sheetView view="pageBreakPreview" topLeftCell="A40" zoomScale="80" zoomScaleNormal="100" zoomScaleSheetLayoutView="80" workbookViewId="0">
      <selection activeCell="B42" sqref="B42:D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224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225</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226</v>
      </c>
      <c r="C35" s="157"/>
      <c r="D35" s="157"/>
      <c r="E35" s="67">
        <f>5.75*230</f>
        <v>1322.5</v>
      </c>
      <c r="F35" s="57"/>
    </row>
    <row r="36" spans="1:6" ht="14.25" x14ac:dyDescent="0.2">
      <c r="A36" s="57"/>
      <c r="B36" s="157"/>
      <c r="C36" s="157"/>
      <c r="D36" s="157"/>
      <c r="E36" s="67"/>
      <c r="F36" s="57"/>
    </row>
    <row r="37" spans="1:6" ht="14.25" x14ac:dyDescent="0.2">
      <c r="A37" s="57"/>
      <c r="B37" s="157"/>
      <c r="C37" s="157"/>
      <c r="D37" s="157"/>
      <c r="E37" s="67"/>
      <c r="F37" s="57"/>
    </row>
    <row r="38" spans="1:6" ht="14.25" x14ac:dyDescent="0.2">
      <c r="A38" s="57"/>
      <c r="B38" s="157" t="s">
        <v>227</v>
      </c>
      <c r="C38" s="157"/>
      <c r="D38" s="157"/>
      <c r="E38" s="67">
        <v>230</v>
      </c>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c r="C41" s="157"/>
      <c r="D41" s="157"/>
      <c r="E41" s="67"/>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68"/>
      <c r="C55" s="68"/>
      <c r="D55" s="68"/>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1552.5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1552.5</v>
      </c>
      <c r="F72" s="57"/>
    </row>
    <row r="73" spans="1:6" ht="13.5" customHeight="1" x14ac:dyDescent="0.2">
      <c r="A73" s="57"/>
      <c r="B73" s="58" t="s">
        <v>6</v>
      </c>
      <c r="C73" s="70">
        <v>0.05</v>
      </c>
      <c r="D73" s="58"/>
      <c r="E73" s="43">
        <f>ROUND(E72*C73,2)</f>
        <v>77.63</v>
      </c>
      <c r="F73" s="57"/>
    </row>
    <row r="74" spans="1:6" ht="13.5" customHeight="1" x14ac:dyDescent="0.2">
      <c r="A74" s="57"/>
      <c r="B74" s="58" t="s">
        <v>5</v>
      </c>
      <c r="C74" s="71">
        <v>9.9750000000000005E-2</v>
      </c>
      <c r="D74" s="58"/>
      <c r="E74" s="44">
        <f>ROUND(E72*C74,2)</f>
        <v>154.86000000000001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1784.9900000000002</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1784.9900000000002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5">
    <mergeCell ref="A88:F88"/>
    <mergeCell ref="B90:D90"/>
    <mergeCell ref="B38:D38"/>
    <mergeCell ref="B78:D78"/>
    <mergeCell ref="B79:D79"/>
    <mergeCell ref="B83:E83"/>
    <mergeCell ref="A84:F84"/>
    <mergeCell ref="A85:F85"/>
    <mergeCell ref="B87:E87"/>
    <mergeCell ref="B64:D64"/>
    <mergeCell ref="B65:D65"/>
    <mergeCell ref="B66:D66"/>
    <mergeCell ref="B67:D67"/>
    <mergeCell ref="B68:D68"/>
    <mergeCell ref="B77:D77"/>
    <mergeCell ref="B58:D58"/>
    <mergeCell ref="B59:D59"/>
    <mergeCell ref="B60:D60"/>
    <mergeCell ref="B61:D61"/>
    <mergeCell ref="B62:D62"/>
    <mergeCell ref="B63:D63"/>
    <mergeCell ref="B57:D57"/>
    <mergeCell ref="B45:D45"/>
    <mergeCell ref="B46:D46"/>
    <mergeCell ref="B47:D47"/>
    <mergeCell ref="B48:D48"/>
    <mergeCell ref="B49:D49"/>
    <mergeCell ref="B50:D50"/>
    <mergeCell ref="B51:D51"/>
    <mergeCell ref="B52:D52"/>
    <mergeCell ref="B53:D53"/>
    <mergeCell ref="B54:D54"/>
    <mergeCell ref="B56:D56"/>
    <mergeCell ref="B44:D44"/>
    <mergeCell ref="A30:F30"/>
    <mergeCell ref="B33:D33"/>
    <mergeCell ref="B34:D34"/>
    <mergeCell ref="B35:D35"/>
    <mergeCell ref="B36:D36"/>
    <mergeCell ref="B37:D37"/>
    <mergeCell ref="B39:D39"/>
    <mergeCell ref="B40:D40"/>
    <mergeCell ref="B41:D41"/>
    <mergeCell ref="B42:D42"/>
    <mergeCell ref="B43:D43"/>
  </mergeCells>
  <dataValidations count="1">
    <dataValidation type="list" allowBlank="1" showInputMessage="1" showErrorMessage="1" sqref="B77:B79 B12:B20 B33:B68" xr:uid="{00000000-0002-0000-1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31">
    <pageSetUpPr fitToPage="1"/>
  </sheetPr>
  <dimension ref="A12:F92"/>
  <sheetViews>
    <sheetView view="pageBreakPreview" topLeftCell="A10" zoomScale="80" zoomScaleNormal="100" zoomScaleSheetLayoutView="80" workbookViewId="0">
      <selection activeCell="B65" sqref="B65:D6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228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229</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230</v>
      </c>
      <c r="C35" s="157"/>
      <c r="D35" s="157"/>
      <c r="E35" s="67">
        <f>2.25*230</f>
        <v>517.5</v>
      </c>
      <c r="F35" s="57"/>
    </row>
    <row r="36" spans="1:6" ht="14.25" x14ac:dyDescent="0.2">
      <c r="A36" s="57"/>
      <c r="B36" s="157"/>
      <c r="C36" s="157"/>
      <c r="D36" s="157"/>
      <c r="E36" s="67"/>
      <c r="F36" s="57"/>
    </row>
    <row r="37" spans="1:6" ht="14.25" x14ac:dyDescent="0.2">
      <c r="A37" s="57"/>
      <c r="B37" s="157"/>
      <c r="C37" s="157"/>
      <c r="D37" s="157"/>
      <c r="E37" s="67"/>
      <c r="F37" s="57"/>
    </row>
    <row r="38" spans="1:6" ht="14.25" x14ac:dyDescent="0.2">
      <c r="A38" s="57"/>
      <c r="B38" s="157" t="s">
        <v>231</v>
      </c>
      <c r="C38" s="157"/>
      <c r="D38" s="157"/>
      <c r="E38" s="67">
        <f>0.25*230</f>
        <v>57.5</v>
      </c>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t="s">
        <v>232</v>
      </c>
      <c r="C41" s="157"/>
      <c r="D41" s="157"/>
      <c r="E41" s="67">
        <f>0.4*230</f>
        <v>92</v>
      </c>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t="s">
        <v>233</v>
      </c>
      <c r="C44" s="157"/>
      <c r="D44" s="157"/>
      <c r="E44" s="67">
        <v>230</v>
      </c>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68"/>
      <c r="C55" s="68"/>
      <c r="D55" s="68"/>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897</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897</v>
      </c>
      <c r="F72" s="57"/>
    </row>
    <row r="73" spans="1:6" ht="13.5" customHeight="1" x14ac:dyDescent="0.2">
      <c r="A73" s="57"/>
      <c r="B73" s="58" t="s">
        <v>6</v>
      </c>
      <c r="C73" s="70">
        <v>0.05</v>
      </c>
      <c r="D73" s="58"/>
      <c r="E73" s="43">
        <f>ROUND(E72*C73,2)</f>
        <v>44.85</v>
      </c>
      <c r="F73" s="57"/>
    </row>
    <row r="74" spans="1:6" ht="13.5" customHeight="1" x14ac:dyDescent="0.2">
      <c r="A74" s="57"/>
      <c r="B74" s="58" t="s">
        <v>5</v>
      </c>
      <c r="C74" s="71">
        <v>9.9750000000000005E-2</v>
      </c>
      <c r="D74" s="58"/>
      <c r="E74" s="44">
        <f>ROUND(E72*C74,2)</f>
        <v>89.48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1031.33</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1031.33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1E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32">
    <pageSetUpPr fitToPage="1"/>
  </sheetPr>
  <dimension ref="A12:F92"/>
  <sheetViews>
    <sheetView view="pageBreakPreview" topLeftCell="A28" zoomScale="80" zoomScaleNormal="100" zoomScaleSheetLayoutView="80" workbookViewId="0">
      <selection activeCell="E69" sqref="E6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235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234</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230</v>
      </c>
      <c r="C35" s="157"/>
      <c r="D35" s="157"/>
      <c r="E35" s="67">
        <f>3*230</f>
        <v>690</v>
      </c>
      <c r="F35" s="57"/>
    </row>
    <row r="36" spans="1:6" ht="14.25" x14ac:dyDescent="0.2">
      <c r="A36" s="57"/>
      <c r="B36" s="157"/>
      <c r="C36" s="157"/>
      <c r="D36" s="157"/>
      <c r="E36" s="67"/>
      <c r="F36" s="57"/>
    </row>
    <row r="37" spans="1:6" ht="14.25" x14ac:dyDescent="0.2">
      <c r="A37" s="57"/>
      <c r="B37" s="157"/>
      <c r="C37" s="157"/>
      <c r="D37" s="157"/>
      <c r="E37" s="67"/>
      <c r="F37" s="57"/>
    </row>
    <row r="38" spans="1:6" ht="14.25" x14ac:dyDescent="0.2">
      <c r="A38" s="57"/>
      <c r="B38" s="157" t="s">
        <v>236</v>
      </c>
      <c r="C38" s="157"/>
      <c r="D38" s="157"/>
      <c r="E38" s="67">
        <f>0.25*230</f>
        <v>57.5</v>
      </c>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t="s">
        <v>237</v>
      </c>
      <c r="C41" s="157"/>
      <c r="D41" s="157"/>
      <c r="E41" s="67">
        <f>0.25*230</f>
        <v>57.5</v>
      </c>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t="s">
        <v>238</v>
      </c>
      <c r="C44" s="157"/>
      <c r="D44" s="157"/>
      <c r="E44" s="67">
        <v>230</v>
      </c>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t="s">
        <v>239</v>
      </c>
      <c r="C47" s="157"/>
      <c r="D47" s="157"/>
      <c r="E47" s="67">
        <v>230</v>
      </c>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68"/>
      <c r="C55" s="68"/>
      <c r="D55" s="68"/>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1265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1265</v>
      </c>
      <c r="F72" s="57"/>
    </row>
    <row r="73" spans="1:6" ht="13.5" customHeight="1" x14ac:dyDescent="0.2">
      <c r="A73" s="57"/>
      <c r="B73" s="58" t="s">
        <v>6</v>
      </c>
      <c r="C73" s="70">
        <v>0.05</v>
      </c>
      <c r="D73" s="58"/>
      <c r="E73" s="43">
        <f>ROUND(E72*C73,2)</f>
        <v>63.25</v>
      </c>
      <c r="F73" s="57"/>
    </row>
    <row r="74" spans="1:6" ht="13.5" customHeight="1" x14ac:dyDescent="0.2">
      <c r="A74" s="57"/>
      <c r="B74" s="58" t="s">
        <v>5</v>
      </c>
      <c r="C74" s="71">
        <v>9.9750000000000005E-2</v>
      </c>
      <c r="D74" s="58"/>
      <c r="E74" s="44">
        <f>ROUND(E72*C74,2)</f>
        <v>126.18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1454.43</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1454.43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1F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3">
    <pageSetUpPr fitToPage="1"/>
  </sheetPr>
  <dimension ref="A12:F92"/>
  <sheetViews>
    <sheetView view="pageBreakPreview" zoomScale="80" zoomScaleNormal="100" zoomScaleSheetLayoutView="80" workbookViewId="0">
      <selection activeCell="E69" sqref="E6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240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241</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242</v>
      </c>
      <c r="C35" s="157"/>
      <c r="D35" s="157"/>
      <c r="E35" s="67">
        <f>0.3*235</f>
        <v>70.5</v>
      </c>
      <c r="F35" s="57"/>
    </row>
    <row r="36" spans="1:6" ht="14.25" x14ac:dyDescent="0.2">
      <c r="A36" s="57"/>
      <c r="B36" s="157"/>
      <c r="C36" s="157"/>
      <c r="D36" s="157"/>
      <c r="E36" s="67"/>
      <c r="F36" s="57"/>
    </row>
    <row r="37" spans="1:6" ht="14.25" x14ac:dyDescent="0.2">
      <c r="A37" s="57"/>
      <c r="B37" s="157"/>
      <c r="C37" s="157"/>
      <c r="D37" s="157"/>
      <c r="E37" s="67"/>
      <c r="F37" s="57"/>
    </row>
    <row r="38" spans="1:6" ht="14.25" x14ac:dyDescent="0.2">
      <c r="A38" s="57"/>
      <c r="B38" s="157" t="s">
        <v>243</v>
      </c>
      <c r="C38" s="157"/>
      <c r="D38" s="157"/>
      <c r="E38" s="67">
        <f>1.25*235</f>
        <v>293.75</v>
      </c>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t="s">
        <v>244</v>
      </c>
      <c r="C41" s="157"/>
      <c r="D41" s="157"/>
      <c r="E41" s="67">
        <f>0.2*235</f>
        <v>47</v>
      </c>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68"/>
      <c r="C55" s="68"/>
      <c r="D55" s="68"/>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411.25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411.25</v>
      </c>
      <c r="F72" s="57"/>
    </row>
    <row r="73" spans="1:6" ht="13.5" customHeight="1" x14ac:dyDescent="0.2">
      <c r="A73" s="57"/>
      <c r="B73" s="58" t="s">
        <v>6</v>
      </c>
      <c r="C73" s="70">
        <v>0.05</v>
      </c>
      <c r="D73" s="58"/>
      <c r="E73" s="43">
        <f>ROUND(E72*C73,2)</f>
        <v>20.56</v>
      </c>
      <c r="F73" s="57"/>
    </row>
    <row r="74" spans="1:6" ht="13.5" customHeight="1" x14ac:dyDescent="0.2">
      <c r="A74" s="57"/>
      <c r="B74" s="58" t="s">
        <v>5</v>
      </c>
      <c r="C74" s="71">
        <v>9.9750000000000005E-2</v>
      </c>
      <c r="D74" s="58"/>
      <c r="E74" s="44">
        <f>ROUND(E72*C74,2)</f>
        <v>41.02</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472.83</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472.83</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56:D56"/>
    <mergeCell ref="B44:D44"/>
    <mergeCell ref="B45:D45"/>
    <mergeCell ref="B46:D46"/>
    <mergeCell ref="B47:D47"/>
    <mergeCell ref="B48:D48"/>
    <mergeCell ref="B49:D49"/>
    <mergeCell ref="B50:D50"/>
    <mergeCell ref="B51:D51"/>
    <mergeCell ref="B52:D52"/>
    <mergeCell ref="B53:D53"/>
    <mergeCell ref="B54:D54"/>
    <mergeCell ref="B68:D68"/>
    <mergeCell ref="B57:D57"/>
    <mergeCell ref="B58:D58"/>
    <mergeCell ref="B59:D59"/>
    <mergeCell ref="B60:D60"/>
    <mergeCell ref="B61:D61"/>
    <mergeCell ref="B62:D62"/>
    <mergeCell ref="B63:D63"/>
    <mergeCell ref="B64:D64"/>
    <mergeCell ref="B65:D65"/>
    <mergeCell ref="B66:D66"/>
    <mergeCell ref="B67:D67"/>
    <mergeCell ref="B87:E87"/>
    <mergeCell ref="A88:F88"/>
    <mergeCell ref="B90:D90"/>
    <mergeCell ref="B77:D77"/>
    <mergeCell ref="B78:D78"/>
    <mergeCell ref="B79:D79"/>
    <mergeCell ref="B83:E83"/>
    <mergeCell ref="A84:F84"/>
    <mergeCell ref="A85:F85"/>
  </mergeCells>
  <dataValidations count="1">
    <dataValidation type="list" allowBlank="1" showInputMessage="1" showErrorMessage="1" sqref="B77:B79 B12:B20 B33:B68" xr:uid="{00000000-0002-0000-20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4">
    <pageSetUpPr fitToPage="1"/>
  </sheetPr>
  <dimension ref="A12:F92"/>
  <sheetViews>
    <sheetView view="pageBreakPreview" topLeftCell="A10" zoomScale="80" zoomScaleNormal="100" zoomScaleSheetLayoutView="80" workbookViewId="0">
      <selection activeCell="B45" sqref="B45:D4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245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246</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247</v>
      </c>
      <c r="C35" s="157"/>
      <c r="D35" s="157"/>
      <c r="E35" s="67">
        <f>2*235</f>
        <v>470</v>
      </c>
      <c r="F35" s="57"/>
    </row>
    <row r="36" spans="1:6" ht="14.25" x14ac:dyDescent="0.2">
      <c r="A36" s="57"/>
      <c r="B36" s="157"/>
      <c r="C36" s="157"/>
      <c r="D36" s="157"/>
      <c r="E36" s="67"/>
      <c r="F36" s="57"/>
    </row>
    <row r="37" spans="1:6" ht="14.25" x14ac:dyDescent="0.2">
      <c r="A37" s="57"/>
      <c r="B37" s="157" t="s">
        <v>248</v>
      </c>
      <c r="C37" s="157"/>
      <c r="D37" s="157"/>
      <c r="E37" s="67">
        <f>0.25*235</f>
        <v>58.75</v>
      </c>
      <c r="F37" s="57"/>
    </row>
    <row r="38" spans="1:6" ht="14.25" x14ac:dyDescent="0.2">
      <c r="A38" s="57"/>
      <c r="B38" s="157"/>
      <c r="C38" s="157"/>
      <c r="D38" s="157"/>
      <c r="E38" s="67"/>
      <c r="F38" s="57"/>
    </row>
    <row r="39" spans="1:6" ht="14.25" x14ac:dyDescent="0.2">
      <c r="A39" s="57"/>
      <c r="B39" s="157" t="s">
        <v>249</v>
      </c>
      <c r="C39" s="157"/>
      <c r="D39" s="157"/>
      <c r="E39" s="67">
        <f>0.5*235</f>
        <v>117.5</v>
      </c>
      <c r="F39" s="57"/>
    </row>
    <row r="40" spans="1:6" ht="14.25" x14ac:dyDescent="0.2">
      <c r="A40" s="57"/>
      <c r="B40" s="157"/>
      <c r="C40" s="157"/>
      <c r="D40" s="157"/>
      <c r="E40" s="67"/>
      <c r="F40" s="57"/>
    </row>
    <row r="41" spans="1:6" ht="14.25" x14ac:dyDescent="0.2">
      <c r="A41" s="57"/>
      <c r="B41" s="157" t="s">
        <v>250</v>
      </c>
      <c r="C41" s="157"/>
      <c r="D41" s="157"/>
      <c r="E41" s="67">
        <f>0.75*235</f>
        <v>176.25</v>
      </c>
      <c r="F41" s="57"/>
    </row>
    <row r="42" spans="1:6" ht="14.25" x14ac:dyDescent="0.2">
      <c r="A42" s="57"/>
      <c r="B42" s="157"/>
      <c r="C42" s="157"/>
      <c r="D42" s="157"/>
      <c r="E42" s="67"/>
      <c r="F42" s="57"/>
    </row>
    <row r="43" spans="1:6" ht="14.25" x14ac:dyDescent="0.2">
      <c r="A43" s="57"/>
      <c r="B43" s="157" t="s">
        <v>251</v>
      </c>
      <c r="C43" s="157"/>
      <c r="D43" s="157"/>
      <c r="E43" s="67">
        <f>0.2*235</f>
        <v>47</v>
      </c>
      <c r="F43" s="57"/>
    </row>
    <row r="44" spans="1:6" ht="14.25" x14ac:dyDescent="0.2">
      <c r="A44" s="57"/>
      <c r="B44" s="157"/>
      <c r="C44" s="157"/>
      <c r="D44" s="157"/>
      <c r="E44" s="67"/>
      <c r="F44" s="57"/>
    </row>
    <row r="45" spans="1:6" ht="14.25" x14ac:dyDescent="0.2">
      <c r="A45" s="57"/>
      <c r="B45" s="157" t="s">
        <v>252</v>
      </c>
      <c r="C45" s="157"/>
      <c r="D45" s="157"/>
      <c r="E45" s="67">
        <f>1.25*235</f>
        <v>293.75</v>
      </c>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68"/>
      <c r="C55" s="68"/>
      <c r="D55" s="68"/>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1163.25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1163.25</v>
      </c>
      <c r="F72" s="57"/>
    </row>
    <row r="73" spans="1:6" ht="13.5" customHeight="1" x14ac:dyDescent="0.2">
      <c r="A73" s="57"/>
      <c r="B73" s="58" t="s">
        <v>6</v>
      </c>
      <c r="C73" s="70">
        <v>0.05</v>
      </c>
      <c r="D73" s="58"/>
      <c r="E73" s="43">
        <f>ROUND(E72*C73,2)</f>
        <v>58.16</v>
      </c>
      <c r="F73" s="57"/>
    </row>
    <row r="74" spans="1:6" ht="13.5" customHeight="1" x14ac:dyDescent="0.2">
      <c r="A74" s="57"/>
      <c r="B74" s="58" t="s">
        <v>5</v>
      </c>
      <c r="C74" s="71">
        <v>9.9750000000000005E-2</v>
      </c>
      <c r="D74" s="58"/>
      <c r="E74" s="44">
        <f>ROUND(E72*C74,2)</f>
        <v>116.03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1337.44</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1337.44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5">
    <mergeCell ref="B87:E87"/>
    <mergeCell ref="A88:F88"/>
    <mergeCell ref="B90:D90"/>
    <mergeCell ref="B77:D77"/>
    <mergeCell ref="B78:D78"/>
    <mergeCell ref="B79:D79"/>
    <mergeCell ref="B83:E83"/>
    <mergeCell ref="A84:F84"/>
    <mergeCell ref="A85:F85"/>
    <mergeCell ref="B68:D68"/>
    <mergeCell ref="B57:D57"/>
    <mergeCell ref="B58:D58"/>
    <mergeCell ref="B59:D59"/>
    <mergeCell ref="B60:D60"/>
    <mergeCell ref="B61:D61"/>
    <mergeCell ref="B62:D62"/>
    <mergeCell ref="B63:D63"/>
    <mergeCell ref="B64:D64"/>
    <mergeCell ref="B65:D65"/>
    <mergeCell ref="B66:D66"/>
    <mergeCell ref="B67:D67"/>
    <mergeCell ref="B56:D56"/>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1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5">
    <pageSetUpPr fitToPage="1"/>
  </sheetPr>
  <dimension ref="A12:F91"/>
  <sheetViews>
    <sheetView view="pageBreakPreview" topLeftCell="A7" zoomScale="80" zoomScaleNormal="100" zoomScaleSheetLayoutView="80" workbookViewId="0">
      <selection activeCell="B37" sqref="B37:D3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253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254</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255</v>
      </c>
      <c r="C35" s="157"/>
      <c r="D35" s="157"/>
      <c r="E35" s="67">
        <f>1.25*235</f>
        <v>293.75</v>
      </c>
      <c r="F35" s="57"/>
    </row>
    <row r="36" spans="1:6" ht="14.25" x14ac:dyDescent="0.2">
      <c r="A36" s="57"/>
      <c r="B36" s="157"/>
      <c r="C36" s="157"/>
      <c r="D36" s="157"/>
      <c r="E36" s="67"/>
      <c r="F36" s="57"/>
    </row>
    <row r="37" spans="1:6" ht="29.25" customHeight="1" x14ac:dyDescent="0.2">
      <c r="A37" s="57"/>
      <c r="B37" s="157" t="s">
        <v>256</v>
      </c>
      <c r="C37" s="157"/>
      <c r="D37" s="157"/>
      <c r="E37" s="67">
        <f>11*235</f>
        <v>2585</v>
      </c>
      <c r="F37" s="57"/>
    </row>
    <row r="38" spans="1:6" ht="14.25" x14ac:dyDescent="0.2">
      <c r="A38" s="57"/>
      <c r="B38" s="157"/>
      <c r="C38" s="157"/>
      <c r="D38" s="157"/>
      <c r="E38" s="67"/>
      <c r="F38" s="57"/>
    </row>
    <row r="39" spans="1:6" ht="14.25" x14ac:dyDescent="0.2">
      <c r="A39" s="57"/>
      <c r="B39" s="157" t="s">
        <v>257</v>
      </c>
      <c r="C39" s="157"/>
      <c r="D39" s="157"/>
      <c r="E39" s="67">
        <f>3.25*235</f>
        <v>763.75</v>
      </c>
      <c r="F39" s="57"/>
    </row>
    <row r="40" spans="1:6" ht="14.25" x14ac:dyDescent="0.2">
      <c r="A40" s="57"/>
      <c r="B40" s="157"/>
      <c r="C40" s="157"/>
      <c r="D40" s="157"/>
      <c r="E40" s="67"/>
      <c r="F40" s="57"/>
    </row>
    <row r="41" spans="1:6" ht="14.25" x14ac:dyDescent="0.2">
      <c r="A41" s="57"/>
      <c r="B41" s="157" t="s">
        <v>258</v>
      </c>
      <c r="C41" s="157"/>
      <c r="D41" s="157"/>
      <c r="E41" s="67">
        <f>0.75*235</f>
        <v>176.25</v>
      </c>
      <c r="F41" s="57"/>
    </row>
    <row r="42" spans="1:6" ht="14.25" x14ac:dyDescent="0.2">
      <c r="A42" s="57"/>
      <c r="B42" s="157"/>
      <c r="C42" s="157"/>
      <c r="D42" s="157"/>
      <c r="E42" s="67"/>
      <c r="F42" s="57"/>
    </row>
    <row r="43" spans="1:6" ht="14.25" x14ac:dyDescent="0.2">
      <c r="A43" s="57"/>
      <c r="B43" s="157" t="s">
        <v>259</v>
      </c>
      <c r="C43" s="157"/>
      <c r="D43" s="157"/>
      <c r="E43" s="67">
        <f>0.2*235</f>
        <v>47</v>
      </c>
      <c r="F43" s="57"/>
    </row>
    <row r="44" spans="1:6" ht="14.25" x14ac:dyDescent="0.2">
      <c r="A44" s="57"/>
      <c r="B44" s="157"/>
      <c r="C44" s="157"/>
      <c r="D44" s="157"/>
      <c r="E44" s="67"/>
      <c r="F44" s="57"/>
    </row>
    <row r="45" spans="1:6" ht="14.25" x14ac:dyDescent="0.2">
      <c r="A45" s="57"/>
      <c r="B45" s="157" t="s">
        <v>260</v>
      </c>
      <c r="C45" s="157"/>
      <c r="D45" s="157"/>
      <c r="E45" s="67">
        <f>0.25*235</f>
        <v>58.75</v>
      </c>
      <c r="F45" s="57"/>
    </row>
    <row r="46" spans="1:6" ht="14.25" x14ac:dyDescent="0.2">
      <c r="A46" s="57"/>
      <c r="B46" s="157"/>
      <c r="C46" s="157"/>
      <c r="D46" s="157"/>
      <c r="E46" s="67"/>
      <c r="F46" s="57"/>
    </row>
    <row r="47" spans="1:6" ht="14.25" x14ac:dyDescent="0.2">
      <c r="A47" s="57"/>
      <c r="B47" s="157" t="s">
        <v>261</v>
      </c>
      <c r="C47" s="157"/>
      <c r="D47" s="157"/>
      <c r="E47" s="67">
        <f>0.5*235</f>
        <v>117.5</v>
      </c>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3.5" customHeight="1" x14ac:dyDescent="0.2">
      <c r="A67" s="57"/>
      <c r="B67" s="157"/>
      <c r="C67" s="157"/>
      <c r="D67" s="157"/>
      <c r="E67" s="67"/>
      <c r="F67" s="57"/>
    </row>
    <row r="68" spans="1:6" ht="13.5" customHeight="1" x14ac:dyDescent="0.2">
      <c r="A68" s="57"/>
      <c r="B68" s="56" t="s">
        <v>45</v>
      </c>
      <c r="C68" s="58"/>
      <c r="D68" s="58"/>
      <c r="E68" s="38">
        <f>SUM(E33:E67)</f>
        <v>4042</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4042</v>
      </c>
      <c r="F71" s="57"/>
    </row>
    <row r="72" spans="1:6" ht="13.5" customHeight="1" x14ac:dyDescent="0.2">
      <c r="A72" s="57"/>
      <c r="B72" s="58" t="s">
        <v>6</v>
      </c>
      <c r="C72" s="70">
        <v>0.05</v>
      </c>
      <c r="D72" s="58"/>
      <c r="E72" s="43">
        <f>ROUND(E71*C72,2)</f>
        <v>202.1</v>
      </c>
      <c r="F72" s="57"/>
    </row>
    <row r="73" spans="1:6" ht="13.5" customHeight="1" x14ac:dyDescent="0.2">
      <c r="A73" s="57"/>
      <c r="B73" s="58" t="s">
        <v>5</v>
      </c>
      <c r="C73" s="71">
        <v>9.9750000000000005E-2</v>
      </c>
      <c r="D73" s="58"/>
      <c r="E73" s="44">
        <f>ROUND(E71*C73,2)</f>
        <v>403.19</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4647.29</v>
      </c>
      <c r="F75" s="57"/>
    </row>
    <row r="76" spans="1:6" ht="15.75" thickTop="1" x14ac:dyDescent="0.2">
      <c r="A76" s="57"/>
      <c r="B76" s="163"/>
      <c r="C76" s="163"/>
      <c r="D76" s="163"/>
      <c r="E76" s="72"/>
      <c r="F76" s="57"/>
    </row>
    <row r="77" spans="1:6" ht="15" x14ac:dyDescent="0.2">
      <c r="A77" s="57"/>
      <c r="B77" s="164" t="s">
        <v>48</v>
      </c>
      <c r="C77" s="164"/>
      <c r="D77" s="164"/>
      <c r="E77" s="72">
        <v>0</v>
      </c>
      <c r="F77" s="57"/>
    </row>
    <row r="78" spans="1:6" ht="15" x14ac:dyDescent="0.2">
      <c r="A78" s="57"/>
      <c r="B78" s="163"/>
      <c r="C78" s="163"/>
      <c r="D78" s="163"/>
      <c r="E78" s="72"/>
      <c r="F78" s="57"/>
    </row>
    <row r="79" spans="1:6" ht="19.5" customHeight="1" x14ac:dyDescent="0.2">
      <c r="A79" s="57"/>
      <c r="B79" s="73" t="s">
        <v>47</v>
      </c>
      <c r="C79" s="74"/>
      <c r="D79" s="74"/>
      <c r="E79" s="75">
        <f>E75-E77</f>
        <v>4647.29</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5"/>
      <c r="C82" s="165"/>
      <c r="D82" s="165"/>
      <c r="E82" s="165"/>
      <c r="F82" s="57"/>
    </row>
    <row r="83" spans="1:6" ht="14.25" x14ac:dyDescent="0.2">
      <c r="A83" s="166" t="s">
        <v>194</v>
      </c>
      <c r="B83" s="166"/>
      <c r="C83" s="166"/>
      <c r="D83" s="166"/>
      <c r="E83" s="166"/>
      <c r="F83" s="166"/>
    </row>
    <row r="84" spans="1:6" ht="14.25" x14ac:dyDescent="0.2">
      <c r="A84" s="167" t="s">
        <v>195</v>
      </c>
      <c r="B84" s="167"/>
      <c r="C84" s="167"/>
      <c r="D84" s="167"/>
      <c r="E84" s="167"/>
      <c r="F84" s="167"/>
    </row>
    <row r="85" spans="1:6" x14ac:dyDescent="0.2">
      <c r="A85" s="57"/>
      <c r="B85" s="57"/>
      <c r="C85" s="57"/>
      <c r="D85" s="57"/>
      <c r="E85" s="57"/>
      <c r="F85" s="57"/>
    </row>
    <row r="86" spans="1:6" x14ac:dyDescent="0.2">
      <c r="A86" s="57"/>
      <c r="B86" s="159"/>
      <c r="C86" s="159"/>
      <c r="D86" s="159"/>
      <c r="E86" s="159"/>
      <c r="F86" s="57"/>
    </row>
    <row r="87" spans="1:6" ht="15" x14ac:dyDescent="0.2">
      <c r="A87" s="160" t="s">
        <v>9</v>
      </c>
      <c r="B87" s="160"/>
      <c r="C87" s="160"/>
      <c r="D87" s="160"/>
      <c r="E87" s="160"/>
      <c r="F87" s="160"/>
    </row>
    <row r="89" spans="1:6" ht="39.75" customHeight="1" x14ac:dyDescent="0.2">
      <c r="B89" s="161"/>
      <c r="C89" s="162"/>
      <c r="D89" s="162"/>
    </row>
    <row r="90" spans="1:6" ht="13.5" customHeight="1" x14ac:dyDescent="0.2"/>
    <row r="91" spans="1:6" x14ac:dyDescent="0.2">
      <c r="B91" s="76"/>
      <c r="C91" s="76"/>
      <c r="D91" s="76"/>
    </row>
  </sheetData>
  <mergeCells count="45">
    <mergeCell ref="B43:D43"/>
    <mergeCell ref="A30:F30"/>
    <mergeCell ref="B33:D33"/>
    <mergeCell ref="B34:D34"/>
    <mergeCell ref="B35:D35"/>
    <mergeCell ref="B36:D36"/>
    <mergeCell ref="B37:D37"/>
    <mergeCell ref="B38:D38"/>
    <mergeCell ref="B39:D39"/>
    <mergeCell ref="B40:D40"/>
    <mergeCell ref="B41:D41"/>
    <mergeCell ref="B42:D42"/>
    <mergeCell ref="B44:D44"/>
    <mergeCell ref="B45:D45"/>
    <mergeCell ref="B46:D46"/>
    <mergeCell ref="B47:D47"/>
    <mergeCell ref="B48:D48"/>
    <mergeCell ref="B61:D61"/>
    <mergeCell ref="B49:D49"/>
    <mergeCell ref="B50:D50"/>
    <mergeCell ref="B51:D51"/>
    <mergeCell ref="B52:D52"/>
    <mergeCell ref="B53:D53"/>
    <mergeCell ref="B55:D55"/>
    <mergeCell ref="B56:D56"/>
    <mergeCell ref="B57:D57"/>
    <mergeCell ref="B58:D58"/>
    <mergeCell ref="B59:D59"/>
    <mergeCell ref="B60:D60"/>
    <mergeCell ref="B86:E86"/>
    <mergeCell ref="A87:F87"/>
    <mergeCell ref="B89:D89"/>
    <mergeCell ref="B54:D54"/>
    <mergeCell ref="B76:D76"/>
    <mergeCell ref="B77:D77"/>
    <mergeCell ref="B78:D78"/>
    <mergeCell ref="B82:E82"/>
    <mergeCell ref="A83:F83"/>
    <mergeCell ref="A84:F84"/>
    <mergeCell ref="B62:D62"/>
    <mergeCell ref="B63:D63"/>
    <mergeCell ref="B64:D64"/>
    <mergeCell ref="B65:D65"/>
    <mergeCell ref="B66:D66"/>
    <mergeCell ref="B67:D67"/>
  </mergeCells>
  <dataValidations count="1">
    <dataValidation type="list" allowBlank="1" showInputMessage="1" showErrorMessage="1" sqref="B76:B78 B12:B20 B33:B67" xr:uid="{00000000-0002-0000-22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6">
    <pageSetUpPr fitToPage="1"/>
  </sheetPr>
  <dimension ref="A12:F92"/>
  <sheetViews>
    <sheetView view="pageBreakPreview" topLeftCell="A16" zoomScale="80" zoomScaleNormal="100" zoomScaleSheetLayoutView="80" workbookViewId="0">
      <selection activeCell="B47" sqref="B47:D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262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263</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264</v>
      </c>
      <c r="C35" s="157"/>
      <c r="D35" s="157"/>
      <c r="E35" s="67">
        <f>0.25*235</f>
        <v>58.75</v>
      </c>
      <c r="F35" s="57"/>
    </row>
    <row r="36" spans="1:6" ht="14.25" x14ac:dyDescent="0.2">
      <c r="A36" s="57"/>
      <c r="B36" s="157"/>
      <c r="C36" s="157"/>
      <c r="D36" s="157"/>
      <c r="E36" s="67"/>
      <c r="F36" s="57"/>
    </row>
    <row r="37" spans="1:6" ht="14.25" x14ac:dyDescent="0.2">
      <c r="A37" s="57"/>
      <c r="B37" s="157" t="s">
        <v>265</v>
      </c>
      <c r="C37" s="157"/>
      <c r="D37" s="157"/>
      <c r="E37" s="67">
        <f>0.75*235</f>
        <v>176.25</v>
      </c>
      <c r="F37" s="57"/>
    </row>
    <row r="38" spans="1:6" ht="14.25" x14ac:dyDescent="0.2">
      <c r="A38" s="57"/>
      <c r="B38" s="157"/>
      <c r="C38" s="157"/>
      <c r="D38" s="157"/>
      <c r="E38" s="67"/>
      <c r="F38" s="57"/>
    </row>
    <row r="39" spans="1:6" ht="14.25" x14ac:dyDescent="0.2">
      <c r="A39" s="57"/>
      <c r="B39" s="157" t="s">
        <v>266</v>
      </c>
      <c r="C39" s="157"/>
      <c r="D39" s="157"/>
      <c r="E39" s="67">
        <f>0.75*235</f>
        <v>176.25</v>
      </c>
      <c r="F39" s="57"/>
    </row>
    <row r="40" spans="1:6" ht="14.25" x14ac:dyDescent="0.2">
      <c r="A40" s="57"/>
      <c r="B40" s="157"/>
      <c r="C40" s="157"/>
      <c r="D40" s="157"/>
      <c r="E40" s="67"/>
      <c r="F40" s="57"/>
    </row>
    <row r="41" spans="1:6" ht="14.25" x14ac:dyDescent="0.2">
      <c r="A41" s="57"/>
      <c r="B41" s="157" t="s">
        <v>267</v>
      </c>
      <c r="C41" s="157"/>
      <c r="D41" s="157"/>
      <c r="E41" s="67">
        <f>0.25*235</f>
        <v>58.75</v>
      </c>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470</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470</v>
      </c>
      <c r="F72" s="57"/>
    </row>
    <row r="73" spans="1:6" ht="13.5" customHeight="1" x14ac:dyDescent="0.2">
      <c r="A73" s="57"/>
      <c r="B73" s="58" t="s">
        <v>6</v>
      </c>
      <c r="C73" s="70">
        <v>0.05</v>
      </c>
      <c r="D73" s="58"/>
      <c r="E73" s="43">
        <f>ROUND(E72*C73,2)</f>
        <v>23.5</v>
      </c>
      <c r="F73" s="57"/>
    </row>
    <row r="74" spans="1:6" ht="13.5" customHeight="1" x14ac:dyDescent="0.2">
      <c r="A74" s="57"/>
      <c r="B74" s="58" t="s">
        <v>5</v>
      </c>
      <c r="C74" s="71">
        <v>9.9750000000000005E-2</v>
      </c>
      <c r="D74" s="58"/>
      <c r="E74" s="44">
        <f>ROUND(E72*C74,2)</f>
        <v>46.88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540.38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540.38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6">
    <mergeCell ref="B87:E87"/>
    <mergeCell ref="A88:F88"/>
    <mergeCell ref="B90:D90"/>
    <mergeCell ref="B51:D51"/>
    <mergeCell ref="B77:D77"/>
    <mergeCell ref="B78:D78"/>
    <mergeCell ref="B79:D79"/>
    <mergeCell ref="B83:E83"/>
    <mergeCell ref="A84:F84"/>
    <mergeCell ref="A85:F85"/>
    <mergeCell ref="B63:D63"/>
    <mergeCell ref="B64:D64"/>
    <mergeCell ref="B65:D65"/>
    <mergeCell ref="B66:D66"/>
    <mergeCell ref="B67:D67"/>
    <mergeCell ref="B68:D68"/>
    <mergeCell ref="B62:D62"/>
    <mergeCell ref="B50:D50"/>
    <mergeCell ref="B52:D52"/>
    <mergeCell ref="B53:D53"/>
    <mergeCell ref="B54:D54"/>
    <mergeCell ref="B55:D55"/>
    <mergeCell ref="B56:D56"/>
    <mergeCell ref="B57:D57"/>
    <mergeCell ref="B58:D58"/>
    <mergeCell ref="B59:D59"/>
    <mergeCell ref="B60:D60"/>
    <mergeCell ref="B61:D61"/>
    <mergeCell ref="B49:D49"/>
    <mergeCell ref="B38:D38"/>
    <mergeCell ref="B39:D39"/>
    <mergeCell ref="B40:D40"/>
    <mergeCell ref="B41:D41"/>
    <mergeCell ref="B42:D42"/>
    <mergeCell ref="B43:D43"/>
    <mergeCell ref="B44:D44"/>
    <mergeCell ref="B45:D45"/>
    <mergeCell ref="B46:D46"/>
    <mergeCell ref="B47:D47"/>
    <mergeCell ref="B48:D48"/>
    <mergeCell ref="B37:D37"/>
    <mergeCell ref="A30:F30"/>
    <mergeCell ref="B33:D33"/>
    <mergeCell ref="B34:D34"/>
    <mergeCell ref="B35:D35"/>
    <mergeCell ref="B36:D36"/>
  </mergeCells>
  <dataValidations count="1">
    <dataValidation type="list" allowBlank="1" showInputMessage="1" showErrorMessage="1" sqref="B77:B79 B12:B20 B33:B68" xr:uid="{00000000-0002-0000-23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7">
    <pageSetUpPr fitToPage="1"/>
  </sheetPr>
  <dimension ref="A12:F92"/>
  <sheetViews>
    <sheetView view="pageBreakPreview" zoomScale="80" zoomScaleNormal="100" zoomScaleSheetLayoutView="80" workbookViewId="0">
      <selection activeCell="E39" sqref="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268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269</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270</v>
      </c>
      <c r="C35" s="157"/>
      <c r="D35" s="157"/>
      <c r="E35" s="67">
        <f>0.75*235</f>
        <v>176.25</v>
      </c>
      <c r="F35" s="57"/>
    </row>
    <row r="36" spans="1:6" ht="14.25" x14ac:dyDescent="0.2">
      <c r="A36" s="57"/>
      <c r="B36" s="157"/>
      <c r="C36" s="157"/>
      <c r="D36" s="157"/>
      <c r="E36" s="67"/>
      <c r="F36" s="57"/>
    </row>
    <row r="37" spans="1:6" ht="14.25" x14ac:dyDescent="0.2">
      <c r="A37" s="57"/>
      <c r="B37" s="157" t="s">
        <v>271</v>
      </c>
      <c r="C37" s="157"/>
      <c r="D37" s="157"/>
      <c r="E37" s="67">
        <f>0.25*235</f>
        <v>58.75</v>
      </c>
      <c r="F37" s="57"/>
    </row>
    <row r="38" spans="1:6" ht="14.25" x14ac:dyDescent="0.2">
      <c r="A38" s="57"/>
      <c r="B38" s="157"/>
      <c r="C38" s="157"/>
      <c r="D38" s="157"/>
      <c r="E38" s="67"/>
      <c r="F38" s="57"/>
    </row>
    <row r="39" spans="1:6" ht="14.25" x14ac:dyDescent="0.2">
      <c r="A39" s="57"/>
      <c r="B39" s="157" t="s">
        <v>272</v>
      </c>
      <c r="C39" s="157"/>
      <c r="D39" s="157"/>
      <c r="E39" s="67">
        <f>8*235</f>
        <v>1880</v>
      </c>
      <c r="F39" s="57"/>
    </row>
    <row r="40" spans="1:6" ht="14.25" x14ac:dyDescent="0.2">
      <c r="A40" s="57"/>
      <c r="B40" s="157"/>
      <c r="C40" s="157"/>
      <c r="D40" s="157"/>
      <c r="E40" s="67"/>
      <c r="F40" s="57"/>
    </row>
    <row r="41" spans="1:6" ht="14.25" x14ac:dyDescent="0.2">
      <c r="A41" s="57"/>
      <c r="B41" s="157"/>
      <c r="C41" s="157"/>
      <c r="D41" s="157"/>
      <c r="E41" s="67"/>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2115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2115</v>
      </c>
      <c r="F72" s="57"/>
    </row>
    <row r="73" spans="1:6" ht="13.5" customHeight="1" x14ac:dyDescent="0.2">
      <c r="A73" s="57"/>
      <c r="B73" s="58" t="s">
        <v>6</v>
      </c>
      <c r="C73" s="70">
        <v>0.05</v>
      </c>
      <c r="D73" s="58"/>
      <c r="E73" s="43">
        <f>ROUND(E72*C73,2)</f>
        <v>105.75</v>
      </c>
      <c r="F73" s="57"/>
    </row>
    <row r="74" spans="1:6" ht="13.5" customHeight="1" x14ac:dyDescent="0.2">
      <c r="A74" s="57"/>
      <c r="B74" s="58" t="s">
        <v>5</v>
      </c>
      <c r="C74" s="71">
        <v>9.9750000000000005E-2</v>
      </c>
      <c r="D74" s="58"/>
      <c r="E74" s="44">
        <f>ROUND(E72*C74,2)</f>
        <v>210.97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2431.7199999999998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2431.7199999999998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24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8">
    <pageSetUpPr fitToPage="1"/>
  </sheetPr>
  <dimension ref="A12:F92"/>
  <sheetViews>
    <sheetView view="pageBreakPreview" zoomScale="80" zoomScaleNormal="100" zoomScaleSheetLayoutView="80" workbookViewId="0">
      <selection activeCell="B58" sqref="B58:D5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273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274</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275</v>
      </c>
      <c r="C35" s="157"/>
      <c r="D35" s="157"/>
      <c r="E35" s="67">
        <f>0.4*235</f>
        <v>94</v>
      </c>
      <c r="F35" s="57"/>
    </row>
    <row r="36" spans="1:6" ht="14.25" x14ac:dyDescent="0.2">
      <c r="A36" s="57"/>
      <c r="B36" s="157"/>
      <c r="C36" s="157"/>
      <c r="D36" s="157"/>
      <c r="E36" s="67"/>
      <c r="F36" s="57"/>
    </row>
    <row r="37" spans="1:6" ht="14.25" x14ac:dyDescent="0.2">
      <c r="A37" s="57"/>
      <c r="B37" s="157" t="s">
        <v>277</v>
      </c>
      <c r="C37" s="157"/>
      <c r="D37" s="157"/>
      <c r="E37" s="67">
        <v>235</v>
      </c>
      <c r="F37" s="57"/>
    </row>
    <row r="38" spans="1:6" ht="14.25" x14ac:dyDescent="0.2">
      <c r="A38" s="57"/>
      <c r="B38" s="157"/>
      <c r="C38" s="157"/>
      <c r="D38" s="157"/>
      <c r="E38" s="67"/>
      <c r="F38" s="57"/>
    </row>
    <row r="39" spans="1:6" ht="14.25" x14ac:dyDescent="0.2">
      <c r="A39" s="57"/>
      <c r="B39" s="157" t="s">
        <v>276</v>
      </c>
      <c r="C39" s="157"/>
      <c r="D39" s="157"/>
      <c r="E39" s="67">
        <f>0.3*235</f>
        <v>70.5</v>
      </c>
      <c r="F39" s="57"/>
    </row>
    <row r="40" spans="1:6" ht="14.25" x14ac:dyDescent="0.2">
      <c r="A40" s="57"/>
      <c r="B40" s="157"/>
      <c r="C40" s="157"/>
      <c r="D40" s="157"/>
      <c r="E40" s="67"/>
      <c r="F40" s="57"/>
    </row>
    <row r="41" spans="1:6" ht="14.25" x14ac:dyDescent="0.2">
      <c r="A41" s="57"/>
      <c r="B41" s="157"/>
      <c r="C41" s="157"/>
      <c r="D41" s="157"/>
      <c r="E41" s="67"/>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399.5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399.5</v>
      </c>
      <c r="F72" s="57"/>
    </row>
    <row r="73" spans="1:6" ht="13.5" customHeight="1" x14ac:dyDescent="0.2">
      <c r="A73" s="57"/>
      <c r="B73" s="58" t="s">
        <v>6</v>
      </c>
      <c r="C73" s="70">
        <v>0.05</v>
      </c>
      <c r="D73" s="58"/>
      <c r="E73" s="43">
        <f>ROUND(E72*C73,2)</f>
        <v>19.98</v>
      </c>
      <c r="F73" s="57"/>
    </row>
    <row r="74" spans="1:6" ht="13.5" customHeight="1" x14ac:dyDescent="0.2">
      <c r="A74" s="57"/>
      <c r="B74" s="58" t="s">
        <v>5</v>
      </c>
      <c r="C74" s="71">
        <v>9.9750000000000005E-2</v>
      </c>
      <c r="D74" s="58"/>
      <c r="E74" s="44">
        <f>ROUND(E72*C74,2)</f>
        <v>39.85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459.33000000000004</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459.33000000000004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5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9">
    <pageSetUpPr fitToPage="1"/>
  </sheetPr>
  <dimension ref="A12:F92"/>
  <sheetViews>
    <sheetView view="pageBreakPreview" zoomScale="80" zoomScaleNormal="100" zoomScaleSheetLayoutView="80" workbookViewId="0">
      <selection activeCell="B55" sqref="B55:D5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278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50</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279</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280</v>
      </c>
      <c r="C35" s="157"/>
      <c r="D35" s="157"/>
      <c r="E35" s="67">
        <f>0.3*235</f>
        <v>70.5</v>
      </c>
      <c r="F35" s="57"/>
    </row>
    <row r="36" spans="1:6" ht="14.25" x14ac:dyDescent="0.2">
      <c r="A36" s="57"/>
      <c r="B36" s="157"/>
      <c r="C36" s="157"/>
      <c r="D36" s="157"/>
      <c r="E36" s="67"/>
      <c r="F36" s="57"/>
    </row>
    <row r="37" spans="1:6" ht="14.25" x14ac:dyDescent="0.2">
      <c r="A37" s="57"/>
      <c r="B37" s="157" t="s">
        <v>282</v>
      </c>
      <c r="C37" s="157"/>
      <c r="D37" s="157"/>
      <c r="E37" s="67">
        <f>1.2*235</f>
        <v>282</v>
      </c>
      <c r="F37" s="57"/>
    </row>
    <row r="38" spans="1:6" ht="14.25" x14ac:dyDescent="0.2">
      <c r="A38" s="57"/>
      <c r="B38" s="157"/>
      <c r="C38" s="157"/>
      <c r="D38" s="157"/>
      <c r="E38" s="67"/>
      <c r="F38" s="57"/>
    </row>
    <row r="39" spans="1:6" ht="14.25" x14ac:dyDescent="0.2">
      <c r="A39" s="57"/>
      <c r="B39" s="157" t="s">
        <v>281</v>
      </c>
      <c r="C39" s="157"/>
      <c r="D39" s="157"/>
      <c r="E39" s="67">
        <f>0.75*235</f>
        <v>176.25</v>
      </c>
      <c r="F39" s="57"/>
    </row>
    <row r="40" spans="1:6" ht="14.25" x14ac:dyDescent="0.2">
      <c r="A40" s="57"/>
      <c r="B40" s="157"/>
      <c r="C40" s="157"/>
      <c r="D40" s="157"/>
      <c r="E40" s="67"/>
      <c r="F40" s="57"/>
    </row>
    <row r="41" spans="1:6" ht="14.25" x14ac:dyDescent="0.2">
      <c r="A41" s="57"/>
      <c r="B41" s="157"/>
      <c r="C41" s="157"/>
      <c r="D41" s="157"/>
      <c r="E41" s="67"/>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528.75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528.75</v>
      </c>
      <c r="F72" s="57"/>
    </row>
    <row r="73" spans="1:6" ht="13.5" customHeight="1" x14ac:dyDescent="0.2">
      <c r="A73" s="57"/>
      <c r="B73" s="58" t="s">
        <v>6</v>
      </c>
      <c r="C73" s="70">
        <v>0.05</v>
      </c>
      <c r="D73" s="58"/>
      <c r="E73" s="43">
        <f>ROUND(E72*C73,2)</f>
        <v>26.44</v>
      </c>
      <c r="F73" s="57"/>
    </row>
    <row r="74" spans="1:6" ht="13.5" customHeight="1" x14ac:dyDescent="0.2">
      <c r="A74" s="57"/>
      <c r="B74" s="58" t="s">
        <v>5</v>
      </c>
      <c r="C74" s="71">
        <v>9.9750000000000005E-2</v>
      </c>
      <c r="D74" s="58"/>
      <c r="E74" s="44">
        <f>ROUND(E72*C74,2)</f>
        <v>52.74</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607.93000000000006</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607.93000000000006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26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2:F98"/>
  <sheetViews>
    <sheetView view="pageBreakPreview" zoomScale="80" zoomScaleNormal="100" zoomScaleSheetLayoutView="80" workbookViewId="0">
      <selection activeCell="E76" sqref="E7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63</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64</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65</v>
      </c>
      <c r="C36" s="149"/>
      <c r="D36" s="149"/>
      <c r="E36" s="37"/>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c r="C39" s="149"/>
      <c r="D39" s="149"/>
      <c r="E39" s="37"/>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c r="C42" s="149"/>
      <c r="D42" s="149"/>
      <c r="E42" s="37"/>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3.75*190</f>
        <v>712.5</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712.5</v>
      </c>
      <c r="F78" s="30"/>
    </row>
    <row r="79" spans="1:6" ht="13.5" customHeight="1" x14ac:dyDescent="0.2">
      <c r="A79" s="30"/>
      <c r="B79" s="35" t="s">
        <v>6</v>
      </c>
      <c r="C79" s="40">
        <v>0.05</v>
      </c>
      <c r="D79" s="35"/>
      <c r="E79" s="43">
        <f>ROUND(E78*C79,2)</f>
        <v>35.630000000000003</v>
      </c>
      <c r="F79" s="30"/>
    </row>
    <row r="80" spans="1:6" ht="13.5" customHeight="1" x14ac:dyDescent="0.2">
      <c r="A80" s="30"/>
      <c r="B80" s="35" t="s">
        <v>5</v>
      </c>
      <c r="C80" s="40">
        <v>9.5000000000000001E-2</v>
      </c>
      <c r="D80" s="35"/>
      <c r="E80" s="44">
        <f>ROUND((E78+E79)*C80,2)</f>
        <v>71.069999999999993</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819.2</v>
      </c>
      <c r="F82" s="30"/>
    </row>
    <row r="83" spans="1:6" ht="15.75" thickTop="1" x14ac:dyDescent="0.2">
      <c r="A83" s="30"/>
      <c r="B83" s="151"/>
      <c r="C83" s="151"/>
      <c r="D83" s="151"/>
      <c r="E83" s="45"/>
      <c r="F83" s="30"/>
    </row>
    <row r="84" spans="1:6" ht="15" x14ac:dyDescent="0.2">
      <c r="A84" s="30"/>
      <c r="B84" s="150" t="s">
        <v>48</v>
      </c>
      <c r="C84" s="150"/>
      <c r="D84" s="150"/>
      <c r="E84" s="45">
        <v>0</v>
      </c>
      <c r="F84" s="30"/>
    </row>
    <row r="85" spans="1:6" ht="15" x14ac:dyDescent="0.2">
      <c r="A85" s="30"/>
      <c r="B85" s="151"/>
      <c r="C85" s="151"/>
      <c r="D85" s="151"/>
      <c r="E85" s="45"/>
      <c r="F85" s="30"/>
    </row>
    <row r="86" spans="1:6" ht="19.5" customHeight="1" x14ac:dyDescent="0.2">
      <c r="A86" s="30"/>
      <c r="B86" s="46" t="s">
        <v>47</v>
      </c>
      <c r="C86" s="47"/>
      <c r="D86" s="47"/>
      <c r="E86" s="48">
        <f>E82-E84</f>
        <v>819.2</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5"/>
      <c r="C89" s="155"/>
      <c r="D89" s="155"/>
      <c r="E89" s="155"/>
      <c r="F89" s="30"/>
    </row>
    <row r="90" spans="1:6" ht="14.25" x14ac:dyDescent="0.2">
      <c r="A90" s="148" t="s">
        <v>49</v>
      </c>
      <c r="B90" s="148"/>
      <c r="C90" s="148"/>
      <c r="D90" s="148"/>
      <c r="E90" s="148"/>
      <c r="F90" s="148"/>
    </row>
    <row r="91" spans="1:6" ht="14.25" x14ac:dyDescent="0.2">
      <c r="A91" s="146" t="s">
        <v>8</v>
      </c>
      <c r="B91" s="146"/>
      <c r="C91" s="146"/>
      <c r="D91" s="146"/>
      <c r="E91" s="146"/>
      <c r="F91" s="146"/>
    </row>
    <row r="92" spans="1:6" x14ac:dyDescent="0.2">
      <c r="A92" s="30"/>
      <c r="B92" s="30"/>
      <c r="C92" s="30"/>
      <c r="D92" s="30"/>
      <c r="E92" s="30"/>
      <c r="F92" s="30"/>
    </row>
    <row r="93" spans="1:6" x14ac:dyDescent="0.2">
      <c r="A93" s="30"/>
      <c r="B93" s="156"/>
      <c r="C93" s="156"/>
      <c r="D93" s="156"/>
      <c r="E93" s="156"/>
      <c r="F93" s="30"/>
    </row>
    <row r="94" spans="1:6" ht="15" x14ac:dyDescent="0.2">
      <c r="A94" s="147" t="s">
        <v>9</v>
      </c>
      <c r="B94" s="147"/>
      <c r="C94" s="147"/>
      <c r="D94" s="147"/>
      <c r="E94" s="147"/>
      <c r="F94" s="147"/>
    </row>
    <row r="96" spans="1:6" ht="39.75" customHeight="1" x14ac:dyDescent="0.2">
      <c r="B96" s="153"/>
      <c r="C96" s="154"/>
      <c r="D96" s="154"/>
    </row>
    <row r="97" spans="2:4" ht="13.5" customHeight="1" x14ac:dyDescent="0.2"/>
    <row r="98" spans="2:4" x14ac:dyDescent="0.2">
      <c r="B98" s="20"/>
      <c r="C98" s="20"/>
      <c r="D98" s="20"/>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3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40">
    <pageSetUpPr fitToPage="1"/>
  </sheetPr>
  <dimension ref="A12:F91"/>
  <sheetViews>
    <sheetView view="pageBreakPreview" zoomScale="80" zoomScaleNormal="100" zoomScaleSheetLayoutView="80" workbookViewId="0">
      <selection activeCell="B26" sqref="B2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283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284</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29.25" customHeight="1" x14ac:dyDescent="0.2">
      <c r="A35" s="57"/>
      <c r="B35" s="157" t="s">
        <v>285</v>
      </c>
      <c r="C35" s="157"/>
      <c r="D35" s="157"/>
      <c r="E35" s="67">
        <f>0.75*235</f>
        <v>176.25</v>
      </c>
      <c r="F35" s="57"/>
    </row>
    <row r="36" spans="1:6" ht="14.25" x14ac:dyDescent="0.2">
      <c r="A36" s="57"/>
      <c r="B36" s="157"/>
      <c r="C36" s="157"/>
      <c r="D36" s="157"/>
      <c r="E36" s="67"/>
      <c r="F36" s="57"/>
    </row>
    <row r="37" spans="1:6" ht="14.25" x14ac:dyDescent="0.2">
      <c r="A37" s="57"/>
      <c r="B37" s="157" t="s">
        <v>276</v>
      </c>
      <c r="C37" s="157"/>
      <c r="D37" s="157"/>
      <c r="E37" s="67">
        <f>0.25*235</f>
        <v>58.75</v>
      </c>
      <c r="F37" s="57"/>
    </row>
    <row r="38" spans="1:6" ht="14.25" x14ac:dyDescent="0.2">
      <c r="A38" s="57"/>
      <c r="B38" s="157"/>
      <c r="C38" s="157"/>
      <c r="D38" s="157"/>
      <c r="E38" s="67"/>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c r="C41" s="157"/>
      <c r="D41" s="157"/>
      <c r="E41" s="67"/>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3.5" customHeight="1" x14ac:dyDescent="0.2">
      <c r="A67" s="57"/>
      <c r="B67" s="157"/>
      <c r="C67" s="157"/>
      <c r="D67" s="157"/>
      <c r="E67" s="67"/>
      <c r="F67" s="57"/>
    </row>
    <row r="68" spans="1:6" ht="13.5" customHeight="1" x14ac:dyDescent="0.2">
      <c r="A68" s="57"/>
      <c r="B68" s="56" t="s">
        <v>45</v>
      </c>
      <c r="C68" s="58"/>
      <c r="D68" s="58"/>
      <c r="E68" s="38">
        <f>SUM(E33:E67)</f>
        <v>235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235</v>
      </c>
      <c r="F71" s="57"/>
    </row>
    <row r="72" spans="1:6" ht="13.5" customHeight="1" x14ac:dyDescent="0.2">
      <c r="A72" s="57"/>
      <c r="B72" s="58" t="s">
        <v>6</v>
      </c>
      <c r="C72" s="70">
        <v>0.05</v>
      </c>
      <c r="D72" s="58"/>
      <c r="E72" s="43">
        <f>ROUND(E71*C72,2)</f>
        <v>11.75</v>
      </c>
      <c r="F72" s="57"/>
    </row>
    <row r="73" spans="1:6" ht="13.5" customHeight="1" x14ac:dyDescent="0.2">
      <c r="A73" s="57"/>
      <c r="B73" s="58" t="s">
        <v>5</v>
      </c>
      <c r="C73" s="71">
        <v>9.9750000000000005E-2</v>
      </c>
      <c r="D73" s="58"/>
      <c r="E73" s="44">
        <f>ROUND(E71*C73,2)</f>
        <v>23.44</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270.19</v>
      </c>
      <c r="F75" s="57"/>
    </row>
    <row r="76" spans="1:6" ht="15.75" thickTop="1" x14ac:dyDescent="0.2">
      <c r="A76" s="57"/>
      <c r="B76" s="163"/>
      <c r="C76" s="163"/>
      <c r="D76" s="163"/>
      <c r="E76" s="72"/>
      <c r="F76" s="57"/>
    </row>
    <row r="77" spans="1:6" ht="15" x14ac:dyDescent="0.2">
      <c r="A77" s="57"/>
      <c r="B77" s="164" t="s">
        <v>48</v>
      </c>
      <c r="C77" s="164"/>
      <c r="D77" s="164"/>
      <c r="E77" s="72">
        <v>0</v>
      </c>
      <c r="F77" s="57"/>
    </row>
    <row r="78" spans="1:6" ht="15" x14ac:dyDescent="0.2">
      <c r="A78" s="57"/>
      <c r="B78" s="163"/>
      <c r="C78" s="163"/>
      <c r="D78" s="163"/>
      <c r="E78" s="72"/>
      <c r="F78" s="57"/>
    </row>
    <row r="79" spans="1:6" ht="19.5" customHeight="1" x14ac:dyDescent="0.2">
      <c r="A79" s="57"/>
      <c r="B79" s="73" t="s">
        <v>47</v>
      </c>
      <c r="C79" s="74"/>
      <c r="D79" s="74"/>
      <c r="E79" s="75">
        <f>E75-E77</f>
        <v>270.19</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5"/>
      <c r="C82" s="165"/>
      <c r="D82" s="165"/>
      <c r="E82" s="165"/>
      <c r="F82" s="57"/>
    </row>
    <row r="83" spans="1:6" ht="14.25" x14ac:dyDescent="0.2">
      <c r="A83" s="166" t="s">
        <v>194</v>
      </c>
      <c r="B83" s="166"/>
      <c r="C83" s="166"/>
      <c r="D83" s="166"/>
      <c r="E83" s="166"/>
      <c r="F83" s="166"/>
    </row>
    <row r="84" spans="1:6" ht="14.25" x14ac:dyDescent="0.2">
      <c r="A84" s="167" t="s">
        <v>195</v>
      </c>
      <c r="B84" s="167"/>
      <c r="C84" s="167"/>
      <c r="D84" s="167"/>
      <c r="E84" s="167"/>
      <c r="F84" s="167"/>
    </row>
    <row r="85" spans="1:6" x14ac:dyDescent="0.2">
      <c r="A85" s="57"/>
      <c r="B85" s="57"/>
      <c r="C85" s="57"/>
      <c r="D85" s="57"/>
      <c r="E85" s="57"/>
      <c r="F85" s="57"/>
    </row>
    <row r="86" spans="1:6" x14ac:dyDescent="0.2">
      <c r="A86" s="57"/>
      <c r="B86" s="159"/>
      <c r="C86" s="159"/>
      <c r="D86" s="159"/>
      <c r="E86" s="159"/>
      <c r="F86" s="57"/>
    </row>
    <row r="87" spans="1:6" ht="15" x14ac:dyDescent="0.2">
      <c r="A87" s="160" t="s">
        <v>9</v>
      </c>
      <c r="B87" s="160"/>
      <c r="C87" s="160"/>
      <c r="D87" s="160"/>
      <c r="E87" s="160"/>
      <c r="F87" s="160"/>
    </row>
    <row r="89" spans="1:6" ht="39.75" customHeight="1" x14ac:dyDescent="0.2">
      <c r="B89" s="161"/>
      <c r="C89" s="162"/>
      <c r="D89" s="162"/>
    </row>
    <row r="90" spans="1:6" ht="13.5" customHeight="1" x14ac:dyDescent="0.2"/>
    <row r="91" spans="1:6" x14ac:dyDescent="0.2">
      <c r="B91" s="76"/>
      <c r="C91" s="76"/>
      <c r="D91" s="76"/>
    </row>
  </sheetData>
  <mergeCells count="45">
    <mergeCell ref="A84:F84"/>
    <mergeCell ref="B86:E86"/>
    <mergeCell ref="A87:F87"/>
    <mergeCell ref="B89:D89"/>
    <mergeCell ref="B67:D67"/>
    <mergeCell ref="B76:D76"/>
    <mergeCell ref="B77:D77"/>
    <mergeCell ref="B78:D78"/>
    <mergeCell ref="B82:E82"/>
    <mergeCell ref="A83:F83"/>
    <mergeCell ref="B66:D66"/>
    <mergeCell ref="B55:D55"/>
    <mergeCell ref="B56:D56"/>
    <mergeCell ref="B57:D57"/>
    <mergeCell ref="B58:D58"/>
    <mergeCell ref="B59:D59"/>
    <mergeCell ref="B60:D60"/>
    <mergeCell ref="B61:D61"/>
    <mergeCell ref="B62:D62"/>
    <mergeCell ref="B63:D63"/>
    <mergeCell ref="B64:D64"/>
    <mergeCell ref="B65:D65"/>
    <mergeCell ref="B54:D54"/>
    <mergeCell ref="B43:D43"/>
    <mergeCell ref="B44:D44"/>
    <mergeCell ref="B45:D45"/>
    <mergeCell ref="B46:D46"/>
    <mergeCell ref="B47:D47"/>
    <mergeCell ref="B48:D48"/>
    <mergeCell ref="B49:D49"/>
    <mergeCell ref="B50:D50"/>
    <mergeCell ref="B51:D51"/>
    <mergeCell ref="B52:D52"/>
    <mergeCell ref="B53:D53"/>
    <mergeCell ref="B38:D38"/>
    <mergeCell ref="B39:D39"/>
    <mergeCell ref="B40:D40"/>
    <mergeCell ref="B41:D41"/>
    <mergeCell ref="B42:D42"/>
    <mergeCell ref="B37:D37"/>
    <mergeCell ref="A30:F30"/>
    <mergeCell ref="B33:D33"/>
    <mergeCell ref="B34:D34"/>
    <mergeCell ref="B35:D35"/>
    <mergeCell ref="B36:D36"/>
  </mergeCells>
  <dataValidations count="1">
    <dataValidation type="list" allowBlank="1" showInputMessage="1" showErrorMessage="1" sqref="B76:B78 B12:B20 B33:B67" xr:uid="{00000000-0002-0000-27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41">
    <pageSetUpPr fitToPage="1"/>
  </sheetPr>
  <dimension ref="A12:F92"/>
  <sheetViews>
    <sheetView view="pageBreakPreview" topLeftCell="A26" zoomScale="80" zoomScaleNormal="100" zoomScaleSheetLayoutView="80" workbookViewId="0">
      <selection activeCell="B40" sqref="B40:D4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287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288</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289</v>
      </c>
      <c r="C35" s="157"/>
      <c r="D35" s="157"/>
      <c r="E35" s="67">
        <f>0.25*245</f>
        <v>61.25</v>
      </c>
      <c r="F35" s="57"/>
    </row>
    <row r="36" spans="1:6" ht="14.25" x14ac:dyDescent="0.2">
      <c r="A36" s="57"/>
      <c r="B36" s="157"/>
      <c r="C36" s="157"/>
      <c r="D36" s="157"/>
      <c r="E36" s="67"/>
      <c r="F36" s="57"/>
    </row>
    <row r="37" spans="1:6" ht="14.25" x14ac:dyDescent="0.2">
      <c r="A37" s="57"/>
      <c r="B37" s="157" t="s">
        <v>290</v>
      </c>
      <c r="C37" s="157"/>
      <c r="D37" s="157"/>
      <c r="E37" s="67">
        <f>0.4*245</f>
        <v>98</v>
      </c>
      <c r="F37" s="57"/>
    </row>
    <row r="38" spans="1:6" ht="14.25" x14ac:dyDescent="0.2">
      <c r="A38" s="57"/>
      <c r="B38" s="157"/>
      <c r="C38" s="157"/>
      <c r="D38" s="157"/>
      <c r="E38" s="67"/>
      <c r="F38" s="57"/>
    </row>
    <row r="39" spans="1:6" ht="14.25" x14ac:dyDescent="0.2">
      <c r="A39" s="57"/>
      <c r="B39" s="157" t="s">
        <v>291</v>
      </c>
      <c r="C39" s="157"/>
      <c r="D39" s="157"/>
      <c r="E39" s="67">
        <f>0.75*245</f>
        <v>183.75</v>
      </c>
      <c r="F39" s="57"/>
    </row>
    <row r="40" spans="1:6" ht="14.25" x14ac:dyDescent="0.2">
      <c r="A40" s="57"/>
      <c r="B40" s="157"/>
      <c r="C40" s="157"/>
      <c r="D40" s="157"/>
      <c r="E40" s="67"/>
      <c r="F40" s="57"/>
    </row>
    <row r="41" spans="1:6" ht="14.25" x14ac:dyDescent="0.2">
      <c r="A41" s="57"/>
      <c r="B41" s="157"/>
      <c r="C41" s="157"/>
      <c r="D41" s="157"/>
      <c r="E41" s="67"/>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343</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343</v>
      </c>
      <c r="F72" s="57"/>
    </row>
    <row r="73" spans="1:6" ht="13.5" customHeight="1" x14ac:dyDescent="0.2">
      <c r="A73" s="57"/>
      <c r="B73" s="58" t="s">
        <v>6</v>
      </c>
      <c r="C73" s="70">
        <v>0.05</v>
      </c>
      <c r="D73" s="58"/>
      <c r="E73" s="43">
        <f>ROUND(E72*C73,2)</f>
        <v>17.149999999999999</v>
      </c>
      <c r="F73" s="57"/>
    </row>
    <row r="74" spans="1:6" ht="13.5" customHeight="1" x14ac:dyDescent="0.2">
      <c r="A74" s="57"/>
      <c r="B74" s="58" t="s">
        <v>5</v>
      </c>
      <c r="C74" s="71">
        <v>9.9750000000000005E-2</v>
      </c>
      <c r="D74" s="58"/>
      <c r="E74" s="44">
        <f>ROUND(E72*C74,2)</f>
        <v>34.21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394.35999999999996</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394.35999999999996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6">
    <mergeCell ref="B87:E87"/>
    <mergeCell ref="A88:F88"/>
    <mergeCell ref="B90:D90"/>
    <mergeCell ref="B41:D41"/>
    <mergeCell ref="B77:D77"/>
    <mergeCell ref="B78:D78"/>
    <mergeCell ref="B79:D79"/>
    <mergeCell ref="B83:E83"/>
    <mergeCell ref="A84:F84"/>
    <mergeCell ref="A85:F85"/>
    <mergeCell ref="B63:D63"/>
    <mergeCell ref="B64:D64"/>
    <mergeCell ref="B65:D65"/>
    <mergeCell ref="B66:D66"/>
    <mergeCell ref="B67:D67"/>
    <mergeCell ref="B68:D68"/>
    <mergeCell ref="B62:D62"/>
    <mergeCell ref="B51:D51"/>
    <mergeCell ref="B52:D52"/>
    <mergeCell ref="B53:D53"/>
    <mergeCell ref="B54:D54"/>
    <mergeCell ref="B55:D55"/>
    <mergeCell ref="B56:D56"/>
    <mergeCell ref="B57:D57"/>
    <mergeCell ref="B58:D58"/>
    <mergeCell ref="B59:D59"/>
    <mergeCell ref="B60:D60"/>
    <mergeCell ref="B61:D61"/>
    <mergeCell ref="B50:D50"/>
    <mergeCell ref="B38:D38"/>
    <mergeCell ref="B39:D39"/>
    <mergeCell ref="B40:D40"/>
    <mergeCell ref="B42:D42"/>
    <mergeCell ref="B43:D43"/>
    <mergeCell ref="B44:D44"/>
    <mergeCell ref="B45:D45"/>
    <mergeCell ref="B46:D46"/>
    <mergeCell ref="B47:D47"/>
    <mergeCell ref="B48:D48"/>
    <mergeCell ref="B49:D49"/>
    <mergeCell ref="B37:D37"/>
    <mergeCell ref="A30:F30"/>
    <mergeCell ref="B33:D33"/>
    <mergeCell ref="B34:D34"/>
    <mergeCell ref="B35:D35"/>
    <mergeCell ref="B36:D36"/>
  </mergeCells>
  <dataValidations count="1">
    <dataValidation type="list" allowBlank="1" showInputMessage="1" showErrorMessage="1" sqref="B77:B79 B12:B20 B33:B68" xr:uid="{00000000-0002-0000-28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42">
    <pageSetUpPr fitToPage="1"/>
  </sheetPr>
  <dimension ref="A12:F92"/>
  <sheetViews>
    <sheetView view="pageBreakPreview" topLeftCell="A20" zoomScale="80" zoomScaleNormal="100" zoomScaleSheetLayoutView="80" workbookViewId="0">
      <selection activeCell="E38" sqref="E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292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293</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294</v>
      </c>
      <c r="C35" s="157"/>
      <c r="D35" s="157"/>
      <c r="E35" s="67">
        <f>0.4*245</f>
        <v>98</v>
      </c>
      <c r="F35" s="57"/>
    </row>
    <row r="36" spans="1:6" ht="14.25" x14ac:dyDescent="0.2">
      <c r="A36" s="57"/>
      <c r="B36" s="157"/>
      <c r="C36" s="157"/>
      <c r="D36" s="157"/>
      <c r="E36" s="67"/>
      <c r="F36" s="57"/>
    </row>
    <row r="37" spans="1:6" ht="14.25" x14ac:dyDescent="0.2">
      <c r="A37" s="57"/>
      <c r="B37" s="157" t="s">
        <v>295</v>
      </c>
      <c r="C37" s="157"/>
      <c r="D37" s="157"/>
      <c r="E37" s="67">
        <f>10*245</f>
        <v>2450</v>
      </c>
      <c r="F37" s="57"/>
    </row>
    <row r="38" spans="1:6" ht="14.25" x14ac:dyDescent="0.2">
      <c r="A38" s="57"/>
      <c r="B38" s="157"/>
      <c r="C38" s="157"/>
      <c r="D38" s="157"/>
      <c r="E38" s="67"/>
      <c r="F38" s="57"/>
    </row>
    <row r="39" spans="1:6" ht="14.25" x14ac:dyDescent="0.2">
      <c r="A39" s="57"/>
      <c r="B39" s="157" t="s">
        <v>296</v>
      </c>
      <c r="C39" s="157"/>
      <c r="D39" s="157"/>
      <c r="E39" s="67">
        <f>0.5*245</f>
        <v>122.5</v>
      </c>
      <c r="F39" s="57"/>
    </row>
    <row r="40" spans="1:6" ht="14.25" x14ac:dyDescent="0.2">
      <c r="A40" s="57"/>
      <c r="B40" s="157"/>
      <c r="C40" s="157"/>
      <c r="D40" s="157"/>
      <c r="E40" s="67"/>
      <c r="F40" s="57"/>
    </row>
    <row r="41" spans="1:6" ht="14.25" x14ac:dyDescent="0.2">
      <c r="A41" s="57"/>
      <c r="B41" s="157" t="s">
        <v>297</v>
      </c>
      <c r="C41" s="157"/>
      <c r="D41" s="157"/>
      <c r="E41" s="67">
        <f>0.3*245</f>
        <v>73.5</v>
      </c>
      <c r="F41" s="57"/>
    </row>
    <row r="42" spans="1:6" ht="14.25" x14ac:dyDescent="0.2">
      <c r="A42" s="57"/>
      <c r="B42" s="157"/>
      <c r="C42" s="157"/>
      <c r="D42" s="157"/>
      <c r="E42" s="67"/>
      <c r="F42" s="57"/>
    </row>
    <row r="43" spans="1:6" ht="14.25" x14ac:dyDescent="0.2">
      <c r="A43" s="57"/>
      <c r="B43" s="157" t="s">
        <v>298</v>
      </c>
      <c r="C43" s="157"/>
      <c r="D43" s="157"/>
      <c r="E43" s="67">
        <f>0.25*245</f>
        <v>61.25</v>
      </c>
      <c r="F43" s="57"/>
    </row>
    <row r="44" spans="1:6" ht="14.25" x14ac:dyDescent="0.2">
      <c r="A44" s="57"/>
      <c r="B44" s="157"/>
      <c r="C44" s="157"/>
      <c r="D44" s="157"/>
      <c r="E44" s="67"/>
      <c r="F44" s="57"/>
    </row>
    <row r="45" spans="1:6" ht="14.25" x14ac:dyDescent="0.2">
      <c r="A45" s="57"/>
      <c r="B45" s="157" t="s">
        <v>299</v>
      </c>
      <c r="C45" s="157"/>
      <c r="D45" s="157"/>
      <c r="E45" s="67">
        <f>0.3*245</f>
        <v>73.5</v>
      </c>
      <c r="F45" s="57"/>
    </row>
    <row r="46" spans="1:6" ht="14.25" x14ac:dyDescent="0.2">
      <c r="A46" s="57"/>
      <c r="B46" s="157"/>
      <c r="C46" s="157"/>
      <c r="D46" s="157"/>
      <c r="E46" s="67"/>
      <c r="F46" s="57"/>
    </row>
    <row r="47" spans="1:6" ht="14.25" x14ac:dyDescent="0.2">
      <c r="A47" s="57"/>
      <c r="B47" s="157" t="s">
        <v>300</v>
      </c>
      <c r="C47" s="157"/>
      <c r="D47" s="157"/>
      <c r="E47" s="67">
        <f>2*245</f>
        <v>490</v>
      </c>
      <c r="F47" s="57"/>
    </row>
    <row r="48" spans="1:6" ht="14.25" x14ac:dyDescent="0.2">
      <c r="A48" s="57"/>
      <c r="B48" s="157"/>
      <c r="C48" s="157"/>
      <c r="D48" s="157"/>
      <c r="E48" s="67"/>
      <c r="F48" s="57"/>
    </row>
    <row r="49" spans="1:6" ht="14.25" x14ac:dyDescent="0.2">
      <c r="A49" s="57"/>
      <c r="B49" s="157" t="s">
        <v>301</v>
      </c>
      <c r="C49" s="157"/>
      <c r="D49" s="157"/>
      <c r="E49" s="67">
        <f>0.4*245</f>
        <v>98</v>
      </c>
      <c r="F49" s="57"/>
    </row>
    <row r="50" spans="1:6" ht="14.25" x14ac:dyDescent="0.2">
      <c r="A50" s="57"/>
      <c r="B50" s="157"/>
      <c r="C50" s="157"/>
      <c r="D50" s="157"/>
      <c r="E50" s="67"/>
      <c r="F50" s="57"/>
    </row>
    <row r="51" spans="1:6" ht="14.25" x14ac:dyDescent="0.2">
      <c r="A51" s="57"/>
      <c r="B51" s="157" t="s">
        <v>302</v>
      </c>
      <c r="C51" s="157"/>
      <c r="D51" s="157"/>
      <c r="E51" s="67">
        <f>0.5*245</f>
        <v>122.5</v>
      </c>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3589.25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3589.25</v>
      </c>
      <c r="F72" s="57"/>
    </row>
    <row r="73" spans="1:6" ht="13.5" customHeight="1" x14ac:dyDescent="0.2">
      <c r="A73" s="57"/>
      <c r="B73" s="58" t="s">
        <v>6</v>
      </c>
      <c r="C73" s="70">
        <v>0.05</v>
      </c>
      <c r="D73" s="58"/>
      <c r="E73" s="43">
        <f>ROUND(E72*C73,2)</f>
        <v>179.46</v>
      </c>
      <c r="F73" s="57"/>
    </row>
    <row r="74" spans="1:6" ht="13.5" customHeight="1" x14ac:dyDescent="0.2">
      <c r="A74" s="57"/>
      <c r="B74" s="58" t="s">
        <v>5</v>
      </c>
      <c r="C74" s="71">
        <v>9.9750000000000005E-2</v>
      </c>
      <c r="D74" s="58"/>
      <c r="E74" s="44">
        <f>ROUND(E72*C74,2)</f>
        <v>358.03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4126.74</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4126.74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6">
    <mergeCell ref="B43:D43"/>
    <mergeCell ref="A30:F30"/>
    <mergeCell ref="B33:D33"/>
    <mergeCell ref="B34:D34"/>
    <mergeCell ref="B35:D35"/>
    <mergeCell ref="B36:D36"/>
    <mergeCell ref="B37:D37"/>
    <mergeCell ref="B38:D38"/>
    <mergeCell ref="B39:D39"/>
    <mergeCell ref="B40:D40"/>
    <mergeCell ref="B41:D41"/>
    <mergeCell ref="B42:D42"/>
    <mergeCell ref="B55:D55"/>
    <mergeCell ref="B44:D44"/>
    <mergeCell ref="B45:D45"/>
    <mergeCell ref="B46:D46"/>
    <mergeCell ref="B47:D47"/>
    <mergeCell ref="B48:D48"/>
    <mergeCell ref="B49:D49"/>
    <mergeCell ref="B50:D50"/>
    <mergeCell ref="B51:D51"/>
    <mergeCell ref="B52:D52"/>
    <mergeCell ref="B53:D53"/>
    <mergeCell ref="B54:D54"/>
    <mergeCell ref="B67:D67"/>
    <mergeCell ref="B56:D56"/>
    <mergeCell ref="B57:D57"/>
    <mergeCell ref="B58:D58"/>
    <mergeCell ref="B59:D59"/>
    <mergeCell ref="B60:D60"/>
    <mergeCell ref="B61:D61"/>
    <mergeCell ref="B62:D62"/>
    <mergeCell ref="B63:D63"/>
    <mergeCell ref="B64:D64"/>
    <mergeCell ref="B65:D65"/>
    <mergeCell ref="B66:D66"/>
    <mergeCell ref="A85:F85"/>
    <mergeCell ref="B87:E87"/>
    <mergeCell ref="A88:F88"/>
    <mergeCell ref="B90:D90"/>
    <mergeCell ref="B68:D68"/>
    <mergeCell ref="B77:D77"/>
    <mergeCell ref="B78:D78"/>
    <mergeCell ref="B79:D79"/>
    <mergeCell ref="B83:E83"/>
    <mergeCell ref="A84:F84"/>
  </mergeCells>
  <dataValidations count="1">
    <dataValidation type="list" allowBlank="1" showInputMessage="1" showErrorMessage="1" sqref="B77:B79 B12:B20 B33:B68" xr:uid="{00000000-0002-0000-29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3">
    <pageSetUpPr fitToPage="1"/>
  </sheetPr>
  <dimension ref="A12:F91"/>
  <sheetViews>
    <sheetView view="pageBreakPreview" zoomScale="80" zoomScaleNormal="100" zoomScaleSheetLayoutView="80" workbookViewId="0">
      <selection activeCell="E35" sqref="E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305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293</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28.5" customHeight="1" x14ac:dyDescent="0.2">
      <c r="A35" s="57"/>
      <c r="B35" s="157" t="s">
        <v>303</v>
      </c>
      <c r="C35" s="157"/>
      <c r="D35" s="157"/>
      <c r="E35" s="67">
        <f>6.25*245</f>
        <v>1531.25</v>
      </c>
      <c r="F35" s="57"/>
    </row>
    <row r="36" spans="1:6" ht="14.25" x14ac:dyDescent="0.2">
      <c r="A36" s="57"/>
      <c r="B36" s="157"/>
      <c r="C36" s="157"/>
      <c r="D36" s="157"/>
      <c r="E36" s="67"/>
      <c r="F36" s="57"/>
    </row>
    <row r="37" spans="1:6" ht="14.25" x14ac:dyDescent="0.2">
      <c r="A37" s="57"/>
      <c r="B37" s="157" t="s">
        <v>304</v>
      </c>
      <c r="C37" s="157"/>
      <c r="D37" s="157"/>
      <c r="E37" s="67">
        <f>0.25*245</f>
        <v>61.25</v>
      </c>
      <c r="F37" s="57"/>
    </row>
    <row r="38" spans="1:6" ht="14.25" x14ac:dyDescent="0.2">
      <c r="A38" s="57"/>
      <c r="B38" s="157"/>
      <c r="C38" s="157"/>
      <c r="D38" s="157"/>
      <c r="E38" s="67"/>
      <c r="F38" s="57"/>
    </row>
    <row r="39" spans="1:6" ht="14.25" x14ac:dyDescent="0.2">
      <c r="A39" s="57"/>
      <c r="B39" s="157"/>
      <c r="C39" s="157"/>
      <c r="D39" s="157"/>
      <c r="E39" s="67"/>
      <c r="F39" s="57"/>
    </row>
    <row r="40" spans="1:6" ht="14.25" x14ac:dyDescent="0.2">
      <c r="A40" s="57"/>
      <c r="B40" s="157"/>
      <c r="C40" s="157"/>
      <c r="D40" s="157"/>
      <c r="E40" s="67"/>
      <c r="F40" s="57"/>
    </row>
    <row r="41" spans="1:6" ht="14.25" x14ac:dyDescent="0.2">
      <c r="A41" s="57"/>
      <c r="B41" s="157"/>
      <c r="C41" s="157"/>
      <c r="D41" s="157"/>
      <c r="E41" s="67"/>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3.5" customHeight="1" x14ac:dyDescent="0.2">
      <c r="A67" s="57"/>
      <c r="B67" s="157"/>
      <c r="C67" s="157"/>
      <c r="D67" s="157"/>
      <c r="E67" s="67"/>
      <c r="F67" s="57"/>
    </row>
    <row r="68" spans="1:6" ht="13.5" customHeight="1" x14ac:dyDescent="0.2">
      <c r="A68" s="57"/>
      <c r="B68" s="56" t="s">
        <v>45</v>
      </c>
      <c r="C68" s="58"/>
      <c r="D68" s="58"/>
      <c r="E68" s="38">
        <f>SUM(E33:E67)</f>
        <v>1592.5</v>
      </c>
      <c r="F68" s="57"/>
    </row>
    <row r="69" spans="1:6" ht="13.5" customHeight="1" x14ac:dyDescent="0.2">
      <c r="A69" s="57"/>
      <c r="B69" s="69" t="s">
        <v>42</v>
      </c>
      <c r="C69" s="58"/>
      <c r="D69" s="58"/>
      <c r="E69" s="39">
        <v>0</v>
      </c>
      <c r="F69" s="57"/>
    </row>
    <row r="70" spans="1:6" ht="13.5" customHeight="1" x14ac:dyDescent="0.2">
      <c r="A70" s="57"/>
      <c r="B70" s="69" t="s">
        <v>43</v>
      </c>
      <c r="C70" s="58"/>
      <c r="D70" s="58"/>
      <c r="E70" s="39">
        <v>0</v>
      </c>
      <c r="F70" s="57"/>
    </row>
    <row r="71" spans="1:6" ht="13.5" customHeight="1" x14ac:dyDescent="0.2">
      <c r="A71" s="57"/>
      <c r="B71" s="56" t="s">
        <v>44</v>
      </c>
      <c r="C71" s="58"/>
      <c r="D71" s="58"/>
      <c r="E71" s="38">
        <f>SUM(E68:E70)</f>
        <v>1592.5</v>
      </c>
      <c r="F71" s="57"/>
    </row>
    <row r="72" spans="1:6" ht="13.5" customHeight="1" x14ac:dyDescent="0.2">
      <c r="A72" s="57"/>
      <c r="B72" s="58" t="s">
        <v>6</v>
      </c>
      <c r="C72" s="70">
        <v>0.05</v>
      </c>
      <c r="D72" s="58"/>
      <c r="E72" s="43">
        <f>ROUND(E71*C72,2)</f>
        <v>79.63</v>
      </c>
      <c r="F72" s="57"/>
    </row>
    <row r="73" spans="1:6" ht="13.5" customHeight="1" x14ac:dyDescent="0.2">
      <c r="A73" s="57"/>
      <c r="B73" s="58" t="s">
        <v>5</v>
      </c>
      <c r="C73" s="71">
        <v>9.9750000000000005E-2</v>
      </c>
      <c r="D73" s="58"/>
      <c r="E73" s="44">
        <f>ROUND(E71*C73,2)</f>
        <v>158.85</v>
      </c>
      <c r="F73" s="57"/>
    </row>
    <row r="74" spans="1:6" ht="13.5" customHeight="1" x14ac:dyDescent="0.2">
      <c r="A74" s="57"/>
      <c r="B74" s="58"/>
      <c r="C74" s="58"/>
      <c r="D74" s="58"/>
      <c r="E74" s="58"/>
      <c r="F74" s="57"/>
    </row>
    <row r="75" spans="1:6" ht="16.5" customHeight="1" thickBot="1" x14ac:dyDescent="0.25">
      <c r="A75" s="57"/>
      <c r="B75" s="56" t="s">
        <v>46</v>
      </c>
      <c r="C75" s="58"/>
      <c r="D75" s="58"/>
      <c r="E75" s="41">
        <f>SUM(E71:E73)</f>
        <v>1830.98</v>
      </c>
      <c r="F75" s="57"/>
    </row>
    <row r="76" spans="1:6" ht="15.75" thickTop="1" x14ac:dyDescent="0.2">
      <c r="A76" s="57"/>
      <c r="B76" s="163"/>
      <c r="C76" s="163"/>
      <c r="D76" s="163"/>
      <c r="E76" s="72"/>
      <c r="F76" s="57"/>
    </row>
    <row r="77" spans="1:6" ht="15" x14ac:dyDescent="0.2">
      <c r="A77" s="57"/>
      <c r="B77" s="164" t="s">
        <v>48</v>
      </c>
      <c r="C77" s="164"/>
      <c r="D77" s="164"/>
      <c r="E77" s="72">
        <v>0</v>
      </c>
      <c r="F77" s="57"/>
    </row>
    <row r="78" spans="1:6" ht="15" x14ac:dyDescent="0.2">
      <c r="A78" s="57"/>
      <c r="B78" s="163"/>
      <c r="C78" s="163"/>
      <c r="D78" s="163"/>
      <c r="E78" s="72"/>
      <c r="F78" s="57"/>
    </row>
    <row r="79" spans="1:6" ht="19.5" customHeight="1" x14ac:dyDescent="0.2">
      <c r="A79" s="57"/>
      <c r="B79" s="73" t="s">
        <v>47</v>
      </c>
      <c r="C79" s="74"/>
      <c r="D79" s="74"/>
      <c r="E79" s="75">
        <f>E75-E77</f>
        <v>1830.98</v>
      </c>
      <c r="F79" s="57"/>
    </row>
    <row r="80" spans="1:6" ht="13.5" customHeight="1" x14ac:dyDescent="0.2">
      <c r="A80" s="57"/>
      <c r="B80" s="57"/>
      <c r="C80" s="57"/>
      <c r="D80" s="57"/>
      <c r="E80" s="57"/>
      <c r="F80" s="57"/>
    </row>
    <row r="81" spans="1:6" x14ac:dyDescent="0.2">
      <c r="A81" s="57"/>
      <c r="B81" s="57"/>
      <c r="C81" s="57"/>
      <c r="D81" s="57"/>
      <c r="E81" s="57"/>
      <c r="F81" s="57"/>
    </row>
    <row r="82" spans="1:6" x14ac:dyDescent="0.2">
      <c r="A82" s="57"/>
      <c r="B82" s="165"/>
      <c r="C82" s="165"/>
      <c r="D82" s="165"/>
      <c r="E82" s="165"/>
      <c r="F82" s="57"/>
    </row>
    <row r="83" spans="1:6" ht="14.25" x14ac:dyDescent="0.2">
      <c r="A83" s="166" t="s">
        <v>194</v>
      </c>
      <c r="B83" s="166"/>
      <c r="C83" s="166"/>
      <c r="D83" s="166"/>
      <c r="E83" s="166"/>
      <c r="F83" s="166"/>
    </row>
    <row r="84" spans="1:6" ht="14.25" x14ac:dyDescent="0.2">
      <c r="A84" s="167" t="s">
        <v>195</v>
      </c>
      <c r="B84" s="167"/>
      <c r="C84" s="167"/>
      <c r="D84" s="167"/>
      <c r="E84" s="167"/>
      <c r="F84" s="167"/>
    </row>
    <row r="85" spans="1:6" x14ac:dyDescent="0.2">
      <c r="A85" s="57"/>
      <c r="B85" s="57"/>
      <c r="C85" s="57"/>
      <c r="D85" s="57"/>
      <c r="E85" s="57"/>
      <c r="F85" s="57"/>
    </row>
    <row r="86" spans="1:6" x14ac:dyDescent="0.2">
      <c r="A86" s="57"/>
      <c r="B86" s="159"/>
      <c r="C86" s="159"/>
      <c r="D86" s="159"/>
      <c r="E86" s="159"/>
      <c r="F86" s="57"/>
    </row>
    <row r="87" spans="1:6" ht="15" x14ac:dyDescent="0.2">
      <c r="A87" s="160" t="s">
        <v>9</v>
      </c>
      <c r="B87" s="160"/>
      <c r="C87" s="160"/>
      <c r="D87" s="160"/>
      <c r="E87" s="160"/>
      <c r="F87" s="160"/>
    </row>
    <row r="89" spans="1:6" ht="39.75" customHeight="1" x14ac:dyDescent="0.2">
      <c r="B89" s="161"/>
      <c r="C89" s="162"/>
      <c r="D89" s="162"/>
    </row>
    <row r="90" spans="1:6" ht="13.5" customHeight="1" x14ac:dyDescent="0.2"/>
    <row r="91" spans="1:6" x14ac:dyDescent="0.2">
      <c r="B91" s="76"/>
      <c r="C91" s="76"/>
      <c r="D91" s="76"/>
    </row>
  </sheetData>
  <mergeCells count="45">
    <mergeCell ref="A84:F84"/>
    <mergeCell ref="B86:E86"/>
    <mergeCell ref="A87:F87"/>
    <mergeCell ref="B89:D89"/>
    <mergeCell ref="B67:D67"/>
    <mergeCell ref="B76:D76"/>
    <mergeCell ref="B77:D77"/>
    <mergeCell ref="B78:D78"/>
    <mergeCell ref="B82:E82"/>
    <mergeCell ref="A83:F83"/>
    <mergeCell ref="B66:D66"/>
    <mergeCell ref="B56:D56"/>
    <mergeCell ref="B57:D57"/>
    <mergeCell ref="B58:D58"/>
    <mergeCell ref="B59:D59"/>
    <mergeCell ref="B60:D60"/>
    <mergeCell ref="B61:D61"/>
    <mergeCell ref="B62:D62"/>
    <mergeCell ref="B63:D63"/>
    <mergeCell ref="B64:D64"/>
    <mergeCell ref="B65:D65"/>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6:B78 B12:B20 B33:B67" xr:uid="{00000000-0002-0000-2A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4">
    <pageSetUpPr fitToPage="1"/>
  </sheetPr>
  <dimension ref="A12:F92"/>
  <sheetViews>
    <sheetView view="pageBreakPreview" topLeftCell="A19" zoomScale="80" zoomScaleNormal="100" zoomScaleSheetLayoutView="80" workbookViewId="0">
      <selection activeCell="B43" sqref="B43:D4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307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306</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308</v>
      </c>
      <c r="C35" s="157"/>
      <c r="D35" s="157"/>
      <c r="E35" s="67">
        <f>1.4*245</f>
        <v>343</v>
      </c>
      <c r="F35" s="57"/>
    </row>
    <row r="36" spans="1:6" ht="14.25" x14ac:dyDescent="0.2">
      <c r="A36" s="57"/>
      <c r="B36" s="157"/>
      <c r="C36" s="157"/>
      <c r="D36" s="157"/>
      <c r="E36" s="67"/>
      <c r="F36" s="57"/>
    </row>
    <row r="37" spans="1:6" ht="14.25" x14ac:dyDescent="0.2">
      <c r="A37" s="57"/>
      <c r="B37" s="157" t="s">
        <v>310</v>
      </c>
      <c r="C37" s="157"/>
      <c r="D37" s="157"/>
      <c r="E37" s="67">
        <f>0.25*245</f>
        <v>61.25</v>
      </c>
      <c r="F37" s="57"/>
    </row>
    <row r="38" spans="1:6" ht="14.25" x14ac:dyDescent="0.2">
      <c r="A38" s="57"/>
      <c r="B38" s="157"/>
      <c r="C38" s="157"/>
      <c r="D38" s="157"/>
      <c r="E38" s="67"/>
      <c r="F38" s="57"/>
    </row>
    <row r="39" spans="1:6" ht="14.25" x14ac:dyDescent="0.2">
      <c r="A39" s="57"/>
      <c r="B39" s="157" t="s">
        <v>309</v>
      </c>
      <c r="C39" s="157"/>
      <c r="D39" s="157"/>
      <c r="E39" s="67">
        <f>0.75*245</f>
        <v>183.75</v>
      </c>
      <c r="F39" s="57"/>
    </row>
    <row r="40" spans="1:6" ht="14.25" x14ac:dyDescent="0.2">
      <c r="A40" s="57"/>
      <c r="B40" s="157"/>
      <c r="C40" s="157"/>
      <c r="D40" s="157"/>
      <c r="E40" s="67"/>
      <c r="F40" s="57"/>
    </row>
    <row r="41" spans="1:6" ht="14.25" x14ac:dyDescent="0.2">
      <c r="A41" s="57"/>
      <c r="B41" s="157" t="s">
        <v>311</v>
      </c>
      <c r="C41" s="157"/>
      <c r="D41" s="157"/>
      <c r="E41" s="67">
        <f>0.25*245</f>
        <v>61.25</v>
      </c>
      <c r="F41" s="57"/>
    </row>
    <row r="42" spans="1:6" ht="14.25" x14ac:dyDescent="0.2">
      <c r="A42" s="57"/>
      <c r="B42" s="157"/>
      <c r="C42" s="157"/>
      <c r="D42" s="157"/>
      <c r="E42" s="67"/>
      <c r="F42" s="57"/>
    </row>
    <row r="43" spans="1:6" ht="14.25" x14ac:dyDescent="0.2">
      <c r="A43" s="57"/>
      <c r="B43" s="157" t="s">
        <v>312</v>
      </c>
      <c r="C43" s="157"/>
      <c r="D43" s="157"/>
      <c r="E43" s="67">
        <f>1.25*245</f>
        <v>306.25</v>
      </c>
      <c r="F43" s="57"/>
    </row>
    <row r="44" spans="1:6" ht="14.25" x14ac:dyDescent="0.2">
      <c r="A44" s="57"/>
      <c r="B44" s="157"/>
      <c r="C44" s="157"/>
      <c r="D44" s="157"/>
      <c r="E44" s="67"/>
      <c r="F44" s="57"/>
    </row>
    <row r="45" spans="1:6" ht="14.25" x14ac:dyDescent="0.2">
      <c r="A45" s="57"/>
      <c r="B45" s="157" t="s">
        <v>313</v>
      </c>
      <c r="C45" s="157"/>
      <c r="D45" s="157"/>
      <c r="E45" s="67">
        <f>0.5*245</f>
        <v>122.5</v>
      </c>
      <c r="F45" s="57"/>
    </row>
    <row r="46" spans="1:6" ht="14.25" x14ac:dyDescent="0.2">
      <c r="A46" s="57"/>
      <c r="B46" s="157"/>
      <c r="C46" s="157"/>
      <c r="D46" s="157"/>
      <c r="E46" s="67"/>
      <c r="F46" s="57"/>
    </row>
    <row r="47" spans="1:6" ht="14.25" x14ac:dyDescent="0.2">
      <c r="A47" s="57"/>
      <c r="B47" s="157" t="s">
        <v>314</v>
      </c>
      <c r="C47" s="157"/>
      <c r="D47" s="157"/>
      <c r="E47" s="67">
        <f>0.3*245</f>
        <v>73.5</v>
      </c>
      <c r="F47" s="57"/>
    </row>
    <row r="48" spans="1:6" ht="14.25" x14ac:dyDescent="0.2">
      <c r="A48" s="57"/>
      <c r="B48" s="157"/>
      <c r="C48" s="157"/>
      <c r="D48" s="157"/>
      <c r="E48" s="67"/>
      <c r="F48" s="57"/>
    </row>
    <row r="49" spans="1:6" ht="14.25" x14ac:dyDescent="0.2">
      <c r="A49" s="57"/>
      <c r="B49" s="157" t="s">
        <v>315</v>
      </c>
      <c r="C49" s="157"/>
      <c r="D49" s="157"/>
      <c r="E49" s="67">
        <f>1.75*245</f>
        <v>428.75</v>
      </c>
      <c r="F49" s="57"/>
    </row>
    <row r="50" spans="1:6" ht="14.25" x14ac:dyDescent="0.2">
      <c r="A50" s="57"/>
      <c r="B50" s="157"/>
      <c r="C50" s="157"/>
      <c r="D50" s="157"/>
      <c r="E50" s="67"/>
      <c r="F50" s="57"/>
    </row>
    <row r="51" spans="1:6" ht="14.25" x14ac:dyDescent="0.2">
      <c r="A51" s="57"/>
      <c r="B51" s="157" t="s">
        <v>316</v>
      </c>
      <c r="C51" s="157"/>
      <c r="D51" s="157"/>
      <c r="E51" s="67">
        <f>0.4*245</f>
        <v>98</v>
      </c>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1678.25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1678.25</v>
      </c>
      <c r="F72" s="57"/>
    </row>
    <row r="73" spans="1:6" ht="13.5" customHeight="1" x14ac:dyDescent="0.2">
      <c r="A73" s="57"/>
      <c r="B73" s="58" t="s">
        <v>6</v>
      </c>
      <c r="C73" s="70">
        <v>0.05</v>
      </c>
      <c r="D73" s="58"/>
      <c r="E73" s="43">
        <f>ROUND(E72*C73,2)</f>
        <v>83.91</v>
      </c>
      <c r="F73" s="57"/>
    </row>
    <row r="74" spans="1:6" ht="13.5" customHeight="1" x14ac:dyDescent="0.2">
      <c r="A74" s="57"/>
      <c r="B74" s="58" t="s">
        <v>5</v>
      </c>
      <c r="C74" s="71">
        <v>9.9750000000000005E-2</v>
      </c>
      <c r="D74" s="58"/>
      <c r="E74" s="44">
        <f>ROUND(E72*C74,2)</f>
        <v>167.41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1929.5700000000002</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1929.5700000000002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6">
    <mergeCell ref="B37:D37"/>
    <mergeCell ref="A30:F30"/>
    <mergeCell ref="B33:D33"/>
    <mergeCell ref="B34:D34"/>
    <mergeCell ref="B35:D35"/>
    <mergeCell ref="B36:D36"/>
    <mergeCell ref="B50:D50"/>
    <mergeCell ref="B38:D38"/>
    <mergeCell ref="B39:D39"/>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87:E87"/>
    <mergeCell ref="A88:F88"/>
    <mergeCell ref="B90:D90"/>
    <mergeCell ref="B40:D40"/>
    <mergeCell ref="B77:D77"/>
    <mergeCell ref="B78:D78"/>
    <mergeCell ref="B79:D79"/>
    <mergeCell ref="B83:E83"/>
    <mergeCell ref="A84:F84"/>
    <mergeCell ref="A85:F85"/>
    <mergeCell ref="B63:D63"/>
    <mergeCell ref="B64:D64"/>
    <mergeCell ref="B65:D65"/>
    <mergeCell ref="B66:D66"/>
    <mergeCell ref="B67:D67"/>
    <mergeCell ref="B68:D68"/>
  </mergeCells>
  <dataValidations count="1">
    <dataValidation type="list" allowBlank="1" showInputMessage="1" showErrorMessage="1" sqref="B77:B79 B12:B20 B33:B68" xr:uid="{00000000-0002-0000-2B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5">
    <pageSetUpPr fitToPage="1"/>
  </sheetPr>
  <dimension ref="A12:F92"/>
  <sheetViews>
    <sheetView view="pageBreakPreview" topLeftCell="A7" zoomScale="80" zoomScaleNormal="100" zoomScaleSheetLayoutView="80" workbookViewId="0">
      <selection activeCell="E29" sqref="E2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321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322</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ht="14.25" x14ac:dyDescent="0.2">
      <c r="A33" s="57"/>
      <c r="B33" s="157"/>
      <c r="C33" s="157"/>
      <c r="D33" s="157"/>
      <c r="E33" s="67"/>
      <c r="F33" s="57"/>
    </row>
    <row r="34" spans="1:6" ht="14.25" x14ac:dyDescent="0.2">
      <c r="A34" s="57"/>
      <c r="B34" s="157"/>
      <c r="C34" s="157"/>
      <c r="D34" s="157"/>
      <c r="E34" s="67"/>
      <c r="F34" s="57"/>
    </row>
    <row r="35" spans="1:6" ht="14.25" x14ac:dyDescent="0.2">
      <c r="A35" s="57"/>
      <c r="B35" s="157" t="s">
        <v>317</v>
      </c>
      <c r="C35" s="157"/>
      <c r="D35" s="157"/>
      <c r="E35" s="67">
        <f>-1.4*245</f>
        <v>-343</v>
      </c>
      <c r="F35" s="57"/>
    </row>
    <row r="36" spans="1:6" ht="14.25" x14ac:dyDescent="0.2">
      <c r="A36" s="57"/>
      <c r="B36" s="157"/>
      <c r="C36" s="157"/>
      <c r="D36" s="157"/>
      <c r="E36" s="67"/>
      <c r="F36" s="57"/>
    </row>
    <row r="37" spans="1:6" ht="14.25" x14ac:dyDescent="0.2">
      <c r="A37" s="57"/>
      <c r="B37" s="157" t="s">
        <v>318</v>
      </c>
      <c r="C37" s="157"/>
      <c r="D37" s="157"/>
      <c r="E37" s="67">
        <f>0.75*245</f>
        <v>183.75</v>
      </c>
      <c r="F37" s="57"/>
    </row>
    <row r="38" spans="1:6" ht="14.25" x14ac:dyDescent="0.2">
      <c r="A38" s="57"/>
      <c r="B38" s="157"/>
      <c r="C38" s="157"/>
      <c r="D38" s="157"/>
      <c r="E38" s="67"/>
      <c r="F38" s="57"/>
    </row>
    <row r="39" spans="1:6" ht="14.25" x14ac:dyDescent="0.2">
      <c r="A39" s="57"/>
      <c r="B39" s="157" t="s">
        <v>319</v>
      </c>
      <c r="C39" s="157"/>
      <c r="D39" s="157"/>
      <c r="E39" s="67">
        <f>0.25*245</f>
        <v>61.25</v>
      </c>
      <c r="F39" s="57"/>
    </row>
    <row r="40" spans="1:6" ht="14.25" x14ac:dyDescent="0.2">
      <c r="A40" s="57"/>
      <c r="B40" s="157"/>
      <c r="C40" s="157"/>
      <c r="D40" s="157"/>
      <c r="E40" s="67"/>
      <c r="F40" s="57"/>
    </row>
    <row r="41" spans="1:6" ht="14.25" x14ac:dyDescent="0.2">
      <c r="A41" s="57"/>
      <c r="B41" s="157" t="s">
        <v>320</v>
      </c>
      <c r="C41" s="157"/>
      <c r="D41" s="157"/>
      <c r="E41" s="67">
        <v>245</v>
      </c>
      <c r="F41" s="57"/>
    </row>
    <row r="42" spans="1:6" ht="14.25" x14ac:dyDescent="0.2">
      <c r="A42" s="57"/>
      <c r="B42" s="157"/>
      <c r="C42" s="157"/>
      <c r="D42" s="157"/>
      <c r="E42" s="67"/>
      <c r="F42" s="57"/>
    </row>
    <row r="43" spans="1:6" ht="14.25" x14ac:dyDescent="0.2">
      <c r="A43" s="57"/>
      <c r="B43" s="157"/>
      <c r="C43" s="157"/>
      <c r="D43" s="157"/>
      <c r="E43" s="67"/>
      <c r="F43" s="57"/>
    </row>
    <row r="44" spans="1:6" ht="14.25" x14ac:dyDescent="0.2">
      <c r="A44" s="57"/>
      <c r="B44" s="157"/>
      <c r="C44" s="157"/>
      <c r="D44" s="157"/>
      <c r="E44" s="67"/>
      <c r="F44" s="57"/>
    </row>
    <row r="45" spans="1:6" ht="14.25" x14ac:dyDescent="0.2">
      <c r="A45" s="57"/>
      <c r="B45" s="157"/>
      <c r="C45" s="157"/>
      <c r="D45" s="157"/>
      <c r="E45" s="67"/>
      <c r="F45" s="57"/>
    </row>
    <row r="46" spans="1:6" ht="14.25" x14ac:dyDescent="0.2">
      <c r="A46" s="57"/>
      <c r="B46" s="157"/>
      <c r="C46" s="157"/>
      <c r="D46" s="157"/>
      <c r="E46" s="67"/>
      <c r="F46" s="57"/>
    </row>
    <row r="47" spans="1:6" ht="14.25" x14ac:dyDescent="0.2">
      <c r="A47" s="57"/>
      <c r="B47" s="157"/>
      <c r="C47" s="157"/>
      <c r="D47" s="157"/>
      <c r="E47" s="67"/>
      <c r="F47" s="57"/>
    </row>
    <row r="48" spans="1:6" ht="14.25" x14ac:dyDescent="0.2">
      <c r="A48" s="57"/>
      <c r="B48" s="157"/>
      <c r="C48" s="157"/>
      <c r="D48" s="157"/>
      <c r="E48" s="67"/>
      <c r="F48" s="57"/>
    </row>
    <row r="49" spans="1:6" ht="14.25" x14ac:dyDescent="0.2">
      <c r="A49" s="57"/>
      <c r="B49" s="157"/>
      <c r="C49" s="157"/>
      <c r="D49" s="157"/>
      <c r="E49" s="67"/>
      <c r="F49" s="57"/>
    </row>
    <row r="50" spans="1:6" ht="14.25" x14ac:dyDescent="0.2">
      <c r="A50" s="57"/>
      <c r="B50" s="157"/>
      <c r="C50" s="157"/>
      <c r="D50" s="157"/>
      <c r="E50" s="67"/>
      <c r="F50" s="57"/>
    </row>
    <row r="51" spans="1:6" ht="14.25" x14ac:dyDescent="0.2">
      <c r="A51" s="57"/>
      <c r="B51" s="157"/>
      <c r="C51" s="157"/>
      <c r="D51" s="157"/>
      <c r="E51" s="67"/>
      <c r="F51" s="57"/>
    </row>
    <row r="52" spans="1:6" ht="14.25" x14ac:dyDescent="0.2">
      <c r="A52" s="57"/>
      <c r="B52" s="157"/>
      <c r="C52" s="157"/>
      <c r="D52" s="157"/>
      <c r="E52" s="67"/>
      <c r="F52" s="57"/>
    </row>
    <row r="53" spans="1:6" ht="14.25" x14ac:dyDescent="0.2">
      <c r="A53" s="57"/>
      <c r="B53" s="157"/>
      <c r="C53" s="157"/>
      <c r="D53" s="157"/>
      <c r="E53" s="67"/>
      <c r="F53" s="57"/>
    </row>
    <row r="54" spans="1:6" ht="14.25" x14ac:dyDescent="0.2">
      <c r="A54" s="57"/>
      <c r="B54" s="157"/>
      <c r="C54" s="157"/>
      <c r="D54" s="157"/>
      <c r="E54" s="67"/>
      <c r="F54" s="57"/>
    </row>
    <row r="55" spans="1:6" ht="14.25" x14ac:dyDescent="0.2">
      <c r="A55" s="57"/>
      <c r="B55" s="157"/>
      <c r="C55" s="157"/>
      <c r="D55" s="157"/>
      <c r="E55" s="67"/>
      <c r="F55" s="57"/>
    </row>
    <row r="56" spans="1:6" ht="14.25" x14ac:dyDescent="0.2">
      <c r="A56" s="57"/>
      <c r="B56" s="157"/>
      <c r="C56" s="157"/>
      <c r="D56" s="157"/>
      <c r="E56" s="67"/>
      <c r="F56" s="57"/>
    </row>
    <row r="57" spans="1:6" ht="14.25" x14ac:dyDescent="0.2">
      <c r="A57" s="57"/>
      <c r="B57" s="157"/>
      <c r="C57" s="157"/>
      <c r="D57" s="157"/>
      <c r="E57" s="67"/>
      <c r="F57" s="57"/>
    </row>
    <row r="58" spans="1:6" ht="14.25" x14ac:dyDescent="0.2">
      <c r="A58" s="57"/>
      <c r="B58" s="157"/>
      <c r="C58" s="157"/>
      <c r="D58" s="157"/>
      <c r="E58" s="67"/>
      <c r="F58" s="57"/>
    </row>
    <row r="59" spans="1:6" ht="14.25" x14ac:dyDescent="0.2">
      <c r="A59" s="57"/>
      <c r="B59" s="157"/>
      <c r="C59" s="157"/>
      <c r="D59" s="157"/>
      <c r="E59" s="67"/>
      <c r="F59" s="57"/>
    </row>
    <row r="60" spans="1:6" ht="14.25" x14ac:dyDescent="0.2">
      <c r="A60" s="57"/>
      <c r="B60" s="157"/>
      <c r="C60" s="157"/>
      <c r="D60" s="157"/>
      <c r="E60" s="67"/>
      <c r="F60" s="57"/>
    </row>
    <row r="61" spans="1:6" ht="14.25" x14ac:dyDescent="0.2">
      <c r="A61" s="57"/>
      <c r="B61" s="157"/>
      <c r="C61" s="157"/>
      <c r="D61" s="157"/>
      <c r="E61" s="67"/>
      <c r="F61" s="57"/>
    </row>
    <row r="62" spans="1:6" ht="14.25" x14ac:dyDescent="0.2">
      <c r="A62" s="57"/>
      <c r="B62" s="157"/>
      <c r="C62" s="157"/>
      <c r="D62" s="157"/>
      <c r="E62" s="67"/>
      <c r="F62" s="57"/>
    </row>
    <row r="63" spans="1:6" ht="14.25" x14ac:dyDescent="0.2">
      <c r="A63" s="57"/>
      <c r="B63" s="157"/>
      <c r="C63" s="157"/>
      <c r="D63" s="157"/>
      <c r="E63" s="67"/>
      <c r="F63" s="57"/>
    </row>
    <row r="64" spans="1:6" ht="14.25" x14ac:dyDescent="0.2">
      <c r="A64" s="57"/>
      <c r="B64" s="157"/>
      <c r="C64" s="157"/>
      <c r="D64" s="157"/>
      <c r="E64" s="67"/>
      <c r="F64" s="57"/>
    </row>
    <row r="65" spans="1:6" ht="14.25" x14ac:dyDescent="0.2">
      <c r="A65" s="57"/>
      <c r="B65" s="157"/>
      <c r="C65" s="157"/>
      <c r="D65" s="157"/>
      <c r="E65" s="67"/>
      <c r="F65" s="57"/>
    </row>
    <row r="66" spans="1:6" ht="14.25" x14ac:dyDescent="0.2">
      <c r="A66" s="57"/>
      <c r="B66" s="157"/>
      <c r="C66" s="157"/>
      <c r="D66" s="157"/>
      <c r="E66" s="67"/>
      <c r="F66" s="57"/>
    </row>
    <row r="67" spans="1:6" ht="14.25" x14ac:dyDescent="0.2">
      <c r="A67" s="57"/>
      <c r="B67" s="157"/>
      <c r="C67" s="157"/>
      <c r="D67" s="157"/>
      <c r="E67" s="67"/>
      <c r="F67" s="57"/>
    </row>
    <row r="68" spans="1:6" ht="13.5" customHeight="1" x14ac:dyDescent="0.2">
      <c r="A68" s="57"/>
      <c r="B68" s="157"/>
      <c r="C68" s="157"/>
      <c r="D68" s="157"/>
      <c r="E68" s="67"/>
      <c r="F68" s="57"/>
    </row>
    <row r="69" spans="1:6" ht="13.5" customHeight="1" x14ac:dyDescent="0.2">
      <c r="A69" s="57"/>
      <c r="B69" s="56" t="s">
        <v>45</v>
      </c>
      <c r="C69" s="58"/>
      <c r="D69" s="58"/>
      <c r="E69" s="38">
        <f>SUM(E33:E68)</f>
        <v>147</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147</v>
      </c>
      <c r="F72" s="57"/>
    </row>
    <row r="73" spans="1:6" ht="13.5" customHeight="1" x14ac:dyDescent="0.2">
      <c r="A73" s="57"/>
      <c r="B73" s="58" t="s">
        <v>6</v>
      </c>
      <c r="C73" s="70">
        <v>0.05</v>
      </c>
      <c r="D73" s="58"/>
      <c r="E73" s="43">
        <f>ROUND(E72*C73,2)</f>
        <v>7.35</v>
      </c>
      <c r="F73" s="57"/>
    </row>
    <row r="74" spans="1:6" ht="13.5" customHeight="1" x14ac:dyDescent="0.2">
      <c r="A74" s="57"/>
      <c r="B74" s="58" t="s">
        <v>5</v>
      </c>
      <c r="C74" s="71">
        <v>9.9750000000000005E-2</v>
      </c>
      <c r="D74" s="58"/>
      <c r="E74" s="44">
        <f>ROUND(E72*C74,2)</f>
        <v>14.66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169.01</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169.01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46">
    <mergeCell ref="A85:F85"/>
    <mergeCell ref="B87:E87"/>
    <mergeCell ref="A88:F88"/>
    <mergeCell ref="B90:D90"/>
    <mergeCell ref="B68:D68"/>
    <mergeCell ref="B77:D77"/>
    <mergeCell ref="B78:D78"/>
    <mergeCell ref="B79:D79"/>
    <mergeCell ref="B83:E83"/>
    <mergeCell ref="A84:F84"/>
    <mergeCell ref="B67:D67"/>
    <mergeCell ref="B56:D56"/>
    <mergeCell ref="B57:D57"/>
    <mergeCell ref="B58:D58"/>
    <mergeCell ref="B59:D59"/>
    <mergeCell ref="B60:D60"/>
    <mergeCell ref="B61:D61"/>
    <mergeCell ref="B62:D62"/>
    <mergeCell ref="B63:D63"/>
    <mergeCell ref="B64:D64"/>
    <mergeCell ref="B65:D65"/>
    <mergeCell ref="B66:D66"/>
    <mergeCell ref="B55:D55"/>
    <mergeCell ref="B44:D44"/>
    <mergeCell ref="B45:D45"/>
    <mergeCell ref="B46:D46"/>
    <mergeCell ref="B47:D47"/>
    <mergeCell ref="B48:D48"/>
    <mergeCell ref="B49:D49"/>
    <mergeCell ref="B50:D50"/>
    <mergeCell ref="B51:D51"/>
    <mergeCell ref="B52:D52"/>
    <mergeCell ref="B53:D53"/>
    <mergeCell ref="B54:D54"/>
    <mergeCell ref="B43:D43"/>
    <mergeCell ref="A30:F30"/>
    <mergeCell ref="B33:D33"/>
    <mergeCell ref="B34:D34"/>
    <mergeCell ref="B35:D35"/>
    <mergeCell ref="B36:D36"/>
    <mergeCell ref="B37:D37"/>
    <mergeCell ref="B38:D38"/>
    <mergeCell ref="B39:D39"/>
    <mergeCell ref="B40:D40"/>
    <mergeCell ref="B41:D41"/>
    <mergeCell ref="B42:D42"/>
  </mergeCells>
  <dataValidations count="1">
    <dataValidation type="list" allowBlank="1" showInputMessage="1" showErrorMessage="1" sqref="B77:B79 B12:B20 B33:B68" xr:uid="{00000000-0002-0000-2C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6">
    <pageSetUpPr fitToPage="1"/>
  </sheetPr>
  <dimension ref="A12:F86"/>
  <sheetViews>
    <sheetView view="pageBreakPreview" topLeftCell="A16" zoomScale="80" zoomScaleNormal="100" zoomScaleSheetLayoutView="80" workbookViewId="0">
      <selection activeCell="B47" sqref="B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323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324</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325</v>
      </c>
      <c r="C35" s="86">
        <v>0.25</v>
      </c>
      <c r="D35" s="84">
        <v>245</v>
      </c>
      <c r="E35" s="79">
        <f>+C35*D35</f>
        <v>61.25</v>
      </c>
      <c r="F35" s="78"/>
    </row>
    <row r="36" spans="1:6" s="80" customFormat="1" ht="14.25" x14ac:dyDescent="0.2">
      <c r="A36" s="78"/>
      <c r="B36" s="81"/>
      <c r="C36" s="86"/>
      <c r="D36" s="84"/>
      <c r="E36" s="79"/>
      <c r="F36" s="78"/>
    </row>
    <row r="37" spans="1:6" s="80" customFormat="1" ht="14.25" x14ac:dyDescent="0.2">
      <c r="A37" s="78"/>
      <c r="B37" s="81" t="s">
        <v>326</v>
      </c>
      <c r="C37" s="86">
        <v>0.3</v>
      </c>
      <c r="D37" s="84">
        <v>245</v>
      </c>
      <c r="E37" s="79">
        <f>+C37*D37</f>
        <v>73.5</v>
      </c>
      <c r="F37" s="78"/>
    </row>
    <row r="38" spans="1:6" s="80" customFormat="1" ht="14.25" x14ac:dyDescent="0.2">
      <c r="A38" s="78"/>
      <c r="B38" s="81"/>
      <c r="C38" s="86"/>
      <c r="D38" s="84"/>
      <c r="E38" s="79"/>
      <c r="F38" s="78"/>
    </row>
    <row r="39" spans="1:6" s="80" customFormat="1" ht="29.25" customHeight="1" x14ac:dyDescent="0.2">
      <c r="A39" s="78"/>
      <c r="B39" s="81" t="s">
        <v>327</v>
      </c>
      <c r="C39" s="86">
        <v>0.25</v>
      </c>
      <c r="D39" s="84">
        <v>245</v>
      </c>
      <c r="E39" s="79">
        <f>+C39*D39</f>
        <v>61.25</v>
      </c>
      <c r="F39" s="78"/>
    </row>
    <row r="40" spans="1:6" s="80" customFormat="1" ht="14.25" x14ac:dyDescent="0.2">
      <c r="A40" s="78"/>
      <c r="B40" s="81"/>
      <c r="C40" s="86"/>
      <c r="D40" s="84"/>
      <c r="E40" s="79"/>
      <c r="F40" s="78"/>
    </row>
    <row r="41" spans="1:6" s="80" customFormat="1" ht="14.25" x14ac:dyDescent="0.2">
      <c r="A41" s="78"/>
      <c r="B41" s="81" t="s">
        <v>328</v>
      </c>
      <c r="C41" s="86">
        <v>0.25</v>
      </c>
      <c r="D41" s="84">
        <v>245</v>
      </c>
      <c r="E41" s="79">
        <f>+C41*D41</f>
        <v>61.25</v>
      </c>
      <c r="F41" s="78"/>
    </row>
    <row r="42" spans="1:6" s="80" customFormat="1" ht="14.25" x14ac:dyDescent="0.2">
      <c r="A42" s="78"/>
      <c r="B42" s="81"/>
      <c r="C42" s="86"/>
      <c r="D42" s="84"/>
      <c r="E42" s="79"/>
      <c r="F42" s="78"/>
    </row>
    <row r="43" spans="1:6" s="80" customFormat="1" ht="14.25" x14ac:dyDescent="0.2">
      <c r="A43" s="78"/>
      <c r="B43" s="81" t="s">
        <v>329</v>
      </c>
      <c r="C43" s="86">
        <v>1.9</v>
      </c>
      <c r="D43" s="84">
        <v>245</v>
      </c>
      <c r="E43" s="79">
        <f>+C43*D43</f>
        <v>465.5</v>
      </c>
      <c r="F43" s="78"/>
    </row>
    <row r="44" spans="1:6" s="80" customFormat="1" ht="14.25" x14ac:dyDescent="0.2">
      <c r="A44" s="78"/>
      <c r="B44" s="81"/>
      <c r="C44" s="86"/>
      <c r="D44" s="84"/>
      <c r="E44" s="79"/>
      <c r="F44" s="78"/>
    </row>
    <row r="45" spans="1:6" s="80" customFormat="1" ht="14.25" x14ac:dyDescent="0.2">
      <c r="A45" s="78"/>
      <c r="B45" s="81" t="s">
        <v>330</v>
      </c>
      <c r="C45" s="86">
        <v>0.5</v>
      </c>
      <c r="D45" s="84">
        <v>245</v>
      </c>
      <c r="E45" s="79">
        <f>+C45*D45</f>
        <v>122.5</v>
      </c>
      <c r="F45" s="78"/>
    </row>
    <row r="46" spans="1:6" s="80" customFormat="1" ht="14.25" x14ac:dyDescent="0.2">
      <c r="A46" s="78"/>
      <c r="B46" s="81"/>
      <c r="C46" s="86"/>
      <c r="D46" s="84"/>
      <c r="E46" s="79"/>
      <c r="F46" s="78"/>
    </row>
    <row r="47" spans="1:6" s="80" customFormat="1" ht="14.25" x14ac:dyDescent="0.2">
      <c r="A47" s="78"/>
      <c r="B47" s="81" t="s">
        <v>331</v>
      </c>
      <c r="C47" s="86">
        <v>1</v>
      </c>
      <c r="D47" s="84">
        <v>245</v>
      </c>
      <c r="E47" s="79">
        <f>+C47*D47</f>
        <v>245</v>
      </c>
      <c r="F47" s="78"/>
    </row>
    <row r="48" spans="1:6" s="80" customFormat="1" ht="14.25" x14ac:dyDescent="0.2">
      <c r="A48" s="78"/>
      <c r="B48" s="81"/>
      <c r="C48" s="86"/>
      <c r="D48" s="84"/>
      <c r="E48" s="79"/>
      <c r="F48" s="78"/>
    </row>
    <row r="49" spans="1:6" s="80" customFormat="1" ht="48" customHeight="1" x14ac:dyDescent="0.2">
      <c r="A49" s="78"/>
      <c r="B49" s="81" t="s">
        <v>332</v>
      </c>
      <c r="C49" s="86">
        <v>4.25</v>
      </c>
      <c r="D49" s="84">
        <v>245</v>
      </c>
      <c r="E49" s="79">
        <f>+C49*D49</f>
        <v>1041.25</v>
      </c>
      <c r="F49" s="78"/>
    </row>
    <row r="50" spans="1:6" s="80" customFormat="1" ht="14.25" x14ac:dyDescent="0.2">
      <c r="A50" s="78"/>
      <c r="B50" s="81"/>
      <c r="C50" s="86"/>
      <c r="D50" s="84"/>
      <c r="E50" s="79"/>
      <c r="F50" s="78"/>
    </row>
    <row r="51" spans="1:6" s="80" customFormat="1" ht="28.5" customHeight="1" x14ac:dyDescent="0.2">
      <c r="A51" s="78"/>
      <c r="B51" s="81" t="s">
        <v>333</v>
      </c>
      <c r="C51" s="86">
        <v>0.75</v>
      </c>
      <c r="D51" s="84">
        <v>245</v>
      </c>
      <c r="E51" s="79">
        <f>+C51*D51</f>
        <v>183.75</v>
      </c>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3.5" customHeight="1" x14ac:dyDescent="0.2">
      <c r="A62" s="78"/>
      <c r="B62" s="81"/>
      <c r="C62" s="86"/>
      <c r="D62" s="84"/>
      <c r="E62" s="79"/>
      <c r="F62" s="78"/>
    </row>
    <row r="63" spans="1:6" ht="13.5" customHeight="1" x14ac:dyDescent="0.2">
      <c r="A63" s="57"/>
      <c r="B63" s="56" t="s">
        <v>45</v>
      </c>
      <c r="C63" s="58"/>
      <c r="D63" s="85"/>
      <c r="E63" s="38">
        <f>SUM(E33:E62)</f>
        <v>2315.25</v>
      </c>
      <c r="F63" s="57"/>
    </row>
    <row r="64" spans="1:6" ht="13.5" customHeight="1" x14ac:dyDescent="0.2">
      <c r="A64" s="57"/>
      <c r="B64" s="69" t="s">
        <v>42</v>
      </c>
      <c r="C64" s="58"/>
      <c r="D64" s="58"/>
      <c r="E64" s="39">
        <v>0</v>
      </c>
      <c r="F64" s="57"/>
    </row>
    <row r="65" spans="1:6" ht="13.5" customHeight="1" x14ac:dyDescent="0.2">
      <c r="A65" s="57"/>
      <c r="B65" s="69" t="s">
        <v>43</v>
      </c>
      <c r="C65" s="58"/>
      <c r="D65" s="58"/>
      <c r="E65" s="39">
        <v>0</v>
      </c>
      <c r="F65" s="57"/>
    </row>
    <row r="66" spans="1:6" ht="13.5" customHeight="1" x14ac:dyDescent="0.2">
      <c r="A66" s="57"/>
      <c r="B66" s="56" t="s">
        <v>44</v>
      </c>
      <c r="C66" s="58"/>
      <c r="D66" s="58"/>
      <c r="E66" s="38">
        <f>SUM(E63:E65)</f>
        <v>2315.25</v>
      </c>
      <c r="F66" s="57"/>
    </row>
    <row r="67" spans="1:6" ht="13.5" customHeight="1" x14ac:dyDescent="0.2">
      <c r="A67" s="57"/>
      <c r="B67" s="58" t="s">
        <v>6</v>
      </c>
      <c r="C67" s="70">
        <v>0.05</v>
      </c>
      <c r="D67" s="58"/>
      <c r="E67" s="43">
        <f>ROUND(E66*C67,2)</f>
        <v>115.76</v>
      </c>
      <c r="F67" s="57"/>
    </row>
    <row r="68" spans="1:6" ht="13.5" customHeight="1" x14ac:dyDescent="0.2">
      <c r="A68" s="57"/>
      <c r="B68" s="58" t="s">
        <v>5</v>
      </c>
      <c r="C68" s="71">
        <v>9.9750000000000005E-2</v>
      </c>
      <c r="D68" s="58"/>
      <c r="E68" s="44">
        <f>ROUND(E66*C68,2)</f>
        <v>230.95</v>
      </c>
      <c r="F68" s="57"/>
    </row>
    <row r="69" spans="1:6" ht="13.5" customHeight="1" x14ac:dyDescent="0.2">
      <c r="A69" s="57"/>
      <c r="B69" s="58"/>
      <c r="C69" s="58"/>
      <c r="D69" s="58"/>
      <c r="E69" s="58"/>
      <c r="F69" s="57"/>
    </row>
    <row r="70" spans="1:6" ht="16.5" customHeight="1" thickBot="1" x14ac:dyDescent="0.25">
      <c r="A70" s="57"/>
      <c r="B70" s="56" t="s">
        <v>46</v>
      </c>
      <c r="C70" s="58"/>
      <c r="D70" s="58"/>
      <c r="E70" s="41">
        <f>SUM(E66:E68)</f>
        <v>2661.96</v>
      </c>
      <c r="F70" s="57"/>
    </row>
    <row r="71" spans="1:6" ht="15.75" thickTop="1" x14ac:dyDescent="0.2">
      <c r="A71" s="57"/>
      <c r="B71" s="163"/>
      <c r="C71" s="163"/>
      <c r="D71" s="163"/>
      <c r="E71" s="72"/>
      <c r="F71" s="57"/>
    </row>
    <row r="72" spans="1:6" ht="15" x14ac:dyDescent="0.2">
      <c r="A72" s="57"/>
      <c r="B72" s="164" t="s">
        <v>48</v>
      </c>
      <c r="C72" s="164"/>
      <c r="D72" s="164"/>
      <c r="E72" s="72">
        <v>0</v>
      </c>
      <c r="F72" s="57"/>
    </row>
    <row r="73" spans="1:6" ht="15" x14ac:dyDescent="0.2">
      <c r="A73" s="57"/>
      <c r="B73" s="163"/>
      <c r="C73" s="163"/>
      <c r="D73" s="163"/>
      <c r="E73" s="72"/>
      <c r="F73" s="57"/>
    </row>
    <row r="74" spans="1:6" ht="19.5" customHeight="1" x14ac:dyDescent="0.2">
      <c r="A74" s="57"/>
      <c r="B74" s="73" t="s">
        <v>47</v>
      </c>
      <c r="C74" s="74"/>
      <c r="D74" s="74"/>
      <c r="E74" s="75">
        <f>E70-E72</f>
        <v>2661.96</v>
      </c>
      <c r="F74" s="57"/>
    </row>
    <row r="75" spans="1:6" ht="13.5" customHeight="1" x14ac:dyDescent="0.2">
      <c r="A75" s="57"/>
      <c r="B75" s="57"/>
      <c r="C75" s="57"/>
      <c r="D75" s="57"/>
      <c r="E75" s="57"/>
      <c r="F75" s="57"/>
    </row>
    <row r="76" spans="1:6" x14ac:dyDescent="0.2">
      <c r="A76" s="57"/>
      <c r="B76" s="57"/>
      <c r="C76" s="57"/>
      <c r="D76" s="57"/>
      <c r="E76" s="57"/>
      <c r="F76" s="57"/>
    </row>
    <row r="77" spans="1:6" x14ac:dyDescent="0.2">
      <c r="A77" s="57"/>
      <c r="B77" s="165"/>
      <c r="C77" s="165"/>
      <c r="D77" s="165"/>
      <c r="E77" s="165"/>
      <c r="F77" s="57"/>
    </row>
    <row r="78" spans="1:6" ht="14.25" x14ac:dyDescent="0.2">
      <c r="A78" s="166" t="s">
        <v>194</v>
      </c>
      <c r="B78" s="166"/>
      <c r="C78" s="166"/>
      <c r="D78" s="166"/>
      <c r="E78" s="166"/>
      <c r="F78" s="166"/>
    </row>
    <row r="79" spans="1:6" ht="14.25" x14ac:dyDescent="0.2">
      <c r="A79" s="167" t="s">
        <v>195</v>
      </c>
      <c r="B79" s="167"/>
      <c r="C79" s="167"/>
      <c r="D79" s="167"/>
      <c r="E79" s="167"/>
      <c r="F79" s="167"/>
    </row>
    <row r="80" spans="1:6" x14ac:dyDescent="0.2">
      <c r="A80" s="57"/>
      <c r="B80" s="57"/>
      <c r="C80" s="57"/>
      <c r="D80" s="57"/>
      <c r="E80" s="57"/>
      <c r="F80" s="57"/>
    </row>
    <row r="81" spans="1:6" x14ac:dyDescent="0.2">
      <c r="A81" s="57"/>
      <c r="B81" s="159"/>
      <c r="C81" s="159"/>
      <c r="D81" s="159"/>
      <c r="E81" s="159"/>
      <c r="F81" s="57"/>
    </row>
    <row r="82" spans="1:6" ht="15" x14ac:dyDescent="0.2">
      <c r="A82" s="160" t="s">
        <v>9</v>
      </c>
      <c r="B82" s="160"/>
      <c r="C82" s="160"/>
      <c r="D82" s="160"/>
      <c r="E82" s="160"/>
      <c r="F82" s="160"/>
    </row>
    <row r="84" spans="1:6" ht="39.75" customHeight="1" x14ac:dyDescent="0.2">
      <c r="B84" s="161"/>
      <c r="C84" s="162"/>
      <c r="D84" s="162"/>
    </row>
    <row r="85" spans="1:6" ht="13.5" customHeight="1" x14ac:dyDescent="0.2"/>
    <row r="86" spans="1:6" x14ac:dyDescent="0.2">
      <c r="B86" s="76"/>
      <c r="C86" s="76"/>
      <c r="D86" s="76"/>
    </row>
  </sheetData>
  <mergeCells count="10">
    <mergeCell ref="A30:F30"/>
    <mergeCell ref="A79:F79"/>
    <mergeCell ref="B81:E81"/>
    <mergeCell ref="A82:F82"/>
    <mergeCell ref="B84:D84"/>
    <mergeCell ref="B71:D71"/>
    <mergeCell ref="B72:D72"/>
    <mergeCell ref="B73:D73"/>
    <mergeCell ref="B77:E77"/>
    <mergeCell ref="A78:F78"/>
  </mergeCells>
  <dataValidations count="1">
    <dataValidation type="list" allowBlank="1" showInputMessage="1" showErrorMessage="1" sqref="B71:B73 B12:B20 B33:B62" xr:uid="{00000000-0002-0000-2D00-000000000000}">
      <formula1>Liste_Activités</formula1>
    </dataValidation>
  </dataValidations>
  <printOptions horizontalCentered="1"/>
  <pageMargins left="0" right="0" top="0" bottom="0" header="0" footer="0"/>
  <pageSetup paperSize="126" orientation="portrait" horizontalDpi="1200" verticalDpi="1200" r:id="rId1"/>
  <headerFooter scaleWithDoc="0"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7">
    <pageSetUpPr fitToPage="1"/>
  </sheetPr>
  <dimension ref="A12:F90"/>
  <sheetViews>
    <sheetView view="pageBreakPreview" zoomScale="80" zoomScaleNormal="100" zoomScaleSheetLayoutView="80" workbookViewId="0">
      <selection activeCell="C42" sqref="C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336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197</v>
      </c>
      <c r="C26" s="57"/>
      <c r="D26" s="57"/>
      <c r="E26" s="57"/>
      <c r="F26" s="57"/>
    </row>
    <row r="27" spans="1:6" x14ac:dyDescent="0.2">
      <c r="A27" s="59"/>
      <c r="B27" s="57"/>
      <c r="C27" s="60"/>
      <c r="D27" s="60"/>
      <c r="E27" s="61"/>
      <c r="F27" s="57"/>
    </row>
    <row r="28" spans="1:6" ht="15" x14ac:dyDescent="0.2">
      <c r="A28" s="55"/>
      <c r="B28" s="60"/>
      <c r="C28" s="60"/>
      <c r="D28" s="62" t="s">
        <v>41</v>
      </c>
      <c r="E28" s="62" t="s">
        <v>337</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341</v>
      </c>
      <c r="C35" s="86">
        <v>0.3</v>
      </c>
      <c r="D35" s="84">
        <v>245</v>
      </c>
      <c r="E35" s="79">
        <f>+C35*D35</f>
        <v>73.5</v>
      </c>
      <c r="F35" s="78"/>
    </row>
    <row r="36" spans="1:6" s="80" customFormat="1" ht="14.25" x14ac:dyDescent="0.2">
      <c r="A36" s="78"/>
      <c r="B36" s="81"/>
      <c r="C36" s="86"/>
      <c r="D36" s="84"/>
      <c r="E36" s="79"/>
      <c r="F36" s="78"/>
    </row>
    <row r="37" spans="1:6" s="80" customFormat="1" ht="14.25" x14ac:dyDescent="0.2">
      <c r="A37" s="78"/>
      <c r="B37" s="81" t="s">
        <v>340</v>
      </c>
      <c r="C37" s="86">
        <v>2</v>
      </c>
      <c r="D37" s="84">
        <v>245</v>
      </c>
      <c r="E37" s="79">
        <f>+C37*D37</f>
        <v>490</v>
      </c>
      <c r="F37" s="78"/>
    </row>
    <row r="38" spans="1:6" s="80" customFormat="1" ht="14.25" x14ac:dyDescent="0.2">
      <c r="A38" s="78"/>
      <c r="B38" s="81"/>
      <c r="C38" s="86"/>
      <c r="D38" s="84"/>
      <c r="E38" s="79"/>
      <c r="F38" s="78"/>
    </row>
    <row r="39" spans="1:6" s="80" customFormat="1" ht="14.25" x14ac:dyDescent="0.2">
      <c r="A39" s="78"/>
      <c r="B39" s="81" t="s">
        <v>339</v>
      </c>
      <c r="C39" s="86">
        <v>0.75</v>
      </c>
      <c r="D39" s="84">
        <v>245</v>
      </c>
      <c r="E39" s="79">
        <f>+C39*D39</f>
        <v>183.75</v>
      </c>
      <c r="F39" s="78"/>
    </row>
    <row r="40" spans="1:6" s="80" customFormat="1" ht="14.25" x14ac:dyDescent="0.2">
      <c r="A40" s="78"/>
      <c r="B40" s="81"/>
      <c r="C40" s="86"/>
      <c r="D40" s="84"/>
      <c r="E40" s="79"/>
      <c r="F40" s="78"/>
    </row>
    <row r="41" spans="1:6" s="80" customFormat="1" ht="14.25" x14ac:dyDescent="0.2">
      <c r="A41" s="78"/>
      <c r="B41" s="81" t="s">
        <v>338</v>
      </c>
      <c r="C41" s="86">
        <v>2.25</v>
      </c>
      <c r="D41" s="84">
        <v>245</v>
      </c>
      <c r="E41" s="79">
        <f>+C41*D41</f>
        <v>551.25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1298.5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1298.5</v>
      </c>
      <c r="F70" s="57"/>
    </row>
    <row r="71" spans="1:6" ht="13.5" customHeight="1" x14ac:dyDescent="0.2">
      <c r="A71" s="57"/>
      <c r="B71" s="58" t="s">
        <v>6</v>
      </c>
      <c r="C71" s="70">
        <v>0.05</v>
      </c>
      <c r="D71" s="58"/>
      <c r="E71" s="43">
        <f>ROUND(E70*C71,2)</f>
        <v>64.930000000000007</v>
      </c>
      <c r="F71" s="57"/>
    </row>
    <row r="72" spans="1:6" ht="13.5" customHeight="1" x14ac:dyDescent="0.2">
      <c r="A72" s="57"/>
      <c r="B72" s="58" t="s">
        <v>5</v>
      </c>
      <c r="C72" s="71">
        <v>9.9750000000000005E-2</v>
      </c>
      <c r="D72" s="58"/>
      <c r="E72" s="44">
        <f>ROUND(E70*C72,2)</f>
        <v>129.53</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1492.96</v>
      </c>
      <c r="F74" s="57"/>
    </row>
    <row r="75" spans="1:6" ht="15.75" thickTop="1" x14ac:dyDescent="0.2">
      <c r="A75" s="57"/>
      <c r="B75" s="163"/>
      <c r="C75" s="163"/>
      <c r="D75" s="163"/>
      <c r="E75" s="72"/>
      <c r="F75" s="57"/>
    </row>
    <row r="76" spans="1:6" ht="15" x14ac:dyDescent="0.2">
      <c r="A76" s="57"/>
      <c r="B76" s="164" t="s">
        <v>48</v>
      </c>
      <c r="C76" s="164"/>
      <c r="D76" s="164"/>
      <c r="E76" s="72">
        <v>0</v>
      </c>
      <c r="F76" s="57"/>
    </row>
    <row r="77" spans="1:6" ht="15" x14ac:dyDescent="0.2">
      <c r="A77" s="57"/>
      <c r="B77" s="163"/>
      <c r="C77" s="163"/>
      <c r="D77" s="163"/>
      <c r="E77" s="72"/>
      <c r="F77" s="57"/>
    </row>
    <row r="78" spans="1:6" ht="19.5" customHeight="1" x14ac:dyDescent="0.2">
      <c r="A78" s="57"/>
      <c r="B78" s="73" t="s">
        <v>47</v>
      </c>
      <c r="C78" s="74"/>
      <c r="D78" s="74"/>
      <c r="E78" s="75">
        <f>E74-E76</f>
        <v>1492.96</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5"/>
      <c r="C81" s="165"/>
      <c r="D81" s="165"/>
      <c r="E81" s="165"/>
      <c r="F81" s="57"/>
    </row>
    <row r="82" spans="1:6" ht="14.25" x14ac:dyDescent="0.2">
      <c r="A82" s="166" t="s">
        <v>194</v>
      </c>
      <c r="B82" s="166"/>
      <c r="C82" s="166"/>
      <c r="D82" s="166"/>
      <c r="E82" s="166"/>
      <c r="F82" s="166"/>
    </row>
    <row r="83" spans="1:6" ht="14.25" x14ac:dyDescent="0.2">
      <c r="A83" s="167" t="s">
        <v>195</v>
      </c>
      <c r="B83" s="167"/>
      <c r="C83" s="167"/>
      <c r="D83" s="167"/>
      <c r="E83" s="167"/>
      <c r="F83" s="167"/>
    </row>
    <row r="84" spans="1:6" x14ac:dyDescent="0.2">
      <c r="A84" s="57"/>
      <c r="B84" s="57"/>
      <c r="C84" s="57"/>
      <c r="D84" s="57"/>
      <c r="E84" s="57"/>
      <c r="F84" s="57"/>
    </row>
    <row r="85" spans="1:6" x14ac:dyDescent="0.2">
      <c r="A85" s="57"/>
      <c r="B85" s="159"/>
      <c r="C85" s="159"/>
      <c r="D85" s="159"/>
      <c r="E85" s="159"/>
      <c r="F85" s="57"/>
    </row>
    <row r="86" spans="1:6" ht="15" x14ac:dyDescent="0.2">
      <c r="A86" s="160" t="s">
        <v>9</v>
      </c>
      <c r="B86" s="160"/>
      <c r="C86" s="160"/>
      <c r="D86" s="160"/>
      <c r="E86" s="160"/>
      <c r="F86" s="160"/>
    </row>
    <row r="88" spans="1:6" ht="39.75" customHeight="1" x14ac:dyDescent="0.2">
      <c r="B88" s="161"/>
      <c r="C88" s="162"/>
      <c r="D88" s="162"/>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00000000-0002-0000-2E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8">
    <pageSetUpPr fitToPage="1"/>
  </sheetPr>
  <dimension ref="A12:F89"/>
  <sheetViews>
    <sheetView view="pageBreakPreview" zoomScale="80" zoomScaleNormal="100" zoomScaleSheetLayoutView="80" workbookViewId="0">
      <selection activeCell="E28" sqref="E2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342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62" t="s">
        <v>343</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345</v>
      </c>
      <c r="C35" s="86">
        <v>0.25</v>
      </c>
      <c r="D35" s="84">
        <v>245</v>
      </c>
      <c r="E35" s="79">
        <f>+C35*D35</f>
        <v>61.25</v>
      </c>
      <c r="F35" s="78"/>
    </row>
    <row r="36" spans="1:6" s="80" customFormat="1" ht="14.25" x14ac:dyDescent="0.2">
      <c r="A36" s="78"/>
      <c r="B36" s="81"/>
      <c r="C36" s="86"/>
      <c r="D36" s="84"/>
      <c r="E36" s="79"/>
      <c r="F36" s="78"/>
    </row>
    <row r="37" spans="1:6" s="80" customFormat="1" ht="14.25" x14ac:dyDescent="0.2">
      <c r="A37" s="78"/>
      <c r="B37" s="81" t="s">
        <v>346</v>
      </c>
      <c r="C37" s="86">
        <v>0.25</v>
      </c>
      <c r="D37" s="84">
        <v>245</v>
      </c>
      <c r="E37" s="79">
        <f>+C37*D37</f>
        <v>61.25</v>
      </c>
      <c r="F37" s="78"/>
    </row>
    <row r="38" spans="1:6" s="80" customFormat="1" ht="14.25" x14ac:dyDescent="0.2">
      <c r="A38" s="78"/>
      <c r="B38" s="81"/>
      <c r="C38" s="86"/>
      <c r="D38" s="84"/>
      <c r="E38" s="79"/>
      <c r="F38" s="78"/>
    </row>
    <row r="39" spans="1:6" s="80" customFormat="1" ht="14.25" x14ac:dyDescent="0.2">
      <c r="A39" s="78"/>
      <c r="B39" s="81" t="s">
        <v>347</v>
      </c>
      <c r="C39" s="86">
        <v>1</v>
      </c>
      <c r="D39" s="84">
        <v>245</v>
      </c>
      <c r="E39" s="79">
        <f>+C39*D39</f>
        <v>245</v>
      </c>
      <c r="F39" s="78"/>
    </row>
    <row r="40" spans="1:6" s="80" customFormat="1" ht="14.25" x14ac:dyDescent="0.2">
      <c r="A40" s="78"/>
      <c r="B40" s="81"/>
      <c r="C40" s="86"/>
      <c r="D40" s="84"/>
      <c r="E40" s="79"/>
      <c r="F40" s="78"/>
    </row>
    <row r="41" spans="1:6" s="80" customFormat="1" ht="14.25" x14ac:dyDescent="0.2">
      <c r="A41" s="78"/>
      <c r="B41" s="81" t="s">
        <v>348</v>
      </c>
      <c r="C41" s="86">
        <v>8</v>
      </c>
      <c r="D41" s="84">
        <v>245</v>
      </c>
      <c r="E41" s="79">
        <f>+C41*D41</f>
        <v>1960</v>
      </c>
      <c r="F41" s="78"/>
    </row>
    <row r="42" spans="1:6" s="80" customFormat="1" ht="14.25" x14ac:dyDescent="0.2">
      <c r="A42" s="78"/>
      <c r="B42" s="81"/>
      <c r="C42" s="86"/>
      <c r="D42" s="84"/>
      <c r="E42" s="79"/>
      <c r="F42" s="78"/>
    </row>
    <row r="43" spans="1:6" s="80" customFormat="1" ht="14.25" x14ac:dyDescent="0.2">
      <c r="A43" s="78"/>
      <c r="B43" s="81" t="s">
        <v>349</v>
      </c>
      <c r="C43" s="86">
        <v>0.4</v>
      </c>
      <c r="D43" s="84">
        <v>245</v>
      </c>
      <c r="E43" s="79">
        <f>+C43*D43</f>
        <v>98</v>
      </c>
      <c r="F43" s="78"/>
    </row>
    <row r="44" spans="1:6" s="80" customFormat="1" ht="14.25" x14ac:dyDescent="0.2">
      <c r="A44" s="78"/>
      <c r="B44" s="81"/>
      <c r="C44" s="86"/>
      <c r="D44" s="84"/>
      <c r="E44" s="79"/>
      <c r="F44" s="78"/>
    </row>
    <row r="45" spans="1:6" s="80" customFormat="1" ht="28.5" x14ac:dyDescent="0.2">
      <c r="A45" s="78"/>
      <c r="B45" s="81" t="s">
        <v>350</v>
      </c>
      <c r="C45" s="86">
        <v>2.75</v>
      </c>
      <c r="D45" s="84">
        <v>245</v>
      </c>
      <c r="E45" s="79">
        <f>+C45*D45</f>
        <v>673.75</v>
      </c>
      <c r="F45" s="78"/>
    </row>
    <row r="46" spans="1:6" s="80" customFormat="1" ht="14.25" x14ac:dyDescent="0.2">
      <c r="A46" s="78"/>
      <c r="B46" s="81"/>
      <c r="C46" s="86"/>
      <c r="D46" s="84"/>
      <c r="E46" s="79"/>
      <c r="F46" s="78"/>
    </row>
    <row r="47" spans="1:6" s="80" customFormat="1" ht="14.25" x14ac:dyDescent="0.2">
      <c r="A47" s="78"/>
      <c r="B47" s="81" t="s">
        <v>351</v>
      </c>
      <c r="C47" s="86">
        <v>0.4</v>
      </c>
      <c r="D47" s="84">
        <v>245</v>
      </c>
      <c r="E47" s="79">
        <f>+C47*D47</f>
        <v>98</v>
      </c>
      <c r="F47" s="78"/>
    </row>
    <row r="48" spans="1:6" s="80" customFormat="1" ht="14.25" x14ac:dyDescent="0.2">
      <c r="A48" s="78"/>
      <c r="B48" s="81"/>
      <c r="C48" s="86"/>
      <c r="D48" s="84"/>
      <c r="E48" s="79"/>
      <c r="F48" s="78"/>
    </row>
    <row r="49" spans="1:6" s="80" customFormat="1" ht="14.25" x14ac:dyDescent="0.2">
      <c r="A49" s="78"/>
      <c r="B49" s="81" t="s">
        <v>352</v>
      </c>
      <c r="C49" s="86">
        <v>1</v>
      </c>
      <c r="D49" s="84">
        <v>245</v>
      </c>
      <c r="E49" s="79">
        <f>+C49*D49</f>
        <v>245</v>
      </c>
      <c r="F49" s="78"/>
    </row>
    <row r="50" spans="1:6" s="80" customFormat="1" ht="14.25" x14ac:dyDescent="0.2">
      <c r="A50" s="78"/>
      <c r="B50" s="81"/>
      <c r="C50" s="86"/>
      <c r="D50" s="84"/>
      <c r="E50" s="79"/>
      <c r="F50" s="78"/>
    </row>
    <row r="51" spans="1:6" s="80" customFormat="1" ht="14.25" x14ac:dyDescent="0.2">
      <c r="A51" s="78"/>
      <c r="B51" s="81" t="s">
        <v>353</v>
      </c>
      <c r="C51" s="86">
        <v>0.5</v>
      </c>
      <c r="D51" s="84">
        <v>245</v>
      </c>
      <c r="E51" s="79">
        <f>+C51*D51</f>
        <v>122.5</v>
      </c>
      <c r="F51" s="78"/>
    </row>
    <row r="52" spans="1:6" s="80" customFormat="1" ht="14.25" x14ac:dyDescent="0.2">
      <c r="A52" s="78"/>
      <c r="B52" s="81"/>
      <c r="C52" s="86"/>
      <c r="D52" s="84"/>
      <c r="E52" s="79"/>
      <c r="F52" s="78"/>
    </row>
    <row r="53" spans="1:6" s="80" customFormat="1" ht="14.25" x14ac:dyDescent="0.2">
      <c r="A53" s="78"/>
      <c r="B53" s="81" t="s">
        <v>354</v>
      </c>
      <c r="C53" s="86">
        <v>0.25</v>
      </c>
      <c r="D53" s="84">
        <v>245</v>
      </c>
      <c r="E53" s="79">
        <f>+C53*D53</f>
        <v>61.25</v>
      </c>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3626</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3626</v>
      </c>
      <c r="F69" s="57"/>
    </row>
    <row r="70" spans="1:6" ht="13.5" customHeight="1" x14ac:dyDescent="0.2">
      <c r="A70" s="57"/>
      <c r="B70" s="58" t="s">
        <v>6</v>
      </c>
      <c r="C70" s="70">
        <v>0.05</v>
      </c>
      <c r="D70" s="58"/>
      <c r="E70" s="43">
        <f>ROUND(E69*C70,2)</f>
        <v>181.3</v>
      </c>
      <c r="F70" s="57"/>
    </row>
    <row r="71" spans="1:6" ht="13.5" customHeight="1" x14ac:dyDescent="0.2">
      <c r="A71" s="57"/>
      <c r="B71" s="58" t="s">
        <v>5</v>
      </c>
      <c r="C71" s="71">
        <v>9.9750000000000005E-2</v>
      </c>
      <c r="D71" s="58"/>
      <c r="E71" s="44">
        <f>ROUND(E69*C71,2)</f>
        <v>361.69</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4168.99</v>
      </c>
      <c r="F73" s="57"/>
    </row>
    <row r="74" spans="1:6" ht="15.75" thickTop="1" x14ac:dyDescent="0.2">
      <c r="A74" s="57"/>
      <c r="B74" s="163"/>
      <c r="C74" s="163"/>
      <c r="D74" s="163"/>
      <c r="E74" s="72"/>
      <c r="F74" s="57"/>
    </row>
    <row r="75" spans="1:6" ht="15" x14ac:dyDescent="0.2">
      <c r="A75" s="57"/>
      <c r="B75" s="164" t="s">
        <v>48</v>
      </c>
      <c r="C75" s="164"/>
      <c r="D75" s="164"/>
      <c r="E75" s="72">
        <v>0</v>
      </c>
      <c r="F75" s="57"/>
    </row>
    <row r="76" spans="1:6" ht="15" x14ac:dyDescent="0.2">
      <c r="A76" s="57"/>
      <c r="B76" s="163"/>
      <c r="C76" s="163"/>
      <c r="D76" s="163"/>
      <c r="E76" s="72"/>
      <c r="F76" s="57"/>
    </row>
    <row r="77" spans="1:6" ht="19.5" customHeight="1" x14ac:dyDescent="0.2">
      <c r="A77" s="57"/>
      <c r="B77" s="73" t="s">
        <v>47</v>
      </c>
      <c r="C77" s="74"/>
      <c r="D77" s="74"/>
      <c r="E77" s="75">
        <f>E73-E75</f>
        <v>4168.99</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5"/>
      <c r="C80" s="165"/>
      <c r="D80" s="165"/>
      <c r="E80" s="165"/>
      <c r="F80" s="57"/>
    </row>
    <row r="81" spans="1:6" ht="14.25" x14ac:dyDescent="0.2">
      <c r="A81" s="166" t="s">
        <v>194</v>
      </c>
      <c r="B81" s="166"/>
      <c r="C81" s="166"/>
      <c r="D81" s="166"/>
      <c r="E81" s="166"/>
      <c r="F81" s="166"/>
    </row>
    <row r="82" spans="1:6" ht="14.25" x14ac:dyDescent="0.2">
      <c r="A82" s="167" t="s">
        <v>195</v>
      </c>
      <c r="B82" s="167"/>
      <c r="C82" s="167"/>
      <c r="D82" s="167"/>
      <c r="E82" s="167"/>
      <c r="F82" s="167"/>
    </row>
    <row r="83" spans="1:6" x14ac:dyDescent="0.2">
      <c r="A83" s="57"/>
      <c r="B83" s="57"/>
      <c r="C83" s="57"/>
      <c r="D83" s="57"/>
      <c r="E83" s="57"/>
      <c r="F83" s="57"/>
    </row>
    <row r="84" spans="1:6" x14ac:dyDescent="0.2">
      <c r="A84" s="57"/>
      <c r="B84" s="159"/>
      <c r="C84" s="159"/>
      <c r="D84" s="159"/>
      <c r="E84" s="159"/>
      <c r="F84" s="57"/>
    </row>
    <row r="85" spans="1:6" ht="15" x14ac:dyDescent="0.2">
      <c r="A85" s="160" t="s">
        <v>9</v>
      </c>
      <c r="B85" s="160"/>
      <c r="C85" s="160"/>
      <c r="D85" s="160"/>
      <c r="E85" s="160"/>
      <c r="F85" s="160"/>
    </row>
    <row r="87" spans="1:6" ht="39.75" customHeight="1" x14ac:dyDescent="0.2">
      <c r="B87" s="161"/>
      <c r="C87" s="162"/>
      <c r="D87" s="162"/>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2F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9">
    <pageSetUpPr fitToPage="1"/>
  </sheetPr>
  <dimension ref="A12:F89"/>
  <sheetViews>
    <sheetView view="pageBreakPreview" topLeftCell="A40" zoomScale="80" zoomScaleNormal="100" zoomScaleSheetLayoutView="80" workbookViewId="0">
      <selection activeCell="B22" sqref="B2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362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62" t="s">
        <v>355</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356</v>
      </c>
      <c r="C35" s="86">
        <v>1.25</v>
      </c>
      <c r="D35" s="84">
        <v>245</v>
      </c>
      <c r="E35" s="79">
        <f>+C35*D35</f>
        <v>306.25</v>
      </c>
      <c r="F35" s="78"/>
    </row>
    <row r="36" spans="1:6" s="80" customFormat="1" ht="14.25" x14ac:dyDescent="0.2">
      <c r="A36" s="78"/>
      <c r="B36" s="81"/>
      <c r="C36" s="86"/>
      <c r="D36" s="84"/>
      <c r="E36" s="79"/>
      <c r="F36" s="78"/>
    </row>
    <row r="37" spans="1:6" s="80" customFormat="1" ht="14.25" x14ac:dyDescent="0.2">
      <c r="A37" s="78"/>
      <c r="B37" s="81" t="s">
        <v>357</v>
      </c>
      <c r="C37" s="86">
        <v>0.25</v>
      </c>
      <c r="D37" s="84">
        <v>245</v>
      </c>
      <c r="E37" s="79">
        <f>+C37*D37</f>
        <v>61.25</v>
      </c>
      <c r="F37" s="78"/>
    </row>
    <row r="38" spans="1:6" s="80" customFormat="1" ht="14.25" x14ac:dyDescent="0.2">
      <c r="A38" s="78"/>
      <c r="B38" s="81"/>
      <c r="C38" s="86"/>
      <c r="D38" s="84"/>
      <c r="E38" s="79"/>
      <c r="F38" s="78"/>
    </row>
    <row r="39" spans="1:6" s="80" customFormat="1" ht="28.5" x14ac:dyDescent="0.2">
      <c r="A39" s="78"/>
      <c r="B39" s="81" t="s">
        <v>358</v>
      </c>
      <c r="C39" s="86">
        <v>1.25</v>
      </c>
      <c r="D39" s="84">
        <v>245</v>
      </c>
      <c r="E39" s="79">
        <f>+C39*D39</f>
        <v>306.25</v>
      </c>
      <c r="F39" s="78"/>
    </row>
    <row r="40" spans="1:6" s="80" customFormat="1" ht="14.25" x14ac:dyDescent="0.2">
      <c r="A40" s="78"/>
      <c r="B40" s="81"/>
      <c r="C40" s="86"/>
      <c r="D40" s="84"/>
      <c r="E40" s="79"/>
      <c r="F40" s="78"/>
    </row>
    <row r="41" spans="1:6" s="80" customFormat="1" ht="14.25" x14ac:dyDescent="0.2">
      <c r="A41" s="78"/>
      <c r="B41" s="81" t="s">
        <v>359</v>
      </c>
      <c r="C41" s="86">
        <v>0.4</v>
      </c>
      <c r="D41" s="84">
        <v>245</v>
      </c>
      <c r="E41" s="79">
        <f>+C41*D41</f>
        <v>98</v>
      </c>
      <c r="F41" s="78"/>
    </row>
    <row r="42" spans="1:6" s="80" customFormat="1" ht="14.25" x14ac:dyDescent="0.2">
      <c r="A42" s="78"/>
      <c r="B42" s="81"/>
      <c r="C42" s="86"/>
      <c r="D42" s="84"/>
      <c r="E42" s="79"/>
      <c r="F42" s="78"/>
    </row>
    <row r="43" spans="1:6" s="80" customFormat="1" ht="14.25" x14ac:dyDescent="0.2">
      <c r="A43" s="78"/>
      <c r="B43" s="81" t="s">
        <v>360</v>
      </c>
      <c r="C43" s="86">
        <v>1.4</v>
      </c>
      <c r="D43" s="84">
        <v>245</v>
      </c>
      <c r="E43" s="79">
        <f>+C43*D43</f>
        <v>343</v>
      </c>
      <c r="F43" s="78"/>
    </row>
    <row r="44" spans="1:6" s="80" customFormat="1" ht="14.25" x14ac:dyDescent="0.2">
      <c r="A44" s="78"/>
      <c r="B44" s="81"/>
      <c r="C44" s="86"/>
      <c r="D44" s="84"/>
      <c r="E44" s="79"/>
      <c r="F44" s="78"/>
    </row>
    <row r="45" spans="1:6" s="80" customFormat="1" ht="14.25" x14ac:dyDescent="0.2">
      <c r="A45" s="78"/>
      <c r="B45" s="81" t="s">
        <v>361</v>
      </c>
      <c r="C45" s="86">
        <v>0.25</v>
      </c>
      <c r="D45" s="84">
        <v>245</v>
      </c>
      <c r="E45" s="79">
        <f>+C45*D45</f>
        <v>61.25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1176</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1176</v>
      </c>
      <c r="F69" s="57"/>
    </row>
    <row r="70" spans="1:6" ht="13.5" customHeight="1" x14ac:dyDescent="0.2">
      <c r="A70" s="57"/>
      <c r="B70" s="58" t="s">
        <v>6</v>
      </c>
      <c r="C70" s="70">
        <v>0.05</v>
      </c>
      <c r="D70" s="58"/>
      <c r="E70" s="43">
        <f>ROUND(E69*C70,2)</f>
        <v>58.8</v>
      </c>
      <c r="F70" s="57"/>
    </row>
    <row r="71" spans="1:6" ht="13.5" customHeight="1" x14ac:dyDescent="0.2">
      <c r="A71" s="57"/>
      <c r="B71" s="58" t="s">
        <v>5</v>
      </c>
      <c r="C71" s="71">
        <v>9.9750000000000005E-2</v>
      </c>
      <c r="D71" s="58"/>
      <c r="E71" s="44">
        <f>ROUND(E69*C71,2)</f>
        <v>117.31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1352.11</v>
      </c>
      <c r="F73" s="57"/>
    </row>
    <row r="74" spans="1:6" ht="15.75" thickTop="1" x14ac:dyDescent="0.2">
      <c r="A74" s="57"/>
      <c r="B74" s="163"/>
      <c r="C74" s="163"/>
      <c r="D74" s="163"/>
      <c r="E74" s="72"/>
      <c r="F74" s="57"/>
    </row>
    <row r="75" spans="1:6" ht="15" x14ac:dyDescent="0.2">
      <c r="A75" s="57"/>
      <c r="B75" s="164" t="s">
        <v>48</v>
      </c>
      <c r="C75" s="164"/>
      <c r="D75" s="164"/>
      <c r="E75" s="72">
        <v>0</v>
      </c>
      <c r="F75" s="57"/>
    </row>
    <row r="76" spans="1:6" ht="15" x14ac:dyDescent="0.2">
      <c r="A76" s="57"/>
      <c r="B76" s="163"/>
      <c r="C76" s="163"/>
      <c r="D76" s="163"/>
      <c r="E76" s="72"/>
      <c r="F76" s="57"/>
    </row>
    <row r="77" spans="1:6" ht="19.5" customHeight="1" x14ac:dyDescent="0.2">
      <c r="A77" s="57"/>
      <c r="B77" s="73" t="s">
        <v>47</v>
      </c>
      <c r="C77" s="74"/>
      <c r="D77" s="74"/>
      <c r="E77" s="75">
        <f>E73-E75</f>
        <v>1352.11</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5"/>
      <c r="C80" s="165"/>
      <c r="D80" s="165"/>
      <c r="E80" s="165"/>
      <c r="F80" s="57"/>
    </row>
    <row r="81" spans="1:6" ht="14.25" x14ac:dyDescent="0.2">
      <c r="A81" s="166" t="s">
        <v>194</v>
      </c>
      <c r="B81" s="166"/>
      <c r="C81" s="166"/>
      <c r="D81" s="166"/>
      <c r="E81" s="166"/>
      <c r="F81" s="166"/>
    </row>
    <row r="82" spans="1:6" ht="14.25" x14ac:dyDescent="0.2">
      <c r="A82" s="167" t="s">
        <v>195</v>
      </c>
      <c r="B82" s="167"/>
      <c r="C82" s="167"/>
      <c r="D82" s="167"/>
      <c r="E82" s="167"/>
      <c r="F82" s="167"/>
    </row>
    <row r="83" spans="1:6" x14ac:dyDescent="0.2">
      <c r="A83" s="57"/>
      <c r="B83" s="57"/>
      <c r="C83" s="57"/>
      <c r="D83" s="57"/>
      <c r="E83" s="57"/>
      <c r="F83" s="57"/>
    </row>
    <row r="84" spans="1:6" x14ac:dyDescent="0.2">
      <c r="A84" s="57"/>
      <c r="B84" s="159"/>
      <c r="C84" s="159"/>
      <c r="D84" s="159"/>
      <c r="E84" s="159"/>
      <c r="F84" s="57"/>
    </row>
    <row r="85" spans="1:6" ht="15" x14ac:dyDescent="0.2">
      <c r="A85" s="160" t="s">
        <v>9</v>
      </c>
      <c r="B85" s="160"/>
      <c r="C85" s="160"/>
      <c r="D85" s="160"/>
      <c r="E85" s="160"/>
      <c r="F85" s="160"/>
    </row>
    <row r="87" spans="1:6" ht="39.75" customHeight="1" x14ac:dyDescent="0.2">
      <c r="B87" s="161"/>
      <c r="C87" s="162"/>
      <c r="D87" s="162"/>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0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pageSetUpPr fitToPage="1"/>
  </sheetPr>
  <dimension ref="A12:F98"/>
  <sheetViews>
    <sheetView view="pageBreakPreview" zoomScale="80" zoomScaleNormal="100" zoomScaleSheetLayoutView="80" workbookViewId="0">
      <selection activeCell="E76" sqref="E76"/>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66</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67</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68</v>
      </c>
      <c r="C36" s="149"/>
      <c r="D36" s="149"/>
      <c r="E36" s="37">
        <f>0.5*190</f>
        <v>95</v>
      </c>
      <c r="F36" s="30"/>
    </row>
    <row r="37" spans="1:6" ht="14.25" x14ac:dyDescent="0.2">
      <c r="A37" s="30"/>
      <c r="B37" s="149"/>
      <c r="C37" s="149"/>
      <c r="D37" s="149"/>
      <c r="E37" s="37"/>
      <c r="F37" s="30"/>
    </row>
    <row r="38" spans="1:6" ht="14.25" x14ac:dyDescent="0.2">
      <c r="A38" s="30"/>
      <c r="B38" s="149"/>
      <c r="C38" s="149"/>
      <c r="D38" s="149"/>
      <c r="E38" s="37"/>
      <c r="F38" s="30"/>
    </row>
    <row r="39" spans="1:6" ht="29.25" customHeight="1" x14ac:dyDescent="0.2">
      <c r="A39" s="30"/>
      <c r="B39" s="149" t="s">
        <v>69</v>
      </c>
      <c r="C39" s="149"/>
      <c r="D39" s="149"/>
      <c r="E39" s="37">
        <f>1.75*190</f>
        <v>332.5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70</v>
      </c>
      <c r="C42" s="149"/>
      <c r="D42" s="149"/>
      <c r="E42" s="37">
        <f>2.75*190</f>
        <v>522.5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71</v>
      </c>
      <c r="C45" s="149"/>
      <c r="D45" s="149"/>
      <c r="E45" s="37">
        <v>190</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SUM(E35:E74)</f>
        <v>1140</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1140</v>
      </c>
      <c r="F78" s="30"/>
    </row>
    <row r="79" spans="1:6" ht="13.5" customHeight="1" x14ac:dyDescent="0.2">
      <c r="A79" s="30"/>
      <c r="B79" s="35" t="s">
        <v>6</v>
      </c>
      <c r="C79" s="40">
        <v>0.05</v>
      </c>
      <c r="D79" s="35"/>
      <c r="E79" s="43">
        <f>ROUND(E78*C79,2)</f>
        <v>57</v>
      </c>
      <c r="F79" s="30"/>
    </row>
    <row r="80" spans="1:6" ht="13.5" customHeight="1" x14ac:dyDescent="0.2">
      <c r="A80" s="30"/>
      <c r="B80" s="35" t="s">
        <v>5</v>
      </c>
      <c r="C80" s="40">
        <v>9.5000000000000001E-2</v>
      </c>
      <c r="D80" s="35"/>
      <c r="E80" s="44">
        <f>ROUND((E78+E79)*C80,2)</f>
        <v>113.72</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1310.72</v>
      </c>
      <c r="F82" s="30"/>
    </row>
    <row r="83" spans="1:6" ht="15.75" thickTop="1" x14ac:dyDescent="0.2">
      <c r="A83" s="30"/>
      <c r="B83" s="151"/>
      <c r="C83" s="151"/>
      <c r="D83" s="151"/>
      <c r="E83" s="45"/>
      <c r="F83" s="30"/>
    </row>
    <row r="84" spans="1:6" ht="15" x14ac:dyDescent="0.2">
      <c r="A84" s="30"/>
      <c r="B84" s="150" t="s">
        <v>48</v>
      </c>
      <c r="C84" s="150"/>
      <c r="D84" s="150"/>
      <c r="E84" s="45">
        <v>0</v>
      </c>
      <c r="F84" s="30"/>
    </row>
    <row r="85" spans="1:6" ht="15" x14ac:dyDescent="0.2">
      <c r="A85" s="30"/>
      <c r="B85" s="151"/>
      <c r="C85" s="151"/>
      <c r="D85" s="151"/>
      <c r="E85" s="45"/>
      <c r="F85" s="30"/>
    </row>
    <row r="86" spans="1:6" ht="19.5" customHeight="1" x14ac:dyDescent="0.2">
      <c r="A86" s="30"/>
      <c r="B86" s="46" t="s">
        <v>47</v>
      </c>
      <c r="C86" s="47"/>
      <c r="D86" s="47"/>
      <c r="E86" s="48">
        <f>E82-E84</f>
        <v>1310.72</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5"/>
      <c r="C89" s="155"/>
      <c r="D89" s="155"/>
      <c r="E89" s="155"/>
      <c r="F89" s="30"/>
    </row>
    <row r="90" spans="1:6" ht="14.25" x14ac:dyDescent="0.2">
      <c r="A90" s="148" t="s">
        <v>49</v>
      </c>
      <c r="B90" s="148"/>
      <c r="C90" s="148"/>
      <c r="D90" s="148"/>
      <c r="E90" s="148"/>
      <c r="F90" s="148"/>
    </row>
    <row r="91" spans="1:6" ht="14.25" x14ac:dyDescent="0.2">
      <c r="A91" s="146" t="s">
        <v>8</v>
      </c>
      <c r="B91" s="146"/>
      <c r="C91" s="146"/>
      <c r="D91" s="146"/>
      <c r="E91" s="146"/>
      <c r="F91" s="146"/>
    </row>
    <row r="92" spans="1:6" x14ac:dyDescent="0.2">
      <c r="A92" s="30"/>
      <c r="B92" s="30"/>
      <c r="C92" s="30"/>
      <c r="D92" s="30"/>
      <c r="E92" s="30"/>
      <c r="F92" s="30"/>
    </row>
    <row r="93" spans="1:6" x14ac:dyDescent="0.2">
      <c r="A93" s="30"/>
      <c r="B93" s="156"/>
      <c r="C93" s="156"/>
      <c r="D93" s="156"/>
      <c r="E93" s="156"/>
      <c r="F93" s="30"/>
    </row>
    <row r="94" spans="1:6" ht="15" x14ac:dyDescent="0.2">
      <c r="A94" s="147" t="s">
        <v>9</v>
      </c>
      <c r="B94" s="147"/>
      <c r="C94" s="147"/>
      <c r="D94" s="147"/>
      <c r="E94" s="147"/>
      <c r="F94" s="147"/>
    </row>
    <row r="96" spans="1:6" ht="39.75" customHeight="1" x14ac:dyDescent="0.2">
      <c r="B96" s="153"/>
      <c r="C96" s="154"/>
      <c r="D96" s="154"/>
    </row>
    <row r="97" spans="2:4" ht="13.5" customHeight="1" x14ac:dyDescent="0.2"/>
    <row r="98" spans="2:4" x14ac:dyDescent="0.2">
      <c r="B98" s="20"/>
      <c r="C98" s="20"/>
      <c r="D98" s="20"/>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4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Feuil50">
    <pageSetUpPr fitToPage="1"/>
  </sheetPr>
  <dimension ref="A12:F89"/>
  <sheetViews>
    <sheetView view="pageBreakPreview" topLeftCell="A7" zoomScale="80" zoomScaleNormal="100" zoomScaleSheetLayoutView="80" workbookViewId="0">
      <selection activeCell="C38" sqref="C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363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62" t="s">
        <v>365</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364</v>
      </c>
      <c r="C35" s="86">
        <v>0.75</v>
      </c>
      <c r="D35" s="84">
        <v>245</v>
      </c>
      <c r="E35" s="79">
        <f>+C35*D35</f>
        <v>183.75</v>
      </c>
      <c r="F35" s="78"/>
    </row>
    <row r="36" spans="1:6" s="80" customFormat="1" ht="14.25" x14ac:dyDescent="0.2">
      <c r="A36" s="78"/>
      <c r="B36" s="81"/>
      <c r="C36" s="86"/>
      <c r="D36" s="84"/>
      <c r="E36" s="79"/>
      <c r="F36" s="78"/>
    </row>
    <row r="37" spans="1:6" s="80" customFormat="1" ht="28.5" x14ac:dyDescent="0.2">
      <c r="A37" s="78"/>
      <c r="B37" s="81" t="s">
        <v>367</v>
      </c>
      <c r="C37" s="86">
        <v>0.5</v>
      </c>
      <c r="D37" s="84">
        <v>245</v>
      </c>
      <c r="E37" s="79">
        <f>+C37*D37</f>
        <v>122.5</v>
      </c>
      <c r="F37" s="78"/>
    </row>
    <row r="38" spans="1:6" s="80" customFormat="1" ht="14.25" x14ac:dyDescent="0.2">
      <c r="A38" s="78"/>
      <c r="B38" s="81"/>
      <c r="C38" s="86"/>
      <c r="D38" s="84"/>
      <c r="E38" s="79"/>
      <c r="F38" s="78"/>
    </row>
    <row r="39" spans="1:6" s="80" customFormat="1" ht="14.25" x14ac:dyDescent="0.2">
      <c r="A39" s="78"/>
      <c r="B39" s="81" t="s">
        <v>366</v>
      </c>
      <c r="C39" s="86">
        <v>2</v>
      </c>
      <c r="D39" s="84">
        <v>245</v>
      </c>
      <c r="E39" s="79">
        <f>+C39*D39</f>
        <v>490</v>
      </c>
      <c r="F39" s="78"/>
    </row>
    <row r="40" spans="1:6" s="80" customFormat="1" ht="14.25" x14ac:dyDescent="0.2">
      <c r="A40" s="78"/>
      <c r="B40" s="81"/>
      <c r="C40" s="86"/>
      <c r="D40" s="84"/>
      <c r="E40" s="79"/>
      <c r="F40" s="78"/>
    </row>
    <row r="41" spans="1:6" s="80" customFormat="1" ht="14.25" x14ac:dyDescent="0.2">
      <c r="A41" s="78"/>
      <c r="B41" s="81" t="s">
        <v>368</v>
      </c>
      <c r="C41" s="86">
        <v>1.25</v>
      </c>
      <c r="D41" s="84">
        <v>245</v>
      </c>
      <c r="E41" s="79">
        <f>+C41*D41</f>
        <v>306.25</v>
      </c>
      <c r="F41" s="78"/>
    </row>
    <row r="42" spans="1:6" s="80" customFormat="1" ht="14.25" x14ac:dyDescent="0.2">
      <c r="A42" s="78"/>
      <c r="B42" s="81"/>
      <c r="C42" s="86"/>
      <c r="D42" s="84"/>
      <c r="E42" s="79"/>
      <c r="F42" s="78"/>
    </row>
    <row r="43" spans="1:6" s="80" customFormat="1" ht="14.25" x14ac:dyDescent="0.2">
      <c r="A43" s="78"/>
      <c r="B43" s="81" t="s">
        <v>369</v>
      </c>
      <c r="C43" s="86">
        <v>0.25</v>
      </c>
      <c r="D43" s="84">
        <v>245</v>
      </c>
      <c r="E43" s="79">
        <f>+C43*D43</f>
        <v>61.25</v>
      </c>
      <c r="F43" s="78"/>
    </row>
    <row r="44" spans="1:6" s="80" customFormat="1" ht="14.25" x14ac:dyDescent="0.2">
      <c r="A44" s="78"/>
      <c r="B44" s="81"/>
      <c r="C44" s="86"/>
      <c r="D44" s="84"/>
      <c r="E44" s="79"/>
      <c r="F44" s="78"/>
    </row>
    <row r="45" spans="1:6" s="80" customFormat="1" ht="14.25" x14ac:dyDescent="0.2">
      <c r="A45" s="78"/>
      <c r="B45" s="81" t="s">
        <v>370</v>
      </c>
      <c r="C45" s="86">
        <v>0.75</v>
      </c>
      <c r="D45" s="84">
        <v>245</v>
      </c>
      <c r="E45" s="79">
        <f>+C45*D45</f>
        <v>183.75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1347.5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1347.5</v>
      </c>
      <c r="F69" s="57"/>
    </row>
    <row r="70" spans="1:6" ht="13.5" customHeight="1" x14ac:dyDescent="0.2">
      <c r="A70" s="57"/>
      <c r="B70" s="58" t="s">
        <v>6</v>
      </c>
      <c r="C70" s="70">
        <v>0.05</v>
      </c>
      <c r="D70" s="58"/>
      <c r="E70" s="43">
        <f>ROUND(E69*C70,2)</f>
        <v>67.38</v>
      </c>
      <c r="F70" s="57"/>
    </row>
    <row r="71" spans="1:6" ht="13.5" customHeight="1" x14ac:dyDescent="0.2">
      <c r="A71" s="57"/>
      <c r="B71" s="58" t="s">
        <v>5</v>
      </c>
      <c r="C71" s="71">
        <v>9.9750000000000005E-2</v>
      </c>
      <c r="D71" s="58"/>
      <c r="E71" s="44">
        <f>ROUND(E69*C71,2)</f>
        <v>134.41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1549.2900000000002</v>
      </c>
      <c r="F73" s="57"/>
    </row>
    <row r="74" spans="1:6" ht="15.75" thickTop="1" x14ac:dyDescent="0.2">
      <c r="A74" s="57"/>
      <c r="B74" s="163"/>
      <c r="C74" s="163"/>
      <c r="D74" s="163"/>
      <c r="E74" s="72"/>
      <c r="F74" s="57"/>
    </row>
    <row r="75" spans="1:6" ht="15" x14ac:dyDescent="0.2">
      <c r="A75" s="57"/>
      <c r="B75" s="164" t="s">
        <v>48</v>
      </c>
      <c r="C75" s="164"/>
      <c r="D75" s="164"/>
      <c r="E75" s="72">
        <v>0</v>
      </c>
      <c r="F75" s="57"/>
    </row>
    <row r="76" spans="1:6" ht="15" x14ac:dyDescent="0.2">
      <c r="A76" s="57"/>
      <c r="B76" s="163"/>
      <c r="C76" s="163"/>
      <c r="D76" s="163"/>
      <c r="E76" s="72"/>
      <c r="F76" s="57"/>
    </row>
    <row r="77" spans="1:6" ht="19.5" customHeight="1" x14ac:dyDescent="0.2">
      <c r="A77" s="57"/>
      <c r="B77" s="73" t="s">
        <v>47</v>
      </c>
      <c r="C77" s="74"/>
      <c r="D77" s="74"/>
      <c r="E77" s="75">
        <f>E73-E75</f>
        <v>1549.2900000000002</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5"/>
      <c r="C80" s="165"/>
      <c r="D80" s="165"/>
      <c r="E80" s="165"/>
      <c r="F80" s="57"/>
    </row>
    <row r="81" spans="1:6" ht="14.25" x14ac:dyDescent="0.2">
      <c r="A81" s="166" t="s">
        <v>194</v>
      </c>
      <c r="B81" s="166"/>
      <c r="C81" s="166"/>
      <c r="D81" s="166"/>
      <c r="E81" s="166"/>
      <c r="F81" s="166"/>
    </row>
    <row r="82" spans="1:6" ht="14.25" x14ac:dyDescent="0.2">
      <c r="A82" s="167" t="s">
        <v>195</v>
      </c>
      <c r="B82" s="167"/>
      <c r="C82" s="167"/>
      <c r="D82" s="167"/>
      <c r="E82" s="167"/>
      <c r="F82" s="167"/>
    </row>
    <row r="83" spans="1:6" x14ac:dyDescent="0.2">
      <c r="A83" s="57"/>
      <c r="B83" s="57"/>
      <c r="C83" s="57"/>
      <c r="D83" s="57"/>
      <c r="E83" s="57"/>
      <c r="F83" s="57"/>
    </row>
    <row r="84" spans="1:6" x14ac:dyDescent="0.2">
      <c r="A84" s="57"/>
      <c r="B84" s="159"/>
      <c r="C84" s="159"/>
      <c r="D84" s="159"/>
      <c r="E84" s="159"/>
      <c r="F84" s="57"/>
    </row>
    <row r="85" spans="1:6" ht="15" x14ac:dyDescent="0.2">
      <c r="A85" s="160" t="s">
        <v>9</v>
      </c>
      <c r="B85" s="160"/>
      <c r="C85" s="160"/>
      <c r="D85" s="160"/>
      <c r="E85" s="160"/>
      <c r="F85" s="160"/>
    </row>
    <row r="87" spans="1:6" ht="39.75" customHeight="1" x14ac:dyDescent="0.2">
      <c r="B87" s="161"/>
      <c r="C87" s="162"/>
      <c r="D87" s="162"/>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1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Feuil51">
    <pageSetUpPr fitToPage="1"/>
  </sheetPr>
  <dimension ref="A12:F89"/>
  <sheetViews>
    <sheetView view="pageBreakPreview" topLeftCell="A19" zoomScale="80" zoomScaleNormal="100" zoomScaleSheetLayoutView="80" workbookViewId="0">
      <selection activeCell="C36" sqref="C3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371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378</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372</v>
      </c>
      <c r="C35" s="86">
        <v>4.75</v>
      </c>
      <c r="D35" s="84">
        <v>255</v>
      </c>
      <c r="E35" s="79">
        <f>+C35*D35</f>
        <v>1211.25</v>
      </c>
      <c r="F35" s="78"/>
    </row>
    <row r="36" spans="1:6" s="80" customFormat="1" ht="14.25" x14ac:dyDescent="0.2">
      <c r="A36" s="78"/>
      <c r="B36" s="81"/>
      <c r="C36" s="86"/>
      <c r="D36" s="84"/>
      <c r="E36" s="79"/>
      <c r="F36" s="78"/>
    </row>
    <row r="37" spans="1:6" s="80" customFormat="1" ht="14.25" x14ac:dyDescent="0.2">
      <c r="A37" s="78"/>
      <c r="B37" s="81" t="s">
        <v>373</v>
      </c>
      <c r="C37" s="86">
        <v>2</v>
      </c>
      <c r="D37" s="84">
        <v>255</v>
      </c>
      <c r="E37" s="79">
        <f>+C37*D37</f>
        <v>510</v>
      </c>
      <c r="F37" s="78"/>
    </row>
    <row r="38" spans="1:6" s="80" customFormat="1" ht="14.25" x14ac:dyDescent="0.2">
      <c r="A38" s="78"/>
      <c r="B38" s="81"/>
      <c r="C38" s="86"/>
      <c r="D38" s="84"/>
      <c r="E38" s="79"/>
      <c r="F38" s="78"/>
    </row>
    <row r="39" spans="1:6" s="80" customFormat="1" ht="14.25" x14ac:dyDescent="0.2">
      <c r="A39" s="78"/>
      <c r="B39" s="81" t="s">
        <v>374</v>
      </c>
      <c r="C39" s="86">
        <v>0.25</v>
      </c>
      <c r="D39" s="84">
        <v>255</v>
      </c>
      <c r="E39" s="79">
        <f>+C39*D39</f>
        <v>63.75</v>
      </c>
      <c r="F39" s="78"/>
    </row>
    <row r="40" spans="1:6" s="80" customFormat="1" ht="14.25" x14ac:dyDescent="0.2">
      <c r="A40" s="78"/>
      <c r="B40" s="81"/>
      <c r="C40" s="86"/>
      <c r="D40" s="84"/>
      <c r="E40" s="79"/>
      <c r="F40" s="78"/>
    </row>
    <row r="41" spans="1:6" s="80" customFormat="1" ht="14.25" x14ac:dyDescent="0.2">
      <c r="A41" s="78"/>
      <c r="B41" s="81" t="s">
        <v>375</v>
      </c>
      <c r="C41" s="86">
        <v>0.5</v>
      </c>
      <c r="D41" s="84">
        <v>255</v>
      </c>
      <c r="E41" s="79">
        <f>+C41*D41</f>
        <v>127.5</v>
      </c>
      <c r="F41" s="78"/>
    </row>
    <row r="42" spans="1:6" s="80" customFormat="1" ht="14.25" x14ac:dyDescent="0.2">
      <c r="A42" s="78"/>
      <c r="B42" s="81"/>
      <c r="C42" s="86"/>
      <c r="D42" s="84"/>
      <c r="E42" s="79"/>
      <c r="F42" s="78"/>
    </row>
    <row r="43" spans="1:6" s="80" customFormat="1" ht="14.25" x14ac:dyDescent="0.2">
      <c r="A43" s="78"/>
      <c r="B43" s="81" t="s">
        <v>376</v>
      </c>
      <c r="C43" s="86">
        <v>2</v>
      </c>
      <c r="D43" s="84">
        <v>255</v>
      </c>
      <c r="E43" s="79">
        <f>+C43*D43</f>
        <v>510</v>
      </c>
      <c r="F43" s="78"/>
    </row>
    <row r="44" spans="1:6" s="80" customFormat="1" ht="14.25" x14ac:dyDescent="0.2">
      <c r="A44" s="78"/>
      <c r="B44" s="81"/>
      <c r="C44" s="86"/>
      <c r="D44" s="84"/>
      <c r="E44" s="79"/>
      <c r="F44" s="78"/>
    </row>
    <row r="45" spans="1:6" s="80" customFormat="1" ht="14.25" x14ac:dyDescent="0.2">
      <c r="A45" s="78"/>
      <c r="B45" s="81" t="s">
        <v>377</v>
      </c>
      <c r="C45" s="86">
        <v>0.75</v>
      </c>
      <c r="D45" s="84">
        <v>255</v>
      </c>
      <c r="E45" s="79">
        <f>+C45*D45</f>
        <v>191.25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2613.75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2613.75</v>
      </c>
      <c r="F69" s="57"/>
    </row>
    <row r="70" spans="1:6" ht="13.5" customHeight="1" x14ac:dyDescent="0.2">
      <c r="A70" s="57"/>
      <c r="B70" s="58" t="s">
        <v>6</v>
      </c>
      <c r="C70" s="70">
        <v>0.05</v>
      </c>
      <c r="D70" s="58"/>
      <c r="E70" s="43">
        <f>ROUND(E69*C70,2)</f>
        <v>130.69</v>
      </c>
      <c r="F70" s="57"/>
    </row>
    <row r="71" spans="1:6" ht="13.5" customHeight="1" x14ac:dyDescent="0.2">
      <c r="A71" s="57"/>
      <c r="B71" s="58" t="s">
        <v>5</v>
      </c>
      <c r="C71" s="71">
        <v>9.9750000000000005E-2</v>
      </c>
      <c r="D71" s="58"/>
      <c r="E71" s="44">
        <f>ROUND(E69*C71,2)</f>
        <v>260.72000000000003</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3005.16</v>
      </c>
      <c r="F73" s="57"/>
    </row>
    <row r="74" spans="1:6" ht="15.75" thickTop="1" x14ac:dyDescent="0.2">
      <c r="A74" s="57"/>
      <c r="B74" s="163"/>
      <c r="C74" s="163"/>
      <c r="D74" s="163"/>
      <c r="E74" s="72"/>
      <c r="F74" s="57"/>
    </row>
    <row r="75" spans="1:6" ht="15" x14ac:dyDescent="0.2">
      <c r="A75" s="57"/>
      <c r="B75" s="164" t="s">
        <v>48</v>
      </c>
      <c r="C75" s="164"/>
      <c r="D75" s="164"/>
      <c r="E75" s="72">
        <v>0</v>
      </c>
      <c r="F75" s="57"/>
    </row>
    <row r="76" spans="1:6" ht="15" x14ac:dyDescent="0.2">
      <c r="A76" s="57"/>
      <c r="B76" s="163"/>
      <c r="C76" s="163"/>
      <c r="D76" s="163"/>
      <c r="E76" s="72"/>
      <c r="F76" s="57"/>
    </row>
    <row r="77" spans="1:6" ht="19.5" customHeight="1" x14ac:dyDescent="0.2">
      <c r="A77" s="57"/>
      <c r="B77" s="73" t="s">
        <v>47</v>
      </c>
      <c r="C77" s="74"/>
      <c r="D77" s="74"/>
      <c r="E77" s="75">
        <f>E73-E75</f>
        <v>3005.16</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5"/>
      <c r="C80" s="165"/>
      <c r="D80" s="165"/>
      <c r="E80" s="165"/>
      <c r="F80" s="57"/>
    </row>
    <row r="81" spans="1:6" ht="14.25" x14ac:dyDescent="0.2">
      <c r="A81" s="166" t="s">
        <v>194</v>
      </c>
      <c r="B81" s="166"/>
      <c r="C81" s="166"/>
      <c r="D81" s="166"/>
      <c r="E81" s="166"/>
      <c r="F81" s="166"/>
    </row>
    <row r="82" spans="1:6" ht="14.25" x14ac:dyDescent="0.2">
      <c r="A82" s="167" t="s">
        <v>195</v>
      </c>
      <c r="B82" s="167"/>
      <c r="C82" s="167"/>
      <c r="D82" s="167"/>
      <c r="E82" s="167"/>
      <c r="F82" s="167"/>
    </row>
    <row r="83" spans="1:6" x14ac:dyDescent="0.2">
      <c r="A83" s="57"/>
      <c r="B83" s="57"/>
      <c r="C83" s="57"/>
      <c r="D83" s="57"/>
      <c r="E83" s="57"/>
      <c r="F83" s="57"/>
    </row>
    <row r="84" spans="1:6" x14ac:dyDescent="0.2">
      <c r="A84" s="57"/>
      <c r="B84" s="159"/>
      <c r="C84" s="159"/>
      <c r="D84" s="159"/>
      <c r="E84" s="159"/>
      <c r="F84" s="57"/>
    </row>
    <row r="85" spans="1:6" ht="15" x14ac:dyDescent="0.2">
      <c r="A85" s="160" t="s">
        <v>9</v>
      </c>
      <c r="B85" s="160"/>
      <c r="C85" s="160"/>
      <c r="D85" s="160"/>
      <c r="E85" s="160"/>
      <c r="F85" s="160"/>
    </row>
    <row r="87" spans="1:6" ht="39.75" customHeight="1" x14ac:dyDescent="0.2">
      <c r="B87" s="161"/>
      <c r="C87" s="162"/>
      <c r="D87" s="162"/>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2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Feuil52">
    <pageSetUpPr fitToPage="1"/>
  </sheetPr>
  <dimension ref="A12:F89"/>
  <sheetViews>
    <sheetView view="pageBreakPreview" zoomScale="80" zoomScaleNormal="100" zoomScaleSheetLayoutView="80" workbookViewId="0">
      <selection activeCell="D48" sqref="D48:D4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379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380</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382</v>
      </c>
      <c r="C35" s="86">
        <v>2</v>
      </c>
      <c r="D35" s="84">
        <v>255</v>
      </c>
      <c r="E35" s="79">
        <f>+C35*D35</f>
        <v>510</v>
      </c>
      <c r="F35" s="78"/>
    </row>
    <row r="36" spans="1:6" s="80" customFormat="1" ht="14.25" x14ac:dyDescent="0.2">
      <c r="A36" s="78"/>
      <c r="B36" s="81"/>
      <c r="C36" s="86"/>
      <c r="D36" s="84"/>
      <c r="E36" s="79"/>
      <c r="F36" s="78"/>
    </row>
    <row r="37" spans="1:6" s="80" customFormat="1" ht="14.25" x14ac:dyDescent="0.2">
      <c r="A37" s="78"/>
      <c r="B37" s="81" t="s">
        <v>381</v>
      </c>
      <c r="C37" s="86">
        <v>0.4</v>
      </c>
      <c r="D37" s="84">
        <v>255</v>
      </c>
      <c r="E37" s="79">
        <f>+C37*D37</f>
        <v>102</v>
      </c>
      <c r="F37" s="78"/>
    </row>
    <row r="38" spans="1:6" s="80" customFormat="1" ht="14.25" x14ac:dyDescent="0.2">
      <c r="A38" s="78"/>
      <c r="B38" s="81"/>
      <c r="C38" s="86"/>
      <c r="D38" s="84"/>
      <c r="E38" s="79"/>
      <c r="F38" s="78"/>
    </row>
    <row r="39" spans="1:6" s="80" customFormat="1" ht="14.25" x14ac:dyDescent="0.2">
      <c r="A39" s="78"/>
      <c r="B39" s="81" t="s">
        <v>383</v>
      </c>
      <c r="C39" s="86">
        <v>0.5</v>
      </c>
      <c r="D39" s="84">
        <v>255</v>
      </c>
      <c r="E39" s="79">
        <f>+C39*D39</f>
        <v>127.5</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739.5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739.5</v>
      </c>
      <c r="F69" s="57"/>
    </row>
    <row r="70" spans="1:6" ht="13.5" customHeight="1" x14ac:dyDescent="0.2">
      <c r="A70" s="57"/>
      <c r="B70" s="58" t="s">
        <v>6</v>
      </c>
      <c r="C70" s="70">
        <v>0.05</v>
      </c>
      <c r="D70" s="58"/>
      <c r="E70" s="43">
        <f>ROUND(E69*C70,2)</f>
        <v>36.979999999999997</v>
      </c>
      <c r="F70" s="57"/>
    </row>
    <row r="71" spans="1:6" ht="13.5" customHeight="1" x14ac:dyDescent="0.2">
      <c r="A71" s="57"/>
      <c r="B71" s="58" t="s">
        <v>5</v>
      </c>
      <c r="C71" s="71">
        <v>9.9750000000000005E-2</v>
      </c>
      <c r="D71" s="58"/>
      <c r="E71" s="44">
        <f>ROUND(E69*C71,2)</f>
        <v>73.77</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850.25</v>
      </c>
      <c r="F73" s="57"/>
    </row>
    <row r="74" spans="1:6" ht="15.75" thickTop="1" x14ac:dyDescent="0.2">
      <c r="A74" s="57"/>
      <c r="B74" s="163"/>
      <c r="C74" s="163"/>
      <c r="D74" s="163"/>
      <c r="E74" s="72"/>
      <c r="F74" s="57"/>
    </row>
    <row r="75" spans="1:6" ht="15" x14ac:dyDescent="0.2">
      <c r="A75" s="57"/>
      <c r="B75" s="164" t="s">
        <v>48</v>
      </c>
      <c r="C75" s="164"/>
      <c r="D75" s="164"/>
      <c r="E75" s="72">
        <v>0</v>
      </c>
      <c r="F75" s="57"/>
    </row>
    <row r="76" spans="1:6" ht="15" x14ac:dyDescent="0.2">
      <c r="A76" s="57"/>
      <c r="B76" s="163"/>
      <c r="C76" s="163"/>
      <c r="D76" s="163"/>
      <c r="E76" s="72"/>
      <c r="F76" s="57"/>
    </row>
    <row r="77" spans="1:6" ht="19.5" customHeight="1" x14ac:dyDescent="0.2">
      <c r="A77" s="57"/>
      <c r="B77" s="73" t="s">
        <v>47</v>
      </c>
      <c r="C77" s="74"/>
      <c r="D77" s="74"/>
      <c r="E77" s="75">
        <f>E73-E75</f>
        <v>850.25</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5"/>
      <c r="C80" s="165"/>
      <c r="D80" s="165"/>
      <c r="E80" s="165"/>
      <c r="F80" s="57"/>
    </row>
    <row r="81" spans="1:6" ht="14.25" x14ac:dyDescent="0.2">
      <c r="A81" s="166" t="s">
        <v>194</v>
      </c>
      <c r="B81" s="166"/>
      <c r="C81" s="166"/>
      <c r="D81" s="166"/>
      <c r="E81" s="166"/>
      <c r="F81" s="166"/>
    </row>
    <row r="82" spans="1:6" ht="14.25" x14ac:dyDescent="0.2">
      <c r="A82" s="167" t="s">
        <v>195</v>
      </c>
      <c r="B82" s="167"/>
      <c r="C82" s="167"/>
      <c r="D82" s="167"/>
      <c r="E82" s="167"/>
      <c r="F82" s="167"/>
    </row>
    <row r="83" spans="1:6" x14ac:dyDescent="0.2">
      <c r="A83" s="57"/>
      <c r="B83" s="57"/>
      <c r="C83" s="57"/>
      <c r="D83" s="57"/>
      <c r="E83" s="57"/>
      <c r="F83" s="57"/>
    </row>
    <row r="84" spans="1:6" x14ac:dyDescent="0.2">
      <c r="A84" s="57"/>
      <c r="B84" s="159"/>
      <c r="C84" s="159"/>
      <c r="D84" s="159"/>
      <c r="E84" s="159"/>
      <c r="F84" s="57"/>
    </row>
    <row r="85" spans="1:6" ht="15" x14ac:dyDescent="0.2">
      <c r="A85" s="160" t="s">
        <v>9</v>
      </c>
      <c r="B85" s="160"/>
      <c r="C85" s="160"/>
      <c r="D85" s="160"/>
      <c r="E85" s="160"/>
      <c r="F85" s="160"/>
    </row>
    <row r="87" spans="1:6" ht="39.75" customHeight="1" x14ac:dyDescent="0.2">
      <c r="B87" s="161"/>
      <c r="C87" s="162"/>
      <c r="D87" s="162"/>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3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Feuil53">
    <pageSetUpPr fitToPage="1"/>
  </sheetPr>
  <dimension ref="A12:F89"/>
  <sheetViews>
    <sheetView view="pageBreakPreview"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384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385</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386</v>
      </c>
      <c r="C35" s="86">
        <v>0.75</v>
      </c>
      <c r="D35" s="84">
        <v>255</v>
      </c>
      <c r="E35" s="79">
        <f>+C35*D35</f>
        <v>191.25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191.25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191.25</v>
      </c>
      <c r="F69" s="57"/>
    </row>
    <row r="70" spans="1:6" ht="13.5" customHeight="1" x14ac:dyDescent="0.2">
      <c r="A70" s="57"/>
      <c r="B70" s="58" t="s">
        <v>6</v>
      </c>
      <c r="C70" s="70">
        <v>0.05</v>
      </c>
      <c r="D70" s="58"/>
      <c r="E70" s="43">
        <f>ROUND(E69*C70,2)</f>
        <v>9.56</v>
      </c>
      <c r="F70" s="57"/>
    </row>
    <row r="71" spans="1:6" ht="13.5" customHeight="1" x14ac:dyDescent="0.2">
      <c r="A71" s="57"/>
      <c r="B71" s="58" t="s">
        <v>5</v>
      </c>
      <c r="C71" s="71">
        <v>9.9750000000000005E-2</v>
      </c>
      <c r="D71" s="58"/>
      <c r="E71" s="44">
        <f>ROUND(E69*C71,2)</f>
        <v>19.079999999999998</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219.89</v>
      </c>
      <c r="F73" s="57"/>
    </row>
    <row r="74" spans="1:6" ht="15.75" thickTop="1" x14ac:dyDescent="0.2">
      <c r="A74" s="57"/>
      <c r="B74" s="163"/>
      <c r="C74" s="163"/>
      <c r="D74" s="163"/>
      <c r="E74" s="72"/>
      <c r="F74" s="57"/>
    </row>
    <row r="75" spans="1:6" ht="15" x14ac:dyDescent="0.2">
      <c r="A75" s="57"/>
      <c r="B75" s="164" t="s">
        <v>48</v>
      </c>
      <c r="C75" s="164"/>
      <c r="D75" s="164"/>
      <c r="E75" s="72">
        <v>0</v>
      </c>
      <c r="F75" s="57"/>
    </row>
    <row r="76" spans="1:6" ht="15" x14ac:dyDescent="0.2">
      <c r="A76" s="57"/>
      <c r="B76" s="163"/>
      <c r="C76" s="163"/>
      <c r="D76" s="163"/>
      <c r="E76" s="72"/>
      <c r="F76" s="57"/>
    </row>
    <row r="77" spans="1:6" ht="19.5" customHeight="1" x14ac:dyDescent="0.2">
      <c r="A77" s="57"/>
      <c r="B77" s="73" t="s">
        <v>47</v>
      </c>
      <c r="C77" s="74"/>
      <c r="D77" s="74"/>
      <c r="E77" s="75">
        <f>E73-E75</f>
        <v>219.89</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5"/>
      <c r="C80" s="165"/>
      <c r="D80" s="165"/>
      <c r="E80" s="165"/>
      <c r="F80" s="57"/>
    </row>
    <row r="81" spans="1:6" ht="14.25" x14ac:dyDescent="0.2">
      <c r="A81" s="166" t="s">
        <v>194</v>
      </c>
      <c r="B81" s="166"/>
      <c r="C81" s="166"/>
      <c r="D81" s="166"/>
      <c r="E81" s="166"/>
      <c r="F81" s="166"/>
    </row>
    <row r="82" spans="1:6" ht="14.25" x14ac:dyDescent="0.2">
      <c r="A82" s="167" t="s">
        <v>195</v>
      </c>
      <c r="B82" s="167"/>
      <c r="C82" s="167"/>
      <c r="D82" s="167"/>
      <c r="E82" s="167"/>
      <c r="F82" s="167"/>
    </row>
    <row r="83" spans="1:6" x14ac:dyDescent="0.2">
      <c r="A83" s="57"/>
      <c r="B83" s="57"/>
      <c r="C83" s="57"/>
      <c r="D83" s="57"/>
      <c r="E83" s="57"/>
      <c r="F83" s="57"/>
    </row>
    <row r="84" spans="1:6" x14ac:dyDescent="0.2">
      <c r="A84" s="57"/>
      <c r="B84" s="159"/>
      <c r="C84" s="159"/>
      <c r="D84" s="159"/>
      <c r="E84" s="159"/>
      <c r="F84" s="57"/>
    </row>
    <row r="85" spans="1:6" ht="15" x14ac:dyDescent="0.2">
      <c r="A85" s="160" t="s">
        <v>9</v>
      </c>
      <c r="B85" s="160"/>
      <c r="C85" s="160"/>
      <c r="D85" s="160"/>
      <c r="E85" s="160"/>
      <c r="F85" s="160"/>
    </row>
    <row r="87" spans="1:6" ht="39.75" customHeight="1" x14ac:dyDescent="0.2">
      <c r="B87" s="161"/>
      <c r="C87" s="162"/>
      <c r="D87" s="162"/>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4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Feuil54">
    <pageSetUpPr fitToPage="1"/>
  </sheetPr>
  <dimension ref="A12:F88"/>
  <sheetViews>
    <sheetView view="pageBreakPreview" topLeftCell="A10" zoomScale="80" zoomScaleNormal="100" zoomScaleSheetLayoutView="80" workbookViewId="0">
      <selection activeCell="D45" sqref="D45:E4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387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388</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389</v>
      </c>
      <c r="C35" s="86">
        <v>0.75</v>
      </c>
      <c r="D35" s="84">
        <v>255</v>
      </c>
      <c r="E35" s="79">
        <f>+C35*D35</f>
        <v>191.25</v>
      </c>
      <c r="F35" s="78"/>
    </row>
    <row r="36" spans="1:6" s="80" customFormat="1" ht="14.25" x14ac:dyDescent="0.2">
      <c r="A36" s="78"/>
      <c r="B36" s="81"/>
      <c r="C36" s="86"/>
      <c r="D36" s="84"/>
      <c r="E36" s="79"/>
      <c r="F36" s="78"/>
    </row>
    <row r="37" spans="1:6" s="80" customFormat="1" ht="28.5" x14ac:dyDescent="0.2">
      <c r="A37" s="78"/>
      <c r="B37" s="81" t="s">
        <v>390</v>
      </c>
      <c r="C37" s="86">
        <v>1.25</v>
      </c>
      <c r="D37" s="84">
        <v>255</v>
      </c>
      <c r="E37" s="79">
        <f>+C37*D37</f>
        <v>318.75</v>
      </c>
      <c r="F37" s="78"/>
    </row>
    <row r="38" spans="1:6" s="80" customFormat="1" ht="14.25" x14ac:dyDescent="0.2">
      <c r="A38" s="78"/>
      <c r="B38" s="81"/>
      <c r="C38" s="86"/>
      <c r="D38" s="84"/>
      <c r="E38" s="79"/>
      <c r="F38" s="78"/>
    </row>
    <row r="39" spans="1:6" s="80" customFormat="1" ht="14.25" x14ac:dyDescent="0.2">
      <c r="A39" s="78"/>
      <c r="B39" s="81" t="s">
        <v>391</v>
      </c>
      <c r="C39" s="86">
        <v>1.25</v>
      </c>
      <c r="D39" s="84">
        <v>255</v>
      </c>
      <c r="E39" s="79">
        <f>+C39*D39</f>
        <v>318.75</v>
      </c>
      <c r="F39" s="78"/>
    </row>
    <row r="40" spans="1:6" s="80" customFormat="1" ht="14.25" x14ac:dyDescent="0.2">
      <c r="A40" s="78"/>
      <c r="B40" s="81"/>
      <c r="C40" s="86"/>
      <c r="D40" s="84"/>
      <c r="E40" s="79"/>
      <c r="F40" s="78"/>
    </row>
    <row r="41" spans="1:6" s="80" customFormat="1" ht="14.25" x14ac:dyDescent="0.2">
      <c r="A41" s="78"/>
      <c r="B41" s="81" t="s">
        <v>392</v>
      </c>
      <c r="C41" s="86">
        <v>0.75</v>
      </c>
      <c r="D41" s="84">
        <v>255</v>
      </c>
      <c r="E41" s="79">
        <f>+C41*D41</f>
        <v>191.25</v>
      </c>
      <c r="F41" s="78"/>
    </row>
    <row r="42" spans="1:6" s="80" customFormat="1" ht="14.25" x14ac:dyDescent="0.2">
      <c r="A42" s="78"/>
      <c r="B42" s="81"/>
      <c r="C42" s="86"/>
      <c r="D42" s="84"/>
      <c r="E42" s="79"/>
      <c r="F42" s="78"/>
    </row>
    <row r="43" spans="1:6" s="80" customFormat="1" ht="28.5" x14ac:dyDescent="0.2">
      <c r="A43" s="78"/>
      <c r="B43" s="81" t="s">
        <v>393</v>
      </c>
      <c r="C43" s="86">
        <v>0.3</v>
      </c>
      <c r="D43" s="84">
        <v>255</v>
      </c>
      <c r="E43" s="79">
        <f>+C43*D43</f>
        <v>76.5</v>
      </c>
      <c r="F43" s="78"/>
    </row>
    <row r="44" spans="1:6" s="80" customFormat="1" ht="14.25" x14ac:dyDescent="0.2">
      <c r="A44" s="78"/>
      <c r="B44" s="81"/>
      <c r="C44" s="86"/>
      <c r="D44" s="84"/>
      <c r="E44" s="79"/>
      <c r="F44" s="78"/>
    </row>
    <row r="45" spans="1:6" s="80" customFormat="1" ht="14.25" x14ac:dyDescent="0.2">
      <c r="A45" s="78"/>
      <c r="B45" s="81" t="s">
        <v>394</v>
      </c>
      <c r="C45" s="86">
        <v>0.2</v>
      </c>
      <c r="D45" s="84">
        <v>255</v>
      </c>
      <c r="E45" s="79">
        <f>+C45*D45</f>
        <v>51</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1147.5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1147.5</v>
      </c>
      <c r="F68" s="57"/>
    </row>
    <row r="69" spans="1:6" ht="13.5" customHeight="1" x14ac:dyDescent="0.2">
      <c r="A69" s="57"/>
      <c r="B69" s="58" t="s">
        <v>6</v>
      </c>
      <c r="C69" s="70">
        <v>0.05</v>
      </c>
      <c r="D69" s="58"/>
      <c r="E69" s="43">
        <f>ROUND(E68*C69,2)</f>
        <v>57.38</v>
      </c>
      <c r="F69" s="57"/>
    </row>
    <row r="70" spans="1:6" ht="13.5" customHeight="1" x14ac:dyDescent="0.2">
      <c r="A70" s="57"/>
      <c r="B70" s="58" t="s">
        <v>5</v>
      </c>
      <c r="C70" s="71">
        <v>9.9750000000000005E-2</v>
      </c>
      <c r="D70" s="58"/>
      <c r="E70" s="44">
        <f>ROUND(E68*C70,2)</f>
        <v>114.46</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1319.3400000000001</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1319.3400000000001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00000000-0002-0000-35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Feuil55">
    <pageSetUpPr fitToPage="1"/>
  </sheetPr>
  <dimension ref="A12:F90"/>
  <sheetViews>
    <sheetView view="pageBreakPreview" topLeftCell="A28" zoomScale="80" zoomScaleNormal="100" zoomScaleSheetLayoutView="80" workbookViewId="0">
      <selection activeCell="B52" sqref="B5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395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396</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397</v>
      </c>
      <c r="C35" s="86">
        <v>1</v>
      </c>
      <c r="D35" s="84">
        <v>255</v>
      </c>
      <c r="E35" s="79">
        <f>+C35*D35</f>
        <v>255</v>
      </c>
      <c r="F35" s="78"/>
    </row>
    <row r="36" spans="1:6" s="80" customFormat="1" ht="14.25" x14ac:dyDescent="0.2">
      <c r="A36" s="78"/>
      <c r="B36" s="81"/>
      <c r="C36" s="86"/>
      <c r="D36" s="84"/>
      <c r="E36" s="79"/>
      <c r="F36" s="78"/>
    </row>
    <row r="37" spans="1:6" s="80" customFormat="1" ht="14.25" x14ac:dyDescent="0.2">
      <c r="A37" s="78"/>
      <c r="B37" s="81" t="s">
        <v>398</v>
      </c>
      <c r="C37" s="86">
        <v>1.25</v>
      </c>
      <c r="D37" s="84">
        <v>255</v>
      </c>
      <c r="E37" s="79">
        <f>+C37*D37</f>
        <v>318.75</v>
      </c>
      <c r="F37" s="78"/>
    </row>
    <row r="38" spans="1:6" s="80" customFormat="1" ht="14.25" x14ac:dyDescent="0.2">
      <c r="A38" s="78"/>
      <c r="B38" s="81"/>
      <c r="C38" s="86"/>
      <c r="D38" s="84"/>
      <c r="E38" s="79"/>
      <c r="F38" s="78"/>
    </row>
    <row r="39" spans="1:6" s="80" customFormat="1" ht="14.25" x14ac:dyDescent="0.2">
      <c r="A39" s="78"/>
      <c r="B39" s="81" t="s">
        <v>399</v>
      </c>
      <c r="C39" s="86">
        <v>0.25</v>
      </c>
      <c r="D39" s="84">
        <v>255</v>
      </c>
      <c r="E39" s="79">
        <f>+C39*D39</f>
        <v>63.75</v>
      </c>
      <c r="F39" s="78"/>
    </row>
    <row r="40" spans="1:6" s="80" customFormat="1" ht="14.25" x14ac:dyDescent="0.2">
      <c r="A40" s="78"/>
      <c r="B40" s="81"/>
      <c r="C40" s="86"/>
      <c r="D40" s="84"/>
      <c r="E40" s="79"/>
      <c r="F40" s="78"/>
    </row>
    <row r="41" spans="1:6" s="80" customFormat="1" ht="14.25" x14ac:dyDescent="0.2">
      <c r="A41" s="78"/>
      <c r="B41" s="81" t="s">
        <v>400</v>
      </c>
      <c r="C41" s="86">
        <v>1</v>
      </c>
      <c r="D41" s="84">
        <v>255</v>
      </c>
      <c r="E41" s="79">
        <f>+C41*D41</f>
        <v>255</v>
      </c>
      <c r="F41" s="78"/>
    </row>
    <row r="42" spans="1:6" s="80" customFormat="1" ht="14.25" x14ac:dyDescent="0.2">
      <c r="A42" s="78"/>
      <c r="B42" s="81"/>
      <c r="C42" s="86"/>
      <c r="D42" s="84"/>
      <c r="E42" s="79"/>
      <c r="F42" s="78"/>
    </row>
    <row r="43" spans="1:6" s="80" customFormat="1" ht="14.25" x14ac:dyDescent="0.2">
      <c r="A43" s="78"/>
      <c r="B43" s="81" t="s">
        <v>401</v>
      </c>
      <c r="C43" s="86">
        <v>0.25</v>
      </c>
      <c r="D43" s="84">
        <v>255</v>
      </c>
      <c r="E43" s="79">
        <f>+C43*D43</f>
        <v>63.75</v>
      </c>
      <c r="F43" s="78"/>
    </row>
    <row r="44" spans="1:6" s="80" customFormat="1" ht="14.25" x14ac:dyDescent="0.2">
      <c r="A44" s="78"/>
      <c r="B44" s="81"/>
      <c r="C44" s="86"/>
      <c r="D44" s="84"/>
      <c r="E44" s="79"/>
      <c r="F44" s="78"/>
    </row>
    <row r="45" spans="1:6" s="80" customFormat="1" ht="14.25" x14ac:dyDescent="0.2">
      <c r="A45" s="78"/>
      <c r="B45" s="81" t="s">
        <v>402</v>
      </c>
      <c r="C45" s="86">
        <v>0.5</v>
      </c>
      <c r="D45" s="84">
        <v>255</v>
      </c>
      <c r="E45" s="79">
        <f>+C45*D45</f>
        <v>127.5</v>
      </c>
      <c r="F45" s="78"/>
    </row>
    <row r="46" spans="1:6" s="80" customFormat="1" ht="14.25" x14ac:dyDescent="0.2">
      <c r="A46" s="78"/>
      <c r="B46" s="81"/>
      <c r="C46" s="86"/>
      <c r="D46" s="84"/>
      <c r="E46" s="79"/>
      <c r="F46" s="78"/>
    </row>
    <row r="47" spans="1:6" s="80" customFormat="1" ht="28.5" x14ac:dyDescent="0.2">
      <c r="A47" s="78"/>
      <c r="B47" s="81" t="s">
        <v>403</v>
      </c>
      <c r="C47" s="86">
        <v>4.5</v>
      </c>
      <c r="D47" s="84">
        <v>255</v>
      </c>
      <c r="E47" s="79">
        <f>+C47*D47</f>
        <v>1147.5</v>
      </c>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2231.25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2231.25</v>
      </c>
      <c r="F70" s="57"/>
    </row>
    <row r="71" spans="1:6" ht="13.5" customHeight="1" x14ac:dyDescent="0.2">
      <c r="A71" s="57"/>
      <c r="B71" s="58" t="s">
        <v>6</v>
      </c>
      <c r="C71" s="70">
        <v>0.05</v>
      </c>
      <c r="D71" s="58"/>
      <c r="E71" s="43">
        <f>ROUND(E70*C71,2)</f>
        <v>111.56</v>
      </c>
      <c r="F71" s="57"/>
    </row>
    <row r="72" spans="1:6" ht="13.5" customHeight="1" x14ac:dyDescent="0.2">
      <c r="A72" s="57"/>
      <c r="B72" s="58" t="s">
        <v>5</v>
      </c>
      <c r="C72" s="71">
        <v>9.9750000000000005E-2</v>
      </c>
      <c r="D72" s="58"/>
      <c r="E72" s="44">
        <f>ROUND(E70*C72,2)</f>
        <v>222.57</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2565.38</v>
      </c>
      <c r="F74" s="57"/>
    </row>
    <row r="75" spans="1:6" ht="15.75" thickTop="1" x14ac:dyDescent="0.2">
      <c r="A75" s="57"/>
      <c r="B75" s="163"/>
      <c r="C75" s="163"/>
      <c r="D75" s="163"/>
      <c r="E75" s="72"/>
      <c r="F75" s="57"/>
    </row>
    <row r="76" spans="1:6" ht="15" x14ac:dyDescent="0.2">
      <c r="A76" s="57"/>
      <c r="B76" s="164" t="s">
        <v>48</v>
      </c>
      <c r="C76" s="164"/>
      <c r="D76" s="164"/>
      <c r="E76" s="72">
        <v>0</v>
      </c>
      <c r="F76" s="57"/>
    </row>
    <row r="77" spans="1:6" ht="15" x14ac:dyDescent="0.2">
      <c r="A77" s="57"/>
      <c r="B77" s="163"/>
      <c r="C77" s="163"/>
      <c r="D77" s="163"/>
      <c r="E77" s="72"/>
      <c r="F77" s="57"/>
    </row>
    <row r="78" spans="1:6" ht="19.5" customHeight="1" x14ac:dyDescent="0.2">
      <c r="A78" s="57"/>
      <c r="B78" s="73" t="s">
        <v>47</v>
      </c>
      <c r="C78" s="74"/>
      <c r="D78" s="74"/>
      <c r="E78" s="75">
        <f>E74-E76</f>
        <v>2565.38</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5"/>
      <c r="C81" s="165"/>
      <c r="D81" s="165"/>
      <c r="E81" s="165"/>
      <c r="F81" s="57"/>
    </row>
    <row r="82" spans="1:6" ht="14.25" x14ac:dyDescent="0.2">
      <c r="A82" s="166" t="s">
        <v>194</v>
      </c>
      <c r="B82" s="166"/>
      <c r="C82" s="166"/>
      <c r="D82" s="166"/>
      <c r="E82" s="166"/>
      <c r="F82" s="166"/>
    </row>
    <row r="83" spans="1:6" ht="14.25" x14ac:dyDescent="0.2">
      <c r="A83" s="167" t="s">
        <v>195</v>
      </c>
      <c r="B83" s="167"/>
      <c r="C83" s="167"/>
      <c r="D83" s="167"/>
      <c r="E83" s="167"/>
      <c r="F83" s="167"/>
    </row>
    <row r="84" spans="1:6" x14ac:dyDescent="0.2">
      <c r="A84" s="57"/>
      <c r="B84" s="57"/>
      <c r="C84" s="57"/>
      <c r="D84" s="57"/>
      <c r="E84" s="57"/>
      <c r="F84" s="57"/>
    </row>
    <row r="85" spans="1:6" x14ac:dyDescent="0.2">
      <c r="A85" s="57"/>
      <c r="B85" s="159"/>
      <c r="C85" s="159"/>
      <c r="D85" s="159"/>
      <c r="E85" s="159"/>
      <c r="F85" s="57"/>
    </row>
    <row r="86" spans="1:6" ht="15" x14ac:dyDescent="0.2">
      <c r="A86" s="160" t="s">
        <v>9</v>
      </c>
      <c r="B86" s="160"/>
      <c r="C86" s="160"/>
      <c r="D86" s="160"/>
      <c r="E86" s="160"/>
      <c r="F86" s="160"/>
    </row>
    <row r="88" spans="1:6" ht="39.75" customHeight="1" x14ac:dyDescent="0.2">
      <c r="B88" s="161"/>
      <c r="C88" s="162"/>
      <c r="D88" s="162"/>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00000000-0002-0000-36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Feuil56">
    <pageSetUpPr fitToPage="1"/>
  </sheetPr>
  <dimension ref="A12:F89"/>
  <sheetViews>
    <sheetView view="pageBreakPreview" topLeftCell="A37" zoomScale="80" zoomScaleNormal="100" zoomScaleSheetLayoutView="80" workbookViewId="0">
      <selection activeCell="E66" sqref="E6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404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405</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406</v>
      </c>
      <c r="C35" s="86">
        <v>1</v>
      </c>
      <c r="D35" s="84">
        <v>255</v>
      </c>
      <c r="E35" s="79">
        <f>+C35*D35</f>
        <v>255</v>
      </c>
      <c r="F35" s="78"/>
    </row>
    <row r="36" spans="1:6" s="80" customFormat="1" ht="14.25" x14ac:dyDescent="0.2">
      <c r="A36" s="78"/>
      <c r="B36" s="81"/>
      <c r="C36" s="86"/>
      <c r="D36" s="84"/>
      <c r="E36" s="79"/>
      <c r="F36" s="78"/>
    </row>
    <row r="37" spans="1:6" s="80" customFormat="1" ht="28.5" x14ac:dyDescent="0.2">
      <c r="A37" s="78"/>
      <c r="B37" s="81" t="s">
        <v>407</v>
      </c>
      <c r="C37" s="86">
        <v>6.75</v>
      </c>
      <c r="D37" s="84">
        <v>255</v>
      </c>
      <c r="E37" s="79">
        <f>+C37*D37</f>
        <v>1721.25</v>
      </c>
      <c r="F37" s="78"/>
    </row>
    <row r="38" spans="1:6" s="80" customFormat="1" ht="14.25" x14ac:dyDescent="0.2">
      <c r="A38" s="78"/>
      <c r="B38" s="81"/>
      <c r="C38" s="86"/>
      <c r="D38" s="84"/>
      <c r="E38" s="79"/>
      <c r="F38" s="78"/>
    </row>
    <row r="39" spans="1:6" s="80" customFormat="1" ht="14.25" x14ac:dyDescent="0.2">
      <c r="A39" s="78"/>
      <c r="B39" s="81" t="s">
        <v>408</v>
      </c>
      <c r="C39" s="86">
        <v>0.5</v>
      </c>
      <c r="D39" s="84">
        <v>255</v>
      </c>
      <c r="E39" s="79">
        <f>+C39*D39</f>
        <v>127.5</v>
      </c>
      <c r="F39" s="78"/>
    </row>
    <row r="40" spans="1:6" s="80" customFormat="1" ht="14.25" x14ac:dyDescent="0.2">
      <c r="A40" s="78"/>
      <c r="B40" s="81"/>
      <c r="C40" s="86"/>
      <c r="D40" s="84"/>
      <c r="E40" s="79"/>
      <c r="F40" s="78"/>
    </row>
    <row r="41" spans="1:6" s="80" customFormat="1" ht="14.25" x14ac:dyDescent="0.2">
      <c r="A41" s="78"/>
      <c r="B41" s="81" t="s">
        <v>409</v>
      </c>
      <c r="C41" s="86">
        <v>0.25</v>
      </c>
      <c r="D41" s="84">
        <v>255</v>
      </c>
      <c r="E41" s="79">
        <f>+C41*D41</f>
        <v>63.75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2167.5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2167.5</v>
      </c>
      <c r="F69" s="57"/>
    </row>
    <row r="70" spans="1:6" ht="13.5" customHeight="1" x14ac:dyDescent="0.2">
      <c r="A70" s="57"/>
      <c r="B70" s="58" t="s">
        <v>6</v>
      </c>
      <c r="C70" s="70">
        <v>0.05</v>
      </c>
      <c r="D70" s="58"/>
      <c r="E70" s="43">
        <f>ROUND(E69*C70,2)</f>
        <v>108.38</v>
      </c>
      <c r="F70" s="57"/>
    </row>
    <row r="71" spans="1:6" ht="13.5" customHeight="1" x14ac:dyDescent="0.2">
      <c r="A71" s="57"/>
      <c r="B71" s="58" t="s">
        <v>5</v>
      </c>
      <c r="C71" s="71">
        <v>9.9750000000000005E-2</v>
      </c>
      <c r="D71" s="58"/>
      <c r="E71" s="44">
        <f>ROUND(E69*C71,2)</f>
        <v>216.21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2492.09</v>
      </c>
      <c r="F73" s="57"/>
    </row>
    <row r="74" spans="1:6" ht="15.75" thickTop="1" x14ac:dyDescent="0.2">
      <c r="A74" s="57"/>
      <c r="B74" s="163"/>
      <c r="C74" s="163"/>
      <c r="D74" s="163"/>
      <c r="E74" s="72"/>
      <c r="F74" s="57"/>
    </row>
    <row r="75" spans="1:6" ht="15" x14ac:dyDescent="0.2">
      <c r="A75" s="57"/>
      <c r="B75" s="164" t="s">
        <v>48</v>
      </c>
      <c r="C75" s="164"/>
      <c r="D75" s="164"/>
      <c r="E75" s="72">
        <v>0</v>
      </c>
      <c r="F75" s="57"/>
    </row>
    <row r="76" spans="1:6" ht="15" x14ac:dyDescent="0.2">
      <c r="A76" s="57"/>
      <c r="B76" s="163"/>
      <c r="C76" s="163"/>
      <c r="D76" s="163"/>
      <c r="E76" s="72"/>
      <c r="F76" s="57"/>
    </row>
    <row r="77" spans="1:6" ht="19.5" customHeight="1" x14ac:dyDescent="0.2">
      <c r="A77" s="57"/>
      <c r="B77" s="73" t="s">
        <v>47</v>
      </c>
      <c r="C77" s="74"/>
      <c r="D77" s="74"/>
      <c r="E77" s="75">
        <f>E73-E75</f>
        <v>2492.09</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5"/>
      <c r="C80" s="165"/>
      <c r="D80" s="165"/>
      <c r="E80" s="165"/>
      <c r="F80" s="57"/>
    </row>
    <row r="81" spans="1:6" ht="14.25" x14ac:dyDescent="0.2">
      <c r="A81" s="166" t="s">
        <v>194</v>
      </c>
      <c r="B81" s="166"/>
      <c r="C81" s="166"/>
      <c r="D81" s="166"/>
      <c r="E81" s="166"/>
      <c r="F81" s="166"/>
    </row>
    <row r="82" spans="1:6" ht="14.25" x14ac:dyDescent="0.2">
      <c r="A82" s="167" t="s">
        <v>195</v>
      </c>
      <c r="B82" s="167"/>
      <c r="C82" s="167"/>
      <c r="D82" s="167"/>
      <c r="E82" s="167"/>
      <c r="F82" s="167"/>
    </row>
    <row r="83" spans="1:6" x14ac:dyDescent="0.2">
      <c r="A83" s="57"/>
      <c r="B83" s="57"/>
      <c r="C83" s="57"/>
      <c r="D83" s="57"/>
      <c r="E83" s="57"/>
      <c r="F83" s="57"/>
    </row>
    <row r="84" spans="1:6" x14ac:dyDescent="0.2">
      <c r="A84" s="57"/>
      <c r="B84" s="159"/>
      <c r="C84" s="159"/>
      <c r="D84" s="159"/>
      <c r="E84" s="159"/>
      <c r="F84" s="57"/>
    </row>
    <row r="85" spans="1:6" ht="15" x14ac:dyDescent="0.2">
      <c r="A85" s="160" t="s">
        <v>9</v>
      </c>
      <c r="B85" s="160"/>
      <c r="C85" s="160"/>
      <c r="D85" s="160"/>
      <c r="E85" s="160"/>
      <c r="F85" s="160"/>
    </row>
    <row r="87" spans="1:6" ht="39.75" customHeight="1" x14ac:dyDescent="0.2">
      <c r="B87" s="161"/>
      <c r="C87" s="162"/>
      <c r="D87" s="162"/>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00000000-0002-0000-37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Feuil57">
    <pageSetUpPr fitToPage="1"/>
  </sheetPr>
  <dimension ref="A12:F90"/>
  <sheetViews>
    <sheetView view="pageBreakPreview" zoomScale="80" zoomScaleNormal="100" zoomScaleSheetLayoutView="80" workbookViewId="0">
      <selection activeCell="B44" sqref="B44"/>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410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411</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412</v>
      </c>
      <c r="C35" s="86">
        <v>1</v>
      </c>
      <c r="D35" s="84">
        <v>255</v>
      </c>
      <c r="E35" s="79">
        <f>+C35*D35</f>
        <v>255</v>
      </c>
      <c r="F35" s="78"/>
    </row>
    <row r="36" spans="1:6" s="80" customFormat="1" ht="14.25" x14ac:dyDescent="0.2">
      <c r="A36" s="78"/>
      <c r="B36" s="81"/>
      <c r="C36" s="86"/>
      <c r="D36" s="84"/>
      <c r="E36" s="79"/>
      <c r="F36" s="78"/>
    </row>
    <row r="37" spans="1:6" s="80" customFormat="1" ht="28.5" x14ac:dyDescent="0.2">
      <c r="A37" s="78"/>
      <c r="B37" s="81" t="s">
        <v>416</v>
      </c>
      <c r="C37" s="86">
        <v>1.25</v>
      </c>
      <c r="D37" s="84">
        <v>255</v>
      </c>
      <c r="E37" s="79">
        <f>+C37*D37</f>
        <v>318.75</v>
      </c>
      <c r="F37" s="78"/>
    </row>
    <row r="38" spans="1:6" s="80" customFormat="1" ht="14.25" x14ac:dyDescent="0.2">
      <c r="A38" s="78"/>
      <c r="B38" s="81"/>
      <c r="C38" s="86"/>
      <c r="D38" s="84"/>
      <c r="E38" s="79"/>
      <c r="F38" s="78"/>
    </row>
    <row r="39" spans="1:6" s="80" customFormat="1" ht="14.25" x14ac:dyDescent="0.2">
      <c r="A39" s="78"/>
      <c r="B39" s="81" t="s">
        <v>413</v>
      </c>
      <c r="C39" s="86">
        <v>0.75</v>
      </c>
      <c r="D39" s="84">
        <v>255</v>
      </c>
      <c r="E39" s="79">
        <f>+C39*D39</f>
        <v>191.25</v>
      </c>
      <c r="F39" s="78"/>
    </row>
    <row r="40" spans="1:6" s="80" customFormat="1" ht="14.25" x14ac:dyDescent="0.2">
      <c r="A40" s="78"/>
      <c r="B40" s="81"/>
      <c r="C40" s="86"/>
      <c r="D40" s="84"/>
      <c r="E40" s="79"/>
      <c r="F40" s="78"/>
    </row>
    <row r="41" spans="1:6" s="80" customFormat="1" ht="14.25" x14ac:dyDescent="0.2">
      <c r="A41" s="78"/>
      <c r="B41" s="81" t="s">
        <v>414</v>
      </c>
      <c r="C41" s="86">
        <v>0.4</v>
      </c>
      <c r="D41" s="84">
        <v>255</v>
      </c>
      <c r="E41" s="79">
        <f>+C41*D41</f>
        <v>102</v>
      </c>
      <c r="F41" s="78"/>
    </row>
    <row r="42" spans="1:6" s="80" customFormat="1" ht="14.25" x14ac:dyDescent="0.2">
      <c r="A42" s="78"/>
      <c r="B42" s="81"/>
      <c r="C42" s="86"/>
      <c r="D42" s="84"/>
      <c r="E42" s="79"/>
      <c r="F42" s="78"/>
    </row>
    <row r="43" spans="1:6" s="80" customFormat="1" ht="28.5" x14ac:dyDescent="0.2">
      <c r="A43" s="78"/>
      <c r="B43" s="81" t="s">
        <v>415</v>
      </c>
      <c r="C43" s="86">
        <v>0.9</v>
      </c>
      <c r="D43" s="84">
        <v>255</v>
      </c>
      <c r="E43" s="79">
        <f>+C43*D43</f>
        <v>229.5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1096.5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1096.5</v>
      </c>
      <c r="F70" s="57"/>
    </row>
    <row r="71" spans="1:6" ht="13.5" customHeight="1" x14ac:dyDescent="0.2">
      <c r="A71" s="57"/>
      <c r="B71" s="58" t="s">
        <v>6</v>
      </c>
      <c r="C71" s="70">
        <v>0.05</v>
      </c>
      <c r="D71" s="58"/>
      <c r="E71" s="43">
        <f>ROUND(E70*C71,2)</f>
        <v>54.83</v>
      </c>
      <c r="F71" s="57"/>
    </row>
    <row r="72" spans="1:6" ht="13.5" customHeight="1" x14ac:dyDescent="0.2">
      <c r="A72" s="57"/>
      <c r="B72" s="58" t="s">
        <v>5</v>
      </c>
      <c r="C72" s="71">
        <v>9.9750000000000005E-2</v>
      </c>
      <c r="D72" s="58"/>
      <c r="E72" s="44">
        <f>ROUND(E70*C72,2)</f>
        <v>109.38</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1260.71</v>
      </c>
      <c r="F74" s="57"/>
    </row>
    <row r="75" spans="1:6" ht="15.75" thickTop="1" x14ac:dyDescent="0.2">
      <c r="A75" s="57"/>
      <c r="B75" s="163"/>
      <c r="C75" s="163"/>
      <c r="D75" s="163"/>
      <c r="E75" s="72"/>
      <c r="F75" s="57"/>
    </row>
    <row r="76" spans="1:6" ht="15" x14ac:dyDescent="0.2">
      <c r="A76" s="57"/>
      <c r="B76" s="164" t="s">
        <v>48</v>
      </c>
      <c r="C76" s="164"/>
      <c r="D76" s="164"/>
      <c r="E76" s="72">
        <v>0</v>
      </c>
      <c r="F76" s="57"/>
    </row>
    <row r="77" spans="1:6" ht="15" x14ac:dyDescent="0.2">
      <c r="A77" s="57"/>
      <c r="B77" s="163"/>
      <c r="C77" s="163"/>
      <c r="D77" s="163"/>
      <c r="E77" s="72"/>
      <c r="F77" s="57"/>
    </row>
    <row r="78" spans="1:6" ht="19.5" customHeight="1" x14ac:dyDescent="0.2">
      <c r="A78" s="57"/>
      <c r="B78" s="73" t="s">
        <v>47</v>
      </c>
      <c r="C78" s="74"/>
      <c r="D78" s="74"/>
      <c r="E78" s="75">
        <f>E74-E76</f>
        <v>1260.71</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5"/>
      <c r="C81" s="165"/>
      <c r="D81" s="165"/>
      <c r="E81" s="165"/>
      <c r="F81" s="57"/>
    </row>
    <row r="82" spans="1:6" ht="14.25" x14ac:dyDescent="0.2">
      <c r="A82" s="166" t="s">
        <v>194</v>
      </c>
      <c r="B82" s="166"/>
      <c r="C82" s="166"/>
      <c r="D82" s="166"/>
      <c r="E82" s="166"/>
      <c r="F82" s="166"/>
    </row>
    <row r="83" spans="1:6" ht="14.25" x14ac:dyDescent="0.2">
      <c r="A83" s="167" t="s">
        <v>195</v>
      </c>
      <c r="B83" s="167"/>
      <c r="C83" s="167"/>
      <c r="D83" s="167"/>
      <c r="E83" s="167"/>
      <c r="F83" s="167"/>
    </row>
    <row r="84" spans="1:6" x14ac:dyDescent="0.2">
      <c r="A84" s="57"/>
      <c r="B84" s="57"/>
      <c r="C84" s="57"/>
      <c r="D84" s="57"/>
      <c r="E84" s="57"/>
      <c r="F84" s="57"/>
    </row>
    <row r="85" spans="1:6" x14ac:dyDescent="0.2">
      <c r="A85" s="57"/>
      <c r="B85" s="159"/>
      <c r="C85" s="159"/>
      <c r="D85" s="159"/>
      <c r="E85" s="159"/>
      <c r="F85" s="57"/>
    </row>
    <row r="86" spans="1:6" ht="15" x14ac:dyDescent="0.2">
      <c r="A86" s="160" t="s">
        <v>9</v>
      </c>
      <c r="B86" s="160"/>
      <c r="C86" s="160"/>
      <c r="D86" s="160"/>
      <c r="E86" s="160"/>
      <c r="F86" s="160"/>
    </row>
    <row r="88" spans="1:6" ht="39.75" customHeight="1" x14ac:dyDescent="0.2">
      <c r="B88" s="161"/>
      <c r="C88" s="162"/>
      <c r="D88" s="162"/>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00000000-0002-0000-3800-000000000000}">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E89B1-45BA-422A-955A-6CC57E0F1F04}">
  <sheetPr codeName="Feuil58">
    <pageSetUpPr fitToPage="1"/>
  </sheetPr>
  <dimension ref="A12:F92"/>
  <sheetViews>
    <sheetView view="pageBreakPreview" zoomScale="80" zoomScaleNormal="100" zoomScaleSheetLayoutView="80" workbookViewId="0">
      <selection activeCell="B54" sqref="B54"/>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417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418</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419</v>
      </c>
      <c r="C35" s="86">
        <v>0.25</v>
      </c>
      <c r="D35" s="84">
        <v>255</v>
      </c>
      <c r="E35" s="79">
        <f>+C35*D35</f>
        <v>63.75</v>
      </c>
      <c r="F35" s="78"/>
    </row>
    <row r="36" spans="1:6" s="80" customFormat="1" ht="14.25" x14ac:dyDescent="0.2">
      <c r="A36" s="78"/>
      <c r="B36" s="81"/>
      <c r="C36" s="86"/>
      <c r="D36" s="84"/>
      <c r="E36" s="79"/>
      <c r="F36" s="78"/>
    </row>
    <row r="37" spans="1:6" s="80" customFormat="1" ht="14.25" x14ac:dyDescent="0.2">
      <c r="A37" s="78"/>
      <c r="B37" s="81" t="s">
        <v>420</v>
      </c>
      <c r="C37" s="86">
        <v>0.25</v>
      </c>
      <c r="D37" s="84">
        <v>255</v>
      </c>
      <c r="E37" s="79">
        <f>+C37*D37</f>
        <v>63.75</v>
      </c>
      <c r="F37" s="78"/>
    </row>
    <row r="38" spans="1:6" s="80" customFormat="1" ht="14.25" x14ac:dyDescent="0.2">
      <c r="A38" s="78"/>
      <c r="B38" s="81"/>
      <c r="C38" s="86"/>
      <c r="D38" s="84"/>
      <c r="E38" s="79"/>
      <c r="F38" s="78"/>
    </row>
    <row r="39" spans="1:6" s="80" customFormat="1" ht="14.25" x14ac:dyDescent="0.2">
      <c r="A39" s="78"/>
      <c r="B39" s="81" t="s">
        <v>421</v>
      </c>
      <c r="C39" s="86">
        <v>2</v>
      </c>
      <c r="D39" s="84">
        <v>255</v>
      </c>
      <c r="E39" s="79">
        <f>+C39*D39</f>
        <v>510</v>
      </c>
      <c r="F39" s="78"/>
    </row>
    <row r="40" spans="1:6" s="80" customFormat="1" ht="14.25" x14ac:dyDescent="0.2">
      <c r="A40" s="78"/>
      <c r="B40" s="81"/>
      <c r="C40" s="86"/>
      <c r="D40" s="84"/>
      <c r="E40" s="79"/>
      <c r="F40" s="78"/>
    </row>
    <row r="41" spans="1:6" s="80" customFormat="1" ht="14.25" x14ac:dyDescent="0.2">
      <c r="A41" s="78"/>
      <c r="B41" s="81" t="s">
        <v>422</v>
      </c>
      <c r="C41" s="86">
        <v>0.75</v>
      </c>
      <c r="D41" s="84">
        <v>255</v>
      </c>
      <c r="E41" s="79">
        <f>+C41*D41</f>
        <v>191.25</v>
      </c>
      <c r="F41" s="78"/>
    </row>
    <row r="42" spans="1:6" s="80" customFormat="1" ht="14.25" x14ac:dyDescent="0.2">
      <c r="A42" s="78"/>
      <c r="B42" s="81"/>
      <c r="C42" s="86"/>
      <c r="D42" s="84"/>
      <c r="E42" s="79"/>
      <c r="F42" s="78"/>
    </row>
    <row r="43" spans="1:6" s="80" customFormat="1" ht="14.25" x14ac:dyDescent="0.2">
      <c r="A43" s="78"/>
      <c r="B43" s="81" t="s">
        <v>423</v>
      </c>
      <c r="C43" s="86">
        <v>0.4</v>
      </c>
      <c r="D43" s="84">
        <v>255</v>
      </c>
      <c r="E43" s="79">
        <f>+C43*D43</f>
        <v>102</v>
      </c>
      <c r="F43" s="78"/>
    </row>
    <row r="44" spans="1:6" s="80" customFormat="1" ht="14.25" x14ac:dyDescent="0.2">
      <c r="A44" s="78"/>
      <c r="B44" s="81"/>
      <c r="C44" s="86"/>
      <c r="D44" s="84"/>
      <c r="E44" s="79"/>
      <c r="F44" s="78"/>
    </row>
    <row r="45" spans="1:6" s="80" customFormat="1" ht="14.25" x14ac:dyDescent="0.2">
      <c r="A45" s="78"/>
      <c r="B45" s="81" t="s">
        <v>424</v>
      </c>
      <c r="C45" s="86">
        <v>0.75</v>
      </c>
      <c r="D45" s="84">
        <v>255</v>
      </c>
      <c r="E45" s="79">
        <f>+C45*D45</f>
        <v>191.25</v>
      </c>
      <c r="F45" s="78"/>
    </row>
    <row r="46" spans="1:6" s="80" customFormat="1" ht="14.25" x14ac:dyDescent="0.2">
      <c r="A46" s="78"/>
      <c r="B46" s="81"/>
      <c r="C46" s="86"/>
      <c r="D46" s="84"/>
      <c r="E46" s="79"/>
      <c r="F46" s="78"/>
    </row>
    <row r="47" spans="1:6" s="80" customFormat="1" ht="14.25" x14ac:dyDescent="0.2">
      <c r="A47" s="78"/>
      <c r="B47" s="81" t="s">
        <v>425</v>
      </c>
      <c r="C47" s="86">
        <v>1</v>
      </c>
      <c r="D47" s="84">
        <v>255</v>
      </c>
      <c r="E47" s="79">
        <f>+C47*D47</f>
        <v>255</v>
      </c>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1377</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1377</v>
      </c>
      <c r="F72" s="57"/>
    </row>
    <row r="73" spans="1:6" ht="13.5" customHeight="1" x14ac:dyDescent="0.2">
      <c r="A73" s="57"/>
      <c r="B73" s="58" t="s">
        <v>6</v>
      </c>
      <c r="C73" s="70">
        <v>0.05</v>
      </c>
      <c r="D73" s="58"/>
      <c r="E73" s="43">
        <f>ROUND(E72*C73,2)</f>
        <v>68.849999999999994</v>
      </c>
      <c r="F73" s="57"/>
    </row>
    <row r="74" spans="1:6" ht="13.5" customHeight="1" x14ac:dyDescent="0.2">
      <c r="A74" s="57"/>
      <c r="B74" s="58" t="s">
        <v>5</v>
      </c>
      <c r="C74" s="71">
        <v>9.9750000000000005E-2</v>
      </c>
      <c r="D74" s="58"/>
      <c r="E74" s="44">
        <f>ROUND(E72*C74,2)</f>
        <v>137.36000000000001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1583.21</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1583.21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E7F8785-01A4-4675-8945-F9DA480E26F3}">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6886-D0EE-4D6E-9493-B78DEB0658AC}">
  <sheetPr codeName="Feuil59">
    <pageSetUpPr fitToPage="1"/>
  </sheetPr>
  <dimension ref="A12:F92"/>
  <sheetViews>
    <sheetView view="pageBreakPreview" zoomScale="80" zoomScaleNormal="100" zoomScaleSheetLayoutView="80" workbookViewId="0">
      <selection activeCell="B41" sqref="B41"/>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426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427</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428</v>
      </c>
      <c r="C35" s="86">
        <v>2</v>
      </c>
      <c r="D35" s="84">
        <v>255</v>
      </c>
      <c r="E35" s="79">
        <f>+C35*D35</f>
        <v>510</v>
      </c>
      <c r="F35" s="78"/>
    </row>
    <row r="36" spans="1:6" s="80" customFormat="1" ht="14.25" x14ac:dyDescent="0.2">
      <c r="A36" s="78"/>
      <c r="B36" s="81"/>
      <c r="C36" s="86"/>
      <c r="D36" s="84"/>
      <c r="E36" s="79"/>
      <c r="F36" s="78"/>
    </row>
    <row r="37" spans="1:6" s="80" customFormat="1" ht="28.5" x14ac:dyDescent="0.2">
      <c r="A37" s="78"/>
      <c r="B37" s="81" t="s">
        <v>429</v>
      </c>
      <c r="C37" s="86">
        <v>0.75</v>
      </c>
      <c r="D37" s="84">
        <v>255</v>
      </c>
      <c r="E37" s="79">
        <f>+C37*D37</f>
        <v>191.25</v>
      </c>
      <c r="F37" s="78"/>
    </row>
    <row r="38" spans="1:6" s="80" customFormat="1" ht="14.25" x14ac:dyDescent="0.2">
      <c r="A38" s="78"/>
      <c r="B38" s="81"/>
      <c r="C38" s="86"/>
      <c r="D38" s="84"/>
      <c r="E38" s="79"/>
      <c r="F38" s="78"/>
    </row>
    <row r="39" spans="1:6" s="80" customFormat="1" ht="14.25" x14ac:dyDescent="0.2">
      <c r="A39" s="78"/>
      <c r="B39" s="81" t="s">
        <v>430</v>
      </c>
      <c r="C39" s="86">
        <v>0.5</v>
      </c>
      <c r="D39" s="84">
        <v>255</v>
      </c>
      <c r="E39" s="79">
        <f>+C39*D39</f>
        <v>127.5</v>
      </c>
      <c r="F39" s="78"/>
    </row>
    <row r="40" spans="1:6" s="80" customFormat="1" ht="14.25" x14ac:dyDescent="0.2">
      <c r="A40" s="78"/>
      <c r="B40" s="81"/>
      <c r="C40" s="86"/>
      <c r="D40" s="84"/>
      <c r="E40" s="79"/>
      <c r="F40" s="78"/>
    </row>
    <row r="41" spans="1:6" s="80" customFormat="1" ht="14.25" x14ac:dyDescent="0.2">
      <c r="A41" s="78"/>
      <c r="B41" s="81" t="s">
        <v>431</v>
      </c>
      <c r="C41" s="86">
        <v>0.75</v>
      </c>
      <c r="D41" s="84">
        <v>255</v>
      </c>
      <c r="E41" s="79">
        <f>+C41*D41</f>
        <v>191.25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1020</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1020</v>
      </c>
      <c r="F72" s="57"/>
    </row>
    <row r="73" spans="1:6" ht="13.5" customHeight="1" x14ac:dyDescent="0.2">
      <c r="A73" s="57"/>
      <c r="B73" s="58" t="s">
        <v>6</v>
      </c>
      <c r="C73" s="70">
        <v>0.05</v>
      </c>
      <c r="D73" s="58"/>
      <c r="E73" s="43">
        <f>ROUND(E72*C73,2)</f>
        <v>51</v>
      </c>
      <c r="F73" s="57"/>
    </row>
    <row r="74" spans="1:6" ht="13.5" customHeight="1" x14ac:dyDescent="0.2">
      <c r="A74" s="57"/>
      <c r="B74" s="58" t="s">
        <v>5</v>
      </c>
      <c r="C74" s="71">
        <v>9.9750000000000005E-2</v>
      </c>
      <c r="D74" s="58"/>
      <c r="E74" s="44">
        <f>ROUND(E72*C74,2)</f>
        <v>101.75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1172.75</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1172.75</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57276B0D-FA6B-4DB0-BAA3-CB2B77D32BB8}">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pageSetUpPr fitToPage="1"/>
  </sheetPr>
  <dimension ref="A12:F98"/>
  <sheetViews>
    <sheetView view="pageBreakPreview" topLeftCell="A25" zoomScale="80" zoomScaleNormal="100" zoomScaleSheetLayoutView="80" workbookViewId="0">
      <selection activeCell="B52" sqref="B52:D52"/>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72</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73</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74</v>
      </c>
      <c r="C36" s="149"/>
      <c r="D36" s="149"/>
      <c r="E36" s="37">
        <f>5.75*190</f>
        <v>1092.5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75</v>
      </c>
      <c r="C39" s="149"/>
      <c r="D39" s="149"/>
      <c r="E39" s="37">
        <f>2.75*190</f>
        <v>522.5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76</v>
      </c>
      <c r="C42" s="149"/>
      <c r="D42" s="149"/>
      <c r="E42" s="37">
        <f>0.25*190</f>
        <v>47.5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77</v>
      </c>
      <c r="C45" s="149"/>
      <c r="D45" s="149"/>
      <c r="E45" s="37">
        <f>0.25*190</f>
        <v>47.5</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SUM(E35:E74)</f>
        <v>1710</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1710</v>
      </c>
      <c r="F78" s="30"/>
    </row>
    <row r="79" spans="1:6" ht="13.5" customHeight="1" x14ac:dyDescent="0.2">
      <c r="A79" s="30"/>
      <c r="B79" s="35" t="s">
        <v>6</v>
      </c>
      <c r="C79" s="40">
        <v>0.05</v>
      </c>
      <c r="D79" s="35"/>
      <c r="E79" s="43">
        <f>ROUND(E78*C79,2)</f>
        <v>85.5</v>
      </c>
      <c r="F79" s="30"/>
    </row>
    <row r="80" spans="1:6" ht="13.5" customHeight="1" x14ac:dyDescent="0.2">
      <c r="A80" s="30"/>
      <c r="B80" s="35" t="s">
        <v>5</v>
      </c>
      <c r="C80" s="40">
        <v>9.5000000000000001E-2</v>
      </c>
      <c r="D80" s="35"/>
      <c r="E80" s="44">
        <f>ROUND((E78+E79)*C80,2)</f>
        <v>170.57</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1966.07</v>
      </c>
      <c r="F82" s="30"/>
    </row>
    <row r="83" spans="1:6" ht="15.75" thickTop="1" x14ac:dyDescent="0.2">
      <c r="A83" s="30"/>
      <c r="B83" s="151"/>
      <c r="C83" s="151"/>
      <c r="D83" s="151"/>
      <c r="E83" s="45"/>
      <c r="F83" s="30"/>
    </row>
    <row r="84" spans="1:6" ht="15" x14ac:dyDescent="0.2">
      <c r="A84" s="30"/>
      <c r="B84" s="150" t="s">
        <v>48</v>
      </c>
      <c r="C84" s="150"/>
      <c r="D84" s="150"/>
      <c r="E84" s="45">
        <v>0</v>
      </c>
      <c r="F84" s="30"/>
    </row>
    <row r="85" spans="1:6" ht="15" x14ac:dyDescent="0.2">
      <c r="A85" s="30"/>
      <c r="B85" s="151"/>
      <c r="C85" s="151"/>
      <c r="D85" s="151"/>
      <c r="E85" s="45"/>
      <c r="F85" s="30"/>
    </row>
    <row r="86" spans="1:6" ht="19.5" customHeight="1" x14ac:dyDescent="0.2">
      <c r="A86" s="30"/>
      <c r="B86" s="46" t="s">
        <v>47</v>
      </c>
      <c r="C86" s="47"/>
      <c r="D86" s="47"/>
      <c r="E86" s="48">
        <f>E82-E84</f>
        <v>1966.07</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5"/>
      <c r="C89" s="155"/>
      <c r="D89" s="155"/>
      <c r="E89" s="155"/>
      <c r="F89" s="30"/>
    </row>
    <row r="90" spans="1:6" ht="14.25" x14ac:dyDescent="0.2">
      <c r="A90" s="148" t="s">
        <v>49</v>
      </c>
      <c r="B90" s="148"/>
      <c r="C90" s="148"/>
      <c r="D90" s="148"/>
      <c r="E90" s="148"/>
      <c r="F90" s="148"/>
    </row>
    <row r="91" spans="1:6" ht="14.25" x14ac:dyDescent="0.2">
      <c r="A91" s="146" t="s">
        <v>8</v>
      </c>
      <c r="B91" s="146"/>
      <c r="C91" s="146"/>
      <c r="D91" s="146"/>
      <c r="E91" s="146"/>
      <c r="F91" s="146"/>
    </row>
    <row r="92" spans="1:6" x14ac:dyDescent="0.2">
      <c r="A92" s="30"/>
      <c r="B92" s="30"/>
      <c r="C92" s="30"/>
      <c r="D92" s="30"/>
      <c r="E92" s="30"/>
      <c r="F92" s="30"/>
    </row>
    <row r="93" spans="1:6" x14ac:dyDescent="0.2">
      <c r="A93" s="30"/>
      <c r="B93" s="156"/>
      <c r="C93" s="156"/>
      <c r="D93" s="156"/>
      <c r="E93" s="156"/>
      <c r="F93" s="30"/>
    </row>
    <row r="94" spans="1:6" ht="15" x14ac:dyDescent="0.2">
      <c r="A94" s="147" t="s">
        <v>9</v>
      </c>
      <c r="B94" s="147"/>
      <c r="C94" s="147"/>
      <c r="D94" s="147"/>
      <c r="E94" s="147"/>
      <c r="F94" s="147"/>
    </row>
    <row r="96" spans="1:6" ht="39.75" customHeight="1" x14ac:dyDescent="0.2">
      <c r="B96" s="153"/>
      <c r="C96" s="154"/>
      <c r="D96" s="154"/>
    </row>
    <row r="97" spans="2:4" ht="13.5" customHeight="1" x14ac:dyDescent="0.2"/>
    <row r="98" spans="2:4" x14ac:dyDescent="0.2">
      <c r="B98" s="20"/>
      <c r="C98" s="20"/>
      <c r="D98" s="20"/>
    </row>
  </sheetData>
  <mergeCells count="51">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2:D62"/>
    <mergeCell ref="B51:D51"/>
    <mergeCell ref="B52:D52"/>
    <mergeCell ref="B53:D53"/>
    <mergeCell ref="B54:D54"/>
    <mergeCell ref="B55:D55"/>
    <mergeCell ref="B56:D56"/>
    <mergeCell ref="B57:D57"/>
    <mergeCell ref="B58:D58"/>
    <mergeCell ref="B59:D59"/>
    <mergeCell ref="B60:D60"/>
    <mergeCell ref="B61:D61"/>
    <mergeCell ref="B74:D74"/>
    <mergeCell ref="B63:D63"/>
    <mergeCell ref="B64:D64"/>
    <mergeCell ref="B65:D65"/>
    <mergeCell ref="B66:D66"/>
    <mergeCell ref="B67:D67"/>
    <mergeCell ref="B68:D68"/>
    <mergeCell ref="B69:D69"/>
    <mergeCell ref="B70:D70"/>
    <mergeCell ref="B71:D71"/>
    <mergeCell ref="B72:D72"/>
    <mergeCell ref="B73:D73"/>
    <mergeCell ref="B93:E93"/>
    <mergeCell ref="A94:F94"/>
    <mergeCell ref="B96:D96"/>
    <mergeCell ref="B83:D83"/>
    <mergeCell ref="B84:D84"/>
    <mergeCell ref="B85:D85"/>
    <mergeCell ref="B89:E89"/>
    <mergeCell ref="A90:F90"/>
    <mergeCell ref="A91:F91"/>
  </mergeCells>
  <dataValidations count="1">
    <dataValidation type="list" allowBlank="1" showInputMessage="1" showErrorMessage="1" sqref="B83:B85 B12:B20 B34:B74" xr:uid="{00000000-0002-0000-05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19343-21A7-44FB-9980-F2113A426AA8}">
  <sheetPr codeName="Feuil60">
    <pageSetUpPr fitToPage="1"/>
  </sheetPr>
  <dimension ref="A12:F92"/>
  <sheetViews>
    <sheetView view="pageBreakPreview" topLeftCell="A13" zoomScale="80" zoomScaleNormal="100" zoomScaleSheetLayoutView="80" workbookViewId="0">
      <selection activeCell="B42" sqref="B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433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432</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434</v>
      </c>
      <c r="C35" s="86">
        <v>1.5</v>
      </c>
      <c r="D35" s="84">
        <v>255</v>
      </c>
      <c r="E35" s="79">
        <f>+C35*D35</f>
        <v>382.5</v>
      </c>
      <c r="F35" s="78"/>
    </row>
    <row r="36" spans="1:6" s="80" customFormat="1" ht="14.25" x14ac:dyDescent="0.2">
      <c r="A36" s="78"/>
      <c r="B36" s="81"/>
      <c r="C36" s="86"/>
      <c r="D36" s="84"/>
      <c r="E36" s="79"/>
      <c r="F36" s="78"/>
    </row>
    <row r="37" spans="1:6" s="80" customFormat="1" ht="14.25" x14ac:dyDescent="0.2">
      <c r="A37" s="78"/>
      <c r="B37" s="81" t="s">
        <v>435</v>
      </c>
      <c r="C37" s="86">
        <v>1.5</v>
      </c>
      <c r="D37" s="84">
        <v>255</v>
      </c>
      <c r="E37" s="79">
        <f>+C37*D37</f>
        <v>382.5</v>
      </c>
      <c r="F37" s="78"/>
    </row>
    <row r="38" spans="1:6" s="80" customFormat="1" ht="14.25" x14ac:dyDescent="0.2">
      <c r="A38" s="78"/>
      <c r="B38" s="81"/>
      <c r="C38" s="86"/>
      <c r="D38" s="84"/>
      <c r="E38" s="79"/>
      <c r="F38" s="78"/>
    </row>
    <row r="39" spans="1:6" s="80" customFormat="1" ht="28.5" x14ac:dyDescent="0.2">
      <c r="A39" s="78"/>
      <c r="B39" s="81" t="s">
        <v>436</v>
      </c>
      <c r="C39" s="86">
        <v>0.75</v>
      </c>
      <c r="D39" s="84">
        <v>255</v>
      </c>
      <c r="E39" s="79">
        <f>+C39*D39</f>
        <v>191.25</v>
      </c>
      <c r="F39" s="78"/>
    </row>
    <row r="40" spans="1:6" s="80" customFormat="1" ht="14.25" x14ac:dyDescent="0.2">
      <c r="A40" s="78"/>
      <c r="B40" s="81"/>
      <c r="C40" s="86"/>
      <c r="D40" s="84"/>
      <c r="E40" s="79"/>
      <c r="F40" s="78"/>
    </row>
    <row r="41" spans="1:6" s="80" customFormat="1" ht="28.5" x14ac:dyDescent="0.2">
      <c r="A41" s="78"/>
      <c r="B41" s="81" t="s">
        <v>437</v>
      </c>
      <c r="C41" s="86">
        <v>0.75</v>
      </c>
      <c r="D41" s="84">
        <v>255</v>
      </c>
      <c r="E41" s="79">
        <f>+C41*D41</f>
        <v>191.25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1147.5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1147.5</v>
      </c>
      <c r="F72" s="57"/>
    </row>
    <row r="73" spans="1:6" ht="13.5" customHeight="1" x14ac:dyDescent="0.2">
      <c r="A73" s="57"/>
      <c r="B73" s="58" t="s">
        <v>6</v>
      </c>
      <c r="C73" s="70">
        <v>0.05</v>
      </c>
      <c r="D73" s="58"/>
      <c r="E73" s="43">
        <f>ROUND(E72*C73,2)</f>
        <v>57.38</v>
      </c>
      <c r="F73" s="57"/>
    </row>
    <row r="74" spans="1:6" ht="13.5" customHeight="1" x14ac:dyDescent="0.2">
      <c r="A74" s="57"/>
      <c r="B74" s="58" t="s">
        <v>5</v>
      </c>
      <c r="C74" s="71">
        <v>9.9750000000000005E-2</v>
      </c>
      <c r="D74" s="58"/>
      <c r="E74" s="44">
        <f>ROUND(E72*C74,2)</f>
        <v>114.46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1319.3400000000001</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1319.3400000000001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47B18F6-D9A1-4C62-AC42-091E56A473E5}">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B72F4-586A-4940-AC85-B0785CC44016}">
  <sheetPr codeName="Feuil61">
    <pageSetUpPr fitToPage="1"/>
  </sheetPr>
  <dimension ref="A12:F92"/>
  <sheetViews>
    <sheetView view="pageBreakPreview" topLeftCell="A25" zoomScale="80" zoomScaleNormal="100" zoomScaleSheetLayoutView="80" workbookViewId="0">
      <selection activeCell="B42" sqref="B4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438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439</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440</v>
      </c>
      <c r="C35" s="86">
        <v>0.5</v>
      </c>
      <c r="D35" s="84">
        <v>265</v>
      </c>
      <c r="E35" s="79">
        <f>+C35*D35</f>
        <v>132.5</v>
      </c>
      <c r="F35" s="78"/>
    </row>
    <row r="36" spans="1:6" s="80" customFormat="1" ht="14.25" x14ac:dyDescent="0.2">
      <c r="A36" s="78"/>
      <c r="B36" s="81"/>
      <c r="C36" s="86"/>
      <c r="D36" s="84"/>
      <c r="E36" s="79"/>
      <c r="F36" s="78"/>
    </row>
    <row r="37" spans="1:6" s="80" customFormat="1" ht="14.25" x14ac:dyDescent="0.2">
      <c r="A37" s="78"/>
      <c r="B37" s="81" t="s">
        <v>441</v>
      </c>
      <c r="C37" s="86">
        <v>1</v>
      </c>
      <c r="D37" s="84">
        <v>265</v>
      </c>
      <c r="E37" s="79">
        <f>+C37*D37</f>
        <v>265</v>
      </c>
      <c r="F37" s="78"/>
    </row>
    <row r="38" spans="1:6" s="80" customFormat="1" ht="14.25" x14ac:dyDescent="0.2">
      <c r="A38" s="78"/>
      <c r="B38" s="81"/>
      <c r="C38" s="86"/>
      <c r="D38" s="84"/>
      <c r="E38" s="79"/>
      <c r="F38" s="78"/>
    </row>
    <row r="39" spans="1:6" s="80" customFormat="1" ht="14.25" x14ac:dyDescent="0.2">
      <c r="A39" s="78"/>
      <c r="B39" s="81" t="s">
        <v>442</v>
      </c>
      <c r="C39" s="86">
        <v>0.5</v>
      </c>
      <c r="D39" s="84">
        <v>265</v>
      </c>
      <c r="E39" s="79">
        <f>+C39*D39</f>
        <v>132.5</v>
      </c>
      <c r="F39" s="78"/>
    </row>
    <row r="40" spans="1:6" s="80" customFormat="1" ht="14.25" x14ac:dyDescent="0.2">
      <c r="A40" s="78"/>
      <c r="B40" s="81"/>
      <c r="C40" s="86"/>
      <c r="D40" s="84"/>
      <c r="E40" s="79"/>
      <c r="F40" s="78"/>
    </row>
    <row r="41" spans="1:6" s="80" customFormat="1" ht="14.25" x14ac:dyDescent="0.2">
      <c r="A41" s="78"/>
      <c r="B41" s="81" t="s">
        <v>443</v>
      </c>
      <c r="C41" s="86">
        <v>0.3</v>
      </c>
      <c r="D41" s="84">
        <v>265</v>
      </c>
      <c r="E41" s="79">
        <f>+C41*D41</f>
        <v>79.5</v>
      </c>
      <c r="F41" s="78"/>
    </row>
    <row r="42" spans="1:6" s="80" customFormat="1" ht="14.25" x14ac:dyDescent="0.2">
      <c r="A42" s="78"/>
      <c r="B42" s="81"/>
      <c r="C42" s="86"/>
      <c r="D42" s="84"/>
      <c r="E42" s="79"/>
      <c r="F42" s="78"/>
    </row>
    <row r="43" spans="1:6" s="80" customFormat="1" ht="14.25" x14ac:dyDescent="0.2">
      <c r="A43" s="78"/>
      <c r="B43" s="81" t="s">
        <v>444</v>
      </c>
      <c r="C43" s="86">
        <v>0.5</v>
      </c>
      <c r="D43" s="84">
        <v>265</v>
      </c>
      <c r="E43" s="79">
        <f>+C43*D43</f>
        <v>132.5</v>
      </c>
      <c r="F43" s="78"/>
    </row>
    <row r="44" spans="1:6" s="80" customFormat="1" ht="14.25" x14ac:dyDescent="0.2">
      <c r="A44" s="78"/>
      <c r="B44" s="81"/>
      <c r="C44" s="86"/>
      <c r="D44" s="84"/>
      <c r="E44" s="79"/>
      <c r="F44" s="78"/>
    </row>
    <row r="45" spans="1:6" s="80" customFormat="1" ht="14.25" x14ac:dyDescent="0.2">
      <c r="A45" s="78"/>
      <c r="B45" s="81" t="s">
        <v>445</v>
      </c>
      <c r="C45" s="86">
        <v>0.25</v>
      </c>
      <c r="D45" s="84">
        <v>265</v>
      </c>
      <c r="E45" s="79">
        <f>+C45*D45</f>
        <v>66.25</v>
      </c>
      <c r="F45" s="78"/>
    </row>
    <row r="46" spans="1:6" s="80" customFormat="1" ht="14.25" x14ac:dyDescent="0.2">
      <c r="A46" s="78"/>
      <c r="B46" s="81"/>
      <c r="C46" s="86"/>
      <c r="D46" s="84"/>
      <c r="E46" s="79"/>
      <c r="F46" s="78"/>
    </row>
    <row r="47" spans="1:6" s="80" customFormat="1" ht="14.25" x14ac:dyDescent="0.2">
      <c r="A47" s="78"/>
      <c r="B47" s="81" t="s">
        <v>446</v>
      </c>
      <c r="C47" s="86">
        <v>0.8</v>
      </c>
      <c r="D47" s="84">
        <v>265</v>
      </c>
      <c r="E47" s="79">
        <f>+C47*D47</f>
        <v>212</v>
      </c>
      <c r="F47" s="78"/>
    </row>
    <row r="48" spans="1:6" s="80" customFormat="1" ht="14.25" x14ac:dyDescent="0.2">
      <c r="A48" s="78"/>
      <c r="B48" s="81"/>
      <c r="C48" s="86"/>
      <c r="D48" s="84"/>
      <c r="E48" s="79"/>
      <c r="F48" s="78"/>
    </row>
    <row r="49" spans="1:6" s="80" customFormat="1" ht="14.25" x14ac:dyDescent="0.2">
      <c r="A49" s="78"/>
      <c r="B49" s="81" t="s">
        <v>447</v>
      </c>
      <c r="C49" s="86">
        <v>0.4</v>
      </c>
      <c r="D49" s="84">
        <v>265</v>
      </c>
      <c r="E49" s="79">
        <f>+C49*D49</f>
        <v>106</v>
      </c>
      <c r="F49" s="78"/>
    </row>
    <row r="50" spans="1:6" s="80" customFormat="1" ht="14.25" x14ac:dyDescent="0.2">
      <c r="A50" s="78"/>
      <c r="B50" s="81"/>
      <c r="C50" s="86"/>
      <c r="D50" s="84"/>
      <c r="E50" s="79"/>
      <c r="F50" s="78"/>
    </row>
    <row r="51" spans="1:6" s="80" customFormat="1" ht="14.25" x14ac:dyDescent="0.2">
      <c r="A51" s="78"/>
      <c r="B51" s="81" t="s">
        <v>448</v>
      </c>
      <c r="C51" s="86">
        <v>0.25</v>
      </c>
      <c r="D51" s="84">
        <v>265</v>
      </c>
      <c r="E51" s="79">
        <f>+C51*D51</f>
        <v>66.25</v>
      </c>
      <c r="F51" s="78"/>
    </row>
    <row r="52" spans="1:6" s="80" customFormat="1" ht="14.25" x14ac:dyDescent="0.2">
      <c r="A52" s="78"/>
      <c r="B52" s="81"/>
      <c r="C52" s="86"/>
      <c r="D52" s="84"/>
      <c r="E52" s="79"/>
      <c r="F52" s="78"/>
    </row>
    <row r="53" spans="1:6" s="80" customFormat="1" ht="14.25" x14ac:dyDescent="0.2">
      <c r="A53" s="78"/>
      <c r="B53" s="81" t="s">
        <v>449</v>
      </c>
      <c r="C53" s="86">
        <v>1</v>
      </c>
      <c r="D53" s="84">
        <v>265</v>
      </c>
      <c r="E53" s="79">
        <f>+C53*D53</f>
        <v>265</v>
      </c>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1457.5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1457.5</v>
      </c>
      <c r="F72" s="57"/>
    </row>
    <row r="73" spans="1:6" ht="13.5" customHeight="1" x14ac:dyDescent="0.2">
      <c r="A73" s="57"/>
      <c r="B73" s="58" t="s">
        <v>6</v>
      </c>
      <c r="C73" s="70">
        <v>0.05</v>
      </c>
      <c r="D73" s="58"/>
      <c r="E73" s="43">
        <f>ROUND(E72*C73,2)</f>
        <v>72.88</v>
      </c>
      <c r="F73" s="57"/>
    </row>
    <row r="74" spans="1:6" ht="13.5" customHeight="1" x14ac:dyDescent="0.2">
      <c r="A74" s="57"/>
      <c r="B74" s="58" t="s">
        <v>5</v>
      </c>
      <c r="C74" s="71">
        <v>9.9750000000000005E-2</v>
      </c>
      <c r="D74" s="58"/>
      <c r="E74" s="44">
        <f>ROUND(E72*C74,2)</f>
        <v>145.38999999999999</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1675.77</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1675.77</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C837CD44-7D9A-492B-A28D-676A9029F594}">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63FF3-E7E4-43E6-8D8C-6752F42BA69C}">
  <sheetPr codeName="Feuil62">
    <pageSetUpPr fitToPage="1"/>
  </sheetPr>
  <dimension ref="A12:F92"/>
  <sheetViews>
    <sheetView view="pageBreakPreview" zoomScale="80" zoomScaleNormal="100" zoomScaleSheetLayoutView="80" workbookViewId="0">
      <selection activeCell="C47" sqref="C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450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451</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452</v>
      </c>
      <c r="C35" s="86">
        <v>1.75</v>
      </c>
      <c r="D35" s="84">
        <v>265</v>
      </c>
      <c r="E35" s="79">
        <f>+C35*D35</f>
        <v>463.75</v>
      </c>
      <c r="F35" s="78"/>
    </row>
    <row r="36" spans="1:6" s="80" customFormat="1" ht="14.25" x14ac:dyDescent="0.2">
      <c r="A36" s="78"/>
      <c r="B36" s="81"/>
      <c r="C36" s="86"/>
      <c r="D36" s="84"/>
      <c r="E36" s="79"/>
      <c r="F36" s="78"/>
    </row>
    <row r="37" spans="1:6" s="80" customFormat="1" ht="14.25" x14ac:dyDescent="0.2">
      <c r="A37" s="78"/>
      <c r="B37" s="81" t="s">
        <v>454</v>
      </c>
      <c r="C37" s="86">
        <v>0.3</v>
      </c>
      <c r="D37" s="84">
        <v>265</v>
      </c>
      <c r="E37" s="79">
        <f>+C37*D37</f>
        <v>79.5</v>
      </c>
      <c r="F37" s="78"/>
    </row>
    <row r="38" spans="1:6" s="80" customFormat="1" ht="14.25" x14ac:dyDescent="0.2">
      <c r="A38" s="78"/>
      <c r="B38" s="81"/>
      <c r="C38" s="86"/>
      <c r="D38" s="84"/>
      <c r="E38" s="79"/>
      <c r="F38" s="78"/>
    </row>
    <row r="39" spans="1:6" s="80" customFormat="1" ht="14.25" x14ac:dyDescent="0.2">
      <c r="A39" s="78"/>
      <c r="B39" s="81" t="s">
        <v>453</v>
      </c>
      <c r="C39" s="86">
        <v>0.4</v>
      </c>
      <c r="D39" s="84">
        <v>265</v>
      </c>
      <c r="E39" s="79">
        <f>+C39*D39</f>
        <v>106</v>
      </c>
      <c r="F39" s="78"/>
    </row>
    <row r="40" spans="1:6" s="80" customFormat="1" ht="14.25" x14ac:dyDescent="0.2">
      <c r="A40" s="78"/>
      <c r="B40" s="81"/>
      <c r="C40" s="86"/>
      <c r="D40" s="84"/>
      <c r="E40" s="79"/>
      <c r="F40" s="78"/>
    </row>
    <row r="41" spans="1:6" s="80" customFormat="1" ht="14.25" x14ac:dyDescent="0.2">
      <c r="A41" s="78"/>
      <c r="B41" s="81" t="s">
        <v>455</v>
      </c>
      <c r="C41" s="86">
        <v>3</v>
      </c>
      <c r="D41" s="84">
        <v>265</v>
      </c>
      <c r="E41" s="79">
        <f>+C41*D41</f>
        <v>795</v>
      </c>
      <c r="F41" s="78"/>
    </row>
    <row r="42" spans="1:6" s="80" customFormat="1" ht="14.25" x14ac:dyDescent="0.2">
      <c r="A42" s="78"/>
      <c r="B42" s="81"/>
      <c r="C42" s="86"/>
      <c r="D42" s="84"/>
      <c r="E42" s="79"/>
      <c r="F42" s="78"/>
    </row>
    <row r="43" spans="1:6" s="80" customFormat="1" ht="14.25" x14ac:dyDescent="0.2">
      <c r="A43" s="78"/>
      <c r="B43" s="81" t="s">
        <v>456</v>
      </c>
      <c r="C43" s="86">
        <v>3</v>
      </c>
      <c r="D43" s="84">
        <v>265</v>
      </c>
      <c r="E43" s="79">
        <f>+C43*D43</f>
        <v>795</v>
      </c>
      <c r="F43" s="78"/>
    </row>
    <row r="44" spans="1:6" s="80" customFormat="1" ht="14.25" x14ac:dyDescent="0.2">
      <c r="A44" s="78"/>
      <c r="B44" s="81"/>
      <c r="C44" s="86"/>
      <c r="D44" s="84"/>
      <c r="E44" s="79"/>
      <c r="F44" s="78"/>
    </row>
    <row r="45" spans="1:6" s="80" customFormat="1" ht="14.25" x14ac:dyDescent="0.2">
      <c r="A45" s="78"/>
      <c r="B45" s="81" t="s">
        <v>457</v>
      </c>
      <c r="C45" s="86">
        <v>1.4</v>
      </c>
      <c r="D45" s="84">
        <v>265</v>
      </c>
      <c r="E45" s="79">
        <f>+C45*D45</f>
        <v>371</v>
      </c>
      <c r="F45" s="78"/>
    </row>
    <row r="46" spans="1:6" s="80" customFormat="1" ht="14.25" x14ac:dyDescent="0.2">
      <c r="A46" s="78"/>
      <c r="B46" s="81"/>
      <c r="C46" s="86"/>
      <c r="D46" s="84"/>
      <c r="E46" s="79"/>
      <c r="F46" s="78"/>
    </row>
    <row r="47" spans="1:6" s="80" customFormat="1" ht="14.25" x14ac:dyDescent="0.2">
      <c r="A47" s="78"/>
      <c r="B47" s="81" t="s">
        <v>458</v>
      </c>
      <c r="C47" s="86">
        <v>0.2</v>
      </c>
      <c r="D47" s="84">
        <v>265</v>
      </c>
      <c r="E47" s="79">
        <f>+C47*D47</f>
        <v>53</v>
      </c>
      <c r="F47" s="78"/>
    </row>
    <row r="48" spans="1:6" s="80" customFormat="1" ht="14.25" x14ac:dyDescent="0.2">
      <c r="A48" s="78"/>
      <c r="B48" s="81"/>
      <c r="C48" s="86"/>
      <c r="D48" s="84"/>
      <c r="E48" s="79"/>
      <c r="F48" s="78"/>
    </row>
    <row r="49" spans="1:6" s="80" customFormat="1" ht="14.25" x14ac:dyDescent="0.2">
      <c r="A49" s="78"/>
      <c r="B49" s="81" t="s">
        <v>459</v>
      </c>
      <c r="C49" s="86">
        <v>0.5</v>
      </c>
      <c r="D49" s="84">
        <v>265</v>
      </c>
      <c r="E49" s="79">
        <f>+C49*D49</f>
        <v>132.5</v>
      </c>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2795.75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2795.75</v>
      </c>
      <c r="F72" s="57"/>
    </row>
    <row r="73" spans="1:6" ht="13.5" customHeight="1" x14ac:dyDescent="0.2">
      <c r="A73" s="57"/>
      <c r="B73" s="58" t="s">
        <v>6</v>
      </c>
      <c r="C73" s="70">
        <v>0.05</v>
      </c>
      <c r="D73" s="58"/>
      <c r="E73" s="43">
        <f>ROUND(E72*C73,2)</f>
        <v>139.79</v>
      </c>
      <c r="F73" s="57"/>
    </row>
    <row r="74" spans="1:6" ht="13.5" customHeight="1" x14ac:dyDescent="0.2">
      <c r="A74" s="57"/>
      <c r="B74" s="58" t="s">
        <v>5</v>
      </c>
      <c r="C74" s="71">
        <v>9.9750000000000005E-2</v>
      </c>
      <c r="D74" s="58"/>
      <c r="E74" s="44">
        <f>ROUND(E72*C74,2)</f>
        <v>278.88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3214.42</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3214.42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18386AD-D8A8-4325-A2DE-FAB15EB3DBAD}">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45ED9-598A-4FC9-B3B3-C3035B06527D}">
  <sheetPr codeName="Feuil63">
    <pageSetUpPr fitToPage="1"/>
  </sheetPr>
  <dimension ref="A12:F92"/>
  <sheetViews>
    <sheetView view="pageBreakPreview" topLeftCell="A16" zoomScale="80" zoomScaleNormal="100" zoomScaleSheetLayoutView="80" workbookViewId="0">
      <selection activeCell="C36" sqref="C3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450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460</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461</v>
      </c>
      <c r="C35" s="86">
        <v>3</v>
      </c>
      <c r="D35" s="84">
        <v>265</v>
      </c>
      <c r="E35" s="79">
        <f>+C35*D35</f>
        <v>795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795</v>
      </c>
      <c r="F72" s="57"/>
    </row>
    <row r="73" spans="1:6" ht="13.5" customHeight="1" x14ac:dyDescent="0.2">
      <c r="A73" s="57"/>
      <c r="B73" s="58" t="s">
        <v>6</v>
      </c>
      <c r="C73" s="70">
        <v>0.05</v>
      </c>
      <c r="D73" s="58"/>
      <c r="E73" s="43">
        <f>ROUND(E72*C73,2)</f>
        <v>39.75</v>
      </c>
      <c r="F73" s="57"/>
    </row>
    <row r="74" spans="1:6" ht="13.5" customHeight="1" x14ac:dyDescent="0.2">
      <c r="A74" s="57"/>
      <c r="B74" s="58" t="s">
        <v>5</v>
      </c>
      <c r="C74" s="71">
        <v>9.9750000000000005E-2</v>
      </c>
      <c r="D74" s="58"/>
      <c r="E74" s="44">
        <f>ROUND(E72*C74,2)</f>
        <v>79.3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914.05</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914.05</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B61E80B8-EDE4-4E7F-9385-5ADDD1B1F96A}">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4EDBC-A53F-43CC-A55E-FFD9AC5B23BE}">
  <sheetPr codeName="Feuil64">
    <pageSetUpPr fitToPage="1"/>
  </sheetPr>
  <dimension ref="A12:F92"/>
  <sheetViews>
    <sheetView view="pageBreakPreview" topLeftCell="A10" zoomScale="80" zoomScaleNormal="100" zoomScaleSheetLayoutView="80" workbookViewId="0">
      <selection activeCell="E46" sqref="E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462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463</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464</v>
      </c>
      <c r="C35" s="86">
        <v>0.75</v>
      </c>
      <c r="D35" s="84">
        <v>265</v>
      </c>
      <c r="E35" s="79">
        <f>+C35*D35</f>
        <v>198.75</v>
      </c>
      <c r="F35" s="78"/>
    </row>
    <row r="36" spans="1:6" s="80" customFormat="1" ht="14.25" x14ac:dyDescent="0.2">
      <c r="A36" s="78"/>
      <c r="B36" s="81"/>
      <c r="C36" s="86"/>
      <c r="D36" s="84"/>
      <c r="E36" s="79"/>
      <c r="F36" s="78"/>
    </row>
    <row r="37" spans="1:6" s="80" customFormat="1" ht="28.5" x14ac:dyDescent="0.2">
      <c r="A37" s="78"/>
      <c r="B37" s="81" t="s">
        <v>465</v>
      </c>
      <c r="C37" s="86">
        <v>1.5</v>
      </c>
      <c r="D37" s="84">
        <v>265</v>
      </c>
      <c r="E37" s="79">
        <f>+C37*D37</f>
        <v>397.5</v>
      </c>
      <c r="F37" s="78"/>
    </row>
    <row r="38" spans="1:6" s="80" customFormat="1" ht="14.25" x14ac:dyDescent="0.2">
      <c r="A38" s="78"/>
      <c r="B38" s="81"/>
      <c r="C38" s="86"/>
      <c r="D38" s="84"/>
      <c r="E38" s="79"/>
      <c r="F38" s="78"/>
    </row>
    <row r="39" spans="1:6" s="80" customFormat="1" ht="14.25" x14ac:dyDescent="0.2">
      <c r="A39" s="78" t="s">
        <v>466</v>
      </c>
      <c r="B39" s="81" t="s">
        <v>467</v>
      </c>
      <c r="C39" s="86">
        <v>0.5</v>
      </c>
      <c r="D39" s="84">
        <v>265</v>
      </c>
      <c r="E39" s="79">
        <f>+C39*D39</f>
        <v>132.5</v>
      </c>
      <c r="F39" s="78"/>
    </row>
    <row r="40" spans="1:6" s="80" customFormat="1" ht="14.25" x14ac:dyDescent="0.2">
      <c r="A40" s="78"/>
      <c r="B40" s="81"/>
      <c r="C40" s="86"/>
      <c r="D40" s="84"/>
      <c r="E40" s="79"/>
      <c r="F40" s="78"/>
    </row>
    <row r="41" spans="1:6" s="80" customFormat="1" ht="14.25" x14ac:dyDescent="0.2">
      <c r="A41" s="78"/>
      <c r="B41" s="81" t="s">
        <v>468</v>
      </c>
      <c r="C41" s="86">
        <v>1</v>
      </c>
      <c r="D41" s="84">
        <v>265</v>
      </c>
      <c r="E41" s="79">
        <f>+C41*D41</f>
        <v>265</v>
      </c>
      <c r="F41" s="78"/>
    </row>
    <row r="42" spans="1:6" s="80" customFormat="1" ht="14.25" x14ac:dyDescent="0.2">
      <c r="A42" s="78"/>
      <c r="B42" s="81"/>
      <c r="C42" s="86"/>
      <c r="D42" s="84"/>
      <c r="E42" s="79"/>
      <c r="F42" s="78"/>
    </row>
    <row r="43" spans="1:6" s="80" customFormat="1" ht="14.25" x14ac:dyDescent="0.2">
      <c r="A43" s="78"/>
      <c r="B43" s="81" t="s">
        <v>469</v>
      </c>
      <c r="C43" s="86">
        <v>0.5</v>
      </c>
      <c r="D43" s="84">
        <v>265</v>
      </c>
      <c r="E43" s="79">
        <f>+C43*D43</f>
        <v>132.5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1126.25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1126.25</v>
      </c>
      <c r="F72" s="57"/>
    </row>
    <row r="73" spans="1:6" ht="13.5" customHeight="1" x14ac:dyDescent="0.2">
      <c r="A73" s="57"/>
      <c r="B73" s="58" t="s">
        <v>6</v>
      </c>
      <c r="C73" s="70">
        <v>0.05</v>
      </c>
      <c r="D73" s="58"/>
      <c r="E73" s="43">
        <f>ROUND(E72*C73,2)</f>
        <v>56.31</v>
      </c>
      <c r="F73" s="57"/>
    </row>
    <row r="74" spans="1:6" ht="13.5" customHeight="1" x14ac:dyDescent="0.2">
      <c r="A74" s="57"/>
      <c r="B74" s="58" t="s">
        <v>5</v>
      </c>
      <c r="C74" s="71">
        <v>9.9750000000000005E-2</v>
      </c>
      <c r="D74" s="58"/>
      <c r="E74" s="44">
        <f>ROUND(E72*C74,2)</f>
        <v>112.34</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1294.8999999999999</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1294.8999999999999</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18DEE47A-3CA2-4101-B9E9-345E0DDBF84F}">
      <formula1>Liste_Activités</formula1>
    </dataValidation>
  </dataValidations>
  <printOptions horizontalCentered="1"/>
  <pageMargins left="0" right="0" top="0" bottom="0" header="0" footer="0"/>
  <pageSetup paperSize="120" scale="63" orientation="portrait" horizontalDpi="1200" verticalDpi="1200" r:id="rId1"/>
  <headerFooter scaleWithDoc="0" alignWithMargins="0"/>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0D239-4567-4FBD-94B9-8AE573B24748}">
  <sheetPr codeName="Feuil65">
    <pageSetUpPr fitToPage="1"/>
  </sheetPr>
  <dimension ref="A12:F92"/>
  <sheetViews>
    <sheetView view="pageBreakPreview" topLeftCell="A7" zoomScale="80" zoomScaleNormal="100" zoomScaleSheetLayoutView="80" workbookViewId="0">
      <selection activeCell="B21" sqref="B21"/>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470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471</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472</v>
      </c>
      <c r="C35" s="86">
        <v>1.5</v>
      </c>
      <c r="D35" s="84">
        <v>265</v>
      </c>
      <c r="E35" s="79">
        <f>+C35*D35</f>
        <v>397.5</v>
      </c>
      <c r="F35" s="78"/>
    </row>
    <row r="36" spans="1:6" s="80" customFormat="1" ht="14.25" x14ac:dyDescent="0.2">
      <c r="A36" s="78"/>
      <c r="B36" s="81"/>
      <c r="C36" s="86"/>
      <c r="D36" s="84"/>
      <c r="E36" s="79"/>
      <c r="F36" s="78"/>
    </row>
    <row r="37" spans="1:6" s="80" customFormat="1" ht="14.25" x14ac:dyDescent="0.2">
      <c r="A37" s="78"/>
      <c r="B37" s="81" t="s">
        <v>473</v>
      </c>
      <c r="C37" s="86">
        <v>0.4</v>
      </c>
      <c r="D37" s="84">
        <v>265</v>
      </c>
      <c r="E37" s="79">
        <f>+C37*D37</f>
        <v>106</v>
      </c>
      <c r="F37" s="78"/>
    </row>
    <row r="38" spans="1:6" s="80" customFormat="1" ht="14.25" x14ac:dyDescent="0.2">
      <c r="A38" s="78"/>
      <c r="B38" s="81"/>
      <c r="C38" s="86"/>
      <c r="D38" s="84"/>
      <c r="E38" s="79"/>
      <c r="F38" s="78"/>
    </row>
    <row r="39" spans="1:6" s="80" customFormat="1" ht="28.5" x14ac:dyDescent="0.2">
      <c r="A39" s="78" t="s">
        <v>466</v>
      </c>
      <c r="B39" s="81" t="s">
        <v>474</v>
      </c>
      <c r="C39" s="86">
        <v>2.5</v>
      </c>
      <c r="D39" s="84">
        <v>265</v>
      </c>
      <c r="E39" s="79">
        <f>+C39*D39</f>
        <v>662.5</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1166</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1166</v>
      </c>
      <c r="F72" s="57"/>
    </row>
    <row r="73" spans="1:6" ht="13.5" customHeight="1" x14ac:dyDescent="0.2">
      <c r="A73" s="57"/>
      <c r="B73" s="58" t="s">
        <v>6</v>
      </c>
      <c r="C73" s="70">
        <v>0.05</v>
      </c>
      <c r="D73" s="58"/>
      <c r="E73" s="43">
        <f>ROUND(E72*C73,2)</f>
        <v>58.3</v>
      </c>
      <c r="F73" s="57"/>
    </row>
    <row r="74" spans="1:6" ht="13.5" customHeight="1" x14ac:dyDescent="0.2">
      <c r="A74" s="57"/>
      <c r="B74" s="58" t="s">
        <v>5</v>
      </c>
      <c r="C74" s="71">
        <v>9.9750000000000005E-2</v>
      </c>
      <c r="D74" s="58"/>
      <c r="E74" s="44">
        <f>ROUND(E72*C74,2)</f>
        <v>116.31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1340.61</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1340.61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DAE5FC2-4BFD-41F6-9E69-F35F85BAEF7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4B270-5CF8-418A-93EF-D1D79091DFB6}">
  <sheetPr codeName="Feuil66">
    <pageSetUpPr fitToPage="1"/>
  </sheetPr>
  <dimension ref="A12:F92"/>
  <sheetViews>
    <sheetView view="pageBreakPreview" topLeftCell="A26" zoomScale="80" zoomScaleNormal="100" zoomScaleSheetLayoutView="80" workbookViewId="0">
      <selection activeCell="D45" sqref="D4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475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476</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477</v>
      </c>
      <c r="C35" s="86">
        <v>0.75</v>
      </c>
      <c r="D35" s="84">
        <v>265</v>
      </c>
      <c r="E35" s="79">
        <f>+C35*D35</f>
        <v>198.75</v>
      </c>
      <c r="F35" s="78"/>
    </row>
    <row r="36" spans="1:6" s="80" customFormat="1" ht="14.25" x14ac:dyDescent="0.2">
      <c r="A36" s="78"/>
      <c r="B36" s="81"/>
      <c r="C36" s="86"/>
      <c r="D36" s="84"/>
      <c r="E36" s="79"/>
      <c r="F36" s="78"/>
    </row>
    <row r="37" spans="1:6" s="80" customFormat="1" ht="42.75" x14ac:dyDescent="0.2">
      <c r="A37" s="78"/>
      <c r="B37" s="81" t="s">
        <v>478</v>
      </c>
      <c r="C37" s="86">
        <v>4.25</v>
      </c>
      <c r="D37" s="84">
        <v>265</v>
      </c>
      <c r="E37" s="79">
        <f>+C37*D37</f>
        <v>1126.25</v>
      </c>
      <c r="F37" s="78"/>
    </row>
    <row r="38" spans="1:6" s="80" customFormat="1" ht="14.25" x14ac:dyDescent="0.2">
      <c r="A38" s="78"/>
      <c r="B38" s="81"/>
      <c r="C38" s="86"/>
      <c r="D38" s="84"/>
      <c r="E38" s="79"/>
      <c r="F38" s="78"/>
    </row>
    <row r="39" spans="1:6" s="80" customFormat="1" ht="28.5" x14ac:dyDescent="0.2">
      <c r="A39" s="78" t="s">
        <v>466</v>
      </c>
      <c r="B39" s="81" t="s">
        <v>479</v>
      </c>
      <c r="C39" s="86">
        <v>2.25</v>
      </c>
      <c r="D39" s="84">
        <v>265</v>
      </c>
      <c r="E39" s="79">
        <f>+C39*D39</f>
        <v>596.25</v>
      </c>
      <c r="F39" s="78"/>
    </row>
    <row r="40" spans="1:6" s="80" customFormat="1" ht="14.25" x14ac:dyDescent="0.2">
      <c r="A40" s="78"/>
      <c r="B40" s="81"/>
      <c r="C40" s="86"/>
      <c r="D40" s="84"/>
      <c r="E40" s="79"/>
      <c r="F40" s="78"/>
    </row>
    <row r="41" spans="1:6" s="80" customFormat="1" ht="42.75" x14ac:dyDescent="0.2">
      <c r="A41" s="78"/>
      <c r="B41" s="81" t="s">
        <v>480</v>
      </c>
      <c r="C41" s="86">
        <v>0.4</v>
      </c>
      <c r="D41" s="84">
        <v>265</v>
      </c>
      <c r="E41" s="79">
        <f>+C41*D41</f>
        <v>106</v>
      </c>
      <c r="F41" s="78"/>
    </row>
    <row r="42" spans="1:6" s="80" customFormat="1" ht="14.25" x14ac:dyDescent="0.2">
      <c r="A42" s="78"/>
      <c r="B42" s="81"/>
      <c r="C42" s="86"/>
      <c r="D42" s="84"/>
      <c r="E42" s="79"/>
      <c r="F42" s="78"/>
    </row>
    <row r="43" spans="1:6" s="80" customFormat="1" ht="14.25" x14ac:dyDescent="0.2">
      <c r="A43" s="78"/>
      <c r="B43" s="81" t="s">
        <v>481</v>
      </c>
      <c r="C43" s="86">
        <v>0.5</v>
      </c>
      <c r="D43" s="84">
        <v>265</v>
      </c>
      <c r="E43" s="79">
        <f>+C43*D43</f>
        <v>132.5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2159.75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2159.75</v>
      </c>
      <c r="F72" s="57"/>
    </row>
    <row r="73" spans="1:6" ht="13.5" customHeight="1" x14ac:dyDescent="0.2">
      <c r="A73" s="57"/>
      <c r="B73" s="58" t="s">
        <v>6</v>
      </c>
      <c r="C73" s="70">
        <v>0.05</v>
      </c>
      <c r="D73" s="58"/>
      <c r="E73" s="43">
        <f>ROUND(E72*C73,2)</f>
        <v>107.99</v>
      </c>
      <c r="F73" s="57"/>
    </row>
    <row r="74" spans="1:6" ht="13.5" customHeight="1" x14ac:dyDescent="0.2">
      <c r="A74" s="57"/>
      <c r="B74" s="58" t="s">
        <v>5</v>
      </c>
      <c r="C74" s="71">
        <v>9.9750000000000005E-2</v>
      </c>
      <c r="D74" s="58"/>
      <c r="E74" s="44">
        <f>ROUND(E72*C74,2)</f>
        <v>215.44</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2483.1799999999998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2483.1799999999998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F5ABC322-4601-47CA-A516-686CEB568CD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15B72-D5C7-405C-AF7A-C5C8FEE0124E}">
  <sheetPr codeName="Feuil67">
    <pageSetUpPr fitToPage="1"/>
  </sheetPr>
  <dimension ref="A12:F92"/>
  <sheetViews>
    <sheetView view="pageBreakPreview" topLeftCell="A37" zoomScale="80" zoomScaleNormal="100" zoomScaleSheetLayoutView="80" workbookViewId="0">
      <selection activeCell="E70" sqref="E7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482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483</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485</v>
      </c>
      <c r="C35" s="86">
        <v>0.4</v>
      </c>
      <c r="D35" s="84">
        <v>265</v>
      </c>
      <c r="E35" s="79">
        <f>+C35*D35</f>
        <v>106</v>
      </c>
      <c r="F35" s="78"/>
    </row>
    <row r="36" spans="1:6" s="80" customFormat="1" ht="14.25" x14ac:dyDescent="0.2">
      <c r="A36" s="78"/>
      <c r="B36" s="81"/>
      <c r="C36" s="86"/>
      <c r="D36" s="84"/>
      <c r="E36" s="79"/>
      <c r="F36" s="78"/>
    </row>
    <row r="37" spans="1:6" s="80" customFormat="1" ht="14.25" x14ac:dyDescent="0.2">
      <c r="A37" s="78"/>
      <c r="B37" s="81" t="s">
        <v>484</v>
      </c>
      <c r="C37" s="86">
        <v>0.75</v>
      </c>
      <c r="D37" s="84">
        <v>265</v>
      </c>
      <c r="E37" s="79">
        <f>+C37*D37</f>
        <v>198.75</v>
      </c>
      <c r="F37" s="78"/>
    </row>
    <row r="38" spans="1:6" s="80" customFormat="1" ht="14.25" x14ac:dyDescent="0.2">
      <c r="A38" s="78"/>
      <c r="B38" s="81"/>
      <c r="C38" s="86"/>
      <c r="D38" s="84"/>
      <c r="E38" s="79"/>
      <c r="F38" s="78"/>
    </row>
    <row r="39" spans="1:6" s="80" customFormat="1" ht="28.5" x14ac:dyDescent="0.2">
      <c r="A39" s="78" t="s">
        <v>466</v>
      </c>
      <c r="B39" s="81" t="s">
        <v>486</v>
      </c>
      <c r="C39" s="86">
        <v>1</v>
      </c>
      <c r="D39" s="84">
        <v>265</v>
      </c>
      <c r="E39" s="79">
        <f>+C39*D39</f>
        <v>265</v>
      </c>
      <c r="F39" s="78"/>
    </row>
    <row r="40" spans="1:6" s="80" customFormat="1" ht="14.25" x14ac:dyDescent="0.2">
      <c r="A40" s="78"/>
      <c r="B40" s="81"/>
      <c r="C40" s="86"/>
      <c r="D40" s="84"/>
      <c r="E40" s="79"/>
      <c r="F40" s="78"/>
    </row>
    <row r="41" spans="1:6" s="80" customFormat="1" ht="28.5" x14ac:dyDescent="0.2">
      <c r="A41" s="78"/>
      <c r="B41" s="81" t="s">
        <v>487</v>
      </c>
      <c r="C41" s="86">
        <v>1</v>
      </c>
      <c r="D41" s="84">
        <v>265</v>
      </c>
      <c r="E41" s="79">
        <f>+C41*D41</f>
        <v>265</v>
      </c>
      <c r="F41" s="78"/>
    </row>
    <row r="42" spans="1:6" s="80" customFormat="1" ht="14.25" x14ac:dyDescent="0.2">
      <c r="A42" s="78"/>
      <c r="B42" s="81"/>
      <c r="C42" s="86"/>
      <c r="D42" s="84"/>
      <c r="E42" s="79"/>
      <c r="F42" s="78"/>
    </row>
    <row r="43" spans="1:6" s="80" customFormat="1" ht="14.25" x14ac:dyDescent="0.2">
      <c r="A43" s="78"/>
      <c r="B43" s="81" t="s">
        <v>488</v>
      </c>
      <c r="C43" s="86">
        <v>0.75</v>
      </c>
      <c r="D43" s="84">
        <v>265</v>
      </c>
      <c r="E43" s="79">
        <f>+C43*D43</f>
        <v>198.75</v>
      </c>
      <c r="F43" s="78"/>
    </row>
    <row r="44" spans="1:6" s="80" customFormat="1" ht="14.25" x14ac:dyDescent="0.2">
      <c r="A44" s="78"/>
      <c r="B44" s="81"/>
      <c r="C44" s="86"/>
      <c r="D44" s="84"/>
      <c r="E44" s="79"/>
      <c r="F44" s="78"/>
    </row>
    <row r="45" spans="1:6" s="80" customFormat="1" ht="42.75" x14ac:dyDescent="0.2">
      <c r="A45" s="78"/>
      <c r="B45" s="81" t="s">
        <v>489</v>
      </c>
      <c r="C45" s="86">
        <v>4.4000000000000004</v>
      </c>
      <c r="D45" s="84">
        <v>265</v>
      </c>
      <c r="E45" s="79">
        <f>+C45*D45</f>
        <v>1166</v>
      </c>
      <c r="F45" s="78"/>
    </row>
    <row r="46" spans="1:6" s="80" customFormat="1" ht="14.25" x14ac:dyDescent="0.2">
      <c r="A46" s="78"/>
      <c r="B46" s="81"/>
      <c r="C46" s="86"/>
      <c r="D46" s="84"/>
      <c r="E46" s="79"/>
      <c r="F46" s="78"/>
    </row>
    <row r="47" spans="1:6" s="80" customFormat="1" ht="28.5" x14ac:dyDescent="0.2">
      <c r="A47" s="78"/>
      <c r="B47" s="81" t="s">
        <v>492</v>
      </c>
      <c r="C47" s="86">
        <v>1</v>
      </c>
      <c r="D47" s="84">
        <v>265</v>
      </c>
      <c r="E47" s="79">
        <f>+C47*D47</f>
        <v>265</v>
      </c>
      <c r="F47" s="78"/>
    </row>
    <row r="48" spans="1:6" s="80" customFormat="1" ht="14.25" x14ac:dyDescent="0.2">
      <c r="A48" s="78"/>
      <c r="B48" s="81"/>
      <c r="C48" s="86"/>
      <c r="D48" s="84"/>
      <c r="E48" s="79"/>
      <c r="F48" s="78"/>
    </row>
    <row r="49" spans="1:6" s="80" customFormat="1" ht="14.25" x14ac:dyDescent="0.2">
      <c r="A49" s="78"/>
      <c r="B49" s="81" t="s">
        <v>490</v>
      </c>
      <c r="C49" s="86">
        <v>0.4</v>
      </c>
      <c r="D49" s="84">
        <v>265</v>
      </c>
      <c r="E49" s="79">
        <f>+C49*D49</f>
        <v>106</v>
      </c>
      <c r="F49" s="78"/>
    </row>
    <row r="50" spans="1:6" s="80" customFormat="1" ht="14.25" x14ac:dyDescent="0.2">
      <c r="A50" s="78"/>
      <c r="B50" s="81"/>
      <c r="C50" s="86"/>
      <c r="D50" s="84"/>
      <c r="E50" s="79"/>
      <c r="F50" s="78"/>
    </row>
    <row r="51" spans="1:6" s="80" customFormat="1" ht="14.25" x14ac:dyDescent="0.2">
      <c r="A51" s="78"/>
      <c r="B51" s="81" t="s">
        <v>491</v>
      </c>
      <c r="C51" s="86">
        <v>0.25</v>
      </c>
      <c r="D51" s="84">
        <v>265</v>
      </c>
      <c r="E51" s="79">
        <f>+C51*D51</f>
        <v>66.25</v>
      </c>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2636.75</v>
      </c>
      <c r="F69" s="57"/>
    </row>
    <row r="70" spans="1:6" ht="13.5" customHeight="1" x14ac:dyDescent="0.2">
      <c r="A70" s="57"/>
      <c r="B70" s="69" t="s">
        <v>493</v>
      </c>
      <c r="C70" s="58"/>
      <c r="D70" s="58"/>
      <c r="E70" s="39">
        <v>25</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2661.75</v>
      </c>
      <c r="F72" s="57"/>
    </row>
    <row r="73" spans="1:6" ht="13.5" customHeight="1" x14ac:dyDescent="0.2">
      <c r="A73" s="57"/>
      <c r="B73" s="58" t="s">
        <v>6</v>
      </c>
      <c r="C73" s="70">
        <v>0.05</v>
      </c>
      <c r="D73" s="58"/>
      <c r="E73" s="43">
        <f>ROUND(E72*C73,2)</f>
        <v>133.09</v>
      </c>
      <c r="F73" s="57"/>
    </row>
    <row r="74" spans="1:6" ht="13.5" customHeight="1" x14ac:dyDescent="0.2">
      <c r="A74" s="57"/>
      <c r="B74" s="58" t="s">
        <v>5</v>
      </c>
      <c r="C74" s="71">
        <v>9.9750000000000005E-2</v>
      </c>
      <c r="D74" s="58"/>
      <c r="E74" s="44">
        <f>ROUND(E72*C74,2)</f>
        <v>265.51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3060.3500000000004</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3060.3500000000004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CEDC7BC0-E235-4BDF-8111-5BDCD0B0C7C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F111C-23B1-4F2B-9E96-8923603D047B}">
  <sheetPr codeName="Feuil68">
    <pageSetUpPr fitToPage="1"/>
  </sheetPr>
  <dimension ref="A12:F92"/>
  <sheetViews>
    <sheetView view="pageBreakPreview" topLeftCell="A34" zoomScale="80" zoomScaleNormal="100" zoomScaleSheetLayoutView="80" workbookViewId="0">
      <selection activeCell="C70" sqref="C7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494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495</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496</v>
      </c>
      <c r="C35" s="86">
        <v>0.25</v>
      </c>
      <c r="D35" s="84">
        <v>265</v>
      </c>
      <c r="E35" s="79">
        <f>+C35*D35</f>
        <v>66.25</v>
      </c>
      <c r="F35" s="78"/>
    </row>
    <row r="36" spans="1:6" s="80" customFormat="1" ht="14.25" x14ac:dyDescent="0.2">
      <c r="A36" s="78"/>
      <c r="B36" s="81"/>
      <c r="C36" s="86"/>
      <c r="D36" s="84"/>
      <c r="E36" s="79"/>
      <c r="F36" s="78"/>
    </row>
    <row r="37" spans="1:6" s="80" customFormat="1" ht="14.25" x14ac:dyDescent="0.2">
      <c r="A37" s="78"/>
      <c r="B37" s="81" t="s">
        <v>497</v>
      </c>
      <c r="C37" s="86">
        <v>0.75</v>
      </c>
      <c r="D37" s="84">
        <v>265</v>
      </c>
      <c r="E37" s="79">
        <f>+C37*D37</f>
        <v>198.75</v>
      </c>
      <c r="F37" s="78"/>
    </row>
    <row r="38" spans="1:6" s="80" customFormat="1" ht="14.25" x14ac:dyDescent="0.2">
      <c r="A38" s="78"/>
      <c r="B38" s="81"/>
      <c r="C38" s="86"/>
      <c r="D38" s="84"/>
      <c r="E38" s="79"/>
      <c r="F38" s="78"/>
    </row>
    <row r="39" spans="1:6" s="80" customFormat="1" ht="14.25" x14ac:dyDescent="0.2">
      <c r="A39" s="78" t="s">
        <v>466</v>
      </c>
      <c r="B39" s="81" t="s">
        <v>498</v>
      </c>
      <c r="C39" s="86">
        <f>0.75</f>
        <v>0.75</v>
      </c>
      <c r="D39" s="84">
        <v>265</v>
      </c>
      <c r="E39" s="79">
        <f>+C39*D39</f>
        <v>198.75</v>
      </c>
      <c r="F39" s="78"/>
    </row>
    <row r="40" spans="1:6" s="80" customFormat="1" ht="14.25" x14ac:dyDescent="0.2">
      <c r="A40" s="78"/>
      <c r="B40" s="81"/>
      <c r="C40" s="86"/>
      <c r="D40" s="84"/>
      <c r="E40" s="79"/>
      <c r="F40" s="78"/>
    </row>
    <row r="41" spans="1:6" s="80" customFormat="1" ht="14.25" x14ac:dyDescent="0.2">
      <c r="A41" s="78"/>
      <c r="B41" s="81" t="s">
        <v>499</v>
      </c>
      <c r="C41" s="86">
        <v>0.5</v>
      </c>
      <c r="D41" s="84">
        <v>265</v>
      </c>
      <c r="E41" s="79">
        <f>+C41*D41</f>
        <v>132.5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596.25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596.25</v>
      </c>
      <c r="F72" s="57"/>
    </row>
    <row r="73" spans="1:6" ht="13.5" customHeight="1" x14ac:dyDescent="0.2">
      <c r="A73" s="57"/>
      <c r="B73" s="58" t="s">
        <v>6</v>
      </c>
      <c r="C73" s="70">
        <v>0.05</v>
      </c>
      <c r="D73" s="58"/>
      <c r="E73" s="43">
        <f>ROUND(E72*C73,2)</f>
        <v>29.81</v>
      </c>
      <c r="F73" s="57"/>
    </row>
    <row r="74" spans="1:6" ht="13.5" customHeight="1" x14ac:dyDescent="0.2">
      <c r="A74" s="57"/>
      <c r="B74" s="58" t="s">
        <v>5</v>
      </c>
      <c r="C74" s="71">
        <v>9.9750000000000005E-2</v>
      </c>
      <c r="D74" s="58"/>
      <c r="E74" s="44">
        <f>ROUND(E72*C74,2)</f>
        <v>59.48</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685.54</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685.54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67718C92-8B37-4A90-A3DE-0C9F4FFD1EA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AF11-004F-47F9-991A-0F98D758F59E}">
  <sheetPr codeName="Feuil70">
    <pageSetUpPr fitToPage="1"/>
  </sheetPr>
  <dimension ref="A12:F92"/>
  <sheetViews>
    <sheetView view="pageBreakPreview" topLeftCell="A10" zoomScale="80" zoomScaleNormal="100" zoomScaleSheetLayoutView="80" workbookViewId="0">
      <selection activeCell="D53" sqref="D53:E5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500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501</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504</v>
      </c>
      <c r="C35" s="86">
        <v>0.25</v>
      </c>
      <c r="D35" s="84">
        <v>285</v>
      </c>
      <c r="E35" s="79">
        <f>+C35*D35</f>
        <v>71.25</v>
      </c>
      <c r="F35" s="78"/>
    </row>
    <row r="36" spans="1:6" s="80" customFormat="1" ht="14.25" x14ac:dyDescent="0.2">
      <c r="A36" s="78"/>
      <c r="B36" s="81"/>
      <c r="C36" s="86"/>
      <c r="D36" s="84"/>
      <c r="E36" s="79"/>
      <c r="F36" s="78"/>
    </row>
    <row r="37" spans="1:6" s="80" customFormat="1" ht="14.25" x14ac:dyDescent="0.2">
      <c r="A37" s="78"/>
      <c r="B37" s="81" t="s">
        <v>503</v>
      </c>
      <c r="C37" s="86">
        <v>2</v>
      </c>
      <c r="D37" s="84">
        <v>285</v>
      </c>
      <c r="E37" s="79">
        <f>+C37*D37</f>
        <v>570</v>
      </c>
      <c r="F37" s="78"/>
    </row>
    <row r="38" spans="1:6" s="80" customFormat="1" ht="14.25" x14ac:dyDescent="0.2">
      <c r="A38" s="78"/>
      <c r="B38" s="81"/>
      <c r="C38" s="86"/>
      <c r="D38" s="84"/>
      <c r="E38" s="79"/>
      <c r="F38" s="78"/>
    </row>
    <row r="39" spans="1:6" s="80" customFormat="1" ht="14.25" x14ac:dyDescent="0.2">
      <c r="A39" s="78" t="s">
        <v>466</v>
      </c>
      <c r="B39" s="81" t="s">
        <v>502</v>
      </c>
      <c r="C39" s="86">
        <v>1</v>
      </c>
      <c r="D39" s="84">
        <v>285</v>
      </c>
      <c r="E39" s="79">
        <f>+C39*D39</f>
        <v>285</v>
      </c>
      <c r="F39" s="78"/>
    </row>
    <row r="40" spans="1:6" s="80" customFormat="1" ht="14.25" x14ac:dyDescent="0.2">
      <c r="A40" s="78"/>
      <c r="B40" s="81"/>
      <c r="C40" s="86"/>
      <c r="D40" s="84"/>
      <c r="E40" s="79"/>
      <c r="F40" s="78"/>
    </row>
    <row r="41" spans="1:6" s="80" customFormat="1" ht="28.5" x14ac:dyDescent="0.2">
      <c r="A41" s="78"/>
      <c r="B41" s="81" t="s">
        <v>505</v>
      </c>
      <c r="C41" s="86">
        <v>0.5</v>
      </c>
      <c r="D41" s="84">
        <v>285</v>
      </c>
      <c r="E41" s="79">
        <f>+C41*D41</f>
        <v>142.5</v>
      </c>
      <c r="F41" s="78"/>
    </row>
    <row r="42" spans="1:6" s="80" customFormat="1" ht="14.25" x14ac:dyDescent="0.2">
      <c r="A42" s="78"/>
      <c r="B42" s="81"/>
      <c r="C42" s="86"/>
      <c r="D42" s="84"/>
      <c r="E42" s="79"/>
      <c r="F42" s="78"/>
    </row>
    <row r="43" spans="1:6" s="80" customFormat="1" ht="28.5" x14ac:dyDescent="0.2">
      <c r="A43" s="78"/>
      <c r="B43" s="81" t="s">
        <v>506</v>
      </c>
      <c r="C43" s="86">
        <v>1</v>
      </c>
      <c r="D43" s="84">
        <v>285</v>
      </c>
      <c r="E43" s="79">
        <f>+C43*D43</f>
        <v>285</v>
      </c>
      <c r="F43" s="78"/>
    </row>
    <row r="44" spans="1:6" s="80" customFormat="1" ht="14.25" x14ac:dyDescent="0.2">
      <c r="A44" s="78"/>
      <c r="B44" s="81"/>
      <c r="C44" s="86"/>
      <c r="D44" s="84"/>
      <c r="E44" s="79"/>
      <c r="F44" s="78"/>
    </row>
    <row r="45" spans="1:6" s="80" customFormat="1" ht="14.25" x14ac:dyDescent="0.2">
      <c r="A45" s="78"/>
      <c r="B45" s="81" t="s">
        <v>507</v>
      </c>
      <c r="C45" s="86">
        <v>1.25</v>
      </c>
      <c r="D45" s="84">
        <v>285</v>
      </c>
      <c r="E45" s="79">
        <f>+C45*D45</f>
        <v>356.25</v>
      </c>
      <c r="F45" s="78"/>
    </row>
    <row r="46" spans="1:6" s="80" customFormat="1" ht="14.25" x14ac:dyDescent="0.2">
      <c r="A46" s="78"/>
      <c r="B46" s="81"/>
      <c r="C46" s="86"/>
      <c r="D46" s="84"/>
      <c r="E46" s="79"/>
      <c r="F46" s="78"/>
    </row>
    <row r="47" spans="1:6" s="80" customFormat="1" ht="14.25" x14ac:dyDescent="0.2">
      <c r="A47" s="78"/>
      <c r="B47" s="81" t="s">
        <v>508</v>
      </c>
      <c r="C47" s="86">
        <v>0.25</v>
      </c>
      <c r="D47" s="84">
        <v>285</v>
      </c>
      <c r="E47" s="79">
        <f>+C47*D47</f>
        <v>71.25</v>
      </c>
      <c r="F47" s="78"/>
    </row>
    <row r="48" spans="1:6" s="80" customFormat="1" ht="14.25" x14ac:dyDescent="0.2">
      <c r="A48" s="78"/>
      <c r="B48" s="81"/>
      <c r="C48" s="86"/>
      <c r="D48" s="84"/>
      <c r="E48" s="79"/>
      <c r="F48" s="78"/>
    </row>
    <row r="49" spans="1:6" s="80" customFormat="1" ht="14.25" x14ac:dyDescent="0.2">
      <c r="A49" s="78"/>
      <c r="B49" s="81" t="s">
        <v>509</v>
      </c>
      <c r="C49" s="86">
        <v>1.5</v>
      </c>
      <c r="D49" s="84">
        <v>285</v>
      </c>
      <c r="E49" s="79">
        <f>+C49*D49</f>
        <v>427.5</v>
      </c>
      <c r="F49" s="78"/>
    </row>
    <row r="50" spans="1:6" s="80" customFormat="1" ht="14.25" x14ac:dyDescent="0.2">
      <c r="A50" s="78"/>
      <c r="B50" s="81"/>
      <c r="C50" s="86"/>
      <c r="D50" s="84"/>
      <c r="E50" s="79"/>
      <c r="F50" s="78"/>
    </row>
    <row r="51" spans="1:6" s="80" customFormat="1" ht="14.25" x14ac:dyDescent="0.2">
      <c r="A51" s="78"/>
      <c r="B51" s="81" t="s">
        <v>510</v>
      </c>
      <c r="C51" s="86">
        <v>4</v>
      </c>
      <c r="D51" s="84">
        <v>285</v>
      </c>
      <c r="E51" s="79">
        <f>+C51*D51</f>
        <v>1140</v>
      </c>
      <c r="F51" s="78"/>
    </row>
    <row r="52" spans="1:6" s="80" customFormat="1" ht="14.25" x14ac:dyDescent="0.2">
      <c r="A52" s="78"/>
      <c r="B52" s="81"/>
      <c r="C52" s="86"/>
      <c r="D52" s="84"/>
      <c r="E52" s="79"/>
      <c r="F52" s="78"/>
    </row>
    <row r="53" spans="1:6" s="80" customFormat="1" ht="14.25" x14ac:dyDescent="0.2">
      <c r="A53" s="78"/>
      <c r="B53" s="81" t="s">
        <v>511</v>
      </c>
      <c r="C53" s="86">
        <v>0.5</v>
      </c>
      <c r="D53" s="84">
        <v>285</v>
      </c>
      <c r="E53" s="79">
        <f>+C53*D53</f>
        <v>142.5</v>
      </c>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3491.25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3491.25</v>
      </c>
      <c r="F72" s="57"/>
    </row>
    <row r="73" spans="1:6" ht="13.5" customHeight="1" x14ac:dyDescent="0.2">
      <c r="A73" s="57"/>
      <c r="B73" s="58" t="s">
        <v>6</v>
      </c>
      <c r="C73" s="70">
        <v>0.05</v>
      </c>
      <c r="D73" s="58"/>
      <c r="E73" s="43">
        <f>ROUND(E72*C73,2)</f>
        <v>174.56</v>
      </c>
      <c r="F73" s="57"/>
    </row>
    <row r="74" spans="1:6" ht="13.5" customHeight="1" x14ac:dyDescent="0.2">
      <c r="A74" s="57"/>
      <c r="B74" s="58" t="s">
        <v>5</v>
      </c>
      <c r="C74" s="71">
        <v>9.9750000000000005E-2</v>
      </c>
      <c r="D74" s="58"/>
      <c r="E74" s="44">
        <f>ROUND(E72*C74,2)</f>
        <v>348.25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4014.06</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4014.06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EBA8BD1-A591-485C-931D-A8AFE44350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pageSetUpPr fitToPage="1"/>
  </sheetPr>
  <dimension ref="A12:F98"/>
  <sheetViews>
    <sheetView view="pageBreakPreview" topLeftCell="A37" zoomScale="80" zoomScaleNormal="100" zoomScaleSheetLayoutView="80" workbookViewId="0">
      <selection activeCell="B97" sqref="B97"/>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78</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79</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14.25" x14ac:dyDescent="0.2">
      <c r="A36" s="30"/>
      <c r="B36" s="149" t="s">
        <v>80</v>
      </c>
      <c r="C36" s="149"/>
      <c r="D36" s="149"/>
      <c r="E36" s="37">
        <f>2.75*190</f>
        <v>522.5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81</v>
      </c>
      <c r="C39" s="149"/>
      <c r="D39" s="149"/>
      <c r="E39" s="37">
        <f>0.75*190</f>
        <v>142.5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82</v>
      </c>
      <c r="C42" s="149"/>
      <c r="D42" s="149"/>
      <c r="E42" s="37">
        <f>1.25*190</f>
        <v>237.5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83</v>
      </c>
      <c r="C45" s="149"/>
      <c r="D45" s="149"/>
      <c r="E45" s="37">
        <v>190</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4.25" x14ac:dyDescent="0.2">
      <c r="A72" s="30"/>
      <c r="B72" s="149"/>
      <c r="C72" s="149"/>
      <c r="D72" s="149"/>
      <c r="E72" s="37"/>
      <c r="F72" s="30"/>
    </row>
    <row r="73" spans="1:6" ht="14.25" x14ac:dyDescent="0.2">
      <c r="A73" s="30"/>
      <c r="B73" s="149"/>
      <c r="C73" s="149"/>
      <c r="D73" s="149"/>
      <c r="E73" s="37"/>
      <c r="F73" s="30"/>
    </row>
    <row r="74" spans="1:6" ht="13.5" customHeight="1" x14ac:dyDescent="0.2">
      <c r="A74" s="30"/>
      <c r="B74" s="149"/>
      <c r="C74" s="149"/>
      <c r="D74" s="149"/>
      <c r="E74" s="37"/>
      <c r="F74" s="30"/>
    </row>
    <row r="75" spans="1:6" ht="13.5" customHeight="1" x14ac:dyDescent="0.2">
      <c r="A75" s="30"/>
      <c r="B75" s="34" t="s">
        <v>45</v>
      </c>
      <c r="C75" s="35"/>
      <c r="D75" s="35"/>
      <c r="E75" s="38">
        <f>SUM(E35:E74)</f>
        <v>1092.5</v>
      </c>
      <c r="F75" s="30"/>
    </row>
    <row r="76" spans="1:6" ht="13.5" customHeight="1" x14ac:dyDescent="0.2">
      <c r="A76" s="30"/>
      <c r="B76" s="42" t="s">
        <v>42</v>
      </c>
      <c r="C76" s="35"/>
      <c r="D76" s="35"/>
      <c r="E76" s="39">
        <v>0</v>
      </c>
      <c r="F76" s="30"/>
    </row>
    <row r="77" spans="1:6" ht="13.5" customHeight="1" x14ac:dyDescent="0.2">
      <c r="A77" s="30"/>
      <c r="B77" s="42" t="s">
        <v>43</v>
      </c>
      <c r="C77" s="35"/>
      <c r="D77" s="35"/>
      <c r="E77" s="39">
        <v>0</v>
      </c>
      <c r="F77" s="30"/>
    </row>
    <row r="78" spans="1:6" ht="13.5" customHeight="1" x14ac:dyDescent="0.2">
      <c r="A78" s="30"/>
      <c r="B78" s="34" t="s">
        <v>44</v>
      </c>
      <c r="C78" s="35"/>
      <c r="D78" s="35"/>
      <c r="E78" s="38">
        <f>SUM(E75:E77)</f>
        <v>1092.5</v>
      </c>
      <c r="F78" s="30"/>
    </row>
    <row r="79" spans="1:6" ht="13.5" customHeight="1" x14ac:dyDescent="0.2">
      <c r="A79" s="30"/>
      <c r="B79" s="35" t="s">
        <v>6</v>
      </c>
      <c r="C79" s="40">
        <v>0.05</v>
      </c>
      <c r="D79" s="35"/>
      <c r="E79" s="43">
        <f>ROUND(E78*C79,2)</f>
        <v>54.63</v>
      </c>
      <c r="F79" s="30"/>
    </row>
    <row r="80" spans="1:6" ht="13.5" customHeight="1" x14ac:dyDescent="0.2">
      <c r="A80" s="30"/>
      <c r="B80" s="35" t="s">
        <v>5</v>
      </c>
      <c r="C80" s="50">
        <v>9.9750000000000005E-2</v>
      </c>
      <c r="D80" s="35"/>
      <c r="E80" s="44">
        <f>ROUND(E78*C80,2)</f>
        <v>108.98</v>
      </c>
      <c r="F80" s="30"/>
    </row>
    <row r="81" spans="1:6" ht="13.5" customHeight="1" x14ac:dyDescent="0.2">
      <c r="A81" s="30"/>
      <c r="B81" s="35"/>
      <c r="C81" s="35"/>
      <c r="D81" s="35"/>
      <c r="E81" s="35"/>
      <c r="F81" s="30"/>
    </row>
    <row r="82" spans="1:6" ht="16.5" customHeight="1" thickBot="1" x14ac:dyDescent="0.25">
      <c r="A82" s="30"/>
      <c r="B82" s="34" t="s">
        <v>46</v>
      </c>
      <c r="C82" s="35"/>
      <c r="D82" s="35"/>
      <c r="E82" s="41">
        <f>SUM(E78:E80)</f>
        <v>1256.1100000000001</v>
      </c>
      <c r="F82" s="30"/>
    </row>
    <row r="83" spans="1:6" ht="15.75" thickTop="1" x14ac:dyDescent="0.2">
      <c r="A83" s="30"/>
      <c r="B83" s="151"/>
      <c r="C83" s="151"/>
      <c r="D83" s="151"/>
      <c r="E83" s="45"/>
      <c r="F83" s="30"/>
    </row>
    <row r="84" spans="1:6" ht="15" x14ac:dyDescent="0.2">
      <c r="A84" s="30"/>
      <c r="B84" s="150" t="s">
        <v>48</v>
      </c>
      <c r="C84" s="150"/>
      <c r="D84" s="150"/>
      <c r="E84" s="45">
        <v>0</v>
      </c>
      <c r="F84" s="30"/>
    </row>
    <row r="85" spans="1:6" ht="15" x14ac:dyDescent="0.2">
      <c r="A85" s="30"/>
      <c r="B85" s="151"/>
      <c r="C85" s="151"/>
      <c r="D85" s="151"/>
      <c r="E85" s="45"/>
      <c r="F85" s="30"/>
    </row>
    <row r="86" spans="1:6" ht="19.5" customHeight="1" x14ac:dyDescent="0.2">
      <c r="A86" s="30"/>
      <c r="B86" s="46" t="s">
        <v>47</v>
      </c>
      <c r="C86" s="47"/>
      <c r="D86" s="47"/>
      <c r="E86" s="48">
        <f>E82-E84</f>
        <v>1256.1100000000001</v>
      </c>
      <c r="F86" s="30"/>
    </row>
    <row r="87" spans="1:6" ht="13.5" customHeight="1" x14ac:dyDescent="0.2">
      <c r="A87" s="30"/>
      <c r="B87" s="30"/>
      <c r="C87" s="30"/>
      <c r="D87" s="30"/>
      <c r="E87" s="30"/>
      <c r="F87" s="30"/>
    </row>
    <row r="88" spans="1:6" x14ac:dyDescent="0.2">
      <c r="A88" s="30"/>
      <c r="B88" s="30"/>
      <c r="C88" s="30"/>
      <c r="D88" s="30"/>
      <c r="E88" s="30"/>
      <c r="F88" s="30"/>
    </row>
    <row r="89" spans="1:6" x14ac:dyDescent="0.2">
      <c r="A89" s="30"/>
      <c r="B89" s="155"/>
      <c r="C89" s="155"/>
      <c r="D89" s="155"/>
      <c r="E89" s="155"/>
      <c r="F89" s="30"/>
    </row>
    <row r="90" spans="1:6" ht="14.25" x14ac:dyDescent="0.2">
      <c r="A90" s="148" t="s">
        <v>49</v>
      </c>
      <c r="B90" s="148"/>
      <c r="C90" s="148"/>
      <c r="D90" s="148"/>
      <c r="E90" s="148"/>
      <c r="F90" s="148"/>
    </row>
    <row r="91" spans="1:6" ht="14.25" x14ac:dyDescent="0.2">
      <c r="A91" s="146" t="s">
        <v>8</v>
      </c>
      <c r="B91" s="146"/>
      <c r="C91" s="146"/>
      <c r="D91" s="146"/>
      <c r="E91" s="146"/>
      <c r="F91" s="146"/>
    </row>
    <row r="92" spans="1:6" x14ac:dyDescent="0.2">
      <c r="A92" s="30"/>
      <c r="B92" s="30"/>
      <c r="C92" s="30"/>
      <c r="D92" s="30"/>
      <c r="E92" s="30"/>
      <c r="F92" s="30"/>
    </row>
    <row r="93" spans="1:6" x14ac:dyDescent="0.2">
      <c r="A93" s="30"/>
      <c r="B93" s="156"/>
      <c r="C93" s="156"/>
      <c r="D93" s="156"/>
      <c r="E93" s="156"/>
      <c r="F93" s="30"/>
    </row>
    <row r="94" spans="1:6" ht="15" x14ac:dyDescent="0.2">
      <c r="A94" s="147" t="s">
        <v>9</v>
      </c>
      <c r="B94" s="147"/>
      <c r="C94" s="147"/>
      <c r="D94" s="147"/>
      <c r="E94" s="147"/>
      <c r="F94" s="147"/>
    </row>
    <row r="96" spans="1:6" ht="39.75" customHeight="1" x14ac:dyDescent="0.2">
      <c r="B96" s="153"/>
      <c r="C96" s="154"/>
      <c r="D96" s="154"/>
    </row>
    <row r="97" spans="2:4" ht="13.5" customHeight="1" x14ac:dyDescent="0.2"/>
    <row r="98" spans="2:4" x14ac:dyDescent="0.2">
      <c r="B98" s="20"/>
      <c r="C98" s="20"/>
      <c r="D98" s="20"/>
    </row>
  </sheetData>
  <mergeCells count="51">
    <mergeCell ref="B93:E93"/>
    <mergeCell ref="A94:F94"/>
    <mergeCell ref="B96:D96"/>
    <mergeCell ref="B83:D83"/>
    <mergeCell ref="B84:D84"/>
    <mergeCell ref="B85:D85"/>
    <mergeCell ref="B89:E89"/>
    <mergeCell ref="A90:F90"/>
    <mergeCell ref="A91:F91"/>
    <mergeCell ref="B74:D74"/>
    <mergeCell ref="B63:D63"/>
    <mergeCell ref="B64:D64"/>
    <mergeCell ref="B65:D65"/>
    <mergeCell ref="B66:D66"/>
    <mergeCell ref="B67:D67"/>
    <mergeCell ref="B68:D68"/>
    <mergeCell ref="B69:D69"/>
    <mergeCell ref="B70:D70"/>
    <mergeCell ref="B71:D71"/>
    <mergeCell ref="B72:D72"/>
    <mergeCell ref="B73:D73"/>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3:B85 B12:B20 B34:B74" xr:uid="{00000000-0002-0000-06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0E61D-0508-44D9-8370-2EC8A6EB3F6E}">
  <sheetPr codeName="Feuil71">
    <pageSetUpPr fitToPage="1"/>
  </sheetPr>
  <dimension ref="A12:F92"/>
  <sheetViews>
    <sheetView view="pageBreakPreview" zoomScale="80" zoomScaleNormal="100" zoomScaleSheetLayoutView="80" workbookViewId="0">
      <selection activeCell="B47" sqref="B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512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513</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514</v>
      </c>
      <c r="C35" s="86">
        <v>0.4</v>
      </c>
      <c r="D35" s="84">
        <v>285</v>
      </c>
      <c r="E35" s="79">
        <f>+C35*D35</f>
        <v>114</v>
      </c>
      <c r="F35" s="78"/>
    </row>
    <row r="36" spans="1:6" s="80" customFormat="1" ht="14.25" x14ac:dyDescent="0.2">
      <c r="A36" s="78"/>
      <c r="B36" s="81"/>
      <c r="C36" s="86"/>
      <c r="D36" s="84"/>
      <c r="E36" s="79"/>
      <c r="F36" s="78"/>
    </row>
    <row r="37" spans="1:6" s="80" customFormat="1" ht="14.25" x14ac:dyDescent="0.2">
      <c r="A37" s="78"/>
      <c r="B37" s="81" t="s">
        <v>515</v>
      </c>
      <c r="C37" s="86">
        <v>0.4</v>
      </c>
      <c r="D37" s="84">
        <v>285</v>
      </c>
      <c r="E37" s="79">
        <f>+C37*D37</f>
        <v>114</v>
      </c>
      <c r="F37" s="78"/>
    </row>
    <row r="38" spans="1:6" s="80" customFormat="1" ht="14.25" x14ac:dyDescent="0.2">
      <c r="A38" s="78"/>
      <c r="B38" s="81"/>
      <c r="C38" s="86"/>
      <c r="D38" s="84"/>
      <c r="E38" s="79"/>
      <c r="F38" s="78"/>
    </row>
    <row r="39" spans="1:6" s="80" customFormat="1" ht="14.25" x14ac:dyDescent="0.2">
      <c r="A39" s="78" t="s">
        <v>466</v>
      </c>
      <c r="B39" s="81" t="s">
        <v>516</v>
      </c>
      <c r="C39" s="86">
        <v>0.25</v>
      </c>
      <c r="D39" s="84">
        <v>285</v>
      </c>
      <c r="E39" s="79">
        <f>+C39*D39</f>
        <v>71.25</v>
      </c>
      <c r="F39" s="78"/>
    </row>
    <row r="40" spans="1:6" s="80" customFormat="1" ht="14.25" x14ac:dyDescent="0.2">
      <c r="A40" s="78"/>
      <c r="B40" s="81"/>
      <c r="C40" s="86"/>
      <c r="D40" s="84"/>
      <c r="E40" s="79"/>
      <c r="F40" s="78"/>
    </row>
    <row r="41" spans="1:6" s="80" customFormat="1" ht="14.25" x14ac:dyDescent="0.2">
      <c r="A41" s="78"/>
      <c r="B41" s="81" t="s">
        <v>517</v>
      </c>
      <c r="C41" s="86">
        <v>0.4</v>
      </c>
      <c r="D41" s="84">
        <v>285</v>
      </c>
      <c r="E41" s="79">
        <f>+C41*D41</f>
        <v>114</v>
      </c>
      <c r="F41" s="78"/>
    </row>
    <row r="42" spans="1:6" s="80" customFormat="1" ht="14.25" x14ac:dyDescent="0.2">
      <c r="A42" s="78"/>
      <c r="B42" s="81"/>
      <c r="C42" s="86"/>
      <c r="D42" s="84"/>
      <c r="E42" s="79"/>
      <c r="F42" s="78"/>
    </row>
    <row r="43" spans="1:6" s="80" customFormat="1" ht="14.25" x14ac:dyDescent="0.2">
      <c r="A43" s="78"/>
      <c r="B43" s="81" t="s">
        <v>518</v>
      </c>
      <c r="C43" s="86">
        <v>1</v>
      </c>
      <c r="D43" s="84">
        <v>285</v>
      </c>
      <c r="E43" s="79">
        <f>+C43*D43</f>
        <v>285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698.25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698.25</v>
      </c>
      <c r="F72" s="57"/>
    </row>
    <row r="73" spans="1:6" ht="13.5" customHeight="1" x14ac:dyDescent="0.2">
      <c r="A73" s="57"/>
      <c r="B73" s="58" t="s">
        <v>6</v>
      </c>
      <c r="C73" s="70">
        <v>0.05</v>
      </c>
      <c r="D73" s="58"/>
      <c r="E73" s="43">
        <f>ROUND(E72*C73,2)</f>
        <v>34.909999999999997</v>
      </c>
      <c r="F73" s="57"/>
    </row>
    <row r="74" spans="1:6" ht="13.5" customHeight="1" x14ac:dyDescent="0.2">
      <c r="A74" s="57"/>
      <c r="B74" s="58" t="s">
        <v>5</v>
      </c>
      <c r="C74" s="71">
        <v>9.9750000000000005E-2</v>
      </c>
      <c r="D74" s="58"/>
      <c r="E74" s="44">
        <f>ROUND(E72*C74,2)</f>
        <v>69.650000000000006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802.81</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802.81</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7D382F03-0E18-4DCC-B606-B81B6069F7C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845F-CAAE-4B78-B8C6-F5B4F58DEFC2}">
  <sheetPr codeName="Feuil72">
    <pageSetUpPr fitToPage="1"/>
  </sheetPr>
  <dimension ref="A12:F92"/>
  <sheetViews>
    <sheetView view="pageBreakPreview" topLeftCell="A19" zoomScale="80" zoomScaleNormal="100" zoomScaleSheetLayoutView="80" workbookViewId="0">
      <selection activeCell="D55" sqref="D55:E5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519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520</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521</v>
      </c>
      <c r="C35" s="86">
        <v>0.75</v>
      </c>
      <c r="D35" s="84">
        <v>285</v>
      </c>
      <c r="E35" s="79">
        <f>+C35*D35</f>
        <v>213.75</v>
      </c>
      <c r="F35" s="78"/>
    </row>
    <row r="36" spans="1:6" s="80" customFormat="1" ht="14.25" x14ac:dyDescent="0.2">
      <c r="A36" s="78"/>
      <c r="B36" s="81"/>
      <c r="C36" s="86"/>
      <c r="D36" s="84"/>
      <c r="E36" s="79"/>
      <c r="F36" s="78"/>
    </row>
    <row r="37" spans="1:6" s="80" customFormat="1" ht="14.25" x14ac:dyDescent="0.2">
      <c r="A37" s="78"/>
      <c r="B37" s="81" t="s">
        <v>522</v>
      </c>
      <c r="C37" s="86">
        <v>0.4</v>
      </c>
      <c r="D37" s="84">
        <v>285</v>
      </c>
      <c r="E37" s="79">
        <f>+C37*D37</f>
        <v>114</v>
      </c>
      <c r="F37" s="78"/>
    </row>
    <row r="38" spans="1:6" s="80" customFormat="1" ht="14.25" x14ac:dyDescent="0.2">
      <c r="A38" s="78"/>
      <c r="B38" s="81"/>
      <c r="C38" s="86"/>
      <c r="D38" s="84"/>
      <c r="E38" s="79"/>
      <c r="F38" s="78"/>
    </row>
    <row r="39" spans="1:6" s="80" customFormat="1" ht="14.25" x14ac:dyDescent="0.2">
      <c r="A39" s="78" t="s">
        <v>466</v>
      </c>
      <c r="B39" s="81" t="s">
        <v>523</v>
      </c>
      <c r="C39" s="86">
        <v>2.5</v>
      </c>
      <c r="D39" s="84">
        <v>285</v>
      </c>
      <c r="E39" s="79">
        <f>+C39*D39</f>
        <v>712.5</v>
      </c>
      <c r="F39" s="78"/>
    </row>
    <row r="40" spans="1:6" s="80" customFormat="1" ht="14.25" x14ac:dyDescent="0.2">
      <c r="A40" s="78"/>
      <c r="B40" s="81"/>
      <c r="C40" s="86"/>
      <c r="D40" s="84"/>
      <c r="E40" s="79"/>
      <c r="F40" s="78"/>
    </row>
    <row r="41" spans="1:6" s="80" customFormat="1" ht="14.25" x14ac:dyDescent="0.2">
      <c r="A41" s="78"/>
      <c r="B41" s="81" t="s">
        <v>524</v>
      </c>
      <c r="C41" s="86">
        <v>2</v>
      </c>
      <c r="D41" s="84">
        <v>285</v>
      </c>
      <c r="E41" s="79">
        <f>+C41*D41</f>
        <v>570</v>
      </c>
      <c r="F41" s="78"/>
    </row>
    <row r="42" spans="1:6" s="80" customFormat="1" ht="14.25" x14ac:dyDescent="0.2">
      <c r="A42" s="78"/>
      <c r="B42" s="81"/>
      <c r="C42" s="86"/>
      <c r="D42" s="84"/>
      <c r="E42" s="79"/>
      <c r="F42" s="78"/>
    </row>
    <row r="43" spans="1:6" s="80" customFormat="1" ht="14.25" x14ac:dyDescent="0.2">
      <c r="A43" s="78"/>
      <c r="B43" s="81" t="s">
        <v>525</v>
      </c>
      <c r="C43" s="86">
        <v>0.25</v>
      </c>
      <c r="D43" s="84">
        <v>285</v>
      </c>
      <c r="E43" s="79">
        <f>+C43*D43</f>
        <v>71.25</v>
      </c>
      <c r="F43" s="78"/>
    </row>
    <row r="44" spans="1:6" s="80" customFormat="1" ht="14.25" x14ac:dyDescent="0.2">
      <c r="A44" s="78"/>
      <c r="B44" s="81"/>
      <c r="C44" s="86"/>
      <c r="D44" s="84"/>
      <c r="E44" s="79"/>
      <c r="F44" s="78"/>
    </row>
    <row r="45" spans="1:6" s="80" customFormat="1" ht="14.25" x14ac:dyDescent="0.2">
      <c r="A45" s="78"/>
      <c r="B45" s="81" t="s">
        <v>526</v>
      </c>
      <c r="C45" s="86">
        <v>1</v>
      </c>
      <c r="D45" s="84">
        <v>285</v>
      </c>
      <c r="E45" s="79">
        <f>+C45*D45</f>
        <v>285</v>
      </c>
      <c r="F45" s="78"/>
    </row>
    <row r="46" spans="1:6" s="80" customFormat="1" ht="14.25" x14ac:dyDescent="0.2">
      <c r="A46" s="78"/>
      <c r="B46" s="81"/>
      <c r="C46" s="86"/>
      <c r="D46" s="84"/>
      <c r="E46" s="79"/>
      <c r="F46" s="78"/>
    </row>
    <row r="47" spans="1:6" s="80" customFormat="1" ht="14.25" x14ac:dyDescent="0.2">
      <c r="A47" s="78"/>
      <c r="B47" s="81" t="s">
        <v>527</v>
      </c>
      <c r="C47" s="86">
        <v>0.75</v>
      </c>
      <c r="D47" s="84">
        <v>285</v>
      </c>
      <c r="E47" s="79">
        <f>+C47*D47</f>
        <v>213.75</v>
      </c>
      <c r="F47" s="78"/>
    </row>
    <row r="48" spans="1:6" s="80" customFormat="1" ht="14.25" x14ac:dyDescent="0.2">
      <c r="A48" s="78"/>
      <c r="B48" s="81"/>
      <c r="C48" s="86"/>
      <c r="D48" s="84"/>
      <c r="E48" s="79"/>
      <c r="F48" s="78"/>
    </row>
    <row r="49" spans="1:6" s="80" customFormat="1" ht="14.25" x14ac:dyDescent="0.2">
      <c r="A49" s="78"/>
      <c r="B49" s="81" t="s">
        <v>528</v>
      </c>
      <c r="C49" s="86">
        <v>0.25</v>
      </c>
      <c r="D49" s="84">
        <v>285</v>
      </c>
      <c r="E49" s="79">
        <f>+C49*D49</f>
        <v>71.25</v>
      </c>
      <c r="F49" s="78"/>
    </row>
    <row r="50" spans="1:6" s="80" customFormat="1" ht="14.25" x14ac:dyDescent="0.2">
      <c r="A50" s="78"/>
      <c r="B50" s="81"/>
      <c r="C50" s="86"/>
      <c r="D50" s="84"/>
      <c r="E50" s="79"/>
      <c r="F50" s="78"/>
    </row>
    <row r="51" spans="1:6" s="80" customFormat="1" ht="14.25" x14ac:dyDescent="0.2">
      <c r="A51" s="78"/>
      <c r="B51" s="81" t="s">
        <v>529</v>
      </c>
      <c r="C51" s="86">
        <v>0.25</v>
      </c>
      <c r="D51" s="84">
        <v>285</v>
      </c>
      <c r="E51" s="79">
        <f>+C51*D51</f>
        <v>71.25</v>
      </c>
      <c r="F51" s="78"/>
    </row>
    <row r="52" spans="1:6" s="80" customFormat="1" ht="14.25" x14ac:dyDescent="0.2">
      <c r="A52" s="78"/>
      <c r="B52" s="81"/>
      <c r="C52" s="86"/>
      <c r="D52" s="84"/>
      <c r="E52" s="79"/>
      <c r="F52" s="78"/>
    </row>
    <row r="53" spans="1:6" s="80" customFormat="1" ht="14.25" x14ac:dyDescent="0.2">
      <c r="A53" s="78"/>
      <c r="B53" s="81" t="s">
        <v>530</v>
      </c>
      <c r="C53" s="86">
        <v>0.75</v>
      </c>
      <c r="D53" s="84">
        <v>285</v>
      </c>
      <c r="E53" s="79">
        <f>+C53*D53</f>
        <v>213.75</v>
      </c>
      <c r="F53" s="78"/>
    </row>
    <row r="54" spans="1:6" s="80" customFormat="1" ht="14.25" x14ac:dyDescent="0.2">
      <c r="A54" s="78"/>
      <c r="B54" s="81"/>
      <c r="C54" s="86"/>
      <c r="D54" s="84"/>
      <c r="E54" s="79"/>
      <c r="F54" s="78"/>
    </row>
    <row r="55" spans="1:6" s="80" customFormat="1" ht="14.25" x14ac:dyDescent="0.2">
      <c r="A55" s="78"/>
      <c r="B55" s="81" t="s">
        <v>531</v>
      </c>
      <c r="C55" s="86">
        <v>8</v>
      </c>
      <c r="D55" s="84">
        <v>285</v>
      </c>
      <c r="E55" s="79">
        <f>+C55*D55</f>
        <v>2280</v>
      </c>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4816.5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4816.5</v>
      </c>
      <c r="F72" s="57"/>
    </row>
    <row r="73" spans="1:6" ht="13.5" customHeight="1" x14ac:dyDescent="0.2">
      <c r="A73" s="57"/>
      <c r="B73" s="58" t="s">
        <v>6</v>
      </c>
      <c r="C73" s="70">
        <v>0.05</v>
      </c>
      <c r="D73" s="58"/>
      <c r="E73" s="43">
        <f>ROUND(E72*C73,2)</f>
        <v>240.83</v>
      </c>
      <c r="F73" s="57"/>
    </row>
    <row r="74" spans="1:6" ht="13.5" customHeight="1" x14ac:dyDescent="0.2">
      <c r="A74" s="57"/>
      <c r="B74" s="58" t="s">
        <v>5</v>
      </c>
      <c r="C74" s="71">
        <v>9.9750000000000005E-2</v>
      </c>
      <c r="D74" s="58"/>
      <c r="E74" s="44">
        <f>ROUND(E72*C74,2)</f>
        <v>480.45</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5537.78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5537.78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17C00D63-DC38-4631-803E-64A41A876A4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1150F-456F-4DCB-B9D1-9A59573C25AC}">
  <sheetPr codeName="Feuil73">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532</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537</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533</v>
      </c>
      <c r="C35" s="86">
        <v>3.5</v>
      </c>
      <c r="D35" s="84">
        <v>285</v>
      </c>
      <c r="E35" s="79">
        <f>+C35*D35</f>
        <v>997.5</v>
      </c>
      <c r="F35" s="78"/>
    </row>
    <row r="36" spans="1:6" s="80" customFormat="1" ht="14.25" x14ac:dyDescent="0.2">
      <c r="A36" s="78"/>
      <c r="B36" s="81"/>
      <c r="C36" s="86"/>
      <c r="D36" s="84"/>
      <c r="E36" s="79"/>
      <c r="F36" s="78"/>
    </row>
    <row r="37" spans="1:6" s="80" customFormat="1" ht="14.25" x14ac:dyDescent="0.2">
      <c r="A37" s="78"/>
      <c r="B37" s="81" t="s">
        <v>534</v>
      </c>
      <c r="C37" s="86">
        <v>0.4</v>
      </c>
      <c r="D37" s="84">
        <v>285</v>
      </c>
      <c r="E37" s="79">
        <f>+C37*D37</f>
        <v>114</v>
      </c>
      <c r="F37" s="78"/>
    </row>
    <row r="38" spans="1:6" s="80" customFormat="1" ht="14.25" x14ac:dyDescent="0.2">
      <c r="A38" s="78"/>
      <c r="B38" s="81"/>
      <c r="C38" s="86"/>
      <c r="D38" s="84"/>
      <c r="E38" s="79"/>
      <c r="F38" s="78"/>
    </row>
    <row r="39" spans="1:6" s="80" customFormat="1" ht="14.25" x14ac:dyDescent="0.2">
      <c r="A39" s="78" t="s">
        <v>466</v>
      </c>
      <c r="B39" s="81" t="s">
        <v>535</v>
      </c>
      <c r="C39" s="86">
        <v>0.75</v>
      </c>
      <c r="D39" s="84">
        <v>285</v>
      </c>
      <c r="E39" s="79">
        <f>+C39*D39</f>
        <v>213.75</v>
      </c>
      <c r="F39" s="78"/>
    </row>
    <row r="40" spans="1:6" s="80" customFormat="1" ht="14.25" x14ac:dyDescent="0.2">
      <c r="A40" s="78"/>
      <c r="B40" s="81"/>
      <c r="C40" s="86"/>
      <c r="D40" s="84"/>
      <c r="E40" s="79"/>
      <c r="F40" s="78"/>
    </row>
    <row r="41" spans="1:6" s="80" customFormat="1" ht="14.25" x14ac:dyDescent="0.2">
      <c r="A41" s="78"/>
      <c r="B41" s="81" t="s">
        <v>536</v>
      </c>
      <c r="C41" s="86">
        <v>0.4</v>
      </c>
      <c r="D41" s="84">
        <v>285</v>
      </c>
      <c r="E41" s="79">
        <f>+C41*D41</f>
        <v>114</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1439.25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1439.25</v>
      </c>
      <c r="F72" s="57"/>
    </row>
    <row r="73" spans="1:6" ht="13.5" customHeight="1" x14ac:dyDescent="0.2">
      <c r="A73" s="57"/>
      <c r="B73" s="58" t="s">
        <v>6</v>
      </c>
      <c r="C73" s="70">
        <v>0.05</v>
      </c>
      <c r="D73" s="58"/>
      <c r="E73" s="43">
        <f>ROUND(E72*C73,2)</f>
        <v>71.959999999999994</v>
      </c>
      <c r="F73" s="57"/>
    </row>
    <row r="74" spans="1:6" ht="13.5" customHeight="1" x14ac:dyDescent="0.2">
      <c r="A74" s="57"/>
      <c r="B74" s="58" t="s">
        <v>5</v>
      </c>
      <c r="C74" s="71">
        <v>9.9750000000000005E-2</v>
      </c>
      <c r="D74" s="58"/>
      <c r="E74" s="44">
        <f>ROUND(E72*C74,2)</f>
        <v>143.57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1654.78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1654.78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25BEC19-9633-40B4-B2C5-C1BE0375827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3613-E761-4C83-B9E8-CBB12E2671CB}">
  <sheetPr codeName="Feuil74">
    <pageSetUpPr fitToPage="1"/>
  </sheetPr>
  <dimension ref="A12:F92"/>
  <sheetViews>
    <sheetView view="pageBreakPreview" topLeftCell="A7" zoomScale="80" zoomScaleNormal="100" zoomScaleSheetLayoutView="80" workbookViewId="0">
      <selection activeCell="E39" sqref="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538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539</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540</v>
      </c>
      <c r="C35" s="86">
        <v>0.4</v>
      </c>
      <c r="D35" s="84">
        <v>285</v>
      </c>
      <c r="E35" s="79">
        <f>+C35*D35</f>
        <v>114</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114</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114</v>
      </c>
      <c r="F72" s="57"/>
    </row>
    <row r="73" spans="1:6" ht="13.5" customHeight="1" x14ac:dyDescent="0.2">
      <c r="A73" s="57"/>
      <c r="B73" s="58" t="s">
        <v>6</v>
      </c>
      <c r="C73" s="70">
        <v>0.05</v>
      </c>
      <c r="D73" s="58"/>
      <c r="E73" s="43">
        <f>ROUND(E72*C73,2)</f>
        <v>5.7</v>
      </c>
      <c r="F73" s="57"/>
    </row>
    <row r="74" spans="1:6" ht="13.5" customHeight="1" x14ac:dyDescent="0.2">
      <c r="A74" s="57"/>
      <c r="B74" s="58" t="s">
        <v>5</v>
      </c>
      <c r="C74" s="71">
        <v>9.9750000000000005E-2</v>
      </c>
      <c r="D74" s="58"/>
      <c r="E74" s="44">
        <f>ROUND(E72*C74,2)</f>
        <v>11.37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131.07</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131.07</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CB7EFD0-6724-4F21-B6AD-CB2D9373E91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090B8-A06F-4C96-B967-80920D3E5AC3}">
  <sheetPr codeName="Feuil75">
    <pageSetUpPr fitToPage="1"/>
  </sheetPr>
  <dimension ref="A12:F92"/>
  <sheetViews>
    <sheetView view="pageBreakPreview" topLeftCell="A7" zoomScale="80" zoomScaleNormal="100" zoomScaleSheetLayoutView="80" workbookViewId="0">
      <selection activeCell="B25" sqref="B2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541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542</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543</v>
      </c>
      <c r="C35" s="86">
        <v>0.4</v>
      </c>
      <c r="D35" s="84">
        <v>285</v>
      </c>
      <c r="E35" s="79">
        <f>+C35*D35</f>
        <v>114</v>
      </c>
      <c r="F35" s="78"/>
    </row>
    <row r="36" spans="1:6" s="80" customFormat="1" ht="14.25" x14ac:dyDescent="0.2">
      <c r="A36" s="78"/>
      <c r="B36" s="81"/>
      <c r="C36" s="86"/>
      <c r="D36" s="84"/>
      <c r="E36" s="79"/>
      <c r="F36" s="78"/>
    </row>
    <row r="37" spans="1:6" s="80" customFormat="1" ht="14.25" x14ac:dyDescent="0.2">
      <c r="A37" s="78"/>
      <c r="B37" s="81" t="s">
        <v>544</v>
      </c>
      <c r="C37" s="86">
        <v>1</v>
      </c>
      <c r="D37" s="84">
        <v>285</v>
      </c>
      <c r="E37" s="79">
        <f>+C37*D37</f>
        <v>285</v>
      </c>
      <c r="F37" s="78"/>
    </row>
    <row r="38" spans="1:6" s="80" customFormat="1" ht="14.25" x14ac:dyDescent="0.2">
      <c r="A38" s="78"/>
      <c r="B38" s="81"/>
      <c r="C38" s="86"/>
      <c r="D38" s="84"/>
      <c r="E38" s="79"/>
      <c r="F38" s="78"/>
    </row>
    <row r="39" spans="1:6" s="80" customFormat="1" ht="14.25" x14ac:dyDescent="0.2">
      <c r="A39" s="78"/>
      <c r="B39" s="81" t="s">
        <v>545</v>
      </c>
      <c r="C39" s="86">
        <v>0.4</v>
      </c>
      <c r="D39" s="84">
        <v>285</v>
      </c>
      <c r="E39" s="79">
        <f>+C39*D39</f>
        <v>114</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513</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513</v>
      </c>
      <c r="F72" s="57"/>
    </row>
    <row r="73" spans="1:6" ht="13.5" customHeight="1" x14ac:dyDescent="0.2">
      <c r="A73" s="57"/>
      <c r="B73" s="58" t="s">
        <v>6</v>
      </c>
      <c r="C73" s="70">
        <v>0.05</v>
      </c>
      <c r="D73" s="58"/>
      <c r="E73" s="43">
        <f>ROUND(E72*C73,2)</f>
        <v>25.65</v>
      </c>
      <c r="F73" s="57"/>
    </row>
    <row r="74" spans="1:6" ht="13.5" customHeight="1" x14ac:dyDescent="0.2">
      <c r="A74" s="57"/>
      <c r="B74" s="58" t="s">
        <v>5</v>
      </c>
      <c r="C74" s="71">
        <v>9.9750000000000005E-2</v>
      </c>
      <c r="D74" s="58"/>
      <c r="E74" s="44">
        <f>ROUND(E72*C74,2)</f>
        <v>51.17</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589.81999999999994</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589.81999999999994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C206707-5F97-48B2-86E5-8D344816137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DA119-228E-433E-BA86-57BD066B7574}">
  <sheetPr codeName="Feuil76">
    <pageSetUpPr fitToPage="1"/>
  </sheetPr>
  <dimension ref="A12:F92"/>
  <sheetViews>
    <sheetView view="pageBreakPreview" zoomScale="80" zoomScaleNormal="100" zoomScaleSheetLayoutView="80" workbookViewId="0">
      <selection activeCell="E70" sqref="E7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546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547</v>
      </c>
      <c r="C24" s="57"/>
      <c r="D24" s="57"/>
      <c r="E24" s="57"/>
      <c r="F24" s="57"/>
    </row>
    <row r="25" spans="1:6" ht="15" x14ac:dyDescent="0.2">
      <c r="A25" s="55"/>
      <c r="B25" s="34" t="s">
        <v>548</v>
      </c>
      <c r="C25" s="57"/>
      <c r="D25" s="57"/>
      <c r="E25" s="57"/>
      <c r="F25" s="57"/>
    </row>
    <row r="26" spans="1:6" ht="33.75" customHeight="1" x14ac:dyDescent="0.2">
      <c r="A26" s="55"/>
      <c r="B26" s="77" t="s">
        <v>549</v>
      </c>
      <c r="C26" s="57"/>
      <c r="D26" s="57"/>
      <c r="E26" s="57"/>
      <c r="F26" s="57"/>
    </row>
    <row r="27" spans="1:6" x14ac:dyDescent="0.2">
      <c r="A27" s="59"/>
      <c r="B27" s="57"/>
      <c r="C27" s="60"/>
      <c r="D27" s="60"/>
      <c r="E27" s="61"/>
      <c r="F27" s="57"/>
    </row>
    <row r="28" spans="1:6" ht="15" x14ac:dyDescent="0.2">
      <c r="A28" s="55"/>
      <c r="B28" s="60"/>
      <c r="C28" s="60"/>
      <c r="D28" s="62" t="s">
        <v>41</v>
      </c>
      <c r="E28" s="87" t="s">
        <v>550</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c r="D33" s="82"/>
      <c r="E33" s="79"/>
      <c r="F33" s="78"/>
    </row>
    <row r="34" spans="1:6" s="80" customFormat="1" ht="14.25" x14ac:dyDescent="0.2">
      <c r="A34" s="78"/>
      <c r="B34" s="81"/>
      <c r="C34" s="83"/>
      <c r="D34" s="83"/>
      <c r="E34" s="79"/>
      <c r="F34" s="78"/>
    </row>
    <row r="35" spans="1:6" s="80" customFormat="1" ht="14.25" x14ac:dyDescent="0.2">
      <c r="A35" s="78"/>
      <c r="B35" s="157" t="s">
        <v>551</v>
      </c>
      <c r="C35" s="157"/>
      <c r="D35" s="157"/>
      <c r="E35" s="79"/>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2*285</f>
        <v>570</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570</v>
      </c>
      <c r="F72" s="57"/>
    </row>
    <row r="73" spans="1:6" ht="13.5" customHeight="1" x14ac:dyDescent="0.2">
      <c r="A73" s="57"/>
      <c r="B73" s="58" t="s">
        <v>6</v>
      </c>
      <c r="C73" s="70">
        <v>0.05</v>
      </c>
      <c r="D73" s="58"/>
      <c r="E73" s="43">
        <f>ROUND(E72*C73,2)</f>
        <v>28.5</v>
      </c>
      <c r="F73" s="57"/>
    </row>
    <row r="74" spans="1:6" ht="13.5" customHeight="1" x14ac:dyDescent="0.2">
      <c r="A74" s="57"/>
      <c r="B74" s="58" t="s">
        <v>5</v>
      </c>
      <c r="C74" s="71">
        <v>9.9750000000000005E-2</v>
      </c>
      <c r="D74" s="58"/>
      <c r="E74" s="44">
        <f>ROUND(E72*C74,2)</f>
        <v>56.86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655.36</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655.36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1">
    <mergeCell ref="A30:F30"/>
    <mergeCell ref="B77:D77"/>
    <mergeCell ref="B78:D78"/>
    <mergeCell ref="B79:D79"/>
    <mergeCell ref="B83:E83"/>
    <mergeCell ref="A85:F85"/>
    <mergeCell ref="B87:E87"/>
    <mergeCell ref="A88:F88"/>
    <mergeCell ref="B90:D90"/>
    <mergeCell ref="B35:D35"/>
    <mergeCell ref="A84:F84"/>
  </mergeCells>
  <dataValidations count="1">
    <dataValidation type="list" allowBlank="1" showInputMessage="1" showErrorMessage="1" sqref="B77:B79 B12:B20 B33:B68" xr:uid="{7D66F6F8-7A89-459B-84A5-2CC13AADF1F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CC8A6-4298-4C87-9C40-2F82CE941CF0}">
  <sheetPr codeName="Feuil77">
    <pageSetUpPr fitToPage="1"/>
  </sheetPr>
  <dimension ref="A12:F92"/>
  <sheetViews>
    <sheetView view="pageBreakPreview" zoomScale="80" zoomScaleNormal="100" zoomScaleSheetLayoutView="80" workbookViewId="0">
      <selection activeCell="B25" sqref="B2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546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553</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554</v>
      </c>
      <c r="C35" s="86">
        <v>0.25</v>
      </c>
      <c r="D35" s="84">
        <v>285</v>
      </c>
      <c r="E35" s="79">
        <f>+C35*D35</f>
        <v>71.25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71.25</v>
      </c>
      <c r="F72" s="57"/>
    </row>
    <row r="73" spans="1:6" ht="13.5" customHeight="1" x14ac:dyDescent="0.2">
      <c r="A73" s="57"/>
      <c r="B73" s="58" t="s">
        <v>6</v>
      </c>
      <c r="C73" s="70">
        <v>0.05</v>
      </c>
      <c r="D73" s="58"/>
      <c r="E73" s="43">
        <f>ROUND(E72*C73,2)</f>
        <v>3.56</v>
      </c>
      <c r="F73" s="57"/>
    </row>
    <row r="74" spans="1:6" ht="13.5" customHeight="1" x14ac:dyDescent="0.2">
      <c r="A74" s="57"/>
      <c r="B74" s="58" t="s">
        <v>5</v>
      </c>
      <c r="C74" s="71">
        <v>9.9750000000000005E-2</v>
      </c>
      <c r="D74" s="58"/>
      <c r="E74" s="44">
        <f>ROUND(E72*C74,2)</f>
        <v>7.11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81.92</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81.92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F0963B2-DD5F-48BE-9AC3-D60B900E8A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526C-9153-40BB-8701-7ACF49709C67}">
  <sheetPr codeName="Feuil78">
    <pageSetUpPr fitToPage="1"/>
  </sheetPr>
  <dimension ref="A12:F92"/>
  <sheetViews>
    <sheetView view="pageBreakPreview" topLeftCell="A7" zoomScale="80" zoomScaleNormal="100" zoomScaleSheetLayoutView="80" workbookViewId="0">
      <selection activeCell="B22" sqref="B2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557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286</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555</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556</v>
      </c>
      <c r="C35" s="86">
        <v>1</v>
      </c>
      <c r="D35" s="84">
        <v>285</v>
      </c>
      <c r="E35" s="79">
        <f>+C35*D35</f>
        <v>285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285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285</v>
      </c>
      <c r="F72" s="57"/>
    </row>
    <row r="73" spans="1:6" ht="13.5" customHeight="1" x14ac:dyDescent="0.2">
      <c r="A73" s="57"/>
      <c r="B73" s="58" t="s">
        <v>6</v>
      </c>
      <c r="C73" s="70">
        <v>0.05</v>
      </c>
      <c r="D73" s="58"/>
      <c r="E73" s="43">
        <f>ROUND(E72*C73,2)</f>
        <v>14.25</v>
      </c>
      <c r="F73" s="57"/>
    </row>
    <row r="74" spans="1:6" ht="13.5" customHeight="1" x14ac:dyDescent="0.2">
      <c r="A74" s="57"/>
      <c r="B74" s="58" t="s">
        <v>5</v>
      </c>
      <c r="C74" s="71">
        <v>9.9750000000000005E-2</v>
      </c>
      <c r="D74" s="58"/>
      <c r="E74" s="44">
        <f>ROUND(E72*C74,2)</f>
        <v>28.43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327.68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327.68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5ADB0868-6477-49F3-8362-B367DB628A9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BA7E-C9AE-4550-B423-FC6FA85B4569}">
  <sheetPr codeName="Feuil79">
    <pageSetUpPr fitToPage="1"/>
  </sheetPr>
  <dimension ref="A12:F92"/>
  <sheetViews>
    <sheetView view="pageBreakPreview" topLeftCell="A16" zoomScale="80" zoomScaleNormal="100" zoomScaleSheetLayoutView="80" workbookViewId="0">
      <selection activeCell="B22" sqref="B22"/>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557</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558</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554</v>
      </c>
      <c r="C35" s="86">
        <v>0.25</v>
      </c>
      <c r="D35" s="84">
        <v>285</v>
      </c>
      <c r="E35" s="79">
        <f>+C35*D35</f>
        <v>71.25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71.25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71.25</v>
      </c>
      <c r="F72" s="57"/>
    </row>
    <row r="73" spans="1:6" ht="13.5" customHeight="1" x14ac:dyDescent="0.2">
      <c r="A73" s="57"/>
      <c r="B73" s="58" t="s">
        <v>6</v>
      </c>
      <c r="C73" s="70">
        <v>0.05</v>
      </c>
      <c r="D73" s="58"/>
      <c r="E73" s="43">
        <f>ROUND(E72*C73,2)</f>
        <v>3.56</v>
      </c>
      <c r="F73" s="57"/>
    </row>
    <row r="74" spans="1:6" ht="13.5" customHeight="1" x14ac:dyDescent="0.2">
      <c r="A74" s="57"/>
      <c r="B74" s="58" t="s">
        <v>5</v>
      </c>
      <c r="C74" s="71">
        <v>9.9750000000000005E-2</v>
      </c>
      <c r="D74" s="58"/>
      <c r="E74" s="44">
        <f>ROUND(E72*C74,2)</f>
        <v>7.11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81.92</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81.92</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1A3B7F96-7034-4B16-A515-4C7DAEC0DC89}">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4E46B-7A3A-4B97-A8EB-FD297F8F3A83}">
  <sheetPr codeName="Feuil80">
    <pageSetUpPr fitToPage="1"/>
  </sheetPr>
  <dimension ref="A12:F92"/>
  <sheetViews>
    <sheetView view="pageBreakPreview" zoomScale="80" zoomScaleNormal="100" zoomScaleSheetLayoutView="80" workbookViewId="0">
      <selection activeCell="D39" sqref="D39: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559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560</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561</v>
      </c>
      <c r="C35" s="86">
        <v>0.25</v>
      </c>
      <c r="D35" s="84">
        <v>295</v>
      </c>
      <c r="E35" s="79">
        <f>+C35*D35</f>
        <v>73.75</v>
      </c>
      <c r="F35" s="78"/>
    </row>
    <row r="36" spans="1:6" s="80" customFormat="1" ht="14.25" x14ac:dyDescent="0.2">
      <c r="A36" s="78"/>
      <c r="B36" s="81"/>
      <c r="C36" s="86"/>
      <c r="D36" s="84"/>
      <c r="E36" s="79"/>
      <c r="F36" s="78"/>
    </row>
    <row r="37" spans="1:6" s="80" customFormat="1" ht="14.25" x14ac:dyDescent="0.2">
      <c r="A37" s="78"/>
      <c r="B37" s="81" t="s">
        <v>562</v>
      </c>
      <c r="C37" s="86">
        <v>0.25</v>
      </c>
      <c r="D37" s="84">
        <v>295</v>
      </c>
      <c r="E37" s="79">
        <f>+C37*D37</f>
        <v>73.75</v>
      </c>
      <c r="F37" s="78"/>
    </row>
    <row r="38" spans="1:6" s="80" customFormat="1" ht="14.25" x14ac:dyDescent="0.2">
      <c r="A38" s="78"/>
      <c r="B38" s="81"/>
      <c r="C38" s="86"/>
      <c r="D38" s="84"/>
      <c r="E38" s="79"/>
      <c r="F38" s="78"/>
    </row>
    <row r="39" spans="1:6" s="80" customFormat="1" ht="14.25" x14ac:dyDescent="0.2">
      <c r="A39" s="78"/>
      <c r="B39" s="81" t="s">
        <v>563</v>
      </c>
      <c r="C39" s="86">
        <v>0.5</v>
      </c>
      <c r="D39" s="84">
        <v>295</v>
      </c>
      <c r="E39" s="79">
        <f>+C39*D39</f>
        <v>147.5</v>
      </c>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295</v>
      </c>
      <c r="F72" s="57"/>
    </row>
    <row r="73" spans="1:6" ht="13.5" customHeight="1" x14ac:dyDescent="0.2">
      <c r="A73" s="57"/>
      <c r="B73" s="58" t="s">
        <v>6</v>
      </c>
      <c r="C73" s="70">
        <v>0.05</v>
      </c>
      <c r="D73" s="58"/>
      <c r="E73" s="43">
        <f>ROUND(E72*C73,2)</f>
        <v>14.75</v>
      </c>
      <c r="F73" s="57"/>
    </row>
    <row r="74" spans="1:6" ht="13.5" customHeight="1" x14ac:dyDescent="0.2">
      <c r="A74" s="57"/>
      <c r="B74" s="58" t="s">
        <v>5</v>
      </c>
      <c r="C74" s="71">
        <v>9.9750000000000005E-2</v>
      </c>
      <c r="D74" s="58"/>
      <c r="E74" s="44">
        <f>ROUND(E72*C74,2)</f>
        <v>29.43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339.18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339.18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C38F6EC-FE29-4E2A-B9AA-F2D75AB73375}">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8">
    <pageSetUpPr fitToPage="1"/>
  </sheetPr>
  <dimension ref="A12:F96"/>
  <sheetViews>
    <sheetView view="pageBreakPreview" topLeftCell="A31" zoomScale="80" zoomScaleNormal="100" zoomScaleSheetLayoutView="80" workbookViewId="0">
      <selection activeCell="B58" sqref="B58:D58"/>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85</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84</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44.25" customHeight="1" x14ac:dyDescent="0.2">
      <c r="A36" s="30"/>
      <c r="B36" s="149" t="s">
        <v>86</v>
      </c>
      <c r="C36" s="149"/>
      <c r="D36" s="149"/>
      <c r="E36" s="37">
        <f>10*190</f>
        <v>1900</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87</v>
      </c>
      <c r="C39" s="149"/>
      <c r="D39" s="149"/>
      <c r="E39" s="37">
        <f>0.25*190</f>
        <v>47.5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88</v>
      </c>
      <c r="C42" s="149"/>
      <c r="D42" s="149"/>
      <c r="E42" s="37">
        <f>0.75*190</f>
        <v>142.5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t="s">
        <v>89</v>
      </c>
      <c r="C45" s="149"/>
      <c r="D45" s="149"/>
      <c r="E45" s="37">
        <v>190</v>
      </c>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2280</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2280</v>
      </c>
      <c r="F76" s="30"/>
    </row>
    <row r="77" spans="1:6" ht="13.5" customHeight="1" x14ac:dyDescent="0.2">
      <c r="A77" s="30"/>
      <c r="B77" s="35" t="s">
        <v>6</v>
      </c>
      <c r="C77" s="40">
        <v>0.05</v>
      </c>
      <c r="D77" s="35"/>
      <c r="E77" s="43">
        <f>ROUND(E76*C77,2)</f>
        <v>114</v>
      </c>
      <c r="F77" s="30"/>
    </row>
    <row r="78" spans="1:6" ht="13.5" customHeight="1" x14ac:dyDescent="0.2">
      <c r="A78" s="30"/>
      <c r="B78" s="35" t="s">
        <v>5</v>
      </c>
      <c r="C78" s="50">
        <v>9.9750000000000005E-2</v>
      </c>
      <c r="D78" s="35"/>
      <c r="E78" s="44">
        <f>ROUND(E76*C78,2)</f>
        <v>227.43</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2621.4299999999998</v>
      </c>
      <c r="F80" s="30"/>
    </row>
    <row r="81" spans="1:6" ht="15.75" thickTop="1" x14ac:dyDescent="0.2">
      <c r="A81" s="30"/>
      <c r="B81" s="151"/>
      <c r="C81" s="151"/>
      <c r="D81" s="151"/>
      <c r="E81" s="45"/>
      <c r="F81" s="30"/>
    </row>
    <row r="82" spans="1:6" ht="15" x14ac:dyDescent="0.2">
      <c r="A82" s="30"/>
      <c r="B82" s="150" t="s">
        <v>48</v>
      </c>
      <c r="C82" s="150"/>
      <c r="D82" s="150"/>
      <c r="E82" s="45">
        <v>0</v>
      </c>
      <c r="F82" s="30"/>
    </row>
    <row r="83" spans="1:6" ht="15" x14ac:dyDescent="0.2">
      <c r="A83" s="30"/>
      <c r="B83" s="151"/>
      <c r="C83" s="151"/>
      <c r="D83" s="151"/>
      <c r="E83" s="45"/>
      <c r="F83" s="30"/>
    </row>
    <row r="84" spans="1:6" ht="19.5" customHeight="1" x14ac:dyDescent="0.2">
      <c r="A84" s="30"/>
      <c r="B84" s="46" t="s">
        <v>47</v>
      </c>
      <c r="C84" s="47"/>
      <c r="D84" s="47"/>
      <c r="E84" s="48">
        <f>E80-E82</f>
        <v>2621.4299999999998</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5"/>
      <c r="C87" s="155"/>
      <c r="D87" s="155"/>
      <c r="E87" s="155"/>
      <c r="F87" s="30"/>
    </row>
    <row r="88" spans="1:6" ht="14.25" x14ac:dyDescent="0.2">
      <c r="A88" s="148" t="s">
        <v>49</v>
      </c>
      <c r="B88" s="148"/>
      <c r="C88" s="148"/>
      <c r="D88" s="148"/>
      <c r="E88" s="148"/>
      <c r="F88" s="148"/>
    </row>
    <row r="89" spans="1:6" ht="14.25" x14ac:dyDescent="0.2">
      <c r="A89" s="146" t="s">
        <v>8</v>
      </c>
      <c r="B89" s="146"/>
      <c r="C89" s="146"/>
      <c r="D89" s="146"/>
      <c r="E89" s="146"/>
      <c r="F89" s="146"/>
    </row>
    <row r="90" spans="1:6" x14ac:dyDescent="0.2">
      <c r="A90" s="30"/>
      <c r="B90" s="30"/>
      <c r="C90" s="30"/>
      <c r="D90" s="30"/>
      <c r="E90" s="30"/>
      <c r="F90" s="30"/>
    </row>
    <row r="91" spans="1:6" x14ac:dyDescent="0.2">
      <c r="A91" s="30"/>
      <c r="B91" s="156"/>
      <c r="C91" s="156"/>
      <c r="D91" s="156"/>
      <c r="E91" s="156"/>
      <c r="F91" s="30"/>
    </row>
    <row r="92" spans="1:6" ht="15" x14ac:dyDescent="0.2">
      <c r="A92" s="147" t="s">
        <v>9</v>
      </c>
      <c r="B92" s="147"/>
      <c r="C92" s="147"/>
      <c r="D92" s="147"/>
      <c r="E92" s="147"/>
      <c r="F92" s="147"/>
    </row>
    <row r="94" spans="1:6" ht="39.75" customHeight="1" x14ac:dyDescent="0.2">
      <c r="B94" s="153"/>
      <c r="C94" s="154"/>
      <c r="D94" s="154"/>
    </row>
    <row r="95" spans="1:6" ht="13.5" customHeight="1" x14ac:dyDescent="0.2"/>
    <row r="96" spans="1:6" x14ac:dyDescent="0.2">
      <c r="B96" s="20"/>
      <c r="C96" s="20"/>
      <c r="D96" s="20"/>
    </row>
  </sheetData>
  <mergeCells count="49">
    <mergeCell ref="B38:D38"/>
    <mergeCell ref="A31:F31"/>
    <mergeCell ref="B34:D34"/>
    <mergeCell ref="B35:D35"/>
    <mergeCell ref="B36:D36"/>
    <mergeCell ref="B37:D37"/>
    <mergeCell ref="B50:D50"/>
    <mergeCell ref="B39:D39"/>
    <mergeCell ref="B40:D40"/>
    <mergeCell ref="B41:D41"/>
    <mergeCell ref="B42:D42"/>
    <mergeCell ref="B43:D43"/>
    <mergeCell ref="B44:D44"/>
    <mergeCell ref="B45:D45"/>
    <mergeCell ref="B46:D46"/>
    <mergeCell ref="B47:D47"/>
    <mergeCell ref="B48:D48"/>
    <mergeCell ref="B49:D49"/>
    <mergeCell ref="B60:D60"/>
    <mergeCell ref="B51:D51"/>
    <mergeCell ref="B52:D52"/>
    <mergeCell ref="B53:D53"/>
    <mergeCell ref="B54:D54"/>
    <mergeCell ref="B55:D55"/>
    <mergeCell ref="B56:D56"/>
    <mergeCell ref="B57:D57"/>
    <mergeCell ref="B58:D58"/>
    <mergeCell ref="B59:D59"/>
    <mergeCell ref="B72:D72"/>
    <mergeCell ref="B61:D61"/>
    <mergeCell ref="B62:D62"/>
    <mergeCell ref="B63:D63"/>
    <mergeCell ref="B64:D64"/>
    <mergeCell ref="B65:D65"/>
    <mergeCell ref="B66:D66"/>
    <mergeCell ref="B67:D67"/>
    <mergeCell ref="B68:D68"/>
    <mergeCell ref="B69:D69"/>
    <mergeCell ref="B70:D70"/>
    <mergeCell ref="B71:D71"/>
    <mergeCell ref="B91:E91"/>
    <mergeCell ref="A92:F92"/>
    <mergeCell ref="B94:D94"/>
    <mergeCell ref="B81:D81"/>
    <mergeCell ref="B82:D82"/>
    <mergeCell ref="B83:D83"/>
    <mergeCell ref="B87:E87"/>
    <mergeCell ref="A88:F88"/>
    <mergeCell ref="A89:F89"/>
  </mergeCells>
  <dataValidations count="1">
    <dataValidation type="list" allowBlank="1" showInputMessage="1" showErrorMessage="1" sqref="B81:B83 B34:B72 B12:B20" xr:uid="{00000000-0002-0000-07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808E0-DB00-4A31-A57D-3C95B5CECB68}">
  <sheetPr codeName="Feuil81">
    <pageSetUpPr fitToPage="1"/>
  </sheetPr>
  <dimension ref="A12:F92"/>
  <sheetViews>
    <sheetView view="pageBreakPreview" topLeftCell="A13" zoomScale="80" zoomScaleNormal="100" zoomScaleSheetLayoutView="80" workbookViewId="0">
      <selection activeCell="D43" sqref="D43:E4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564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565</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566</v>
      </c>
      <c r="C35" s="86">
        <v>1</v>
      </c>
      <c r="D35" s="84">
        <v>295</v>
      </c>
      <c r="E35" s="79">
        <f>+C35*D35</f>
        <v>295</v>
      </c>
      <c r="F35" s="78"/>
    </row>
    <row r="36" spans="1:6" s="80" customFormat="1" ht="14.25" x14ac:dyDescent="0.2">
      <c r="A36" s="78"/>
      <c r="B36" s="81"/>
      <c r="C36" s="86"/>
      <c r="D36" s="84"/>
      <c r="E36" s="79"/>
      <c r="F36" s="78"/>
    </row>
    <row r="37" spans="1:6" s="80" customFormat="1" ht="14.25" x14ac:dyDescent="0.2">
      <c r="A37" s="78"/>
      <c r="B37" s="81" t="s">
        <v>567</v>
      </c>
      <c r="C37" s="86">
        <v>1.75</v>
      </c>
      <c r="D37" s="84">
        <v>295</v>
      </c>
      <c r="E37" s="79">
        <f>+C37*D37</f>
        <v>516.25</v>
      </c>
      <c r="F37" s="78"/>
    </row>
    <row r="38" spans="1:6" s="80" customFormat="1" ht="14.25" x14ac:dyDescent="0.2">
      <c r="A38" s="78"/>
      <c r="B38" s="81"/>
      <c r="C38" s="86"/>
      <c r="D38" s="84"/>
      <c r="E38" s="79"/>
      <c r="F38" s="78"/>
    </row>
    <row r="39" spans="1:6" s="80" customFormat="1" ht="14.25" x14ac:dyDescent="0.2">
      <c r="A39" s="78"/>
      <c r="B39" s="81" t="s">
        <v>568</v>
      </c>
      <c r="C39" s="86">
        <v>0.25</v>
      </c>
      <c r="D39" s="84">
        <v>295</v>
      </c>
      <c r="E39" s="79">
        <f>+C39*D39</f>
        <v>73.75</v>
      </c>
      <c r="F39" s="78"/>
    </row>
    <row r="40" spans="1:6" s="80" customFormat="1" ht="14.25" x14ac:dyDescent="0.2">
      <c r="A40" s="78"/>
      <c r="B40" s="81"/>
      <c r="C40" s="86"/>
      <c r="D40" s="84"/>
      <c r="E40" s="79"/>
      <c r="F40" s="78"/>
    </row>
    <row r="41" spans="1:6" s="80" customFormat="1" ht="14.25" x14ac:dyDescent="0.2">
      <c r="A41" s="78"/>
      <c r="B41" s="81" t="s">
        <v>569</v>
      </c>
      <c r="C41" s="86">
        <v>1.4</v>
      </c>
      <c r="D41" s="84">
        <v>295</v>
      </c>
      <c r="E41" s="79">
        <f>+C41*D41</f>
        <v>413</v>
      </c>
      <c r="F41" s="78"/>
    </row>
    <row r="42" spans="1:6" s="80" customFormat="1" ht="14.25" x14ac:dyDescent="0.2">
      <c r="A42" s="78"/>
      <c r="B42" s="81"/>
      <c r="C42" s="86"/>
      <c r="D42" s="84"/>
      <c r="E42" s="79"/>
      <c r="F42" s="78"/>
    </row>
    <row r="43" spans="1:6" s="80" customFormat="1" ht="14.25" x14ac:dyDescent="0.2">
      <c r="A43" s="78"/>
      <c r="B43" s="81" t="s">
        <v>570</v>
      </c>
      <c r="C43" s="86">
        <v>0.25</v>
      </c>
      <c r="D43" s="84">
        <v>295</v>
      </c>
      <c r="E43" s="79">
        <f>+C43*D43</f>
        <v>73.75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1371.75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1371.75</v>
      </c>
      <c r="F72" s="57"/>
    </row>
    <row r="73" spans="1:6" ht="13.5" customHeight="1" x14ac:dyDescent="0.2">
      <c r="A73" s="57"/>
      <c r="B73" s="58" t="s">
        <v>6</v>
      </c>
      <c r="C73" s="70">
        <v>0.05</v>
      </c>
      <c r="D73" s="58"/>
      <c r="E73" s="43">
        <f>ROUND(E72*C73,2)</f>
        <v>68.59</v>
      </c>
      <c r="F73" s="57"/>
    </row>
    <row r="74" spans="1:6" ht="13.5" customHeight="1" x14ac:dyDescent="0.2">
      <c r="A74" s="57"/>
      <c r="B74" s="58" t="s">
        <v>5</v>
      </c>
      <c r="C74" s="71">
        <v>9.9750000000000005E-2</v>
      </c>
      <c r="D74" s="58"/>
      <c r="E74" s="44">
        <f>ROUND(E72*C74,2)</f>
        <v>136.83000000000001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1577.1699999999998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1577.1699999999998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05AB84AF-B982-4DDC-ABE8-AD2B58768672}">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AAC4-86DA-4332-A600-78B6F5BD0597}">
  <sheetPr codeName="Feuil82">
    <pageSetUpPr fitToPage="1"/>
  </sheetPr>
  <dimension ref="A12:F92"/>
  <sheetViews>
    <sheetView view="pageBreakPreview" zoomScale="80" zoomScaleNormal="100" zoomScaleSheetLayoutView="80" workbookViewId="0">
      <selection activeCell="B38" sqref="B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571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572</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573</v>
      </c>
      <c r="C35" s="86">
        <v>0.4</v>
      </c>
      <c r="D35" s="84">
        <v>295</v>
      </c>
      <c r="E35" s="79">
        <f>+C35*D35</f>
        <v>118</v>
      </c>
      <c r="F35" s="78"/>
    </row>
    <row r="36" spans="1:6" s="80" customFormat="1" ht="14.25" x14ac:dyDescent="0.2">
      <c r="A36" s="78"/>
      <c r="B36" s="81"/>
      <c r="C36" s="86"/>
      <c r="D36" s="84"/>
      <c r="E36" s="79"/>
      <c r="F36" s="78"/>
    </row>
    <row r="37" spans="1:6" s="80" customFormat="1" ht="28.5" x14ac:dyDescent="0.2">
      <c r="A37" s="78"/>
      <c r="B37" s="81" t="s">
        <v>574</v>
      </c>
      <c r="C37" s="86">
        <v>0.75</v>
      </c>
      <c r="D37" s="84">
        <v>295</v>
      </c>
      <c r="E37" s="79">
        <f>+C37*D37</f>
        <v>221.25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339.25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339.25</v>
      </c>
      <c r="F72" s="57"/>
    </row>
    <row r="73" spans="1:6" ht="13.5" customHeight="1" x14ac:dyDescent="0.2">
      <c r="A73" s="57"/>
      <c r="B73" s="58" t="s">
        <v>6</v>
      </c>
      <c r="C73" s="70">
        <v>0.05</v>
      </c>
      <c r="D73" s="58"/>
      <c r="E73" s="43">
        <f>ROUND(E72*C73,2)</f>
        <v>16.96</v>
      </c>
      <c r="F73" s="57"/>
    </row>
    <row r="74" spans="1:6" ht="13.5" customHeight="1" x14ac:dyDescent="0.2">
      <c r="A74" s="57"/>
      <c r="B74" s="58" t="s">
        <v>5</v>
      </c>
      <c r="C74" s="71">
        <v>9.9750000000000005E-2</v>
      </c>
      <c r="D74" s="58"/>
      <c r="E74" s="44">
        <f>ROUND(E72*C74,2)</f>
        <v>33.840000000000003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390.04999999999995</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390.04999999999995</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B18D92D9-5D9B-404E-94AC-912D1FC5581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0B559-972B-414D-B99E-D7F774E1A2D1}">
  <sheetPr codeName="Feuil83">
    <pageSetUpPr fitToPage="1"/>
  </sheetPr>
  <dimension ref="A12:F92"/>
  <sheetViews>
    <sheetView view="pageBreakPreview" zoomScale="80" zoomScaleNormal="100" zoomScaleSheetLayoutView="80" workbookViewId="0">
      <selection activeCell="B37" sqref="B37:E3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575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576</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577</v>
      </c>
      <c r="C35" s="86">
        <v>0.25</v>
      </c>
      <c r="D35" s="84">
        <v>295</v>
      </c>
      <c r="E35" s="79">
        <f>+C35*D35</f>
        <v>73.75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73.75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73.75</v>
      </c>
      <c r="F72" s="57"/>
    </row>
    <row r="73" spans="1:6" ht="13.5" customHeight="1" x14ac:dyDescent="0.2">
      <c r="A73" s="57"/>
      <c r="B73" s="58" t="s">
        <v>6</v>
      </c>
      <c r="C73" s="70">
        <v>0.05</v>
      </c>
      <c r="D73" s="58"/>
      <c r="E73" s="43">
        <f>ROUND(E72*C73,2)</f>
        <v>3.69</v>
      </c>
      <c r="F73" s="57"/>
    </row>
    <row r="74" spans="1:6" ht="13.5" customHeight="1" x14ac:dyDescent="0.2">
      <c r="A74" s="57"/>
      <c r="B74" s="58" t="s">
        <v>5</v>
      </c>
      <c r="C74" s="71">
        <v>9.9750000000000005E-2</v>
      </c>
      <c r="D74" s="58"/>
      <c r="E74" s="44">
        <f>ROUND(E72*C74,2)</f>
        <v>7.36</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84.8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84.8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CE0B3999-0F50-4796-9101-CC6A30E8F9E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456BA-7596-4719-920A-B7674D6CA738}">
  <sheetPr codeName="Feuil84">
    <pageSetUpPr fitToPage="1"/>
  </sheetPr>
  <dimension ref="A12:F92"/>
  <sheetViews>
    <sheetView view="pageBreakPreview" zoomScale="80" zoomScaleNormal="100" zoomScaleSheetLayoutView="80" workbookViewId="0">
      <selection activeCell="E35" sqref="E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578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579</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580</v>
      </c>
      <c r="C35" s="86">
        <v>1</v>
      </c>
      <c r="D35" s="84">
        <v>295</v>
      </c>
      <c r="E35" s="79">
        <f>+C35*D35</f>
        <v>295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295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295</v>
      </c>
      <c r="F72" s="57"/>
    </row>
    <row r="73" spans="1:6" ht="13.5" customHeight="1" x14ac:dyDescent="0.2">
      <c r="A73" s="57"/>
      <c r="B73" s="58" t="s">
        <v>6</v>
      </c>
      <c r="C73" s="70">
        <v>0.05</v>
      </c>
      <c r="D73" s="58"/>
      <c r="E73" s="43">
        <f>ROUND(E72*C73,2)</f>
        <v>14.75</v>
      </c>
      <c r="F73" s="57"/>
    </row>
    <row r="74" spans="1:6" ht="13.5" customHeight="1" x14ac:dyDescent="0.2">
      <c r="A74" s="57"/>
      <c r="B74" s="58" t="s">
        <v>5</v>
      </c>
      <c r="C74" s="71">
        <v>9.9750000000000005E-2</v>
      </c>
      <c r="D74" s="58"/>
      <c r="E74" s="44">
        <f>ROUND(E72*C74,2)</f>
        <v>29.43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339.18</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339.18</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A1EC58AB-A332-46D6-B5F8-EAA0B2D7E27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B0DA2-B42D-43AC-B14E-FCE470CEA7B5}">
  <sheetPr codeName="Feuil85">
    <pageSetUpPr fitToPage="1"/>
  </sheetPr>
  <dimension ref="A12:F92"/>
  <sheetViews>
    <sheetView view="pageBreakPreview" topLeftCell="A13" zoomScale="80" zoomScaleNormal="100" zoomScaleSheetLayoutView="80" workbookViewId="0">
      <selection activeCell="C35" sqref="C3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581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582</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583</v>
      </c>
      <c r="C35" s="86">
        <v>0.5</v>
      </c>
      <c r="D35" s="84">
        <v>295</v>
      </c>
      <c r="E35" s="79">
        <f>+C35*D35</f>
        <v>147.5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147.5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147.5</v>
      </c>
      <c r="F72" s="57"/>
    </row>
    <row r="73" spans="1:6" ht="13.5" customHeight="1" x14ac:dyDescent="0.2">
      <c r="A73" s="57"/>
      <c r="B73" s="58" t="s">
        <v>6</v>
      </c>
      <c r="C73" s="70">
        <v>0.05</v>
      </c>
      <c r="D73" s="58"/>
      <c r="E73" s="43">
        <f>ROUND(E72*C73,2)</f>
        <v>7.38</v>
      </c>
      <c r="F73" s="57"/>
    </row>
    <row r="74" spans="1:6" ht="13.5" customHeight="1" x14ac:dyDescent="0.2">
      <c r="A74" s="57"/>
      <c r="B74" s="58" t="s">
        <v>5</v>
      </c>
      <c r="C74" s="71">
        <v>9.9750000000000005E-2</v>
      </c>
      <c r="D74" s="58"/>
      <c r="E74" s="44">
        <f>ROUND(E72*C74,2)</f>
        <v>14.71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169.59</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169.59</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852F80C0-764C-4252-8F1F-4C5DE5F67BC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80BB3-20E5-4C3B-8AF4-98DB30A98CDC}">
  <sheetPr>
    <pageSetUpPr fitToPage="1"/>
  </sheetPr>
  <dimension ref="A12:F92"/>
  <sheetViews>
    <sheetView view="pageBreakPreview" zoomScale="80" zoomScaleNormal="100" zoomScaleSheetLayoutView="80" workbookViewId="0">
      <selection activeCell="E29" sqref="E2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584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589</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28.5" x14ac:dyDescent="0.2">
      <c r="A35" s="78"/>
      <c r="B35" s="81" t="s">
        <v>585</v>
      </c>
      <c r="C35" s="86">
        <v>11.5</v>
      </c>
      <c r="D35" s="84">
        <v>295</v>
      </c>
      <c r="E35" s="79">
        <f>+C35*D35</f>
        <v>3392.5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28.5" x14ac:dyDescent="0.2">
      <c r="A38" s="78"/>
      <c r="B38" s="81" t="s">
        <v>586</v>
      </c>
      <c r="C38" s="86">
        <v>9.5</v>
      </c>
      <c r="D38" s="84">
        <v>295</v>
      </c>
      <c r="E38" s="79">
        <f>+C38*D38</f>
        <v>2802.5</v>
      </c>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t="s">
        <v>587</v>
      </c>
      <c r="C41" s="86">
        <v>0.25</v>
      </c>
      <c r="D41" s="84">
        <v>295</v>
      </c>
      <c r="E41" s="79">
        <f>+C41*D41</f>
        <v>73.75</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t="s">
        <v>588</v>
      </c>
      <c r="C44" s="86">
        <v>1</v>
      </c>
      <c r="D44" s="84">
        <v>295</v>
      </c>
      <c r="E44" s="79">
        <f>+C44*D44</f>
        <v>295</v>
      </c>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6563.75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6563.75</v>
      </c>
      <c r="F72" s="57"/>
    </row>
    <row r="73" spans="1:6" ht="13.5" customHeight="1" x14ac:dyDescent="0.2">
      <c r="A73" s="57"/>
      <c r="B73" s="58" t="s">
        <v>6</v>
      </c>
      <c r="C73" s="70">
        <v>0.05</v>
      </c>
      <c r="D73" s="58"/>
      <c r="E73" s="43">
        <f>ROUND(E72*C73,2)</f>
        <v>328.19</v>
      </c>
      <c r="F73" s="57"/>
    </row>
    <row r="74" spans="1:6" ht="13.5" customHeight="1" x14ac:dyDescent="0.2">
      <c r="A74" s="57"/>
      <c r="B74" s="58" t="s">
        <v>5</v>
      </c>
      <c r="C74" s="71">
        <v>9.9750000000000005E-2</v>
      </c>
      <c r="D74" s="58"/>
      <c r="E74" s="44">
        <f>ROUND(E72*C74,2)</f>
        <v>654.73</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7546.67</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7546.67</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3D441DC5-C31E-4738-AD9E-7DB0FECC78EF}">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39DFD-C7B0-4F5E-ADB5-76C7720406C7}">
  <sheetPr>
    <pageSetUpPr fitToPage="1"/>
  </sheetPr>
  <dimension ref="A12:F92"/>
  <sheetViews>
    <sheetView view="pageBreakPreview" topLeftCell="A25" zoomScale="80" zoomScaleNormal="100" zoomScaleSheetLayoutView="80" workbookViewId="0">
      <selection activeCell="D57" sqref="D57:E5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591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590</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42.75" x14ac:dyDescent="0.2">
      <c r="A35" s="78"/>
      <c r="B35" s="81" t="s">
        <v>592</v>
      </c>
      <c r="C35" s="86">
        <v>7.75</v>
      </c>
      <c r="D35" s="84">
        <v>325</v>
      </c>
      <c r="E35" s="79">
        <f>+C35*D35</f>
        <v>2518.75</v>
      </c>
      <c r="F35" s="78"/>
    </row>
    <row r="36" spans="1:6" s="80" customFormat="1" ht="14.25" x14ac:dyDescent="0.2">
      <c r="A36" s="78"/>
      <c r="B36" s="81"/>
      <c r="C36" s="86"/>
      <c r="D36" s="84"/>
      <c r="E36" s="79"/>
      <c r="F36" s="78"/>
    </row>
    <row r="37" spans="1:6" s="80" customFormat="1" ht="14.25" x14ac:dyDescent="0.2">
      <c r="A37" s="78"/>
      <c r="B37" s="81" t="s">
        <v>593</v>
      </c>
      <c r="C37" s="86">
        <v>3.25</v>
      </c>
      <c r="D37" s="84">
        <v>325</v>
      </c>
      <c r="E37" s="79">
        <f>+C37*D37</f>
        <v>1056.25</v>
      </c>
      <c r="F37" s="78"/>
    </row>
    <row r="38" spans="1:6" s="80" customFormat="1" ht="14.25" x14ac:dyDescent="0.2">
      <c r="A38" s="78"/>
      <c r="B38" s="81"/>
      <c r="C38" s="86"/>
      <c r="D38" s="84"/>
      <c r="E38" s="79"/>
      <c r="F38" s="78"/>
    </row>
    <row r="39" spans="1:6" s="80" customFormat="1" ht="14.25" x14ac:dyDescent="0.2">
      <c r="A39" s="78"/>
      <c r="B39" s="81" t="s">
        <v>594</v>
      </c>
      <c r="C39" s="86">
        <v>0.5</v>
      </c>
      <c r="D39" s="84">
        <v>325</v>
      </c>
      <c r="E39" s="79">
        <f>+C39*D39</f>
        <v>162.5</v>
      </c>
      <c r="F39" s="78"/>
    </row>
    <row r="40" spans="1:6" s="80" customFormat="1" ht="14.25" x14ac:dyDescent="0.2">
      <c r="A40" s="78"/>
      <c r="B40" s="81"/>
      <c r="C40" s="86"/>
      <c r="D40" s="84"/>
      <c r="E40" s="79"/>
      <c r="F40" s="78"/>
    </row>
    <row r="41" spans="1:6" s="80" customFormat="1" ht="28.5" x14ac:dyDescent="0.2">
      <c r="A41" s="78"/>
      <c r="B41" s="81" t="s">
        <v>598</v>
      </c>
      <c r="C41" s="86">
        <v>2</v>
      </c>
      <c r="D41" s="84">
        <v>325</v>
      </c>
      <c r="E41" s="79">
        <f>+C41*D41</f>
        <v>650</v>
      </c>
      <c r="F41" s="78"/>
    </row>
    <row r="42" spans="1:6" s="80" customFormat="1" ht="14.25" x14ac:dyDescent="0.2">
      <c r="A42" s="78"/>
      <c r="B42" s="81"/>
      <c r="C42" s="86"/>
      <c r="D42" s="84"/>
      <c r="E42" s="79"/>
      <c r="F42" s="78"/>
    </row>
    <row r="43" spans="1:6" s="80" customFormat="1" ht="14.25" x14ac:dyDescent="0.2">
      <c r="A43" s="78"/>
      <c r="B43" s="81" t="s">
        <v>595</v>
      </c>
      <c r="C43" s="86">
        <v>1</v>
      </c>
      <c r="D43" s="84">
        <v>325</v>
      </c>
      <c r="E43" s="79">
        <f>+C43*D43</f>
        <v>325</v>
      </c>
      <c r="F43" s="78"/>
    </row>
    <row r="44" spans="1:6" s="80" customFormat="1" ht="14.25" x14ac:dyDescent="0.2">
      <c r="A44" s="78"/>
      <c r="B44" s="81"/>
      <c r="C44" s="86"/>
      <c r="D44" s="84"/>
      <c r="E44" s="79"/>
      <c r="F44" s="78"/>
    </row>
    <row r="45" spans="1:6" s="80" customFormat="1" ht="14.25" x14ac:dyDescent="0.2">
      <c r="A45" s="78"/>
      <c r="B45" s="81" t="s">
        <v>596</v>
      </c>
      <c r="C45" s="86">
        <v>0.4</v>
      </c>
      <c r="D45" s="84">
        <v>325</v>
      </c>
      <c r="E45" s="79">
        <f>+C45*D45</f>
        <v>130</v>
      </c>
      <c r="F45" s="78"/>
    </row>
    <row r="46" spans="1:6" s="80" customFormat="1" ht="14.25" x14ac:dyDescent="0.2">
      <c r="A46" s="78"/>
      <c r="B46" s="81"/>
      <c r="C46" s="86"/>
      <c r="D46" s="84"/>
      <c r="E46" s="79"/>
      <c r="F46" s="78"/>
    </row>
    <row r="47" spans="1:6" s="80" customFormat="1" ht="28.5" x14ac:dyDescent="0.2">
      <c r="A47" s="78"/>
      <c r="B47" s="81" t="s">
        <v>597</v>
      </c>
      <c r="C47" s="86">
        <v>0.5</v>
      </c>
      <c r="D47" s="84">
        <v>325</v>
      </c>
      <c r="E47" s="79">
        <f>+C47*D47</f>
        <v>162.5</v>
      </c>
      <c r="F47" s="78"/>
    </row>
    <row r="48" spans="1:6" s="80" customFormat="1" ht="14.25" x14ac:dyDescent="0.2">
      <c r="A48" s="78"/>
      <c r="B48" s="81"/>
      <c r="C48" s="86"/>
      <c r="D48" s="84"/>
      <c r="E48" s="79"/>
      <c r="F48" s="78"/>
    </row>
    <row r="49" spans="1:6" s="80" customFormat="1" ht="14.25" x14ac:dyDescent="0.2">
      <c r="A49" s="78"/>
      <c r="B49" s="81" t="s">
        <v>599</v>
      </c>
      <c r="C49" s="86">
        <v>0.25</v>
      </c>
      <c r="D49" s="84">
        <v>325</v>
      </c>
      <c r="E49" s="79">
        <f>+C49*D49</f>
        <v>81.25</v>
      </c>
      <c r="F49" s="78"/>
    </row>
    <row r="50" spans="1:6" s="80" customFormat="1" ht="14.25" x14ac:dyDescent="0.2">
      <c r="A50" s="78"/>
      <c r="B50" s="81"/>
      <c r="C50" s="86"/>
      <c r="D50" s="84"/>
      <c r="E50" s="79"/>
      <c r="F50" s="78"/>
    </row>
    <row r="51" spans="1:6" s="80" customFormat="1" ht="14.25" x14ac:dyDescent="0.2">
      <c r="A51" s="78"/>
      <c r="B51" s="81" t="s">
        <v>600</v>
      </c>
      <c r="C51" s="86">
        <v>0.25</v>
      </c>
      <c r="D51" s="84">
        <v>325</v>
      </c>
      <c r="E51" s="79">
        <f>+C51*D51</f>
        <v>81.25</v>
      </c>
      <c r="F51" s="78"/>
    </row>
    <row r="52" spans="1:6" s="80" customFormat="1" ht="14.25" x14ac:dyDescent="0.2">
      <c r="A52" s="78"/>
      <c r="B52" s="81"/>
      <c r="C52" s="86"/>
      <c r="D52" s="84"/>
      <c r="E52" s="79"/>
      <c r="F52" s="78"/>
    </row>
    <row r="53" spans="1:6" s="80" customFormat="1" ht="14.25" x14ac:dyDescent="0.2">
      <c r="A53" s="78"/>
      <c r="B53" s="81" t="s">
        <v>601</v>
      </c>
      <c r="C53" s="86">
        <v>0.25</v>
      </c>
      <c r="D53" s="84">
        <v>325</v>
      </c>
      <c r="E53" s="79">
        <f>+C53*D53</f>
        <v>81.25</v>
      </c>
      <c r="F53" s="78"/>
    </row>
    <row r="54" spans="1:6" s="80" customFormat="1" ht="14.25" x14ac:dyDescent="0.2">
      <c r="A54" s="78"/>
      <c r="B54" s="81"/>
      <c r="C54" s="86"/>
      <c r="D54" s="84"/>
      <c r="E54" s="79"/>
      <c r="F54" s="78"/>
    </row>
    <row r="55" spans="1:6" s="80" customFormat="1" ht="14.25" x14ac:dyDescent="0.2">
      <c r="A55" s="78"/>
      <c r="B55" s="81" t="s">
        <v>602</v>
      </c>
      <c r="C55" s="86">
        <v>1.5</v>
      </c>
      <c r="D55" s="84">
        <v>325</v>
      </c>
      <c r="E55" s="79">
        <f>+C55*D55</f>
        <v>487.5</v>
      </c>
      <c r="F55" s="78"/>
    </row>
    <row r="56" spans="1:6" s="80" customFormat="1" ht="14.25" x14ac:dyDescent="0.2">
      <c r="A56" s="78"/>
      <c r="B56" s="81"/>
      <c r="C56" s="86"/>
      <c r="D56" s="84"/>
      <c r="E56" s="79"/>
      <c r="F56" s="78"/>
    </row>
    <row r="57" spans="1:6" s="80" customFormat="1" ht="14.25" x14ac:dyDescent="0.2">
      <c r="A57" s="78"/>
      <c r="B57" s="81" t="s">
        <v>603</v>
      </c>
      <c r="C57" s="86">
        <v>1.25</v>
      </c>
      <c r="D57" s="84">
        <v>325</v>
      </c>
      <c r="E57" s="79">
        <f>+C57*D57</f>
        <v>406.25</v>
      </c>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6142.5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6142.5</v>
      </c>
      <c r="F72" s="57"/>
    </row>
    <row r="73" spans="1:6" ht="13.5" customHeight="1" x14ac:dyDescent="0.2">
      <c r="A73" s="57"/>
      <c r="B73" s="58" t="s">
        <v>6</v>
      </c>
      <c r="C73" s="70">
        <v>0.05</v>
      </c>
      <c r="D73" s="58"/>
      <c r="E73" s="43">
        <f>ROUND(E72*C73,2)</f>
        <v>307.13</v>
      </c>
      <c r="F73" s="57"/>
    </row>
    <row r="74" spans="1:6" ht="13.5" customHeight="1" x14ac:dyDescent="0.2">
      <c r="A74" s="57"/>
      <c r="B74" s="58" t="s">
        <v>5</v>
      </c>
      <c r="C74" s="71">
        <v>9.9750000000000005E-2</v>
      </c>
      <c r="D74" s="58"/>
      <c r="E74" s="44">
        <f>ROUND(E72*C74,2)</f>
        <v>612.71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7062.34</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7062.34</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D5B3230-8D29-419D-AB0E-EDC44CF2086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13BE-456E-4C2D-9A5E-529AC38397EC}">
  <sheetPr>
    <pageSetUpPr fitToPage="1"/>
  </sheetPr>
  <dimension ref="A12:F92"/>
  <sheetViews>
    <sheetView view="pageBreakPreview" topLeftCell="A22"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604</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605</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606</v>
      </c>
      <c r="C35" s="86">
        <v>0.5</v>
      </c>
      <c r="D35" s="84">
        <v>325</v>
      </c>
      <c r="E35" s="79">
        <f>+C35*D35</f>
        <v>162.5</v>
      </c>
      <c r="F35" s="78"/>
    </row>
    <row r="36" spans="1:6" s="80" customFormat="1" ht="14.25" x14ac:dyDescent="0.2">
      <c r="A36" s="78"/>
      <c r="B36" s="81"/>
      <c r="C36" s="86"/>
      <c r="D36" s="84"/>
      <c r="E36" s="79"/>
      <c r="F36" s="78"/>
    </row>
    <row r="37" spans="1:6" s="80" customFormat="1" ht="14.25" x14ac:dyDescent="0.2">
      <c r="A37" s="78"/>
      <c r="B37" s="81" t="s">
        <v>607</v>
      </c>
      <c r="C37" s="86">
        <v>1</v>
      </c>
      <c r="D37" s="84">
        <v>325</v>
      </c>
      <c r="E37" s="79">
        <f>+C37*D37</f>
        <v>325</v>
      </c>
      <c r="F37" s="78"/>
    </row>
    <row r="38" spans="1:6" s="80" customFormat="1" ht="14.25" x14ac:dyDescent="0.2">
      <c r="A38" s="78"/>
      <c r="B38" s="81"/>
      <c r="C38" s="86"/>
      <c r="D38" s="84"/>
      <c r="E38" s="79"/>
      <c r="F38" s="78"/>
    </row>
    <row r="39" spans="1:6" s="80" customFormat="1" ht="14.25" x14ac:dyDescent="0.2">
      <c r="A39" s="78"/>
      <c r="B39" s="81" t="s">
        <v>608</v>
      </c>
      <c r="C39" s="86">
        <v>0.75</v>
      </c>
      <c r="D39" s="84">
        <v>325</v>
      </c>
      <c r="E39" s="79">
        <f>+C39*D39</f>
        <v>243.75</v>
      </c>
      <c r="F39" s="78"/>
    </row>
    <row r="40" spans="1:6" s="80" customFormat="1" ht="14.25" x14ac:dyDescent="0.2">
      <c r="A40" s="78"/>
      <c r="B40" s="81"/>
      <c r="C40" s="86"/>
      <c r="D40" s="84"/>
      <c r="E40" s="79"/>
      <c r="F40" s="78"/>
    </row>
    <row r="41" spans="1:6" s="80" customFormat="1" ht="14.25" x14ac:dyDescent="0.2">
      <c r="A41" s="78"/>
      <c r="B41" s="81" t="s">
        <v>609</v>
      </c>
      <c r="C41" s="86">
        <v>1.25</v>
      </c>
      <c r="D41" s="84">
        <v>325</v>
      </c>
      <c r="E41" s="79">
        <f>+C41*D41</f>
        <v>406.25</v>
      </c>
      <c r="F41" s="78"/>
    </row>
    <row r="42" spans="1:6" s="80" customFormat="1" ht="14.25" x14ac:dyDescent="0.2">
      <c r="A42" s="78"/>
      <c r="B42" s="81"/>
      <c r="C42" s="86"/>
      <c r="D42" s="84"/>
      <c r="E42" s="79"/>
      <c r="F42" s="78"/>
    </row>
    <row r="43" spans="1:6" s="80" customFormat="1" ht="14.25" x14ac:dyDescent="0.2">
      <c r="A43" s="78"/>
      <c r="B43" s="81" t="s">
        <v>610</v>
      </c>
      <c r="C43" s="86">
        <v>2.25</v>
      </c>
      <c r="D43" s="84">
        <v>325</v>
      </c>
      <c r="E43" s="79">
        <f>+C43*D43</f>
        <v>731.25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4.25" x14ac:dyDescent="0.2">
      <c r="A66" s="78"/>
      <c r="B66" s="81"/>
      <c r="C66" s="86"/>
      <c r="D66" s="84"/>
      <c r="E66" s="79"/>
      <c r="F66" s="78"/>
    </row>
    <row r="67" spans="1:6" s="80" customFormat="1" ht="14.25" x14ac:dyDescent="0.2">
      <c r="A67" s="78"/>
      <c r="B67" s="81"/>
      <c r="C67" s="86"/>
      <c r="D67" s="84"/>
      <c r="E67" s="79"/>
      <c r="F67" s="78"/>
    </row>
    <row r="68" spans="1:6" s="80" customFormat="1" ht="13.5" customHeight="1" x14ac:dyDescent="0.2">
      <c r="A68" s="78"/>
      <c r="B68" s="81"/>
      <c r="C68" s="86"/>
      <c r="D68" s="84"/>
      <c r="E68" s="79"/>
      <c r="F68" s="78"/>
    </row>
    <row r="69" spans="1:6" ht="13.5" customHeight="1" x14ac:dyDescent="0.2">
      <c r="A69" s="57"/>
      <c r="B69" s="56" t="s">
        <v>45</v>
      </c>
      <c r="C69" s="58"/>
      <c r="D69" s="85"/>
      <c r="E69" s="38">
        <f>SUM(E33:E68)</f>
        <v>1868.75</v>
      </c>
      <c r="F69" s="57"/>
    </row>
    <row r="70" spans="1:6" ht="13.5" customHeight="1" x14ac:dyDescent="0.2">
      <c r="A70" s="57"/>
      <c r="B70" s="69" t="s">
        <v>42</v>
      </c>
      <c r="C70" s="58"/>
      <c r="D70" s="58"/>
      <c r="E70" s="39">
        <v>0</v>
      </c>
      <c r="F70" s="57"/>
    </row>
    <row r="71" spans="1:6" ht="13.5" customHeight="1" x14ac:dyDescent="0.2">
      <c r="A71" s="57"/>
      <c r="B71" s="69" t="s">
        <v>43</v>
      </c>
      <c r="C71" s="58"/>
      <c r="D71" s="58"/>
      <c r="E71" s="39">
        <v>0</v>
      </c>
      <c r="F71" s="57"/>
    </row>
    <row r="72" spans="1:6" ht="13.5" customHeight="1" x14ac:dyDescent="0.2">
      <c r="A72" s="57"/>
      <c r="B72" s="56" t="s">
        <v>44</v>
      </c>
      <c r="C72" s="58"/>
      <c r="D72" s="58"/>
      <c r="E72" s="38">
        <f>SUM(E69:E71)</f>
        <v>1868.75</v>
      </c>
      <c r="F72" s="57"/>
    </row>
    <row r="73" spans="1:6" ht="13.5" customHeight="1" x14ac:dyDescent="0.2">
      <c r="A73" s="57"/>
      <c r="B73" s="58" t="s">
        <v>6</v>
      </c>
      <c r="C73" s="70">
        <v>0.05</v>
      </c>
      <c r="D73" s="58"/>
      <c r="E73" s="43">
        <f>ROUND(E72*C73,2)</f>
        <v>93.44</v>
      </c>
      <c r="F73" s="57"/>
    </row>
    <row r="74" spans="1:6" ht="13.5" customHeight="1" x14ac:dyDescent="0.2">
      <c r="A74" s="57"/>
      <c r="B74" s="58" t="s">
        <v>5</v>
      </c>
      <c r="C74" s="71">
        <v>9.9750000000000005E-2</v>
      </c>
      <c r="D74" s="58"/>
      <c r="E74" s="44">
        <f>ROUND(E72*C74,2)</f>
        <v>186.41</v>
      </c>
      <c r="F74" s="57"/>
    </row>
    <row r="75" spans="1:6" ht="13.5" customHeight="1" x14ac:dyDescent="0.2">
      <c r="A75" s="57"/>
      <c r="B75" s="58"/>
      <c r="C75" s="58"/>
      <c r="D75" s="58"/>
      <c r="E75" s="58"/>
      <c r="F75" s="57"/>
    </row>
    <row r="76" spans="1:6" ht="16.5" customHeight="1" thickBot="1" x14ac:dyDescent="0.25">
      <c r="A76" s="57"/>
      <c r="B76" s="56" t="s">
        <v>46</v>
      </c>
      <c r="C76" s="58"/>
      <c r="D76" s="58"/>
      <c r="E76" s="41">
        <f>SUM(E72:E74)</f>
        <v>2148.6</v>
      </c>
      <c r="F76" s="57"/>
    </row>
    <row r="77" spans="1:6" ht="15.75" thickTop="1" x14ac:dyDescent="0.2">
      <c r="A77" s="57"/>
      <c r="B77" s="163"/>
      <c r="C77" s="163"/>
      <c r="D77" s="163"/>
      <c r="E77" s="72"/>
      <c r="F77" s="57"/>
    </row>
    <row r="78" spans="1:6" ht="15" x14ac:dyDescent="0.2">
      <c r="A78" s="57"/>
      <c r="B78" s="164" t="s">
        <v>48</v>
      </c>
      <c r="C78" s="164"/>
      <c r="D78" s="164"/>
      <c r="E78" s="72">
        <v>0</v>
      </c>
      <c r="F78" s="57"/>
    </row>
    <row r="79" spans="1:6" ht="15" x14ac:dyDescent="0.2">
      <c r="A79" s="57"/>
      <c r="B79" s="163"/>
      <c r="C79" s="163"/>
      <c r="D79" s="163"/>
      <c r="E79" s="72"/>
      <c r="F79" s="57"/>
    </row>
    <row r="80" spans="1:6" ht="19.5" customHeight="1" x14ac:dyDescent="0.2">
      <c r="A80" s="57"/>
      <c r="B80" s="73" t="s">
        <v>47</v>
      </c>
      <c r="C80" s="74"/>
      <c r="D80" s="74"/>
      <c r="E80" s="75">
        <f>E76-E78</f>
        <v>2148.6</v>
      </c>
      <c r="F80" s="57"/>
    </row>
    <row r="81" spans="1:6" ht="13.5" customHeight="1" x14ac:dyDescent="0.2">
      <c r="A81" s="57"/>
      <c r="B81" s="57"/>
      <c r="C81" s="57"/>
      <c r="D81" s="57"/>
      <c r="E81" s="57"/>
      <c r="F81" s="57"/>
    </row>
    <row r="82" spans="1:6" x14ac:dyDescent="0.2">
      <c r="A82" s="57"/>
      <c r="B82" s="57"/>
      <c r="C82" s="57"/>
      <c r="D82" s="57"/>
      <c r="E82" s="57"/>
      <c r="F82" s="57"/>
    </row>
    <row r="83" spans="1:6" x14ac:dyDescent="0.2">
      <c r="A83" s="57"/>
      <c r="B83" s="165"/>
      <c r="C83" s="165"/>
      <c r="D83" s="165"/>
      <c r="E83" s="165"/>
      <c r="F83" s="57"/>
    </row>
    <row r="84" spans="1:6" ht="14.25" x14ac:dyDescent="0.2">
      <c r="A84" s="166" t="s">
        <v>194</v>
      </c>
      <c r="B84" s="166"/>
      <c r="C84" s="166"/>
      <c r="D84" s="166"/>
      <c r="E84" s="166"/>
      <c r="F84" s="166"/>
    </row>
    <row r="85" spans="1:6" ht="14.25" x14ac:dyDescent="0.2">
      <c r="A85" s="167" t="s">
        <v>195</v>
      </c>
      <c r="B85" s="167"/>
      <c r="C85" s="167"/>
      <c r="D85" s="167"/>
      <c r="E85" s="167"/>
      <c r="F85" s="167"/>
    </row>
    <row r="86" spans="1:6" x14ac:dyDescent="0.2">
      <c r="A86" s="57"/>
      <c r="B86" s="57"/>
      <c r="C86" s="57"/>
      <c r="D86" s="57"/>
      <c r="E86" s="57"/>
      <c r="F86" s="57"/>
    </row>
    <row r="87" spans="1:6" x14ac:dyDescent="0.2">
      <c r="A87" s="57"/>
      <c r="B87" s="159"/>
      <c r="C87" s="159"/>
      <c r="D87" s="159"/>
      <c r="E87" s="159"/>
      <c r="F87" s="57"/>
    </row>
    <row r="88" spans="1:6" ht="15" x14ac:dyDescent="0.2">
      <c r="A88" s="160" t="s">
        <v>9</v>
      </c>
      <c r="B88" s="160"/>
      <c r="C88" s="160"/>
      <c r="D88" s="160"/>
      <c r="E88" s="160"/>
      <c r="F88" s="160"/>
    </row>
    <row r="90" spans="1:6" ht="39.75" customHeight="1" x14ac:dyDescent="0.2">
      <c r="B90" s="161"/>
      <c r="C90" s="162"/>
      <c r="D90" s="162"/>
    </row>
    <row r="91" spans="1:6" ht="13.5" customHeight="1" x14ac:dyDescent="0.2"/>
    <row r="92" spans="1:6" x14ac:dyDescent="0.2">
      <c r="B92" s="76"/>
      <c r="C92" s="76"/>
      <c r="D92" s="76"/>
    </row>
  </sheetData>
  <mergeCells count="10">
    <mergeCell ref="A85:F85"/>
    <mergeCell ref="B87:E87"/>
    <mergeCell ref="A88:F88"/>
    <mergeCell ref="B90:D90"/>
    <mergeCell ref="A30:F30"/>
    <mergeCell ref="B77:D77"/>
    <mergeCell ref="B78:D78"/>
    <mergeCell ref="B79:D79"/>
    <mergeCell ref="B83:E83"/>
    <mergeCell ref="A84:F84"/>
  </mergeCells>
  <dataValidations count="1">
    <dataValidation type="list" allowBlank="1" showInputMessage="1" showErrorMessage="1" sqref="B77:B79 B12:B20 B33:B68" xr:uid="{921A97DC-937D-4F3A-8908-180B150818E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A6C6B-5BD5-426F-B012-F86B18FF9C77}">
  <sheetPr>
    <pageSetUpPr fitToPage="1"/>
  </sheetPr>
  <dimension ref="A12:F90"/>
  <sheetViews>
    <sheetView view="pageBreakPreview" topLeftCell="A25" zoomScale="80" zoomScaleNormal="100" zoomScaleSheetLayoutView="80" workbookViewId="0">
      <selection activeCell="A47" sqref="A47"/>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611</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612</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614</v>
      </c>
      <c r="C35" s="86">
        <v>0.25</v>
      </c>
      <c r="D35" s="84">
        <v>325</v>
      </c>
      <c r="E35" s="79">
        <f>+C35*D35</f>
        <v>81.25</v>
      </c>
      <c r="F35" s="78"/>
    </row>
    <row r="36" spans="1:6" s="80" customFormat="1" ht="14.25" x14ac:dyDescent="0.2">
      <c r="A36" s="78"/>
      <c r="B36" s="81"/>
      <c r="C36" s="86"/>
      <c r="D36" s="84"/>
      <c r="E36" s="79"/>
      <c r="F36" s="78"/>
    </row>
    <row r="37" spans="1:6" s="80" customFormat="1" ht="28.5" x14ac:dyDescent="0.2">
      <c r="A37" s="78"/>
      <c r="B37" s="81" t="s">
        <v>613</v>
      </c>
      <c r="C37" s="86">
        <v>5.75</v>
      </c>
      <c r="D37" s="84">
        <v>325</v>
      </c>
      <c r="E37" s="79">
        <f>+C37*D37</f>
        <v>1868.75</v>
      </c>
      <c r="F37" s="78"/>
    </row>
    <row r="38" spans="1:6" s="80" customFormat="1" ht="14.25" x14ac:dyDescent="0.2">
      <c r="A38" s="78"/>
      <c r="B38" s="81"/>
      <c r="C38" s="86"/>
      <c r="D38" s="84"/>
      <c r="E38" s="79"/>
      <c r="F38" s="78"/>
    </row>
    <row r="39" spans="1:6" s="80" customFormat="1" ht="14.25" x14ac:dyDescent="0.2">
      <c r="A39" s="78"/>
      <c r="B39" s="81" t="s">
        <v>615</v>
      </c>
      <c r="C39" s="86">
        <v>2.5</v>
      </c>
      <c r="D39" s="84">
        <v>325</v>
      </c>
      <c r="E39" s="79">
        <f>+C39*D39</f>
        <v>812.5</v>
      </c>
      <c r="F39" s="78"/>
    </row>
    <row r="40" spans="1:6" s="80" customFormat="1" ht="14.25" x14ac:dyDescent="0.2">
      <c r="A40" s="78"/>
      <c r="B40" s="81"/>
      <c r="C40" s="86"/>
      <c r="D40" s="84"/>
      <c r="E40" s="79"/>
      <c r="F40" s="78"/>
    </row>
    <row r="41" spans="1:6" s="80" customFormat="1" ht="14.25" x14ac:dyDescent="0.2">
      <c r="A41" s="78"/>
      <c r="B41" s="81" t="s">
        <v>616</v>
      </c>
      <c r="C41" s="86">
        <v>0.5</v>
      </c>
      <c r="D41" s="84">
        <v>325</v>
      </c>
      <c r="E41" s="79">
        <f>+C41*D41</f>
        <v>162.5</v>
      </c>
      <c r="F41" s="78"/>
    </row>
    <row r="42" spans="1:6" s="80" customFormat="1" ht="14.25" x14ac:dyDescent="0.2">
      <c r="A42" s="78"/>
      <c r="B42" s="81"/>
      <c r="C42" s="86"/>
      <c r="D42" s="84"/>
      <c r="E42" s="79"/>
      <c r="F42" s="78"/>
    </row>
    <row r="43" spans="1:6" s="80" customFormat="1" ht="14.25" x14ac:dyDescent="0.2">
      <c r="A43" s="78"/>
      <c r="B43" s="81" t="s">
        <v>617</v>
      </c>
      <c r="C43" s="86">
        <v>1.25</v>
      </c>
      <c r="D43" s="84">
        <v>325</v>
      </c>
      <c r="E43" s="79">
        <f>+C43*D43</f>
        <v>406.25</v>
      </c>
      <c r="F43" s="78"/>
    </row>
    <row r="44" spans="1:6" s="80" customFormat="1" ht="14.25" x14ac:dyDescent="0.2">
      <c r="A44" s="78"/>
      <c r="B44" s="81"/>
      <c r="C44" s="86"/>
      <c r="D44" s="84"/>
      <c r="E44" s="79"/>
      <c r="F44" s="78"/>
    </row>
    <row r="45" spans="1:6" s="80" customFormat="1" ht="28.5" x14ac:dyDescent="0.2">
      <c r="A45" s="78"/>
      <c r="B45" s="81" t="s">
        <v>618</v>
      </c>
      <c r="C45" s="86">
        <v>3.5</v>
      </c>
      <c r="D45" s="84">
        <v>325</v>
      </c>
      <c r="E45" s="79">
        <f>+C45*D45</f>
        <v>1137.5</v>
      </c>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4.25" x14ac:dyDescent="0.2">
      <c r="A65" s="78"/>
      <c r="B65" s="81"/>
      <c r="C65" s="86"/>
      <c r="D65" s="84"/>
      <c r="E65" s="79"/>
      <c r="F65" s="78"/>
    </row>
    <row r="66" spans="1:6" s="80" customFormat="1" ht="13.5" customHeight="1" x14ac:dyDescent="0.2">
      <c r="A66" s="78"/>
      <c r="B66" s="81"/>
      <c r="C66" s="86"/>
      <c r="D66" s="84"/>
      <c r="E66" s="79"/>
      <c r="F66" s="78"/>
    </row>
    <row r="67" spans="1:6" ht="13.5" customHeight="1" x14ac:dyDescent="0.2">
      <c r="A67" s="57"/>
      <c r="B67" s="56" t="s">
        <v>45</v>
      </c>
      <c r="C67" s="58"/>
      <c r="D67" s="85"/>
      <c r="E67" s="38">
        <f>SUM(E33:E66)</f>
        <v>4468.75</v>
      </c>
      <c r="F67" s="57"/>
    </row>
    <row r="68" spans="1:6" ht="13.5" customHeight="1" x14ac:dyDescent="0.2">
      <c r="A68" s="57"/>
      <c r="B68" s="69" t="s">
        <v>42</v>
      </c>
      <c r="C68" s="58"/>
      <c r="D68" s="58"/>
      <c r="E68" s="39">
        <v>0</v>
      </c>
      <c r="F68" s="57"/>
    </row>
    <row r="69" spans="1:6" ht="13.5" customHeight="1" x14ac:dyDescent="0.2">
      <c r="A69" s="57"/>
      <c r="B69" s="69" t="s">
        <v>43</v>
      </c>
      <c r="C69" s="58"/>
      <c r="D69" s="58"/>
      <c r="E69" s="39">
        <v>0</v>
      </c>
      <c r="F69" s="57"/>
    </row>
    <row r="70" spans="1:6" ht="13.5" customHeight="1" x14ac:dyDescent="0.2">
      <c r="A70" s="57"/>
      <c r="B70" s="56" t="s">
        <v>44</v>
      </c>
      <c r="C70" s="58"/>
      <c r="D70" s="58"/>
      <c r="E70" s="38">
        <f>SUM(E67:E69)</f>
        <v>4468.75</v>
      </c>
      <c r="F70" s="57"/>
    </row>
    <row r="71" spans="1:6" ht="13.5" customHeight="1" x14ac:dyDescent="0.2">
      <c r="A71" s="57"/>
      <c r="B71" s="58" t="s">
        <v>6</v>
      </c>
      <c r="C71" s="70">
        <v>0.05</v>
      </c>
      <c r="D71" s="58"/>
      <c r="E71" s="43">
        <f>ROUND(E70*C71,2)</f>
        <v>223.44</v>
      </c>
      <c r="F71" s="57"/>
    </row>
    <row r="72" spans="1:6" ht="13.5" customHeight="1" x14ac:dyDescent="0.2">
      <c r="A72" s="57"/>
      <c r="B72" s="58" t="s">
        <v>5</v>
      </c>
      <c r="C72" s="71">
        <v>9.9750000000000005E-2</v>
      </c>
      <c r="D72" s="58"/>
      <c r="E72" s="44">
        <f>ROUND(E70*C72,2)</f>
        <v>445.76</v>
      </c>
      <c r="F72" s="57"/>
    </row>
    <row r="73" spans="1:6" ht="13.5" customHeight="1" x14ac:dyDescent="0.2">
      <c r="A73" s="57"/>
      <c r="B73" s="58"/>
      <c r="C73" s="58"/>
      <c r="D73" s="58"/>
      <c r="E73" s="58"/>
      <c r="F73" s="57"/>
    </row>
    <row r="74" spans="1:6" ht="16.5" customHeight="1" thickBot="1" x14ac:dyDescent="0.25">
      <c r="A74" s="57"/>
      <c r="B74" s="56" t="s">
        <v>46</v>
      </c>
      <c r="C74" s="58"/>
      <c r="D74" s="58"/>
      <c r="E74" s="41">
        <f>SUM(E70:E72)</f>
        <v>5137.95</v>
      </c>
      <c r="F74" s="57"/>
    </row>
    <row r="75" spans="1:6" ht="15.75" thickTop="1" x14ac:dyDescent="0.2">
      <c r="A75" s="57"/>
      <c r="B75" s="163"/>
      <c r="C75" s="163"/>
      <c r="D75" s="163"/>
      <c r="E75" s="72"/>
      <c r="F75" s="57"/>
    </row>
    <row r="76" spans="1:6" ht="15" x14ac:dyDescent="0.2">
      <c r="A76" s="57"/>
      <c r="B76" s="164" t="s">
        <v>48</v>
      </c>
      <c r="C76" s="164"/>
      <c r="D76" s="164"/>
      <c r="E76" s="72">
        <v>0</v>
      </c>
      <c r="F76" s="57"/>
    </row>
    <row r="77" spans="1:6" ht="15" x14ac:dyDescent="0.2">
      <c r="A77" s="57"/>
      <c r="B77" s="163"/>
      <c r="C77" s="163"/>
      <c r="D77" s="163"/>
      <c r="E77" s="72"/>
      <c r="F77" s="57"/>
    </row>
    <row r="78" spans="1:6" ht="19.5" customHeight="1" x14ac:dyDescent="0.2">
      <c r="A78" s="57"/>
      <c r="B78" s="73" t="s">
        <v>47</v>
      </c>
      <c r="C78" s="74"/>
      <c r="D78" s="74"/>
      <c r="E78" s="75">
        <f>E74-E76</f>
        <v>5137.95</v>
      </c>
      <c r="F78" s="57"/>
    </row>
    <row r="79" spans="1:6" ht="13.5" customHeight="1" x14ac:dyDescent="0.2">
      <c r="A79" s="57"/>
      <c r="B79" s="57"/>
      <c r="C79" s="57"/>
      <c r="D79" s="57"/>
      <c r="E79" s="57"/>
      <c r="F79" s="57"/>
    </row>
    <row r="80" spans="1:6" x14ac:dyDescent="0.2">
      <c r="A80" s="57"/>
      <c r="B80" s="57"/>
      <c r="C80" s="57"/>
      <c r="D80" s="57"/>
      <c r="E80" s="57"/>
      <c r="F80" s="57"/>
    </row>
    <row r="81" spans="1:6" x14ac:dyDescent="0.2">
      <c r="A81" s="57"/>
      <c r="B81" s="165"/>
      <c r="C81" s="165"/>
      <c r="D81" s="165"/>
      <c r="E81" s="165"/>
      <c r="F81" s="57"/>
    </row>
    <row r="82" spans="1:6" ht="14.25" x14ac:dyDescent="0.2">
      <c r="A82" s="166" t="s">
        <v>194</v>
      </c>
      <c r="B82" s="166"/>
      <c r="C82" s="166"/>
      <c r="D82" s="166"/>
      <c r="E82" s="166"/>
      <c r="F82" s="166"/>
    </row>
    <row r="83" spans="1:6" ht="14.25" x14ac:dyDescent="0.2">
      <c r="A83" s="167" t="s">
        <v>195</v>
      </c>
      <c r="B83" s="167"/>
      <c r="C83" s="167"/>
      <c r="D83" s="167"/>
      <c r="E83" s="167"/>
      <c r="F83" s="167"/>
    </row>
    <row r="84" spans="1:6" x14ac:dyDescent="0.2">
      <c r="A84" s="57"/>
      <c r="B84" s="57"/>
      <c r="C84" s="57"/>
      <c r="D84" s="57"/>
      <c r="E84" s="57"/>
      <c r="F84" s="57"/>
    </row>
    <row r="85" spans="1:6" x14ac:dyDescent="0.2">
      <c r="A85" s="57"/>
      <c r="B85" s="159"/>
      <c r="C85" s="159"/>
      <c r="D85" s="159"/>
      <c r="E85" s="159"/>
      <c r="F85" s="57"/>
    </row>
    <row r="86" spans="1:6" ht="15" x14ac:dyDescent="0.2">
      <c r="A86" s="160" t="s">
        <v>9</v>
      </c>
      <c r="B86" s="160"/>
      <c r="C86" s="160"/>
      <c r="D86" s="160"/>
      <c r="E86" s="160"/>
      <c r="F86" s="160"/>
    </row>
    <row r="88" spans="1:6" ht="39.75" customHeight="1" x14ac:dyDescent="0.2">
      <c r="B88" s="161"/>
      <c r="C88" s="162"/>
      <c r="D88" s="162"/>
    </row>
    <row r="89" spans="1:6" ht="13.5" customHeight="1" x14ac:dyDescent="0.2"/>
    <row r="90" spans="1:6" x14ac:dyDescent="0.2">
      <c r="B90" s="76"/>
      <c r="C90" s="76"/>
      <c r="D90" s="76"/>
    </row>
  </sheetData>
  <mergeCells count="10">
    <mergeCell ref="A83:F83"/>
    <mergeCell ref="B85:E85"/>
    <mergeCell ref="A86:F86"/>
    <mergeCell ref="B88:D88"/>
    <mergeCell ref="A30:F30"/>
    <mergeCell ref="B75:D75"/>
    <mergeCell ref="B76:D76"/>
    <mergeCell ref="B77:D77"/>
    <mergeCell ref="B81:E81"/>
    <mergeCell ref="A82:F82"/>
  </mergeCells>
  <dataValidations count="1">
    <dataValidation type="list" allowBlank="1" showInputMessage="1" showErrorMessage="1" sqref="B75:B77 B12:B20 B33:B66" xr:uid="{25D74415-4E13-4D9E-BDC5-18112DCBD81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8D0C9-BAC0-474F-B381-AB78C3C5EE89}">
  <sheetPr>
    <pageSetUpPr fitToPage="1"/>
  </sheetPr>
  <dimension ref="A12:F89"/>
  <sheetViews>
    <sheetView view="pageBreakPreview" topLeftCell="A16"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619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620</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621</v>
      </c>
      <c r="C35" s="86">
        <v>0.5</v>
      </c>
      <c r="D35" s="84">
        <v>325</v>
      </c>
      <c r="E35" s="79">
        <f>+C35*D35</f>
        <v>162.5</v>
      </c>
      <c r="F35" s="78"/>
    </row>
    <row r="36" spans="1:6" s="80" customFormat="1" ht="14.25" x14ac:dyDescent="0.2">
      <c r="A36" s="78"/>
      <c r="B36" s="81"/>
      <c r="C36" s="86"/>
      <c r="D36" s="84"/>
      <c r="E36" s="79"/>
      <c r="F36" s="78"/>
    </row>
    <row r="37" spans="1:6" s="80" customFormat="1" ht="28.5" x14ac:dyDescent="0.2">
      <c r="A37" s="78"/>
      <c r="B37" s="81" t="s">
        <v>622</v>
      </c>
      <c r="C37" s="86">
        <v>5.5</v>
      </c>
      <c r="D37" s="84">
        <v>325</v>
      </c>
      <c r="E37" s="79">
        <f>+C37*D37</f>
        <v>1787.5</v>
      </c>
      <c r="F37" s="78"/>
    </row>
    <row r="38" spans="1:6" s="80" customFormat="1" ht="14.25" x14ac:dyDescent="0.2">
      <c r="A38" s="78"/>
      <c r="B38" s="81"/>
      <c r="C38" s="86"/>
      <c r="D38" s="84"/>
      <c r="E38" s="79"/>
      <c r="F38" s="78"/>
    </row>
    <row r="39" spans="1:6" s="80" customFormat="1" ht="14.25" x14ac:dyDescent="0.2">
      <c r="A39" s="78"/>
      <c r="B39" s="81" t="s">
        <v>623</v>
      </c>
      <c r="C39" s="86">
        <v>0.5</v>
      </c>
      <c r="D39" s="84">
        <v>325</v>
      </c>
      <c r="E39" s="79">
        <f>+C39*D39</f>
        <v>162.5</v>
      </c>
      <c r="F39" s="78"/>
    </row>
    <row r="40" spans="1:6" s="80" customFormat="1" ht="14.25" x14ac:dyDescent="0.2">
      <c r="A40" s="78"/>
      <c r="B40" s="81"/>
      <c r="C40" s="86"/>
      <c r="D40" s="84"/>
      <c r="E40" s="79"/>
      <c r="F40" s="78"/>
    </row>
    <row r="41" spans="1:6" s="80" customFormat="1" ht="28.5" x14ac:dyDescent="0.2">
      <c r="A41" s="78"/>
      <c r="B41" s="81" t="s">
        <v>624</v>
      </c>
      <c r="C41" s="86">
        <v>1</v>
      </c>
      <c r="D41" s="84">
        <v>325</v>
      </c>
      <c r="E41" s="79">
        <f>+C41*D41</f>
        <v>325</v>
      </c>
      <c r="F41" s="78"/>
    </row>
    <row r="42" spans="1:6" s="80" customFormat="1" ht="14.25" x14ac:dyDescent="0.2">
      <c r="A42" s="78"/>
      <c r="B42" s="81"/>
      <c r="C42" s="86"/>
      <c r="D42" s="84"/>
      <c r="E42" s="79"/>
      <c r="F42" s="78"/>
    </row>
    <row r="43" spans="1:6" s="80" customFormat="1" ht="14.25" x14ac:dyDescent="0.2">
      <c r="A43" s="78"/>
      <c r="B43" s="81" t="s">
        <v>625</v>
      </c>
      <c r="C43" s="86">
        <v>1.5</v>
      </c>
      <c r="D43" s="84">
        <v>325</v>
      </c>
      <c r="E43" s="79">
        <f>+C43*D43</f>
        <v>487.5</v>
      </c>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2925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2925</v>
      </c>
      <c r="F69" s="57"/>
    </row>
    <row r="70" spans="1:6" ht="13.5" customHeight="1" x14ac:dyDescent="0.2">
      <c r="A70" s="57"/>
      <c r="B70" s="58" t="s">
        <v>6</v>
      </c>
      <c r="C70" s="70">
        <v>0.05</v>
      </c>
      <c r="D70" s="58"/>
      <c r="E70" s="43">
        <f>ROUND(E69*C70,2)</f>
        <v>146.25</v>
      </c>
      <c r="F70" s="57"/>
    </row>
    <row r="71" spans="1:6" ht="13.5" customHeight="1" x14ac:dyDescent="0.2">
      <c r="A71" s="57"/>
      <c r="B71" s="58" t="s">
        <v>5</v>
      </c>
      <c r="C71" s="71">
        <v>9.9750000000000005E-2</v>
      </c>
      <c r="D71" s="58"/>
      <c r="E71" s="44">
        <f>ROUND(E69*C71,2)</f>
        <v>291.77</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3363.02</v>
      </c>
      <c r="F73" s="57"/>
    </row>
    <row r="74" spans="1:6" ht="15.75" thickTop="1" x14ac:dyDescent="0.2">
      <c r="A74" s="57"/>
      <c r="B74" s="163"/>
      <c r="C74" s="163"/>
      <c r="D74" s="163"/>
      <c r="E74" s="72"/>
      <c r="F74" s="57"/>
    </row>
    <row r="75" spans="1:6" ht="15" x14ac:dyDescent="0.2">
      <c r="A75" s="57"/>
      <c r="B75" s="164" t="s">
        <v>48</v>
      </c>
      <c r="C75" s="164"/>
      <c r="D75" s="164"/>
      <c r="E75" s="72">
        <v>0</v>
      </c>
      <c r="F75" s="57"/>
    </row>
    <row r="76" spans="1:6" ht="15" x14ac:dyDescent="0.2">
      <c r="A76" s="57"/>
      <c r="B76" s="163"/>
      <c r="C76" s="163"/>
      <c r="D76" s="163"/>
      <c r="E76" s="72"/>
      <c r="F76" s="57"/>
    </row>
    <row r="77" spans="1:6" ht="19.5" customHeight="1" x14ac:dyDescent="0.2">
      <c r="A77" s="57"/>
      <c r="B77" s="73" t="s">
        <v>47</v>
      </c>
      <c r="C77" s="74"/>
      <c r="D77" s="74"/>
      <c r="E77" s="75">
        <f>E73-E75</f>
        <v>3363.02</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5"/>
      <c r="C80" s="165"/>
      <c r="D80" s="165"/>
      <c r="E80" s="165"/>
      <c r="F80" s="57"/>
    </row>
    <row r="81" spans="1:6" ht="14.25" x14ac:dyDescent="0.2">
      <c r="A81" s="166" t="s">
        <v>194</v>
      </c>
      <c r="B81" s="166"/>
      <c r="C81" s="166"/>
      <c r="D81" s="166"/>
      <c r="E81" s="166"/>
      <c r="F81" s="166"/>
    </row>
    <row r="82" spans="1:6" ht="14.25" x14ac:dyDescent="0.2">
      <c r="A82" s="167" t="s">
        <v>195</v>
      </c>
      <c r="B82" s="167"/>
      <c r="C82" s="167"/>
      <c r="D82" s="167"/>
      <c r="E82" s="167"/>
      <c r="F82" s="167"/>
    </row>
    <row r="83" spans="1:6" x14ac:dyDescent="0.2">
      <c r="A83" s="57"/>
      <c r="B83" s="57"/>
      <c r="C83" s="57"/>
      <c r="D83" s="57"/>
      <c r="E83" s="57"/>
      <c r="F83" s="57"/>
    </row>
    <row r="84" spans="1:6" x14ac:dyDescent="0.2">
      <c r="A84" s="57"/>
      <c r="B84" s="159"/>
      <c r="C84" s="159"/>
      <c r="D84" s="159"/>
      <c r="E84" s="159"/>
      <c r="F84" s="57"/>
    </row>
    <row r="85" spans="1:6" ht="15" x14ac:dyDescent="0.2">
      <c r="A85" s="160" t="s">
        <v>9</v>
      </c>
      <c r="B85" s="160"/>
      <c r="C85" s="160"/>
      <c r="D85" s="160"/>
      <c r="E85" s="160"/>
      <c r="F85" s="160"/>
    </row>
    <row r="87" spans="1:6" ht="39.75" customHeight="1" x14ac:dyDescent="0.2">
      <c r="B87" s="161"/>
      <c r="C87" s="162"/>
      <c r="D87" s="162"/>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67EBE104-59F4-469C-92DD-6A86DDD262EE}">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9">
    <pageSetUpPr fitToPage="1"/>
  </sheetPr>
  <dimension ref="A12:F96"/>
  <sheetViews>
    <sheetView view="pageBreakPreview" topLeftCell="A28" zoomScale="80" zoomScaleNormal="100" zoomScaleSheetLayoutView="80" workbookViewId="0">
      <selection activeCell="E30" sqref="E30"/>
    </sheetView>
  </sheetViews>
  <sheetFormatPr baseColWidth="10" defaultRowHeight="12.75" x14ac:dyDescent="0.2"/>
  <cols>
    <col min="1" max="1" width="5.140625" style="2" customWidth="1"/>
    <col min="2" max="2" width="120" style="2" customWidth="1"/>
    <col min="3" max="3" width="10.42578125" style="2" customWidth="1"/>
    <col min="4" max="4" width="17.5703125" style="2" customWidth="1"/>
    <col min="5" max="5" width="17.7109375" style="2" customWidth="1"/>
    <col min="6" max="6" width="10.5703125" style="2" customWidth="1"/>
    <col min="7" max="16384" width="11.42578125" style="2"/>
  </cols>
  <sheetData>
    <row r="12" spans="2:5" x14ac:dyDescent="0.2">
      <c r="B12" s="3"/>
      <c r="E12" s="4"/>
    </row>
    <row r="13" spans="2:5" x14ac:dyDescent="0.2">
      <c r="B13" s="3"/>
      <c r="E13" s="4"/>
    </row>
    <row r="14" spans="2:5" x14ac:dyDescent="0.2">
      <c r="B14" s="3"/>
      <c r="E14" s="4"/>
    </row>
    <row r="15" spans="2:5" x14ac:dyDescent="0.2">
      <c r="B15" s="3"/>
      <c r="E15" s="4"/>
    </row>
    <row r="16" spans="2:5" x14ac:dyDescent="0.2">
      <c r="B16" s="3"/>
      <c r="E16" s="4"/>
    </row>
    <row r="17" spans="1:6" x14ac:dyDescent="0.2">
      <c r="B17" s="3"/>
      <c r="E17" s="4"/>
    </row>
    <row r="18" spans="1:6" x14ac:dyDescent="0.2">
      <c r="B18" s="3"/>
      <c r="E18" s="4"/>
    </row>
    <row r="19" spans="1:6" x14ac:dyDescent="0.2">
      <c r="B19" s="3"/>
      <c r="E19" s="4"/>
    </row>
    <row r="20" spans="1:6" x14ac:dyDescent="0.2">
      <c r="B20" s="3"/>
      <c r="E20" s="4"/>
    </row>
    <row r="21" spans="1:6" ht="15" x14ac:dyDescent="0.2">
      <c r="A21" s="21"/>
      <c r="B21" s="34" t="s">
        <v>93</v>
      </c>
      <c r="C21" s="30"/>
      <c r="D21" s="30"/>
      <c r="E21" s="30"/>
      <c r="F21" s="30"/>
    </row>
    <row r="22" spans="1:6" ht="15" x14ac:dyDescent="0.2">
      <c r="A22" s="21"/>
      <c r="B22" s="35"/>
      <c r="C22" s="30"/>
      <c r="D22" s="30"/>
      <c r="E22" s="30"/>
      <c r="F22" s="30"/>
    </row>
    <row r="23" spans="1:6" ht="15" x14ac:dyDescent="0.2">
      <c r="A23" s="21"/>
      <c r="B23" s="35"/>
      <c r="C23" s="30"/>
      <c r="D23" s="30"/>
      <c r="E23" s="30"/>
      <c r="F23" s="30"/>
    </row>
    <row r="24" spans="1:6" ht="15" x14ac:dyDescent="0.2">
      <c r="A24" s="21"/>
      <c r="B24" s="34" t="s">
        <v>52</v>
      </c>
      <c r="C24" s="30"/>
      <c r="D24" s="30"/>
      <c r="E24" s="30"/>
      <c r="F24" s="30"/>
    </row>
    <row r="25" spans="1:6" ht="15" x14ac:dyDescent="0.2">
      <c r="A25" s="21"/>
      <c r="B25" s="34" t="s">
        <v>50</v>
      </c>
      <c r="C25" s="30"/>
      <c r="D25" s="30"/>
      <c r="E25" s="30"/>
      <c r="F25" s="30"/>
    </row>
    <row r="26" spans="1:6" ht="15" x14ac:dyDescent="0.2">
      <c r="A26" s="21"/>
      <c r="B26" s="35" t="s">
        <v>53</v>
      </c>
      <c r="C26" s="30"/>
      <c r="D26" s="30"/>
      <c r="E26" s="30"/>
      <c r="F26" s="30"/>
    </row>
    <row r="27" spans="1:6" ht="15" x14ac:dyDescent="0.2">
      <c r="A27" s="21"/>
      <c r="B27" s="35" t="s">
        <v>54</v>
      </c>
      <c r="C27" s="30"/>
      <c r="D27" s="30"/>
      <c r="E27" s="30"/>
      <c r="F27" s="30"/>
    </row>
    <row r="28" spans="1:6" x14ac:dyDescent="0.2">
      <c r="A28" s="22"/>
      <c r="B28" s="30"/>
      <c r="C28" s="32"/>
      <c r="D28" s="32"/>
      <c r="E28" s="33"/>
      <c r="F28" s="30"/>
    </row>
    <row r="29" spans="1:6" ht="15" x14ac:dyDescent="0.2">
      <c r="A29" s="21"/>
      <c r="B29" s="32"/>
      <c r="C29" s="32"/>
      <c r="D29" s="36" t="s">
        <v>41</v>
      </c>
      <c r="E29" s="36" t="s">
        <v>94</v>
      </c>
      <c r="F29" s="30"/>
    </row>
    <row r="30" spans="1:6" ht="13.5" thickBot="1" x14ac:dyDescent="0.25">
      <c r="A30" s="23"/>
      <c r="B30" s="23"/>
      <c r="C30" s="23"/>
      <c r="D30" s="23"/>
      <c r="E30" s="23"/>
      <c r="F30" s="29"/>
    </row>
    <row r="31" spans="1:6" s="49" customFormat="1" ht="21.75" customHeight="1" x14ac:dyDescent="0.2">
      <c r="A31" s="152" t="s">
        <v>0</v>
      </c>
      <c r="B31" s="152"/>
      <c r="C31" s="152"/>
      <c r="D31" s="152"/>
      <c r="E31" s="152"/>
      <c r="F31" s="152"/>
    </row>
    <row r="32" spans="1:6" x14ac:dyDescent="0.2">
      <c r="A32" s="21"/>
      <c r="B32" s="22"/>
      <c r="C32" s="21"/>
      <c r="D32" s="21"/>
      <c r="E32" s="21"/>
    </row>
    <row r="33" spans="1:6" ht="14.25" x14ac:dyDescent="0.2">
      <c r="A33" s="30"/>
      <c r="B33" s="31" t="s">
        <v>7</v>
      </c>
      <c r="C33" s="31"/>
      <c r="D33" s="31"/>
      <c r="E33" s="37"/>
      <c r="F33" s="30"/>
    </row>
    <row r="34" spans="1:6" ht="14.25" x14ac:dyDescent="0.2">
      <c r="A34" s="30"/>
      <c r="B34" s="149"/>
      <c r="C34" s="149"/>
      <c r="D34" s="149"/>
      <c r="E34" s="37"/>
      <c r="F34" s="30"/>
    </row>
    <row r="35" spans="1:6" ht="14.25" x14ac:dyDescent="0.2">
      <c r="A35" s="30"/>
      <c r="B35" s="149"/>
      <c r="C35" s="149"/>
      <c r="D35" s="149"/>
      <c r="E35" s="37"/>
      <c r="F35" s="30"/>
    </row>
    <row r="36" spans="1:6" ht="44.25" customHeight="1" x14ac:dyDescent="0.2">
      <c r="A36" s="30"/>
      <c r="B36" s="149" t="s">
        <v>90</v>
      </c>
      <c r="C36" s="149"/>
      <c r="D36" s="149"/>
      <c r="E36" s="37">
        <f>4.25*225</f>
        <v>956.25</v>
      </c>
      <c r="F36" s="30"/>
    </row>
    <row r="37" spans="1:6" ht="14.25" x14ac:dyDescent="0.2">
      <c r="A37" s="30"/>
      <c r="B37" s="149"/>
      <c r="C37" s="149"/>
      <c r="D37" s="149"/>
      <c r="E37" s="37"/>
      <c r="F37" s="30"/>
    </row>
    <row r="38" spans="1:6" ht="14.25" x14ac:dyDescent="0.2">
      <c r="A38" s="30"/>
      <c r="B38" s="149"/>
      <c r="C38" s="149"/>
      <c r="D38" s="149"/>
      <c r="E38" s="37"/>
      <c r="F38" s="30"/>
    </row>
    <row r="39" spans="1:6" ht="14.25" x14ac:dyDescent="0.2">
      <c r="A39" s="30"/>
      <c r="B39" s="149" t="s">
        <v>91</v>
      </c>
      <c r="C39" s="149"/>
      <c r="D39" s="149"/>
      <c r="E39" s="37">
        <f>3.75*225</f>
        <v>843.75</v>
      </c>
      <c r="F39" s="30"/>
    </row>
    <row r="40" spans="1:6" ht="14.25" x14ac:dyDescent="0.2">
      <c r="A40" s="30"/>
      <c r="B40" s="149"/>
      <c r="C40" s="149"/>
      <c r="D40" s="149"/>
      <c r="E40" s="37"/>
      <c r="F40" s="30"/>
    </row>
    <row r="41" spans="1:6" ht="13.5" customHeight="1" x14ac:dyDescent="0.2">
      <c r="A41" s="30"/>
      <c r="B41" s="149"/>
      <c r="C41" s="149"/>
      <c r="D41" s="149"/>
      <c r="E41" s="37"/>
      <c r="F41" s="30"/>
    </row>
    <row r="42" spans="1:6" ht="14.25" x14ac:dyDescent="0.2">
      <c r="A42" s="30"/>
      <c r="B42" s="149" t="s">
        <v>92</v>
      </c>
      <c r="C42" s="149"/>
      <c r="D42" s="149"/>
      <c r="E42" s="37">
        <f>0.25*225</f>
        <v>56.25</v>
      </c>
      <c r="F42" s="30"/>
    </row>
    <row r="43" spans="1:6" ht="14.25" x14ac:dyDescent="0.2">
      <c r="A43" s="30"/>
      <c r="B43" s="149"/>
      <c r="C43" s="149"/>
      <c r="D43" s="149"/>
      <c r="E43" s="37"/>
      <c r="F43" s="30"/>
    </row>
    <row r="44" spans="1:6" ht="14.25" x14ac:dyDescent="0.2">
      <c r="A44" s="30"/>
      <c r="B44" s="149"/>
      <c r="C44" s="149"/>
      <c r="D44" s="149"/>
      <c r="E44" s="37"/>
      <c r="F44" s="30"/>
    </row>
    <row r="45" spans="1:6" ht="14.25" x14ac:dyDescent="0.2">
      <c r="A45" s="30"/>
      <c r="B45" s="149"/>
      <c r="C45" s="149"/>
      <c r="D45" s="149"/>
      <c r="E45" s="37"/>
      <c r="F45" s="30"/>
    </row>
    <row r="46" spans="1:6" ht="14.25" x14ac:dyDescent="0.2">
      <c r="A46" s="30"/>
      <c r="B46" s="149"/>
      <c r="C46" s="149"/>
      <c r="D46" s="149"/>
      <c r="E46" s="37"/>
      <c r="F46" s="30"/>
    </row>
    <row r="47" spans="1:6" ht="14.25" x14ac:dyDescent="0.2">
      <c r="A47" s="30"/>
      <c r="B47" s="149"/>
      <c r="C47" s="149"/>
      <c r="D47" s="149"/>
      <c r="E47" s="37"/>
      <c r="F47" s="30"/>
    </row>
    <row r="48" spans="1:6" ht="14.25" x14ac:dyDescent="0.2">
      <c r="A48" s="30"/>
      <c r="B48" s="149"/>
      <c r="C48" s="149"/>
      <c r="D48" s="149"/>
      <c r="E48" s="37"/>
      <c r="F48" s="30"/>
    </row>
    <row r="49" spans="1:6" ht="14.25" x14ac:dyDescent="0.2">
      <c r="A49" s="30"/>
      <c r="B49" s="149"/>
      <c r="C49" s="149"/>
      <c r="D49" s="149"/>
      <c r="E49" s="37"/>
      <c r="F49" s="30"/>
    </row>
    <row r="50" spans="1:6" ht="14.25" x14ac:dyDescent="0.2">
      <c r="A50" s="30"/>
      <c r="B50" s="149"/>
      <c r="C50" s="149"/>
      <c r="D50" s="149"/>
      <c r="E50" s="37"/>
      <c r="F50" s="30"/>
    </row>
    <row r="51" spans="1:6" ht="14.25" x14ac:dyDescent="0.2">
      <c r="A51" s="30"/>
      <c r="B51" s="149"/>
      <c r="C51" s="149"/>
      <c r="D51" s="149"/>
      <c r="E51" s="37"/>
      <c r="F51" s="30"/>
    </row>
    <row r="52" spans="1:6" ht="14.25" x14ac:dyDescent="0.2">
      <c r="A52" s="30"/>
      <c r="B52" s="149"/>
      <c r="C52" s="149"/>
      <c r="D52" s="149"/>
      <c r="E52" s="37"/>
      <c r="F52" s="30"/>
    </row>
    <row r="53" spans="1:6" ht="14.25" x14ac:dyDescent="0.2">
      <c r="A53" s="30"/>
      <c r="B53" s="149"/>
      <c r="C53" s="149"/>
      <c r="D53" s="149"/>
      <c r="E53" s="37"/>
      <c r="F53" s="30"/>
    </row>
    <row r="54" spans="1:6" ht="14.25" x14ac:dyDescent="0.2">
      <c r="A54" s="30"/>
      <c r="B54" s="149"/>
      <c r="C54" s="149"/>
      <c r="D54" s="149"/>
      <c r="E54" s="37"/>
      <c r="F54" s="30"/>
    </row>
    <row r="55" spans="1:6" ht="14.25" x14ac:dyDescent="0.2">
      <c r="A55" s="30"/>
      <c r="B55" s="149"/>
      <c r="C55" s="149"/>
      <c r="D55" s="149"/>
      <c r="E55" s="37"/>
      <c r="F55" s="30"/>
    </row>
    <row r="56" spans="1:6" ht="14.25" x14ac:dyDescent="0.2">
      <c r="A56" s="30"/>
      <c r="B56" s="149"/>
      <c r="C56" s="149"/>
      <c r="D56" s="149"/>
      <c r="E56" s="37"/>
      <c r="F56" s="30"/>
    </row>
    <row r="57" spans="1:6" ht="14.25" x14ac:dyDescent="0.2">
      <c r="A57" s="30"/>
      <c r="B57" s="149"/>
      <c r="C57" s="149"/>
      <c r="D57" s="149"/>
      <c r="E57" s="37"/>
      <c r="F57" s="30"/>
    </row>
    <row r="58" spans="1:6" ht="14.25" x14ac:dyDescent="0.2">
      <c r="A58" s="30"/>
      <c r="B58" s="149"/>
      <c r="C58" s="149"/>
      <c r="D58" s="149"/>
      <c r="E58" s="37"/>
      <c r="F58" s="30"/>
    </row>
    <row r="59" spans="1:6" ht="14.25" x14ac:dyDescent="0.2">
      <c r="A59" s="30"/>
      <c r="B59" s="149"/>
      <c r="C59" s="149"/>
      <c r="D59" s="149"/>
      <c r="E59" s="37"/>
      <c r="F59" s="30"/>
    </row>
    <row r="60" spans="1:6" ht="14.25" x14ac:dyDescent="0.2">
      <c r="A60" s="30"/>
      <c r="B60" s="149"/>
      <c r="C60" s="149"/>
      <c r="D60" s="149"/>
      <c r="E60" s="37"/>
      <c r="F60" s="30"/>
    </row>
    <row r="61" spans="1:6" ht="14.25" x14ac:dyDescent="0.2">
      <c r="A61" s="30"/>
      <c r="B61" s="149"/>
      <c r="C61" s="149"/>
      <c r="D61" s="149"/>
      <c r="E61" s="37"/>
      <c r="F61" s="30"/>
    </row>
    <row r="62" spans="1:6" ht="14.25" x14ac:dyDescent="0.2">
      <c r="A62" s="30"/>
      <c r="B62" s="149"/>
      <c r="C62" s="149"/>
      <c r="D62" s="149"/>
      <c r="E62" s="37"/>
      <c r="F62" s="30"/>
    </row>
    <row r="63" spans="1:6" ht="14.25" x14ac:dyDescent="0.2">
      <c r="A63" s="30"/>
      <c r="B63" s="149"/>
      <c r="C63" s="149"/>
      <c r="D63" s="149"/>
      <c r="E63" s="37"/>
      <c r="F63" s="30"/>
    </row>
    <row r="64" spans="1:6" ht="14.25" x14ac:dyDescent="0.2">
      <c r="A64" s="30"/>
      <c r="B64" s="149"/>
      <c r="C64" s="149"/>
      <c r="D64" s="149"/>
      <c r="E64" s="37"/>
      <c r="F64" s="30"/>
    </row>
    <row r="65" spans="1:6" ht="14.25" x14ac:dyDescent="0.2">
      <c r="A65" s="30"/>
      <c r="B65" s="149"/>
      <c r="C65" s="149"/>
      <c r="D65" s="149"/>
      <c r="E65" s="37"/>
      <c r="F65" s="30"/>
    </row>
    <row r="66" spans="1:6" ht="14.25" x14ac:dyDescent="0.2">
      <c r="A66" s="30"/>
      <c r="B66" s="149"/>
      <c r="C66" s="149"/>
      <c r="D66" s="149"/>
      <c r="E66" s="37"/>
      <c r="F66" s="30"/>
    </row>
    <row r="67" spans="1:6" ht="14.25" x14ac:dyDescent="0.2">
      <c r="A67" s="30"/>
      <c r="B67" s="149"/>
      <c r="C67" s="149"/>
      <c r="D67" s="149"/>
      <c r="E67" s="37"/>
      <c r="F67" s="30"/>
    </row>
    <row r="68" spans="1:6" ht="14.25" x14ac:dyDescent="0.2">
      <c r="A68" s="30"/>
      <c r="B68" s="149"/>
      <c r="C68" s="149"/>
      <c r="D68" s="149"/>
      <c r="E68" s="37"/>
      <c r="F68" s="30"/>
    </row>
    <row r="69" spans="1:6" ht="14.25" x14ac:dyDescent="0.2">
      <c r="A69" s="30"/>
      <c r="B69" s="149"/>
      <c r="C69" s="149"/>
      <c r="D69" s="149"/>
      <c r="E69" s="37"/>
      <c r="F69" s="30"/>
    </row>
    <row r="70" spans="1:6" ht="14.25" x14ac:dyDescent="0.2">
      <c r="A70" s="30"/>
      <c r="B70" s="149"/>
      <c r="C70" s="149"/>
      <c r="D70" s="149"/>
      <c r="E70" s="37"/>
      <c r="F70" s="30"/>
    </row>
    <row r="71" spans="1:6" ht="14.25" x14ac:dyDescent="0.2">
      <c r="A71" s="30"/>
      <c r="B71" s="149"/>
      <c r="C71" s="149"/>
      <c r="D71" s="149"/>
      <c r="E71" s="37"/>
      <c r="F71" s="30"/>
    </row>
    <row r="72" spans="1:6" ht="13.5" customHeight="1" x14ac:dyDescent="0.2">
      <c r="A72" s="30"/>
      <c r="B72" s="149"/>
      <c r="C72" s="149"/>
      <c r="D72" s="149"/>
      <c r="E72" s="37"/>
      <c r="F72" s="30"/>
    </row>
    <row r="73" spans="1:6" ht="13.5" customHeight="1" x14ac:dyDescent="0.2">
      <c r="A73" s="30"/>
      <c r="B73" s="34" t="s">
        <v>45</v>
      </c>
      <c r="C73" s="35"/>
      <c r="D73" s="35"/>
      <c r="E73" s="38">
        <f>SUM(E35:E72)</f>
        <v>1856.25</v>
      </c>
      <c r="F73" s="30"/>
    </row>
    <row r="74" spans="1:6" ht="13.5" customHeight="1" x14ac:dyDescent="0.2">
      <c r="A74" s="30"/>
      <c r="B74" s="42" t="s">
        <v>42</v>
      </c>
      <c r="C74" s="35"/>
      <c r="D74" s="35"/>
      <c r="E74" s="39">
        <v>0</v>
      </c>
      <c r="F74" s="30"/>
    </row>
    <row r="75" spans="1:6" ht="13.5" customHeight="1" x14ac:dyDescent="0.2">
      <c r="A75" s="30"/>
      <c r="B75" s="42" t="s">
        <v>43</v>
      </c>
      <c r="C75" s="35"/>
      <c r="D75" s="35"/>
      <c r="E75" s="39">
        <v>0</v>
      </c>
      <c r="F75" s="30"/>
    </row>
    <row r="76" spans="1:6" ht="13.5" customHeight="1" x14ac:dyDescent="0.2">
      <c r="A76" s="30"/>
      <c r="B76" s="34" t="s">
        <v>44</v>
      </c>
      <c r="C76" s="35"/>
      <c r="D76" s="35"/>
      <c r="E76" s="38">
        <f>SUM(E73:E75)</f>
        <v>1856.25</v>
      </c>
      <c r="F76" s="30"/>
    </row>
    <row r="77" spans="1:6" ht="13.5" customHeight="1" x14ac:dyDescent="0.2">
      <c r="A77" s="30"/>
      <c r="B77" s="35" t="s">
        <v>6</v>
      </c>
      <c r="C77" s="40">
        <v>0.05</v>
      </c>
      <c r="D77" s="35"/>
      <c r="E77" s="43">
        <f>ROUND(E76*C77,2)</f>
        <v>92.81</v>
      </c>
      <c r="F77" s="30"/>
    </row>
    <row r="78" spans="1:6" ht="13.5" customHeight="1" x14ac:dyDescent="0.2">
      <c r="A78" s="30"/>
      <c r="B78" s="35" t="s">
        <v>5</v>
      </c>
      <c r="C78" s="50">
        <v>9.9750000000000005E-2</v>
      </c>
      <c r="D78" s="35"/>
      <c r="E78" s="44">
        <f>ROUND(E76*C78,2)</f>
        <v>185.16</v>
      </c>
      <c r="F78" s="30"/>
    </row>
    <row r="79" spans="1:6" ht="13.5" customHeight="1" x14ac:dyDescent="0.2">
      <c r="A79" s="30"/>
      <c r="B79" s="35"/>
      <c r="C79" s="35"/>
      <c r="D79" s="35"/>
      <c r="E79" s="35"/>
      <c r="F79" s="30"/>
    </row>
    <row r="80" spans="1:6" ht="16.5" customHeight="1" thickBot="1" x14ac:dyDescent="0.25">
      <c r="A80" s="30"/>
      <c r="B80" s="34" t="s">
        <v>46</v>
      </c>
      <c r="C80" s="35"/>
      <c r="D80" s="35"/>
      <c r="E80" s="41">
        <f>SUM(E76:E78)</f>
        <v>2134.2199999999998</v>
      </c>
      <c r="F80" s="30"/>
    </row>
    <row r="81" spans="1:6" ht="15.75" thickTop="1" x14ac:dyDescent="0.2">
      <c r="A81" s="30"/>
      <c r="B81" s="151"/>
      <c r="C81" s="151"/>
      <c r="D81" s="151"/>
      <c r="E81" s="45"/>
      <c r="F81" s="30"/>
    </row>
    <row r="82" spans="1:6" ht="15" x14ac:dyDescent="0.2">
      <c r="A82" s="30"/>
      <c r="B82" s="150" t="s">
        <v>48</v>
      </c>
      <c r="C82" s="150"/>
      <c r="D82" s="150"/>
      <c r="E82" s="45">
        <v>0</v>
      </c>
      <c r="F82" s="30"/>
    </row>
    <row r="83" spans="1:6" ht="15" x14ac:dyDescent="0.2">
      <c r="A83" s="30"/>
      <c r="B83" s="151"/>
      <c r="C83" s="151"/>
      <c r="D83" s="151"/>
      <c r="E83" s="45"/>
      <c r="F83" s="30"/>
    </row>
    <row r="84" spans="1:6" ht="19.5" customHeight="1" x14ac:dyDescent="0.2">
      <c r="A84" s="30"/>
      <c r="B84" s="46" t="s">
        <v>47</v>
      </c>
      <c r="C84" s="47"/>
      <c r="D84" s="47"/>
      <c r="E84" s="48">
        <f>E80-E82</f>
        <v>2134.2199999999998</v>
      </c>
      <c r="F84" s="30"/>
    </row>
    <row r="85" spans="1:6" ht="13.5" customHeight="1" x14ac:dyDescent="0.2">
      <c r="A85" s="30"/>
      <c r="B85" s="30"/>
      <c r="C85" s="30"/>
      <c r="D85" s="30"/>
      <c r="E85" s="30"/>
      <c r="F85" s="30"/>
    </row>
    <row r="86" spans="1:6" x14ac:dyDescent="0.2">
      <c r="A86" s="30"/>
      <c r="B86" s="30"/>
      <c r="C86" s="30"/>
      <c r="D86" s="30"/>
      <c r="E86" s="30"/>
      <c r="F86" s="30"/>
    </row>
    <row r="87" spans="1:6" x14ac:dyDescent="0.2">
      <c r="A87" s="30"/>
      <c r="B87" s="155"/>
      <c r="C87" s="155"/>
      <c r="D87" s="155"/>
      <c r="E87" s="155"/>
      <c r="F87" s="30"/>
    </row>
    <row r="88" spans="1:6" ht="14.25" x14ac:dyDescent="0.2">
      <c r="A88" s="148" t="s">
        <v>49</v>
      </c>
      <c r="B88" s="148"/>
      <c r="C88" s="148"/>
      <c r="D88" s="148"/>
      <c r="E88" s="148"/>
      <c r="F88" s="148"/>
    </row>
    <row r="89" spans="1:6" ht="14.25" x14ac:dyDescent="0.2">
      <c r="A89" s="146" t="s">
        <v>8</v>
      </c>
      <c r="B89" s="146"/>
      <c r="C89" s="146"/>
      <c r="D89" s="146"/>
      <c r="E89" s="146"/>
      <c r="F89" s="146"/>
    </row>
    <row r="90" spans="1:6" x14ac:dyDescent="0.2">
      <c r="A90" s="30"/>
      <c r="B90" s="30"/>
      <c r="C90" s="30"/>
      <c r="D90" s="30"/>
      <c r="E90" s="30"/>
      <c r="F90" s="30"/>
    </row>
    <row r="91" spans="1:6" x14ac:dyDescent="0.2">
      <c r="A91" s="30"/>
      <c r="B91" s="156"/>
      <c r="C91" s="156"/>
      <c r="D91" s="156"/>
      <c r="E91" s="156"/>
      <c r="F91" s="30"/>
    </row>
    <row r="92" spans="1:6" ht="15" x14ac:dyDescent="0.2">
      <c r="A92" s="147" t="s">
        <v>9</v>
      </c>
      <c r="B92" s="147"/>
      <c r="C92" s="147"/>
      <c r="D92" s="147"/>
      <c r="E92" s="147"/>
      <c r="F92" s="147"/>
    </row>
    <row r="94" spans="1:6" ht="39.75" customHeight="1" x14ac:dyDescent="0.2">
      <c r="B94" s="153"/>
      <c r="C94" s="154"/>
      <c r="D94" s="154"/>
    </row>
    <row r="95" spans="1:6" ht="13.5" customHeight="1" x14ac:dyDescent="0.2"/>
    <row r="96" spans="1:6" x14ac:dyDescent="0.2">
      <c r="B96" s="20"/>
      <c r="C96" s="20"/>
      <c r="D96" s="20"/>
    </row>
  </sheetData>
  <mergeCells count="49">
    <mergeCell ref="B94:D94"/>
    <mergeCell ref="B83:D83"/>
    <mergeCell ref="B87:E87"/>
    <mergeCell ref="A88:F88"/>
    <mergeCell ref="A89:F89"/>
    <mergeCell ref="B91:E91"/>
    <mergeCell ref="A92:F92"/>
    <mergeCell ref="B82:D82"/>
    <mergeCell ref="B63:D63"/>
    <mergeCell ref="B64:D64"/>
    <mergeCell ref="B65:D65"/>
    <mergeCell ref="B66:D66"/>
    <mergeCell ref="B67:D67"/>
    <mergeCell ref="B68:D68"/>
    <mergeCell ref="B69:D69"/>
    <mergeCell ref="B70:D70"/>
    <mergeCell ref="B71:D71"/>
    <mergeCell ref="B72:D72"/>
    <mergeCell ref="B81:D81"/>
    <mergeCell ref="B62:D62"/>
    <mergeCell ref="B51:D51"/>
    <mergeCell ref="B52:D52"/>
    <mergeCell ref="B53:D53"/>
    <mergeCell ref="B54:D54"/>
    <mergeCell ref="B55:D55"/>
    <mergeCell ref="B56:D56"/>
    <mergeCell ref="B57:D57"/>
    <mergeCell ref="B58:D58"/>
    <mergeCell ref="B59:D59"/>
    <mergeCell ref="B60:D60"/>
    <mergeCell ref="B61:D61"/>
    <mergeCell ref="B50:D50"/>
    <mergeCell ref="B39:D39"/>
    <mergeCell ref="B40:D40"/>
    <mergeCell ref="B41:D41"/>
    <mergeCell ref="B42:D42"/>
    <mergeCell ref="B43:D43"/>
    <mergeCell ref="B44:D44"/>
    <mergeCell ref="B45:D45"/>
    <mergeCell ref="B46:D46"/>
    <mergeCell ref="B47:D47"/>
    <mergeCell ref="B48:D48"/>
    <mergeCell ref="B49:D49"/>
    <mergeCell ref="B38:D38"/>
    <mergeCell ref="A31:F31"/>
    <mergeCell ref="B34:D34"/>
    <mergeCell ref="B35:D35"/>
    <mergeCell ref="B36:D36"/>
    <mergeCell ref="B37:D37"/>
  </mergeCells>
  <dataValidations count="1">
    <dataValidation type="list" allowBlank="1" showInputMessage="1" showErrorMessage="1" sqref="B81:B83 B34:B72 B12:B20" xr:uid="{00000000-0002-0000-0800-000000000000}">
      <formula1>Liste_Activités</formula1>
    </dataValidation>
  </dataValidations>
  <pageMargins left="0" right="0" top="0" bottom="0" header="0" footer="0"/>
  <pageSetup paperSize="122" scale="60" orientation="portrait" horizontalDpi="1200" verticalDpi="1200" r:id="rId1"/>
  <headerFooter scaleWithDoc="0"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51350-C5C0-40F4-AE0A-3A8B277AE419}">
  <sheetPr>
    <pageSetUpPr fitToPage="1"/>
  </sheetPr>
  <dimension ref="A12:F89"/>
  <sheetViews>
    <sheetView view="pageBreakPreview" zoomScale="80" zoomScaleNormal="100" zoomScaleSheetLayoutView="80" workbookViewId="0">
      <selection activeCell="U33" sqref="U33"/>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628</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627</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626</v>
      </c>
      <c r="C35" s="86">
        <v>0.5</v>
      </c>
      <c r="D35" s="84">
        <v>325</v>
      </c>
      <c r="E35" s="79">
        <f>+C35*D35</f>
        <v>162.5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4.25" x14ac:dyDescent="0.2">
      <c r="A64" s="78"/>
      <c r="B64" s="81"/>
      <c r="C64" s="86"/>
      <c r="D64" s="84"/>
      <c r="E64" s="79"/>
      <c r="F64" s="78"/>
    </row>
    <row r="65" spans="1:6" s="80" customFormat="1" ht="13.5" customHeight="1" x14ac:dyDescent="0.2">
      <c r="A65" s="78"/>
      <c r="B65" s="81"/>
      <c r="C65" s="86"/>
      <c r="D65" s="84"/>
      <c r="E65" s="79"/>
      <c r="F65" s="78"/>
    </row>
    <row r="66" spans="1:6" ht="13.5" customHeight="1" x14ac:dyDescent="0.2">
      <c r="A66" s="57"/>
      <c r="B66" s="56" t="s">
        <v>45</v>
      </c>
      <c r="C66" s="58"/>
      <c r="D66" s="85"/>
      <c r="E66" s="38">
        <f>SUM(E33:E65)</f>
        <v>162.5</v>
      </c>
      <c r="F66" s="57"/>
    </row>
    <row r="67" spans="1:6" ht="13.5" customHeight="1" x14ac:dyDescent="0.2">
      <c r="A67" s="57"/>
      <c r="B67" s="69" t="s">
        <v>42</v>
      </c>
      <c r="C67" s="58"/>
      <c r="D67" s="58"/>
      <c r="E67" s="39">
        <v>0</v>
      </c>
      <c r="F67" s="57"/>
    </row>
    <row r="68" spans="1:6" ht="13.5" customHeight="1" x14ac:dyDescent="0.2">
      <c r="A68" s="57"/>
      <c r="B68" s="69" t="s">
        <v>43</v>
      </c>
      <c r="C68" s="58"/>
      <c r="D68" s="58"/>
      <c r="E68" s="39">
        <v>0</v>
      </c>
      <c r="F68" s="57"/>
    </row>
    <row r="69" spans="1:6" ht="13.5" customHeight="1" x14ac:dyDescent="0.2">
      <c r="A69" s="57"/>
      <c r="B69" s="56" t="s">
        <v>44</v>
      </c>
      <c r="C69" s="58"/>
      <c r="D69" s="58"/>
      <c r="E69" s="38">
        <f>SUM(E66:E68)</f>
        <v>162.5</v>
      </c>
      <c r="F69" s="57"/>
    </row>
    <row r="70" spans="1:6" ht="13.5" customHeight="1" x14ac:dyDescent="0.2">
      <c r="A70" s="57"/>
      <c r="B70" s="58" t="s">
        <v>6</v>
      </c>
      <c r="C70" s="70">
        <v>0.05</v>
      </c>
      <c r="D70" s="58"/>
      <c r="E70" s="43">
        <f>ROUND(E69*C70,2)</f>
        <v>8.1300000000000008</v>
      </c>
      <c r="F70" s="57"/>
    </row>
    <row r="71" spans="1:6" ht="13.5" customHeight="1" x14ac:dyDescent="0.2">
      <c r="A71" s="57"/>
      <c r="B71" s="58" t="s">
        <v>5</v>
      </c>
      <c r="C71" s="71">
        <v>9.9750000000000005E-2</v>
      </c>
      <c r="D71" s="58"/>
      <c r="E71" s="44">
        <f>ROUND(E69*C71,2)</f>
        <v>16.21</v>
      </c>
      <c r="F71" s="57"/>
    </row>
    <row r="72" spans="1:6" ht="13.5" customHeight="1" x14ac:dyDescent="0.2">
      <c r="A72" s="57"/>
      <c r="B72" s="58"/>
      <c r="C72" s="58"/>
      <c r="D72" s="58"/>
      <c r="E72" s="58"/>
      <c r="F72" s="57"/>
    </row>
    <row r="73" spans="1:6" ht="16.5" customHeight="1" thickBot="1" x14ac:dyDescent="0.25">
      <c r="A73" s="57"/>
      <c r="B73" s="56" t="s">
        <v>46</v>
      </c>
      <c r="C73" s="58"/>
      <c r="D73" s="58"/>
      <c r="E73" s="41">
        <f>SUM(E69:E71)</f>
        <v>186.84</v>
      </c>
      <c r="F73" s="57"/>
    </row>
    <row r="74" spans="1:6" ht="15.75" thickTop="1" x14ac:dyDescent="0.2">
      <c r="A74" s="57"/>
      <c r="B74" s="163"/>
      <c r="C74" s="163"/>
      <c r="D74" s="163"/>
      <c r="E74" s="72"/>
      <c r="F74" s="57"/>
    </row>
    <row r="75" spans="1:6" ht="15" x14ac:dyDescent="0.2">
      <c r="A75" s="57"/>
      <c r="B75" s="164" t="s">
        <v>48</v>
      </c>
      <c r="C75" s="164"/>
      <c r="D75" s="164"/>
      <c r="E75" s="72">
        <v>0</v>
      </c>
      <c r="F75" s="57"/>
    </row>
    <row r="76" spans="1:6" ht="15" x14ac:dyDescent="0.2">
      <c r="A76" s="57"/>
      <c r="B76" s="163"/>
      <c r="C76" s="163"/>
      <c r="D76" s="163"/>
      <c r="E76" s="72"/>
      <c r="F76" s="57"/>
    </row>
    <row r="77" spans="1:6" ht="19.5" customHeight="1" x14ac:dyDescent="0.2">
      <c r="A77" s="57"/>
      <c r="B77" s="73" t="s">
        <v>47</v>
      </c>
      <c r="C77" s="74"/>
      <c r="D77" s="74"/>
      <c r="E77" s="75">
        <f>E73-E75</f>
        <v>186.84</v>
      </c>
      <c r="F77" s="57"/>
    </row>
    <row r="78" spans="1:6" ht="13.5" customHeight="1" x14ac:dyDescent="0.2">
      <c r="A78" s="57"/>
      <c r="B78" s="57"/>
      <c r="C78" s="57"/>
      <c r="D78" s="57"/>
      <c r="E78" s="57"/>
      <c r="F78" s="57"/>
    </row>
    <row r="79" spans="1:6" x14ac:dyDescent="0.2">
      <c r="A79" s="57"/>
      <c r="B79" s="57"/>
      <c r="C79" s="57"/>
      <c r="D79" s="57"/>
      <c r="E79" s="57"/>
      <c r="F79" s="57"/>
    </row>
    <row r="80" spans="1:6" x14ac:dyDescent="0.2">
      <c r="A80" s="57"/>
      <c r="B80" s="165"/>
      <c r="C80" s="165"/>
      <c r="D80" s="165"/>
      <c r="E80" s="165"/>
      <c r="F80" s="57"/>
    </row>
    <row r="81" spans="1:6" ht="14.25" x14ac:dyDescent="0.2">
      <c r="A81" s="166" t="s">
        <v>194</v>
      </c>
      <c r="B81" s="166"/>
      <c r="C81" s="166"/>
      <c r="D81" s="166"/>
      <c r="E81" s="166"/>
      <c r="F81" s="166"/>
    </row>
    <row r="82" spans="1:6" ht="14.25" x14ac:dyDescent="0.2">
      <c r="A82" s="167" t="s">
        <v>195</v>
      </c>
      <c r="B82" s="167"/>
      <c r="C82" s="167"/>
      <c r="D82" s="167"/>
      <c r="E82" s="167"/>
      <c r="F82" s="167"/>
    </row>
    <row r="83" spans="1:6" x14ac:dyDescent="0.2">
      <c r="A83" s="57"/>
      <c r="B83" s="57"/>
      <c r="C83" s="57"/>
      <c r="D83" s="57"/>
      <c r="E83" s="57"/>
      <c r="F83" s="57"/>
    </row>
    <row r="84" spans="1:6" x14ac:dyDescent="0.2">
      <c r="A84" s="57"/>
      <c r="B84" s="159"/>
      <c r="C84" s="159"/>
      <c r="D84" s="159"/>
      <c r="E84" s="159"/>
      <c r="F84" s="57"/>
    </row>
    <row r="85" spans="1:6" ht="15" x14ac:dyDescent="0.2">
      <c r="A85" s="160" t="s">
        <v>9</v>
      </c>
      <c r="B85" s="160"/>
      <c r="C85" s="160"/>
      <c r="D85" s="160"/>
      <c r="E85" s="160"/>
      <c r="F85" s="160"/>
    </row>
    <row r="87" spans="1:6" ht="39.75" customHeight="1" x14ac:dyDescent="0.2">
      <c r="B87" s="161"/>
      <c r="C87" s="162"/>
      <c r="D87" s="162"/>
    </row>
    <row r="88" spans="1:6" ht="13.5" customHeight="1" x14ac:dyDescent="0.2"/>
    <row r="89" spans="1:6" x14ac:dyDescent="0.2">
      <c r="B89" s="76"/>
      <c r="C89" s="76"/>
      <c r="D89" s="76"/>
    </row>
  </sheetData>
  <mergeCells count="10">
    <mergeCell ref="A82:F82"/>
    <mergeCell ref="B84:E84"/>
    <mergeCell ref="A85:F85"/>
    <mergeCell ref="B87:D87"/>
    <mergeCell ref="A30:F30"/>
    <mergeCell ref="B74:D74"/>
    <mergeCell ref="B75:D75"/>
    <mergeCell ref="B76:D76"/>
    <mergeCell ref="B80:E80"/>
    <mergeCell ref="A81:F81"/>
  </mergeCells>
  <dataValidations count="1">
    <dataValidation type="list" allowBlank="1" showInputMessage="1" showErrorMessage="1" sqref="B74:B76 B12:B20 B33:B65" xr:uid="{58D08685-C061-432A-ABD6-AF03E520D273}">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206B1-C286-48BD-B450-607217D1EC62}">
  <sheetPr>
    <pageSetUpPr fitToPage="1"/>
  </sheetPr>
  <dimension ref="A12:F88"/>
  <sheetViews>
    <sheetView view="pageBreakPreview" topLeftCell="A22"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629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630</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631</v>
      </c>
      <c r="C35" s="86">
        <v>0.4</v>
      </c>
      <c r="D35" s="84">
        <v>350</v>
      </c>
      <c r="E35" s="79">
        <f>+C35*D35</f>
        <v>140</v>
      </c>
      <c r="F35" s="78"/>
    </row>
    <row r="36" spans="1:6" s="80" customFormat="1" ht="14.25" x14ac:dyDescent="0.2">
      <c r="A36" s="78"/>
      <c r="B36" s="81"/>
      <c r="C36" s="86"/>
      <c r="D36" s="84"/>
      <c r="E36" s="79"/>
      <c r="F36" s="78"/>
    </row>
    <row r="37" spans="1:6" s="80" customFormat="1" ht="28.5" x14ac:dyDescent="0.2">
      <c r="A37" s="78"/>
      <c r="B37" s="81" t="s">
        <v>632</v>
      </c>
      <c r="C37" s="86">
        <v>0.75</v>
      </c>
      <c r="D37" s="84">
        <v>350</v>
      </c>
      <c r="E37" s="79">
        <f>+C37*D37</f>
        <v>262.5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402.5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402.5</v>
      </c>
      <c r="F68" s="57"/>
    </row>
    <row r="69" spans="1:6" ht="13.5" customHeight="1" x14ac:dyDescent="0.2">
      <c r="A69" s="57"/>
      <c r="B69" s="58" t="s">
        <v>6</v>
      </c>
      <c r="C69" s="70">
        <v>0.05</v>
      </c>
      <c r="D69" s="58"/>
      <c r="E69" s="43">
        <f>ROUND(E68*C69,2)</f>
        <v>20.13</v>
      </c>
      <c r="F69" s="57"/>
    </row>
    <row r="70" spans="1:6" ht="13.5" customHeight="1" x14ac:dyDescent="0.2">
      <c r="A70" s="57"/>
      <c r="B70" s="58" t="s">
        <v>5</v>
      </c>
      <c r="C70" s="71">
        <v>9.9750000000000005E-2</v>
      </c>
      <c r="D70" s="58"/>
      <c r="E70" s="44">
        <f>ROUND(E68*C70,2)</f>
        <v>40.15</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462.78</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462.78</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C783FEE3-3ED9-439A-B712-E9D3E02A64F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E384-09FE-4439-A653-948B7443A2B7}">
  <sheetPr>
    <pageSetUpPr fitToPage="1"/>
  </sheetPr>
  <dimension ref="A12:F88"/>
  <sheetViews>
    <sheetView view="pageBreakPreview" topLeftCell="A16" zoomScale="80" zoomScaleNormal="100" zoomScaleSheetLayoutView="80" workbookViewId="0">
      <selection activeCell="B39" sqref="B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633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634</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635</v>
      </c>
      <c r="C35" s="86">
        <v>1</v>
      </c>
      <c r="D35" s="84">
        <v>350</v>
      </c>
      <c r="E35" s="79">
        <f>+C35*D35</f>
        <v>350</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350</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350</v>
      </c>
      <c r="F68" s="57"/>
    </row>
    <row r="69" spans="1:6" ht="13.5" customHeight="1" x14ac:dyDescent="0.2">
      <c r="A69" s="57"/>
      <c r="B69" s="58" t="s">
        <v>6</v>
      </c>
      <c r="C69" s="70">
        <v>0.05</v>
      </c>
      <c r="D69" s="58"/>
      <c r="E69" s="43">
        <f>ROUND(E68*C69,2)</f>
        <v>17.5</v>
      </c>
      <c r="F69" s="57"/>
    </row>
    <row r="70" spans="1:6" ht="13.5" customHeight="1" x14ac:dyDescent="0.2">
      <c r="A70" s="57"/>
      <c r="B70" s="58" t="s">
        <v>5</v>
      </c>
      <c r="C70" s="71">
        <v>9.9750000000000005E-2</v>
      </c>
      <c r="D70" s="58"/>
      <c r="E70" s="44">
        <f>ROUND(E68*C70,2)</f>
        <v>34.909999999999997</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402.40999999999997</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402.40999999999997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AF87DC5B-709E-4F9C-B0D8-E106FFD0E65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49BD6-25C9-449E-A114-5183C3F826EF}">
  <sheetPr>
    <pageSetUpPr fitToPage="1"/>
  </sheetPr>
  <dimension ref="A12:F88"/>
  <sheetViews>
    <sheetView view="pageBreakPreview" topLeftCell="A34" zoomScale="80" zoomScaleNormal="100" zoomScaleSheetLayoutView="80" workbookViewId="0">
      <selection activeCell="C60" sqref="C60"/>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636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637</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638</v>
      </c>
      <c r="C35" s="86">
        <v>1</v>
      </c>
      <c r="D35" s="84">
        <v>350</v>
      </c>
      <c r="E35" s="79">
        <f>+C35*D35</f>
        <v>350</v>
      </c>
      <c r="F35" s="78"/>
    </row>
    <row r="36" spans="1:6" s="80" customFormat="1" ht="14.25" x14ac:dyDescent="0.2">
      <c r="A36" s="78"/>
      <c r="B36" s="81"/>
      <c r="C36" s="86"/>
      <c r="D36" s="84"/>
      <c r="E36" s="79"/>
      <c r="F36" s="78"/>
    </row>
    <row r="37" spans="1:6" s="80" customFormat="1" ht="14.25" x14ac:dyDescent="0.2">
      <c r="A37" s="78"/>
      <c r="B37" s="81" t="s">
        <v>639</v>
      </c>
      <c r="C37" s="86">
        <v>0.5</v>
      </c>
      <c r="D37" s="84">
        <v>350</v>
      </c>
      <c r="E37" s="79">
        <f>+C37*D37</f>
        <v>175</v>
      </c>
      <c r="F37" s="78"/>
    </row>
    <row r="38" spans="1:6" s="80" customFormat="1" ht="14.25" x14ac:dyDescent="0.2">
      <c r="A38" s="78"/>
      <c r="B38" s="81"/>
      <c r="C38" s="86"/>
      <c r="D38" s="84"/>
      <c r="E38" s="79"/>
      <c r="F38" s="78"/>
    </row>
    <row r="39" spans="1:6" s="80" customFormat="1" ht="14.25" x14ac:dyDescent="0.2">
      <c r="A39" s="78"/>
      <c r="B39" s="81" t="s">
        <v>640</v>
      </c>
      <c r="C39" s="86">
        <v>0.5</v>
      </c>
      <c r="D39" s="84">
        <v>350</v>
      </c>
      <c r="E39" s="79">
        <f>+C39*D39</f>
        <v>175</v>
      </c>
      <c r="F39" s="78"/>
    </row>
    <row r="40" spans="1:6" s="80" customFormat="1" ht="14.25" x14ac:dyDescent="0.2">
      <c r="A40" s="78"/>
      <c r="B40" s="81"/>
      <c r="C40" s="86"/>
      <c r="D40" s="84"/>
      <c r="E40" s="79"/>
      <c r="F40" s="78"/>
    </row>
    <row r="41" spans="1:6" s="80" customFormat="1" ht="14.25" x14ac:dyDescent="0.2">
      <c r="A41" s="78"/>
      <c r="B41" s="81" t="s">
        <v>641</v>
      </c>
      <c r="C41" s="86">
        <v>0.25</v>
      </c>
      <c r="D41" s="84">
        <v>350</v>
      </c>
      <c r="E41" s="79">
        <f>+C41*D41</f>
        <v>87.5</v>
      </c>
      <c r="F41" s="78"/>
    </row>
    <row r="42" spans="1:6" s="80" customFormat="1" ht="14.25" x14ac:dyDescent="0.2">
      <c r="A42" s="78"/>
      <c r="B42" s="81"/>
      <c r="C42" s="86"/>
      <c r="D42" s="84"/>
      <c r="E42" s="79"/>
      <c r="F42" s="78"/>
    </row>
    <row r="43" spans="1:6" s="80" customFormat="1" ht="14.25" x14ac:dyDescent="0.2">
      <c r="A43" s="78"/>
      <c r="B43" s="81" t="s">
        <v>642</v>
      </c>
      <c r="C43" s="86">
        <v>0.5</v>
      </c>
      <c r="D43" s="84">
        <v>350</v>
      </c>
      <c r="E43" s="79">
        <f>+C43*D43</f>
        <v>175</v>
      </c>
      <c r="F43" s="78"/>
    </row>
    <row r="44" spans="1:6" s="80" customFormat="1" ht="14.25" x14ac:dyDescent="0.2">
      <c r="A44" s="78"/>
      <c r="B44" s="81"/>
      <c r="C44" s="86"/>
      <c r="D44" s="84"/>
      <c r="E44" s="79"/>
      <c r="F44" s="78"/>
    </row>
    <row r="45" spans="1:6" s="80" customFormat="1" ht="28.5" x14ac:dyDescent="0.2">
      <c r="A45" s="78"/>
      <c r="B45" s="81" t="s">
        <v>643</v>
      </c>
      <c r="C45" s="86">
        <v>1.5</v>
      </c>
      <c r="D45" s="84">
        <v>350</v>
      </c>
      <c r="E45" s="79">
        <f>+C45*D45</f>
        <v>525</v>
      </c>
      <c r="F45" s="78"/>
    </row>
    <row r="46" spans="1:6" s="80" customFormat="1" ht="14.25" x14ac:dyDescent="0.2">
      <c r="A46" s="78"/>
      <c r="B46" s="81"/>
      <c r="C46" s="86"/>
      <c r="D46" s="84"/>
      <c r="E46" s="79"/>
      <c r="F46" s="78"/>
    </row>
    <row r="47" spans="1:6" s="80" customFormat="1" ht="14.25" x14ac:dyDescent="0.2">
      <c r="A47" s="78"/>
      <c r="B47" s="81" t="s">
        <v>644</v>
      </c>
      <c r="C47" s="86">
        <v>1</v>
      </c>
      <c r="D47" s="84">
        <v>350</v>
      </c>
      <c r="E47" s="79">
        <f>+C47*D47</f>
        <v>350</v>
      </c>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1837.5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1837.5</v>
      </c>
      <c r="F68" s="57"/>
    </row>
    <row r="69" spans="1:6" ht="13.5" customHeight="1" x14ac:dyDescent="0.2">
      <c r="A69" s="57"/>
      <c r="B69" s="58" t="s">
        <v>6</v>
      </c>
      <c r="C69" s="70">
        <v>0.05</v>
      </c>
      <c r="D69" s="58"/>
      <c r="E69" s="43">
        <f>ROUND(E68*C69,2)</f>
        <v>91.88</v>
      </c>
      <c r="F69" s="57"/>
    </row>
    <row r="70" spans="1:6" ht="13.5" customHeight="1" x14ac:dyDescent="0.2">
      <c r="A70" s="57"/>
      <c r="B70" s="58" t="s">
        <v>5</v>
      </c>
      <c r="C70" s="71">
        <v>9.9750000000000005E-2</v>
      </c>
      <c r="D70" s="58"/>
      <c r="E70" s="44">
        <f>ROUND(E68*C70,2)</f>
        <v>183.29</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2112.67</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2112.67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34DDDF62-4E66-474D-8C72-B307C7A3CD1C}">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325C-6CCE-4EE0-A7E2-5C386067BC44}">
  <sheetPr>
    <pageSetUpPr fitToPage="1"/>
  </sheetPr>
  <dimension ref="A12:F88"/>
  <sheetViews>
    <sheetView view="pageBreakPreview" topLeftCell="A19" zoomScale="80" zoomScaleNormal="100" zoomScaleSheetLayoutView="80" workbookViewId="0">
      <selection activeCell="C38" sqref="C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645</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646</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647</v>
      </c>
      <c r="C35" s="86">
        <v>0.25</v>
      </c>
      <c r="D35" s="84">
        <v>350</v>
      </c>
      <c r="E35" s="79">
        <f>+C35*D35</f>
        <v>87.5</v>
      </c>
      <c r="F35" s="78"/>
    </row>
    <row r="36" spans="1:6" s="80" customFormat="1" ht="14.25" x14ac:dyDescent="0.2">
      <c r="A36" s="78"/>
      <c r="B36" s="81"/>
      <c r="C36" s="86"/>
      <c r="D36" s="84"/>
      <c r="E36" s="79"/>
      <c r="F36" s="78"/>
    </row>
    <row r="37" spans="1:6" s="80" customFormat="1" ht="14.25" x14ac:dyDescent="0.2">
      <c r="A37" s="78"/>
      <c r="B37" s="81" t="s">
        <v>648</v>
      </c>
      <c r="C37" s="86">
        <v>0.25</v>
      </c>
      <c r="D37" s="84">
        <v>350</v>
      </c>
      <c r="E37" s="79">
        <f>+C37*D37</f>
        <v>87.5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175</v>
      </c>
      <c r="F68" s="57"/>
    </row>
    <row r="69" spans="1:6" ht="13.5" customHeight="1" x14ac:dyDescent="0.2">
      <c r="A69" s="57"/>
      <c r="B69" s="58" t="s">
        <v>6</v>
      </c>
      <c r="C69" s="70">
        <v>0.05</v>
      </c>
      <c r="D69" s="58"/>
      <c r="E69" s="43">
        <f>ROUND(E68*C69,2)</f>
        <v>8.75</v>
      </c>
      <c r="F69" s="57"/>
    </row>
    <row r="70" spans="1:6" ht="13.5" customHeight="1" x14ac:dyDescent="0.2">
      <c r="A70" s="57"/>
      <c r="B70" s="58" t="s">
        <v>5</v>
      </c>
      <c r="C70" s="71">
        <v>9.9750000000000005E-2</v>
      </c>
      <c r="D70" s="58"/>
      <c r="E70" s="44">
        <f>ROUND(E68*C70,2)</f>
        <v>17.46</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201.21</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201.21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B5BD5E81-BC16-4739-8F86-72D900BF4727}">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761C8-5C9F-4F60-86C8-E085C0412574}">
  <sheetPr>
    <pageSetUpPr fitToPage="1"/>
  </sheetPr>
  <dimension ref="A12:F88"/>
  <sheetViews>
    <sheetView view="pageBreakPreview" topLeftCell="A24" zoomScale="80" zoomScaleNormal="100" zoomScaleSheetLayoutView="80" workbookViewId="0">
      <selection activeCell="C38" sqref="C38"/>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649</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650</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651</v>
      </c>
      <c r="C35" s="86">
        <v>1</v>
      </c>
      <c r="D35" s="84">
        <v>350</v>
      </c>
      <c r="E35" s="79">
        <f>+C35*D35</f>
        <v>350</v>
      </c>
      <c r="F35" s="78"/>
    </row>
    <row r="36" spans="1:6" s="80" customFormat="1" ht="14.25" x14ac:dyDescent="0.2">
      <c r="A36" s="78"/>
      <c r="B36" s="81"/>
      <c r="C36" s="86"/>
      <c r="D36" s="84"/>
      <c r="E36" s="79"/>
      <c r="F36" s="78"/>
    </row>
    <row r="37" spans="1:6" s="80" customFormat="1" ht="14.25" x14ac:dyDescent="0.2">
      <c r="A37" s="78"/>
      <c r="B37" s="81" t="s">
        <v>652</v>
      </c>
      <c r="C37" s="86">
        <v>4.25</v>
      </c>
      <c r="D37" s="84">
        <v>350</v>
      </c>
      <c r="E37" s="79">
        <f>+C37*D37</f>
        <v>1487.5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1837.5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1837.5</v>
      </c>
      <c r="F68" s="57"/>
    </row>
    <row r="69" spans="1:6" ht="13.5" customHeight="1" x14ac:dyDescent="0.2">
      <c r="A69" s="57"/>
      <c r="B69" s="58" t="s">
        <v>6</v>
      </c>
      <c r="C69" s="70">
        <v>0.05</v>
      </c>
      <c r="D69" s="58"/>
      <c r="E69" s="43">
        <f>ROUND(E68*C69,2)</f>
        <v>91.88</v>
      </c>
      <c r="F69" s="57"/>
    </row>
    <row r="70" spans="1:6" ht="13.5" customHeight="1" x14ac:dyDescent="0.2">
      <c r="A70" s="57"/>
      <c r="B70" s="58" t="s">
        <v>5</v>
      </c>
      <c r="C70" s="71">
        <v>9.9750000000000005E-2</v>
      </c>
      <c r="D70" s="58"/>
      <c r="E70" s="44">
        <f>ROUND(E68*C70,2)</f>
        <v>183.29</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2112.67</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2112.67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A913C989-2E43-445B-8493-3D5D8349B6BB}">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8365-11F3-4BF5-89E5-ABB529403DAB}">
  <sheetPr>
    <pageSetUpPr fitToPage="1"/>
  </sheetPr>
  <dimension ref="A12:F88"/>
  <sheetViews>
    <sheetView view="pageBreakPreview" topLeftCell="A3" zoomScale="80" zoomScaleNormal="100" zoomScaleSheetLayoutView="80" workbookViewId="0">
      <selection activeCell="B25" sqref="B25"/>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653</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654</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655</v>
      </c>
      <c r="C35" s="86">
        <v>0.75</v>
      </c>
      <c r="D35" s="84">
        <v>350</v>
      </c>
      <c r="E35" s="79">
        <f>+C35*D35</f>
        <v>262.5</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262.5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262.5</v>
      </c>
      <c r="F68" s="57"/>
    </row>
    <row r="69" spans="1:6" ht="13.5" customHeight="1" x14ac:dyDescent="0.2">
      <c r="A69" s="57"/>
      <c r="B69" s="58" t="s">
        <v>6</v>
      </c>
      <c r="C69" s="70">
        <v>0.05</v>
      </c>
      <c r="D69" s="58"/>
      <c r="E69" s="43">
        <f>ROUND(E68*C69,2)</f>
        <v>13.13</v>
      </c>
      <c r="F69" s="57"/>
    </row>
    <row r="70" spans="1:6" ht="13.5" customHeight="1" x14ac:dyDescent="0.2">
      <c r="A70" s="57"/>
      <c r="B70" s="58" t="s">
        <v>5</v>
      </c>
      <c r="C70" s="71">
        <v>9.9750000000000005E-2</v>
      </c>
      <c r="D70" s="58"/>
      <c r="E70" s="44">
        <f>ROUND(E68*C70,2)</f>
        <v>26.18</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301.81</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301.81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0F6ECF70-A80B-487E-92B4-1188C092F7BA}">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DF125-4633-413B-B6AE-D68703956588}">
  <sheetPr>
    <pageSetUpPr fitToPage="1"/>
  </sheetPr>
  <dimension ref="A12:F88"/>
  <sheetViews>
    <sheetView view="pageBreakPreview" topLeftCell="A10" zoomScale="80" zoomScaleNormal="100" zoomScaleSheetLayoutView="80" workbookViewId="0">
      <selection activeCell="L26" sqref="L2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656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657</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658</v>
      </c>
      <c r="C35" s="86">
        <v>0.25</v>
      </c>
      <c r="D35" s="84">
        <v>350</v>
      </c>
      <c r="E35" s="79">
        <f>+C35*D35</f>
        <v>87.5</v>
      </c>
      <c r="F35" s="78"/>
    </row>
    <row r="36" spans="1:6" s="80" customFormat="1" ht="14.25" x14ac:dyDescent="0.2">
      <c r="A36" s="78"/>
      <c r="B36" s="81"/>
      <c r="C36" s="86"/>
      <c r="D36" s="84"/>
      <c r="E36" s="79"/>
      <c r="F36" s="78"/>
    </row>
    <row r="37" spans="1:6" s="80" customFormat="1" ht="14.25" x14ac:dyDescent="0.2">
      <c r="A37" s="78"/>
      <c r="B37" s="81" t="s">
        <v>659</v>
      </c>
      <c r="C37" s="86">
        <v>0.5</v>
      </c>
      <c r="D37" s="84">
        <v>350</v>
      </c>
      <c r="E37" s="79">
        <f>+C37*D37</f>
        <v>175</v>
      </c>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262.5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262.5</v>
      </c>
      <c r="F68" s="57"/>
    </row>
    <row r="69" spans="1:6" ht="13.5" customHeight="1" x14ac:dyDescent="0.2">
      <c r="A69" s="57"/>
      <c r="B69" s="58" t="s">
        <v>6</v>
      </c>
      <c r="C69" s="70">
        <v>0.05</v>
      </c>
      <c r="D69" s="58"/>
      <c r="E69" s="43">
        <f>ROUND(E68*C69,2)</f>
        <v>13.13</v>
      </c>
      <c r="F69" s="57"/>
    </row>
    <row r="70" spans="1:6" ht="13.5" customHeight="1" x14ac:dyDescent="0.2">
      <c r="A70" s="57"/>
      <c r="B70" s="58" t="s">
        <v>5</v>
      </c>
      <c r="C70" s="71">
        <v>9.9750000000000005E-2</v>
      </c>
      <c r="D70" s="58"/>
      <c r="E70" s="44">
        <f>ROUND(E68*C70,2)</f>
        <v>26.18</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301.81</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301.81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B315322B-A670-4D99-856F-12863892E188}">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D0435-9FD9-4FCB-9910-96627244BBB3}">
  <sheetPr>
    <pageSetUpPr fitToPage="1"/>
  </sheetPr>
  <dimension ref="A12:F88"/>
  <sheetViews>
    <sheetView view="pageBreakPreview" zoomScale="80" zoomScaleNormal="100" zoomScaleSheetLayoutView="80" workbookViewId="0">
      <selection activeCell="B46" sqref="B46"/>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660</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661</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662</v>
      </c>
      <c r="C35" s="86">
        <v>0.4</v>
      </c>
      <c r="D35" s="84">
        <v>350</v>
      </c>
      <c r="E35" s="79">
        <f>+C35*D35</f>
        <v>140</v>
      </c>
      <c r="F35" s="78"/>
    </row>
    <row r="36" spans="1:6" s="80" customFormat="1" ht="14.25" x14ac:dyDescent="0.2">
      <c r="A36" s="78"/>
      <c r="B36" s="81"/>
      <c r="C36" s="86"/>
      <c r="D36" s="84"/>
      <c r="E36" s="79"/>
      <c r="F36" s="78"/>
    </row>
    <row r="37" spans="1:6" s="80" customFormat="1" ht="14.25" x14ac:dyDescent="0.2">
      <c r="A37" s="78"/>
      <c r="B37" s="81" t="s">
        <v>663</v>
      </c>
      <c r="C37" s="86">
        <v>0.4</v>
      </c>
      <c r="D37" s="84">
        <v>350</v>
      </c>
      <c r="E37" s="79">
        <f>+C37*D37</f>
        <v>140</v>
      </c>
      <c r="F37" s="78"/>
    </row>
    <row r="38" spans="1:6" s="80" customFormat="1" ht="14.25" x14ac:dyDescent="0.2">
      <c r="A38" s="78"/>
      <c r="B38" s="81"/>
      <c r="C38" s="86"/>
      <c r="D38" s="84"/>
      <c r="E38" s="79"/>
      <c r="F38" s="78"/>
    </row>
    <row r="39" spans="1:6" s="80" customFormat="1" ht="14.25" x14ac:dyDescent="0.2">
      <c r="A39" s="78"/>
      <c r="B39" s="81" t="s">
        <v>664</v>
      </c>
      <c r="C39" s="86">
        <v>0.25</v>
      </c>
      <c r="D39" s="84">
        <v>350</v>
      </c>
      <c r="E39" s="79">
        <f>+C39*D39</f>
        <v>87.5</v>
      </c>
      <c r="F39" s="78"/>
    </row>
    <row r="40" spans="1:6" s="80" customFormat="1" ht="14.25" x14ac:dyDescent="0.2">
      <c r="A40" s="78"/>
      <c r="B40" s="81"/>
      <c r="C40" s="86"/>
      <c r="D40" s="84"/>
      <c r="E40" s="79"/>
      <c r="F40" s="78"/>
    </row>
    <row r="41" spans="1:6" s="80" customFormat="1" ht="28.5" x14ac:dyDescent="0.2">
      <c r="A41" s="78"/>
      <c r="B41" s="81" t="s">
        <v>665</v>
      </c>
      <c r="C41" s="86">
        <v>6</v>
      </c>
      <c r="D41" s="84">
        <v>350</v>
      </c>
      <c r="E41" s="79">
        <f>+C41*D41</f>
        <v>2100</v>
      </c>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2467.5</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2467.5</v>
      </c>
      <c r="F68" s="57"/>
    </row>
    <row r="69" spans="1:6" ht="13.5" customHeight="1" x14ac:dyDescent="0.2">
      <c r="A69" s="57"/>
      <c r="B69" s="58" t="s">
        <v>6</v>
      </c>
      <c r="C69" s="70">
        <v>0.05</v>
      </c>
      <c r="D69" s="58"/>
      <c r="E69" s="43">
        <f>ROUND(E68*C69,2)</f>
        <v>123.38</v>
      </c>
      <c r="F69" s="57"/>
    </row>
    <row r="70" spans="1:6" ht="13.5" customHeight="1" x14ac:dyDescent="0.2">
      <c r="A70" s="57"/>
      <c r="B70" s="58" t="s">
        <v>5</v>
      </c>
      <c r="C70" s="71">
        <v>9.9750000000000005E-2</v>
      </c>
      <c r="D70" s="58"/>
      <c r="E70" s="44">
        <f>ROUND(E68*C70,2)</f>
        <v>246.13</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2837.01</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2837.01</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EE1AE8DC-E335-4060-9E97-71058B9384A0}">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7949-1A2F-4939-81AF-5A29C250815F}">
  <sheetPr>
    <pageSetUpPr fitToPage="1"/>
  </sheetPr>
  <dimension ref="A12:F88"/>
  <sheetViews>
    <sheetView view="pageBreakPreview" topLeftCell="A13" zoomScale="80" zoomScaleNormal="100" zoomScaleSheetLayoutView="80" workbookViewId="0">
      <selection activeCell="E39" sqref="E39"/>
    </sheetView>
  </sheetViews>
  <sheetFormatPr baseColWidth="10" defaultRowHeight="12.75" x14ac:dyDescent="0.2"/>
  <cols>
    <col min="1" max="1" width="5.140625" style="53" customWidth="1"/>
    <col min="2" max="2" width="120" style="53" customWidth="1"/>
    <col min="3" max="3" width="11.5703125" style="53" customWidth="1"/>
    <col min="4" max="4" width="17.5703125" style="53" customWidth="1"/>
    <col min="5" max="5" width="17.7109375" style="53" customWidth="1"/>
    <col min="6" max="6" width="10.5703125" style="53" customWidth="1"/>
    <col min="7" max="16384" width="11.42578125" style="53"/>
  </cols>
  <sheetData>
    <row r="12" spans="2:5" x14ac:dyDescent="0.2">
      <c r="B12" s="52"/>
      <c r="E12" s="54"/>
    </row>
    <row r="13" spans="2:5" x14ac:dyDescent="0.2">
      <c r="B13" s="52"/>
      <c r="E13" s="54"/>
    </row>
    <row r="14" spans="2:5" x14ac:dyDescent="0.2">
      <c r="B14" s="52"/>
      <c r="E14" s="54"/>
    </row>
    <row r="15" spans="2:5" x14ac:dyDescent="0.2">
      <c r="B15" s="52"/>
      <c r="E15" s="54"/>
    </row>
    <row r="16" spans="2:5" x14ac:dyDescent="0.2">
      <c r="B16" s="52"/>
      <c r="E16" s="54"/>
    </row>
    <row r="17" spans="1:6" x14ac:dyDescent="0.2">
      <c r="B17" s="52"/>
      <c r="E17" s="54"/>
    </row>
    <row r="18" spans="1:6" x14ac:dyDescent="0.2">
      <c r="B18" s="52"/>
      <c r="E18" s="54"/>
    </row>
    <row r="19" spans="1:6" x14ac:dyDescent="0.2">
      <c r="B19" s="52"/>
      <c r="E19" s="54"/>
    </row>
    <row r="20" spans="1:6" x14ac:dyDescent="0.2">
      <c r="B20" s="52"/>
      <c r="E20" s="54"/>
    </row>
    <row r="21" spans="1:6" ht="15" x14ac:dyDescent="0.2">
      <c r="A21" s="55"/>
      <c r="B21" s="56" t="s">
        <v>666</v>
      </c>
      <c r="C21" s="57"/>
      <c r="D21" s="57"/>
      <c r="E21" s="57"/>
      <c r="F21" s="57"/>
    </row>
    <row r="22" spans="1:6" ht="15" x14ac:dyDescent="0.2">
      <c r="A22" s="55"/>
      <c r="B22" s="58"/>
      <c r="C22" s="57"/>
      <c r="D22" s="57"/>
      <c r="E22" s="57"/>
      <c r="F22" s="57"/>
    </row>
    <row r="23" spans="1:6" ht="15" x14ac:dyDescent="0.2">
      <c r="A23" s="55"/>
      <c r="B23" s="58"/>
      <c r="C23" s="57"/>
      <c r="D23" s="57"/>
      <c r="E23" s="57"/>
      <c r="F23" s="57"/>
    </row>
    <row r="24" spans="1:6" ht="15" x14ac:dyDescent="0.2">
      <c r="A24" s="55"/>
      <c r="B24" s="34" t="s">
        <v>52</v>
      </c>
      <c r="C24" s="57"/>
      <c r="D24" s="57"/>
      <c r="E24" s="57"/>
      <c r="F24" s="57"/>
    </row>
    <row r="25" spans="1:6" ht="15" x14ac:dyDescent="0.2">
      <c r="A25" s="55"/>
      <c r="B25" s="34" t="s">
        <v>552</v>
      </c>
      <c r="C25" s="57"/>
      <c r="D25" s="57"/>
      <c r="E25" s="57"/>
      <c r="F25" s="57"/>
    </row>
    <row r="26" spans="1:6" ht="33.75" customHeight="1" x14ac:dyDescent="0.2">
      <c r="A26" s="55"/>
      <c r="B26" s="77" t="s">
        <v>344</v>
      </c>
      <c r="C26" s="57"/>
      <c r="D26" s="57"/>
      <c r="E26" s="57"/>
      <c r="F26" s="57"/>
    </row>
    <row r="27" spans="1:6" x14ac:dyDescent="0.2">
      <c r="A27" s="59"/>
      <c r="B27" s="57"/>
      <c r="C27" s="60"/>
      <c r="D27" s="60"/>
      <c r="E27" s="61"/>
      <c r="F27" s="57"/>
    </row>
    <row r="28" spans="1:6" ht="15" x14ac:dyDescent="0.2">
      <c r="A28" s="55"/>
      <c r="B28" s="60"/>
      <c r="C28" s="60"/>
      <c r="D28" s="62" t="s">
        <v>41</v>
      </c>
      <c r="E28" s="87" t="s">
        <v>667</v>
      </c>
      <c r="F28" s="57"/>
    </row>
    <row r="29" spans="1:6" ht="13.5" thickBot="1" x14ac:dyDescent="0.25">
      <c r="A29" s="63"/>
      <c r="B29" s="63"/>
      <c r="C29" s="63"/>
      <c r="D29" s="63"/>
      <c r="E29" s="63"/>
      <c r="F29" s="64"/>
    </row>
    <row r="30" spans="1:6" s="65" customFormat="1" ht="21.75" customHeight="1" x14ac:dyDescent="0.2">
      <c r="A30" s="158" t="s">
        <v>0</v>
      </c>
      <c r="B30" s="158"/>
      <c r="C30" s="158"/>
      <c r="D30" s="158"/>
      <c r="E30" s="158"/>
      <c r="F30" s="158"/>
    </row>
    <row r="31" spans="1:6" x14ac:dyDescent="0.2">
      <c r="A31" s="55"/>
      <c r="B31" s="59"/>
      <c r="C31" s="55"/>
      <c r="D31" s="55"/>
      <c r="E31" s="55"/>
    </row>
    <row r="32" spans="1:6" ht="14.25" x14ac:dyDescent="0.2">
      <c r="A32" s="57"/>
      <c r="B32" s="66" t="s">
        <v>7</v>
      </c>
      <c r="C32" s="66"/>
      <c r="D32" s="66"/>
      <c r="E32" s="67"/>
      <c r="F32" s="57"/>
    </row>
    <row r="33" spans="1:6" s="80" customFormat="1" ht="14.25" x14ac:dyDescent="0.2">
      <c r="A33" s="78"/>
      <c r="B33" s="66"/>
      <c r="C33" s="82" t="s">
        <v>334</v>
      </c>
      <c r="D33" s="82" t="s">
        <v>335</v>
      </c>
      <c r="E33" s="79"/>
      <c r="F33" s="78"/>
    </row>
    <row r="34" spans="1:6" s="80" customFormat="1" ht="14.25" x14ac:dyDescent="0.2">
      <c r="A34" s="78"/>
      <c r="B34" s="81"/>
      <c r="C34" s="83"/>
      <c r="D34" s="83"/>
      <c r="E34" s="79"/>
      <c r="F34" s="78"/>
    </row>
    <row r="35" spans="1:6" s="80" customFormat="1" ht="14.25" x14ac:dyDescent="0.2">
      <c r="A35" s="78"/>
      <c r="B35" s="81" t="s">
        <v>668</v>
      </c>
      <c r="C35" s="86">
        <v>0.4</v>
      </c>
      <c r="D35" s="84">
        <v>350</v>
      </c>
      <c r="E35" s="79">
        <f>+C35*D35</f>
        <v>140</v>
      </c>
      <c r="F35" s="78"/>
    </row>
    <row r="36" spans="1:6" s="80" customFormat="1" ht="14.25" x14ac:dyDescent="0.2">
      <c r="A36" s="78"/>
      <c r="B36" s="81"/>
      <c r="C36" s="86"/>
      <c r="D36" s="84"/>
      <c r="E36" s="79"/>
      <c r="F36" s="78"/>
    </row>
    <row r="37" spans="1:6" s="80" customFormat="1" ht="14.25" x14ac:dyDescent="0.2">
      <c r="A37" s="78"/>
      <c r="B37" s="81"/>
      <c r="C37" s="86"/>
      <c r="D37" s="84"/>
      <c r="E37" s="79"/>
      <c r="F37" s="78"/>
    </row>
    <row r="38" spans="1:6" s="80" customFormat="1" ht="14.25" x14ac:dyDescent="0.2">
      <c r="A38" s="78"/>
      <c r="B38" s="81"/>
      <c r="C38" s="86"/>
      <c r="D38" s="84"/>
      <c r="E38" s="79"/>
      <c r="F38" s="78"/>
    </row>
    <row r="39" spans="1:6" s="80" customFormat="1" ht="14.25" x14ac:dyDescent="0.2">
      <c r="A39" s="78"/>
      <c r="B39" s="81"/>
      <c r="C39" s="86"/>
      <c r="D39" s="84"/>
      <c r="E39" s="79"/>
      <c r="F39" s="78"/>
    </row>
    <row r="40" spans="1:6" s="80" customFormat="1" ht="14.25" x14ac:dyDescent="0.2">
      <c r="A40" s="78"/>
      <c r="B40" s="81"/>
      <c r="C40" s="86"/>
      <c r="D40" s="84"/>
      <c r="E40" s="79"/>
      <c r="F40" s="78"/>
    </row>
    <row r="41" spans="1:6" s="80" customFormat="1" ht="14.25" x14ac:dyDescent="0.2">
      <c r="A41" s="78"/>
      <c r="B41" s="81"/>
      <c r="C41" s="86"/>
      <c r="D41" s="84"/>
      <c r="E41" s="79"/>
      <c r="F41" s="78"/>
    </row>
    <row r="42" spans="1:6" s="80" customFormat="1" ht="14.25" x14ac:dyDescent="0.2">
      <c r="A42" s="78"/>
      <c r="B42" s="81"/>
      <c r="C42" s="86"/>
      <c r="D42" s="84"/>
      <c r="E42" s="79"/>
      <c r="F42" s="78"/>
    </row>
    <row r="43" spans="1:6" s="80" customFormat="1" ht="14.25" x14ac:dyDescent="0.2">
      <c r="A43" s="78"/>
      <c r="B43" s="81"/>
      <c r="C43" s="86"/>
      <c r="D43" s="84"/>
      <c r="E43" s="79"/>
      <c r="F43" s="78"/>
    </row>
    <row r="44" spans="1:6" s="80" customFormat="1" ht="14.25" x14ac:dyDescent="0.2">
      <c r="A44" s="78"/>
      <c r="B44" s="81"/>
      <c r="C44" s="86"/>
      <c r="D44" s="84"/>
      <c r="E44" s="79"/>
      <c r="F44" s="78"/>
    </row>
    <row r="45" spans="1:6" s="80" customFormat="1" ht="14.25" x14ac:dyDescent="0.2">
      <c r="A45" s="78"/>
      <c r="B45" s="81"/>
      <c r="C45" s="86"/>
      <c r="D45" s="84"/>
      <c r="E45" s="79"/>
      <c r="F45" s="78"/>
    </row>
    <row r="46" spans="1:6" s="80" customFormat="1" ht="14.25" x14ac:dyDescent="0.2">
      <c r="A46" s="78"/>
      <c r="B46" s="81"/>
      <c r="C46" s="86"/>
      <c r="D46" s="84"/>
      <c r="E46" s="79"/>
      <c r="F46" s="78"/>
    </row>
    <row r="47" spans="1:6" s="80" customFormat="1" ht="14.25" x14ac:dyDescent="0.2">
      <c r="A47" s="78"/>
      <c r="B47" s="81"/>
      <c r="C47" s="86"/>
      <c r="D47" s="84"/>
      <c r="E47" s="79"/>
      <c r="F47" s="78"/>
    </row>
    <row r="48" spans="1:6" s="80" customFormat="1" ht="14.25" x14ac:dyDescent="0.2">
      <c r="A48" s="78"/>
      <c r="B48" s="81"/>
      <c r="C48" s="86"/>
      <c r="D48" s="84"/>
      <c r="E48" s="79"/>
      <c r="F48" s="78"/>
    </row>
    <row r="49" spans="1:6" s="80" customFormat="1" ht="14.25" x14ac:dyDescent="0.2">
      <c r="A49" s="78"/>
      <c r="B49" s="81"/>
      <c r="C49" s="86"/>
      <c r="D49" s="84"/>
      <c r="E49" s="79"/>
      <c r="F49" s="78"/>
    </row>
    <row r="50" spans="1:6" s="80" customFormat="1" ht="14.25" x14ac:dyDescent="0.2">
      <c r="A50" s="78"/>
      <c r="B50" s="81"/>
      <c r="C50" s="86"/>
      <c r="D50" s="84"/>
      <c r="E50" s="79"/>
      <c r="F50" s="78"/>
    </row>
    <row r="51" spans="1:6" s="80" customFormat="1" ht="14.25" x14ac:dyDescent="0.2">
      <c r="A51" s="78"/>
      <c r="B51" s="81"/>
      <c r="C51" s="86"/>
      <c r="D51" s="84"/>
      <c r="E51" s="79"/>
      <c r="F51" s="78"/>
    </row>
    <row r="52" spans="1:6" s="80" customFormat="1" ht="14.25" x14ac:dyDescent="0.2">
      <c r="A52" s="78"/>
      <c r="B52" s="81"/>
      <c r="C52" s="86"/>
      <c r="D52" s="84"/>
      <c r="E52" s="79"/>
      <c r="F52" s="78"/>
    </row>
    <row r="53" spans="1:6" s="80" customFormat="1" ht="14.25" x14ac:dyDescent="0.2">
      <c r="A53" s="78"/>
      <c r="B53" s="81"/>
      <c r="C53" s="86"/>
      <c r="D53" s="84"/>
      <c r="E53" s="79"/>
      <c r="F53" s="78"/>
    </row>
    <row r="54" spans="1:6" s="80" customFormat="1" ht="14.25" x14ac:dyDescent="0.2">
      <c r="A54" s="78"/>
      <c r="B54" s="81"/>
      <c r="C54" s="86"/>
      <c r="D54" s="84"/>
      <c r="E54" s="79"/>
      <c r="F54" s="78"/>
    </row>
    <row r="55" spans="1:6" s="80" customFormat="1" ht="14.25" x14ac:dyDescent="0.2">
      <c r="A55" s="78"/>
      <c r="B55" s="81"/>
      <c r="C55" s="86"/>
      <c r="D55" s="84"/>
      <c r="E55" s="79"/>
      <c r="F55" s="78"/>
    </row>
    <row r="56" spans="1:6" s="80" customFormat="1" ht="14.25" x14ac:dyDescent="0.2">
      <c r="A56" s="78"/>
      <c r="B56" s="81"/>
      <c r="C56" s="86"/>
      <c r="D56" s="84"/>
      <c r="E56" s="79"/>
      <c r="F56" s="78"/>
    </row>
    <row r="57" spans="1:6" s="80" customFormat="1" ht="14.25" x14ac:dyDescent="0.2">
      <c r="A57" s="78"/>
      <c r="B57" s="81"/>
      <c r="C57" s="86"/>
      <c r="D57" s="84"/>
      <c r="E57" s="79"/>
      <c r="F57" s="78"/>
    </row>
    <row r="58" spans="1:6" s="80" customFormat="1" ht="14.25" x14ac:dyDescent="0.2">
      <c r="A58" s="78"/>
      <c r="B58" s="81"/>
      <c r="C58" s="86"/>
      <c r="D58" s="84"/>
      <c r="E58" s="79"/>
      <c r="F58" s="78"/>
    </row>
    <row r="59" spans="1:6" s="80" customFormat="1" ht="14.25" x14ac:dyDescent="0.2">
      <c r="A59" s="78"/>
      <c r="B59" s="81"/>
      <c r="C59" s="86"/>
      <c r="D59" s="84"/>
      <c r="E59" s="79"/>
      <c r="F59" s="78"/>
    </row>
    <row r="60" spans="1:6" s="80" customFormat="1" ht="14.25" x14ac:dyDescent="0.2">
      <c r="A60" s="78"/>
      <c r="B60" s="81"/>
      <c r="C60" s="86"/>
      <c r="D60" s="84"/>
      <c r="E60" s="79"/>
      <c r="F60" s="78"/>
    </row>
    <row r="61" spans="1:6" s="80" customFormat="1" ht="14.25" x14ac:dyDescent="0.2">
      <c r="A61" s="78"/>
      <c r="B61" s="81"/>
      <c r="C61" s="86"/>
      <c r="D61" s="84"/>
      <c r="E61" s="79"/>
      <c r="F61" s="78"/>
    </row>
    <row r="62" spans="1:6" s="80" customFormat="1" ht="14.25" x14ac:dyDescent="0.2">
      <c r="A62" s="78"/>
      <c r="B62" s="81"/>
      <c r="C62" s="86"/>
      <c r="D62" s="84"/>
      <c r="E62" s="79"/>
      <c r="F62" s="78"/>
    </row>
    <row r="63" spans="1:6" s="80" customFormat="1" ht="14.25" x14ac:dyDescent="0.2">
      <c r="A63" s="78"/>
      <c r="B63" s="81"/>
      <c r="C63" s="86"/>
      <c r="D63" s="84"/>
      <c r="E63" s="79"/>
      <c r="F63" s="78"/>
    </row>
    <row r="64" spans="1:6" s="80" customFormat="1" ht="13.5" customHeight="1" x14ac:dyDescent="0.2">
      <c r="A64" s="78"/>
      <c r="B64" s="81"/>
      <c r="C64" s="86"/>
      <c r="D64" s="84"/>
      <c r="E64" s="79"/>
      <c r="F64" s="78"/>
    </row>
    <row r="65" spans="1:6" ht="13.5" customHeight="1" x14ac:dyDescent="0.2">
      <c r="A65" s="57"/>
      <c r="B65" s="56" t="s">
        <v>45</v>
      </c>
      <c r="C65" s="58"/>
      <c r="D65" s="85"/>
      <c r="E65" s="38">
        <f>SUM(E33:E64)</f>
        <v>140</v>
      </c>
      <c r="F65" s="57"/>
    </row>
    <row r="66" spans="1:6" ht="13.5" customHeight="1" x14ac:dyDescent="0.2">
      <c r="A66" s="57"/>
      <c r="B66" s="69" t="s">
        <v>42</v>
      </c>
      <c r="C66" s="58"/>
      <c r="D66" s="58"/>
      <c r="E66" s="39">
        <v>0</v>
      </c>
      <c r="F66" s="57"/>
    </row>
    <row r="67" spans="1:6" ht="13.5" customHeight="1" x14ac:dyDescent="0.2">
      <c r="A67" s="57"/>
      <c r="B67" s="69" t="s">
        <v>43</v>
      </c>
      <c r="C67" s="58"/>
      <c r="D67" s="58"/>
      <c r="E67" s="39">
        <v>0</v>
      </c>
      <c r="F67" s="57"/>
    </row>
    <row r="68" spans="1:6" ht="13.5" customHeight="1" x14ac:dyDescent="0.2">
      <c r="A68" s="57"/>
      <c r="B68" s="56" t="s">
        <v>44</v>
      </c>
      <c r="C68" s="58"/>
      <c r="D68" s="58"/>
      <c r="E68" s="38">
        <f>SUM(E65:E67)</f>
        <v>140</v>
      </c>
      <c r="F68" s="57"/>
    </row>
    <row r="69" spans="1:6" ht="13.5" customHeight="1" x14ac:dyDescent="0.2">
      <c r="A69" s="57"/>
      <c r="B69" s="58" t="s">
        <v>6</v>
      </c>
      <c r="C69" s="70">
        <v>0.05</v>
      </c>
      <c r="D69" s="58"/>
      <c r="E69" s="43">
        <f>ROUND(E68*C69,2)</f>
        <v>7</v>
      </c>
      <c r="F69" s="57"/>
    </row>
    <row r="70" spans="1:6" ht="13.5" customHeight="1" x14ac:dyDescent="0.2">
      <c r="A70" s="57"/>
      <c r="B70" s="58" t="s">
        <v>5</v>
      </c>
      <c r="C70" s="71">
        <v>9.9750000000000005E-2</v>
      </c>
      <c r="D70" s="58"/>
      <c r="E70" s="44">
        <f>ROUND(E68*C70,2)</f>
        <v>13.97</v>
      </c>
      <c r="F70" s="57"/>
    </row>
    <row r="71" spans="1:6" ht="13.5" customHeight="1" x14ac:dyDescent="0.2">
      <c r="A71" s="57"/>
      <c r="B71" s="58"/>
      <c r="C71" s="58"/>
      <c r="D71" s="58"/>
      <c r="E71" s="58"/>
      <c r="F71" s="57"/>
    </row>
    <row r="72" spans="1:6" ht="16.5" customHeight="1" thickBot="1" x14ac:dyDescent="0.25">
      <c r="A72" s="57"/>
      <c r="B72" s="56" t="s">
        <v>46</v>
      </c>
      <c r="C72" s="58"/>
      <c r="D72" s="58"/>
      <c r="E72" s="41">
        <f>SUM(E68:E70)</f>
        <v>160.97</v>
      </c>
      <c r="F72" s="57"/>
    </row>
    <row r="73" spans="1:6" ht="15.75" thickTop="1" x14ac:dyDescent="0.2">
      <c r="A73" s="57"/>
      <c r="B73" s="163"/>
      <c r="C73" s="163"/>
      <c r="D73" s="163"/>
      <c r="E73" s="72"/>
      <c r="F73" s="57"/>
    </row>
    <row r="74" spans="1:6" ht="15" x14ac:dyDescent="0.2">
      <c r="A74" s="57"/>
      <c r="B74" s="164" t="s">
        <v>48</v>
      </c>
      <c r="C74" s="164"/>
      <c r="D74" s="164"/>
      <c r="E74" s="72">
        <v>0</v>
      </c>
      <c r="F74" s="57"/>
    </row>
    <row r="75" spans="1:6" ht="15" x14ac:dyDescent="0.2">
      <c r="A75" s="57"/>
      <c r="B75" s="163"/>
      <c r="C75" s="163"/>
      <c r="D75" s="163"/>
      <c r="E75" s="72"/>
      <c r="F75" s="57"/>
    </row>
    <row r="76" spans="1:6" ht="19.5" customHeight="1" x14ac:dyDescent="0.2">
      <c r="A76" s="57"/>
      <c r="B76" s="73" t="s">
        <v>47</v>
      </c>
      <c r="C76" s="74"/>
      <c r="D76" s="74"/>
      <c r="E76" s="75">
        <f>E72-E74</f>
        <v>160.97</v>
      </c>
      <c r="F76" s="57"/>
    </row>
    <row r="77" spans="1:6" ht="13.5" customHeight="1" x14ac:dyDescent="0.2">
      <c r="A77" s="57"/>
      <c r="B77" s="57"/>
      <c r="C77" s="57"/>
      <c r="D77" s="57"/>
      <c r="E77" s="57"/>
      <c r="F77" s="57"/>
    </row>
    <row r="78" spans="1:6" x14ac:dyDescent="0.2">
      <c r="A78" s="57"/>
      <c r="B78" s="57"/>
      <c r="C78" s="57"/>
      <c r="D78" s="57"/>
      <c r="E78" s="57"/>
      <c r="F78" s="57"/>
    </row>
    <row r="79" spans="1:6" x14ac:dyDescent="0.2">
      <c r="A79" s="57"/>
      <c r="B79" s="165"/>
      <c r="C79" s="165"/>
      <c r="D79" s="165"/>
      <c r="E79" s="165"/>
      <c r="F79" s="57"/>
    </row>
    <row r="80" spans="1:6" ht="14.25" x14ac:dyDescent="0.2">
      <c r="A80" s="166" t="s">
        <v>194</v>
      </c>
      <c r="B80" s="166"/>
      <c r="C80" s="166"/>
      <c r="D80" s="166"/>
      <c r="E80" s="166"/>
      <c r="F80" s="166"/>
    </row>
    <row r="81" spans="1:6" ht="14.25" x14ac:dyDescent="0.2">
      <c r="A81" s="167" t="s">
        <v>195</v>
      </c>
      <c r="B81" s="167"/>
      <c r="C81" s="167"/>
      <c r="D81" s="167"/>
      <c r="E81" s="167"/>
      <c r="F81" s="167"/>
    </row>
    <row r="82" spans="1:6" x14ac:dyDescent="0.2">
      <c r="A82" s="57"/>
      <c r="B82" s="57"/>
      <c r="C82" s="57"/>
      <c r="D82" s="57"/>
      <c r="E82" s="57"/>
      <c r="F82" s="57"/>
    </row>
    <row r="83" spans="1:6" x14ac:dyDescent="0.2">
      <c r="A83" s="57"/>
      <c r="B83" s="159"/>
      <c r="C83" s="159"/>
      <c r="D83" s="159"/>
      <c r="E83" s="159"/>
      <c r="F83" s="57"/>
    </row>
    <row r="84" spans="1:6" ht="15" x14ac:dyDescent="0.2">
      <c r="A84" s="160" t="s">
        <v>9</v>
      </c>
      <c r="B84" s="160"/>
      <c r="C84" s="160"/>
      <c r="D84" s="160"/>
      <c r="E84" s="160"/>
      <c r="F84" s="160"/>
    </row>
    <row r="86" spans="1:6" ht="39.75" customHeight="1" x14ac:dyDescent="0.2">
      <c r="B86" s="161"/>
      <c r="C86" s="162"/>
      <c r="D86" s="162"/>
    </row>
    <row r="87" spans="1:6" ht="13.5" customHeight="1" x14ac:dyDescent="0.2"/>
    <row r="88" spans="1:6" x14ac:dyDescent="0.2">
      <c r="B88" s="76"/>
      <c r="C88" s="76"/>
      <c r="D88" s="76"/>
    </row>
  </sheetData>
  <mergeCells count="10">
    <mergeCell ref="A81:F81"/>
    <mergeCell ref="B83:E83"/>
    <mergeCell ref="A84:F84"/>
    <mergeCell ref="B86:D86"/>
    <mergeCell ref="A30:F30"/>
    <mergeCell ref="B73:D73"/>
    <mergeCell ref="B74:D74"/>
    <mergeCell ref="B75:D75"/>
    <mergeCell ref="B79:E79"/>
    <mergeCell ref="A80:F80"/>
  </mergeCells>
  <dataValidations count="1">
    <dataValidation type="list" allowBlank="1" showInputMessage="1" showErrorMessage="1" sqref="B73:B75 B12:B20 B33:B64" xr:uid="{CFBB145C-535C-4BAF-B8DC-72227BE62F11}">
      <formula1>Liste_Activités</formula1>
    </dataValidation>
  </dataValidations>
  <printOptions horizontalCentered="1"/>
  <pageMargins left="0" right="0" top="0" bottom="0" header="0" footer="0"/>
  <pageSetup paperSize="131" orientation="portrait" horizontalDpi="1200" verticalDpi="1200" r:id="rId1"/>
  <headerFooter scaleWithDoc="0"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104</vt:i4>
      </vt:variant>
      <vt:variant>
        <vt:lpstr>Plages nommées</vt:lpstr>
      </vt:variant>
      <vt:variant>
        <vt:i4>253</vt:i4>
      </vt:variant>
    </vt:vector>
  </HeadingPairs>
  <TitlesOfParts>
    <vt:vector size="357" baseType="lpstr">
      <vt:lpstr>28-02-12</vt:lpstr>
      <vt:lpstr>17-04-12</vt:lpstr>
      <vt:lpstr>03-05-12</vt:lpstr>
      <vt:lpstr>17-09-12</vt:lpstr>
      <vt:lpstr>23-10-12</vt:lpstr>
      <vt:lpstr>17-12-12</vt:lpstr>
      <vt:lpstr>28-01-13</vt:lpstr>
      <vt:lpstr>25-02-13</vt:lpstr>
      <vt:lpstr>25-03-13</vt:lpstr>
      <vt:lpstr>06-04-13</vt:lpstr>
      <vt:lpstr>29-04-13</vt:lpstr>
      <vt:lpstr>28-06-13</vt:lpstr>
      <vt:lpstr>26-08-13</vt:lpstr>
      <vt:lpstr>27-09-13</vt:lpstr>
      <vt:lpstr>23-10-13</vt:lpstr>
      <vt:lpstr>Remorquage</vt:lpstr>
      <vt:lpstr>10-12-13</vt:lpstr>
      <vt:lpstr>20-02-14</vt:lpstr>
      <vt:lpstr>22-05-14</vt:lpstr>
      <vt:lpstr>10-07-14</vt:lpstr>
      <vt:lpstr>22-07-14</vt:lpstr>
      <vt:lpstr>03-09-14</vt:lpstr>
      <vt:lpstr>26-09-14</vt:lpstr>
      <vt:lpstr>30-10-14</vt:lpstr>
      <vt:lpstr>11-12-14</vt:lpstr>
      <vt:lpstr>20-02-15</vt:lpstr>
      <vt:lpstr>05-05-15</vt:lpstr>
      <vt:lpstr>09-06-15</vt:lpstr>
      <vt:lpstr>09-06-15 (2)</vt:lpstr>
      <vt:lpstr>01-07-15</vt:lpstr>
      <vt:lpstr>06-10-15</vt:lpstr>
      <vt:lpstr>05-12-15</vt:lpstr>
      <vt:lpstr>29-01-16</vt:lpstr>
      <vt:lpstr>31-03-16</vt:lpstr>
      <vt:lpstr>31-05-16</vt:lpstr>
      <vt:lpstr>08-09-16</vt:lpstr>
      <vt:lpstr>05-10-16</vt:lpstr>
      <vt:lpstr>24-11-16</vt:lpstr>
      <vt:lpstr>13-12-16</vt:lpstr>
      <vt:lpstr>22-12-16</vt:lpstr>
      <vt:lpstr>06-02-17</vt:lpstr>
      <vt:lpstr>17-03-17</vt:lpstr>
      <vt:lpstr>30-03-17</vt:lpstr>
      <vt:lpstr>27-04-17</vt:lpstr>
      <vt:lpstr>16-05-17</vt:lpstr>
      <vt:lpstr>01-07-17</vt:lpstr>
      <vt:lpstr>25-08-17</vt:lpstr>
      <vt:lpstr>13-11-17</vt:lpstr>
      <vt:lpstr>27-11-17</vt:lpstr>
      <vt:lpstr>18-12-2017</vt:lpstr>
      <vt:lpstr>01-02-2018</vt:lpstr>
      <vt:lpstr>23-02-18</vt:lpstr>
      <vt:lpstr>25-03-18</vt:lpstr>
      <vt:lpstr>27-04-18</vt:lpstr>
      <vt:lpstr>14-06-18</vt:lpstr>
      <vt:lpstr>17-07-18</vt:lpstr>
      <vt:lpstr>31-08-18</vt:lpstr>
      <vt:lpstr>22-10-18</vt:lpstr>
      <vt:lpstr>14-11-18</vt:lpstr>
      <vt:lpstr>14-12-18</vt:lpstr>
      <vt:lpstr>05-03-19</vt:lpstr>
      <vt:lpstr>19-04-19</vt:lpstr>
      <vt:lpstr>19-04-19 (2)</vt:lpstr>
      <vt:lpstr>06-06-19</vt:lpstr>
      <vt:lpstr>28-06-19</vt:lpstr>
      <vt:lpstr>25-07-19</vt:lpstr>
      <vt:lpstr>30-09-19</vt:lpstr>
      <vt:lpstr>16-12-19</vt:lpstr>
      <vt:lpstr>06-03-20</vt:lpstr>
      <vt:lpstr>29-04-20</vt:lpstr>
      <vt:lpstr>24-07-20</vt:lpstr>
      <vt:lpstr>01-10-20</vt:lpstr>
      <vt:lpstr>27-10-20</vt:lpstr>
      <vt:lpstr>19-11-20</vt:lpstr>
      <vt:lpstr>02-12-20</vt:lpstr>
      <vt:lpstr>02-12-20(2)</vt:lpstr>
      <vt:lpstr>14-12-20</vt:lpstr>
      <vt:lpstr>14-12-20(2)</vt:lpstr>
      <vt:lpstr>01-02-21</vt:lpstr>
      <vt:lpstr>04-03-21</vt:lpstr>
      <vt:lpstr>16-04-21</vt:lpstr>
      <vt:lpstr>21-07-21</vt:lpstr>
      <vt:lpstr>07-09-21</vt:lpstr>
      <vt:lpstr>05-10-21</vt:lpstr>
      <vt:lpstr>11-12-21</vt:lpstr>
      <vt:lpstr>04-02-22</vt:lpstr>
      <vt:lpstr>28-03-22</vt:lpstr>
      <vt:lpstr>13-05-22</vt:lpstr>
      <vt:lpstr>29-06-22</vt:lpstr>
      <vt:lpstr>09-09-22</vt:lpstr>
      <vt:lpstr>05-03-23</vt:lpstr>
      <vt:lpstr>21-03-23</vt:lpstr>
      <vt:lpstr>28-04-23</vt:lpstr>
      <vt:lpstr>31-05-23</vt:lpstr>
      <vt:lpstr>03-10-23</vt:lpstr>
      <vt:lpstr>18-02-24</vt:lpstr>
      <vt:lpstr>24-03-24</vt:lpstr>
      <vt:lpstr>10-05-24</vt:lpstr>
      <vt:lpstr>01-06-24</vt:lpstr>
      <vt:lpstr>Activités</vt:lpstr>
      <vt:lpstr>2024-11-16 - 24-24636</vt:lpstr>
      <vt:lpstr>2024-12-08 - 24-24672</vt:lpstr>
      <vt:lpstr>2025-03-31 - 25-24865</vt:lpstr>
      <vt:lpstr>2025-05-17 - 25-24969</vt:lpstr>
      <vt:lpstr>'01-02-2018'!Liste_Activités</vt:lpstr>
      <vt:lpstr>'01-02-21'!Liste_Activités</vt:lpstr>
      <vt:lpstr>'01-06-24'!Liste_Activités</vt:lpstr>
      <vt:lpstr>'01-07-15'!Liste_Activités</vt:lpstr>
      <vt:lpstr>'01-07-17'!Liste_Activités</vt:lpstr>
      <vt:lpstr>'01-10-20'!Liste_Activités</vt:lpstr>
      <vt:lpstr>'02-12-20'!Liste_Activités</vt:lpstr>
      <vt:lpstr>'02-12-20(2)'!Liste_Activités</vt:lpstr>
      <vt:lpstr>'03-10-23'!Liste_Activités</vt:lpstr>
      <vt:lpstr>'04-02-22'!Liste_Activités</vt:lpstr>
      <vt:lpstr>'04-03-21'!Liste_Activités</vt:lpstr>
      <vt:lpstr>'05-03-19'!Liste_Activités</vt:lpstr>
      <vt:lpstr>'05-03-23'!Liste_Activités</vt:lpstr>
      <vt:lpstr>'05-05-15'!Liste_Activités</vt:lpstr>
      <vt:lpstr>'05-10-16'!Liste_Activités</vt:lpstr>
      <vt:lpstr>'05-10-21'!Liste_Activités</vt:lpstr>
      <vt:lpstr>'05-12-15'!Liste_Activités</vt:lpstr>
      <vt:lpstr>'06-02-17'!Liste_Activités</vt:lpstr>
      <vt:lpstr>'06-03-20'!Liste_Activités</vt:lpstr>
      <vt:lpstr>'06-06-19'!Liste_Activités</vt:lpstr>
      <vt:lpstr>'06-10-15'!Liste_Activités</vt:lpstr>
      <vt:lpstr>'07-09-21'!Liste_Activités</vt:lpstr>
      <vt:lpstr>'08-09-16'!Liste_Activités</vt:lpstr>
      <vt:lpstr>'09-06-15'!Liste_Activités</vt:lpstr>
      <vt:lpstr>'09-06-15 (2)'!Liste_Activités</vt:lpstr>
      <vt:lpstr>'09-09-22'!Liste_Activités</vt:lpstr>
      <vt:lpstr>'10-05-24'!Liste_Activités</vt:lpstr>
      <vt:lpstr>'11-12-21'!Liste_Activités</vt:lpstr>
      <vt:lpstr>'13-05-22'!Liste_Activités</vt:lpstr>
      <vt:lpstr>'13-11-17'!Liste_Activités</vt:lpstr>
      <vt:lpstr>'13-12-16'!Liste_Activités</vt:lpstr>
      <vt:lpstr>'14-06-18'!Liste_Activités</vt:lpstr>
      <vt:lpstr>'14-11-18'!Liste_Activités</vt:lpstr>
      <vt:lpstr>'14-12-18'!Liste_Activités</vt:lpstr>
      <vt:lpstr>'14-12-20'!Liste_Activités</vt:lpstr>
      <vt:lpstr>'14-12-20(2)'!Liste_Activités</vt:lpstr>
      <vt:lpstr>'16-04-21'!Liste_Activités</vt:lpstr>
      <vt:lpstr>'16-05-17'!Liste_Activités</vt:lpstr>
      <vt:lpstr>'16-12-19'!Liste_Activités</vt:lpstr>
      <vt:lpstr>'17-03-17'!Liste_Activités</vt:lpstr>
      <vt:lpstr>'17-07-18'!Liste_Activités</vt:lpstr>
      <vt:lpstr>'18-02-24'!Liste_Activités</vt:lpstr>
      <vt:lpstr>'18-12-2017'!Liste_Activités</vt:lpstr>
      <vt:lpstr>'19-04-19'!Liste_Activités</vt:lpstr>
      <vt:lpstr>'19-04-19 (2)'!Liste_Activités</vt:lpstr>
      <vt:lpstr>'19-11-20'!Liste_Activités</vt:lpstr>
      <vt:lpstr>'20-02-15'!Liste_Activités</vt:lpstr>
      <vt:lpstr>'21-03-23'!Liste_Activités</vt:lpstr>
      <vt:lpstr>'21-07-21'!Liste_Activités</vt:lpstr>
      <vt:lpstr>'22-10-18'!Liste_Activités</vt:lpstr>
      <vt:lpstr>'22-12-16'!Liste_Activités</vt:lpstr>
      <vt:lpstr>'23-02-18'!Liste_Activités</vt:lpstr>
      <vt:lpstr>'24-03-24'!Liste_Activités</vt:lpstr>
      <vt:lpstr>'24-07-20'!Liste_Activités</vt:lpstr>
      <vt:lpstr>'24-11-16'!Liste_Activités</vt:lpstr>
      <vt:lpstr>'25-03-18'!Liste_Activités</vt:lpstr>
      <vt:lpstr>'25-07-19'!Liste_Activités</vt:lpstr>
      <vt:lpstr>'25-08-17'!Liste_Activités</vt:lpstr>
      <vt:lpstr>'27-04-17'!Liste_Activités</vt:lpstr>
      <vt:lpstr>'27-04-18'!Liste_Activités</vt:lpstr>
      <vt:lpstr>'27-10-20'!Liste_Activités</vt:lpstr>
      <vt:lpstr>'27-11-17'!Liste_Activités</vt:lpstr>
      <vt:lpstr>'28-03-22'!Liste_Activités</vt:lpstr>
      <vt:lpstr>'28-04-23'!Liste_Activités</vt:lpstr>
      <vt:lpstr>'28-06-19'!Liste_Activités</vt:lpstr>
      <vt:lpstr>'29-01-16'!Liste_Activités</vt:lpstr>
      <vt:lpstr>'29-04-20'!Liste_Activités</vt:lpstr>
      <vt:lpstr>'29-06-22'!Liste_Activités</vt:lpstr>
      <vt:lpstr>'30-03-17'!Liste_Activités</vt:lpstr>
      <vt:lpstr>'30-09-19'!Liste_Activités</vt:lpstr>
      <vt:lpstr>'31-03-16'!Liste_Activités</vt:lpstr>
      <vt:lpstr>'31-05-16'!Liste_Activités</vt:lpstr>
      <vt:lpstr>'31-05-23'!Liste_Activités</vt:lpstr>
      <vt:lpstr>'31-08-18'!Liste_Activités</vt:lpstr>
      <vt:lpstr>Liste_Activités</vt:lpstr>
      <vt:lpstr>'01-02-2018'!Print_Area</vt:lpstr>
      <vt:lpstr>'01-02-21'!Print_Area</vt:lpstr>
      <vt:lpstr>'01-06-24'!Print_Area</vt:lpstr>
      <vt:lpstr>'01-07-15'!Print_Area</vt:lpstr>
      <vt:lpstr>'01-07-17'!Print_Area</vt:lpstr>
      <vt:lpstr>'01-10-20'!Print_Area</vt:lpstr>
      <vt:lpstr>'02-12-20'!Print_Area</vt:lpstr>
      <vt:lpstr>'02-12-20(2)'!Print_Area</vt:lpstr>
      <vt:lpstr>'03-10-23'!Print_Area</vt:lpstr>
      <vt:lpstr>'04-02-22'!Print_Area</vt:lpstr>
      <vt:lpstr>'04-03-21'!Print_Area</vt:lpstr>
      <vt:lpstr>'05-03-19'!Print_Area</vt:lpstr>
      <vt:lpstr>'05-03-23'!Print_Area</vt:lpstr>
      <vt:lpstr>'05-05-15'!Print_Area</vt:lpstr>
      <vt:lpstr>'05-10-16'!Print_Area</vt:lpstr>
      <vt:lpstr>'05-10-21'!Print_Area</vt:lpstr>
      <vt:lpstr>'05-12-15'!Print_Area</vt:lpstr>
      <vt:lpstr>'06-02-17'!Print_Area</vt:lpstr>
      <vt:lpstr>'06-03-20'!Print_Area</vt:lpstr>
      <vt:lpstr>'06-06-19'!Print_Area</vt:lpstr>
      <vt:lpstr>'06-10-15'!Print_Area</vt:lpstr>
      <vt:lpstr>'07-09-21'!Print_Area</vt:lpstr>
      <vt:lpstr>'08-09-16'!Print_Area</vt:lpstr>
      <vt:lpstr>'09-06-15'!Print_Area</vt:lpstr>
      <vt:lpstr>'09-06-15 (2)'!Print_Area</vt:lpstr>
      <vt:lpstr>'09-09-22'!Print_Area</vt:lpstr>
      <vt:lpstr>'10-05-24'!Print_Area</vt:lpstr>
      <vt:lpstr>'11-12-21'!Print_Area</vt:lpstr>
      <vt:lpstr>'13-05-22'!Print_Area</vt:lpstr>
      <vt:lpstr>'13-11-17'!Print_Area</vt:lpstr>
      <vt:lpstr>'13-12-16'!Print_Area</vt:lpstr>
      <vt:lpstr>'14-06-18'!Print_Area</vt:lpstr>
      <vt:lpstr>'14-11-18'!Print_Area</vt:lpstr>
      <vt:lpstr>'14-12-18'!Print_Area</vt:lpstr>
      <vt:lpstr>'14-12-20'!Print_Area</vt:lpstr>
      <vt:lpstr>'14-12-20(2)'!Print_Area</vt:lpstr>
      <vt:lpstr>'16-04-21'!Print_Area</vt:lpstr>
      <vt:lpstr>'16-05-17'!Print_Area</vt:lpstr>
      <vt:lpstr>'16-12-19'!Print_Area</vt:lpstr>
      <vt:lpstr>'17-03-17'!Print_Area</vt:lpstr>
      <vt:lpstr>'17-07-18'!Print_Area</vt:lpstr>
      <vt:lpstr>'18-02-24'!Print_Area</vt:lpstr>
      <vt:lpstr>'18-12-2017'!Print_Area</vt:lpstr>
      <vt:lpstr>'19-04-19'!Print_Area</vt:lpstr>
      <vt:lpstr>'19-04-19 (2)'!Print_Area</vt:lpstr>
      <vt:lpstr>'19-11-20'!Print_Area</vt:lpstr>
      <vt:lpstr>'20-02-15'!Print_Area</vt:lpstr>
      <vt:lpstr>'21-03-23'!Print_Area</vt:lpstr>
      <vt:lpstr>'21-07-21'!Print_Area</vt:lpstr>
      <vt:lpstr>'22-10-18'!Print_Area</vt:lpstr>
      <vt:lpstr>'22-12-16'!Print_Area</vt:lpstr>
      <vt:lpstr>'23-02-18'!Print_Area</vt:lpstr>
      <vt:lpstr>'24-03-24'!Print_Area</vt:lpstr>
      <vt:lpstr>'24-07-20'!Print_Area</vt:lpstr>
      <vt:lpstr>'24-11-16'!Print_Area</vt:lpstr>
      <vt:lpstr>'25-03-18'!Print_Area</vt:lpstr>
      <vt:lpstr>'25-07-19'!Print_Area</vt:lpstr>
      <vt:lpstr>'25-08-17'!Print_Area</vt:lpstr>
      <vt:lpstr>'27-04-17'!Print_Area</vt:lpstr>
      <vt:lpstr>'27-04-18'!Print_Area</vt:lpstr>
      <vt:lpstr>'27-10-20'!Print_Area</vt:lpstr>
      <vt:lpstr>'27-11-17'!Print_Area</vt:lpstr>
      <vt:lpstr>'28-03-22'!Print_Area</vt:lpstr>
      <vt:lpstr>'28-04-23'!Print_Area</vt:lpstr>
      <vt:lpstr>'28-06-19'!Print_Area</vt:lpstr>
      <vt:lpstr>'29-01-16'!Print_Area</vt:lpstr>
      <vt:lpstr>'29-04-20'!Print_Area</vt:lpstr>
      <vt:lpstr>'29-06-22'!Print_Area</vt:lpstr>
      <vt:lpstr>'30-03-17'!Print_Area</vt:lpstr>
      <vt:lpstr>'30-09-19'!Print_Area</vt:lpstr>
      <vt:lpstr>'31-03-16'!Print_Area</vt:lpstr>
      <vt:lpstr>'31-05-16'!Print_Area</vt:lpstr>
      <vt:lpstr>'31-05-23'!Print_Area</vt:lpstr>
      <vt:lpstr>'31-08-18'!Print_Area</vt:lpstr>
      <vt:lpstr>'01-02-2018'!Zone_d_impression</vt:lpstr>
      <vt:lpstr>'01-02-21'!Zone_d_impression</vt:lpstr>
      <vt:lpstr>'01-06-24'!Zone_d_impression</vt:lpstr>
      <vt:lpstr>'01-07-15'!Zone_d_impression</vt:lpstr>
      <vt:lpstr>'01-07-17'!Zone_d_impression</vt:lpstr>
      <vt:lpstr>'01-10-20'!Zone_d_impression</vt:lpstr>
      <vt:lpstr>'02-12-20'!Zone_d_impression</vt:lpstr>
      <vt:lpstr>'02-12-20(2)'!Zone_d_impression</vt:lpstr>
      <vt:lpstr>'03-05-12'!Zone_d_impression</vt:lpstr>
      <vt:lpstr>'03-09-14'!Zone_d_impression</vt:lpstr>
      <vt:lpstr>'03-10-23'!Zone_d_impression</vt:lpstr>
      <vt:lpstr>'04-02-22'!Zone_d_impression</vt:lpstr>
      <vt:lpstr>'04-03-21'!Zone_d_impression</vt:lpstr>
      <vt:lpstr>'05-03-19'!Zone_d_impression</vt:lpstr>
      <vt:lpstr>'05-03-23'!Zone_d_impression</vt:lpstr>
      <vt:lpstr>'05-05-15'!Zone_d_impression</vt:lpstr>
      <vt:lpstr>'05-10-16'!Zone_d_impression</vt:lpstr>
      <vt:lpstr>'05-10-21'!Zone_d_impression</vt:lpstr>
      <vt:lpstr>'05-12-15'!Zone_d_impression</vt:lpstr>
      <vt:lpstr>'06-02-17'!Zone_d_impression</vt:lpstr>
      <vt:lpstr>'06-03-20'!Zone_d_impression</vt:lpstr>
      <vt:lpstr>'06-04-13'!Zone_d_impression</vt:lpstr>
      <vt:lpstr>'06-06-19'!Zone_d_impression</vt:lpstr>
      <vt:lpstr>'06-10-15'!Zone_d_impression</vt:lpstr>
      <vt:lpstr>'07-09-21'!Zone_d_impression</vt:lpstr>
      <vt:lpstr>'08-09-16'!Zone_d_impression</vt:lpstr>
      <vt:lpstr>'09-06-15'!Zone_d_impression</vt:lpstr>
      <vt:lpstr>'09-06-15 (2)'!Zone_d_impression</vt:lpstr>
      <vt:lpstr>'09-09-22'!Zone_d_impression</vt:lpstr>
      <vt:lpstr>'10-05-24'!Zone_d_impression</vt:lpstr>
      <vt:lpstr>'10-07-14'!Zone_d_impression</vt:lpstr>
      <vt:lpstr>'10-12-13'!Zone_d_impression</vt:lpstr>
      <vt:lpstr>'11-12-14'!Zone_d_impression</vt:lpstr>
      <vt:lpstr>'11-12-21'!Zone_d_impression</vt:lpstr>
      <vt:lpstr>'13-05-22'!Zone_d_impression</vt:lpstr>
      <vt:lpstr>'13-11-17'!Zone_d_impression</vt:lpstr>
      <vt:lpstr>'13-12-16'!Zone_d_impression</vt:lpstr>
      <vt:lpstr>'14-06-18'!Zone_d_impression</vt:lpstr>
      <vt:lpstr>'14-11-18'!Zone_d_impression</vt:lpstr>
      <vt:lpstr>'14-12-18'!Zone_d_impression</vt:lpstr>
      <vt:lpstr>'14-12-20'!Zone_d_impression</vt:lpstr>
      <vt:lpstr>'14-12-20(2)'!Zone_d_impression</vt:lpstr>
      <vt:lpstr>'16-04-21'!Zone_d_impression</vt:lpstr>
      <vt:lpstr>'16-05-17'!Zone_d_impression</vt:lpstr>
      <vt:lpstr>'16-12-19'!Zone_d_impression</vt:lpstr>
      <vt:lpstr>'17-03-17'!Zone_d_impression</vt:lpstr>
      <vt:lpstr>'17-04-12'!Zone_d_impression</vt:lpstr>
      <vt:lpstr>'17-07-18'!Zone_d_impression</vt:lpstr>
      <vt:lpstr>'17-09-12'!Zone_d_impression</vt:lpstr>
      <vt:lpstr>'17-12-12'!Zone_d_impression</vt:lpstr>
      <vt:lpstr>'18-02-24'!Zone_d_impression</vt:lpstr>
      <vt:lpstr>'18-12-2017'!Zone_d_impression</vt:lpstr>
      <vt:lpstr>'19-04-19'!Zone_d_impression</vt:lpstr>
      <vt:lpstr>'19-04-19 (2)'!Zone_d_impression</vt:lpstr>
      <vt:lpstr>'19-11-20'!Zone_d_impression</vt:lpstr>
      <vt:lpstr>'20-02-14'!Zone_d_impression</vt:lpstr>
      <vt:lpstr>'20-02-15'!Zone_d_impression</vt:lpstr>
      <vt:lpstr>'2024-11-16 - 24-24636'!Zone_d_impression</vt:lpstr>
      <vt:lpstr>'2024-12-08 - 24-24672'!Zone_d_impression</vt:lpstr>
      <vt:lpstr>'2025-03-31 - 25-24865'!Zone_d_impression</vt:lpstr>
      <vt:lpstr>'2025-05-17 - 25-24969'!Zone_d_impression</vt:lpstr>
      <vt:lpstr>'21-03-23'!Zone_d_impression</vt:lpstr>
      <vt:lpstr>'21-07-21'!Zone_d_impression</vt:lpstr>
      <vt:lpstr>'22-05-14'!Zone_d_impression</vt:lpstr>
      <vt:lpstr>'22-07-14'!Zone_d_impression</vt:lpstr>
      <vt:lpstr>'22-10-18'!Zone_d_impression</vt:lpstr>
      <vt:lpstr>'22-12-16'!Zone_d_impression</vt:lpstr>
      <vt:lpstr>'23-02-18'!Zone_d_impression</vt:lpstr>
      <vt:lpstr>'23-10-12'!Zone_d_impression</vt:lpstr>
      <vt:lpstr>'23-10-13'!Zone_d_impression</vt:lpstr>
      <vt:lpstr>'24-03-24'!Zone_d_impression</vt:lpstr>
      <vt:lpstr>'24-07-20'!Zone_d_impression</vt:lpstr>
      <vt:lpstr>'24-11-16'!Zone_d_impression</vt:lpstr>
      <vt:lpstr>'25-02-13'!Zone_d_impression</vt:lpstr>
      <vt:lpstr>'25-03-13'!Zone_d_impression</vt:lpstr>
      <vt:lpstr>'25-03-18'!Zone_d_impression</vt:lpstr>
      <vt:lpstr>'25-07-19'!Zone_d_impression</vt:lpstr>
      <vt:lpstr>'25-08-17'!Zone_d_impression</vt:lpstr>
      <vt:lpstr>'26-08-13'!Zone_d_impression</vt:lpstr>
      <vt:lpstr>'26-09-14'!Zone_d_impression</vt:lpstr>
      <vt:lpstr>'27-04-17'!Zone_d_impression</vt:lpstr>
      <vt:lpstr>'27-04-18'!Zone_d_impression</vt:lpstr>
      <vt:lpstr>'27-09-13'!Zone_d_impression</vt:lpstr>
      <vt:lpstr>'27-10-20'!Zone_d_impression</vt:lpstr>
      <vt:lpstr>'27-11-17'!Zone_d_impression</vt:lpstr>
      <vt:lpstr>'28-01-13'!Zone_d_impression</vt:lpstr>
      <vt:lpstr>'28-02-12'!Zone_d_impression</vt:lpstr>
      <vt:lpstr>'28-03-22'!Zone_d_impression</vt:lpstr>
      <vt:lpstr>'28-04-23'!Zone_d_impression</vt:lpstr>
      <vt:lpstr>'28-06-13'!Zone_d_impression</vt:lpstr>
      <vt:lpstr>'28-06-19'!Zone_d_impression</vt:lpstr>
      <vt:lpstr>'29-01-16'!Zone_d_impression</vt:lpstr>
      <vt:lpstr>'29-04-13'!Zone_d_impression</vt:lpstr>
      <vt:lpstr>'29-04-20'!Zone_d_impression</vt:lpstr>
      <vt:lpstr>'29-06-22'!Zone_d_impression</vt:lpstr>
      <vt:lpstr>'30-03-17'!Zone_d_impression</vt:lpstr>
      <vt:lpstr>'30-09-19'!Zone_d_impression</vt:lpstr>
      <vt:lpstr>'30-10-14'!Zone_d_impression</vt:lpstr>
      <vt:lpstr>'31-03-16'!Zone_d_impression</vt:lpstr>
      <vt:lpstr>'31-05-16'!Zone_d_impression</vt:lpstr>
      <vt:lpstr>'31-05-23'!Zone_d_impression</vt:lpstr>
      <vt:lpstr>'31-08-18'!Zone_d_impression</vt:lpstr>
      <vt:lpstr>Activités!Zone_d_impression</vt:lpstr>
      <vt:lpstr>Remorquage!Zone_d_impression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Charron, CA</dc:creator>
  <cp:lastModifiedBy>Guillaume Charron</cp:lastModifiedBy>
  <cp:lastPrinted>2024-05-10T20:06:04Z</cp:lastPrinted>
  <dcterms:created xsi:type="dcterms:W3CDTF">1996-11-05T19:10:39Z</dcterms:created>
  <dcterms:modified xsi:type="dcterms:W3CDTF">2025-05-17T22:02:33Z</dcterms:modified>
</cp:coreProperties>
</file>